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sharedStrings.xml" ContentType="application/vnd.openxmlformats-officedocument.spreadsheetml.sharedStrings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4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 Filing Program Planning\2024-2025 Biennium\Exhibits\Exhibit 2\"/>
    </mc:Choice>
  </mc:AlternateContent>
  <bookViews>
    <workbookView xWindow="0" yWindow="0" windowWidth="19200" windowHeight="618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EV Chargers {E}" sheetId="81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Efficiency Boost {E}" sheetId="74" r:id="rId15"/>
    <sheet name="Res Midstream HVAC &amp; WH {E}" sheetId="77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Indust Opt {E}" sheetId="78" r:id="rId24"/>
    <sheet name="CBA {E}" sheetId="72" r:id="rId25"/>
    <sheet name="SMB Virtual Cx {E}" sheetId="76" r:id="rId26"/>
    <sheet name="Telecom Efficiency {E}" sheetId="79" r:id="rId27"/>
    <sheet name="CI New Construction {E}" sheetId="23" r:id="rId28"/>
    <sheet name="Com SEM {E}" sheetId="24" r:id="rId29"/>
    <sheet name="P4P {E}" sheetId="25" r:id="rId30"/>
    <sheet name="LPU 449 {E}" sheetId="26" r:id="rId31"/>
    <sheet name="LPU Non-449 {E}" sheetId="27" r:id="rId32"/>
    <sheet name="Lighting to Go {E}" sheetId="28" r:id="rId33"/>
    <sheet name="Commercial Foodservice {E}" sheetId="29" r:id="rId34"/>
    <sheet name="Commercial HVAC {E}" sheetId="30" r:id="rId35"/>
    <sheet name="Commercial Midstream {E}" sheetId="31" r:id="rId36"/>
    <sheet name="SBDI {E}" sheetId="32" r:id="rId37"/>
    <sheet name="Lodging Rebates {E}" sheetId="33" r:id="rId38"/>
    <sheet name="Residential Pilots {E}" sheetId="34" r:id="rId39"/>
    <sheet name="Commercial Pilots {E}" sheetId="35" r:id="rId40"/>
    <sheet name="TDSM {E}" sheetId="36" r:id="rId41"/>
    <sheet name="NEEA {E}" sheetId="37" r:id="rId42"/>
    <sheet name="T&amp;D {E}" sheetId="38" r:id="rId43"/>
    <sheet name="G201 LIW {G}" sheetId="66" r:id="rId44"/>
    <sheet name="SF Existing Space Heat {G}" sheetId="39" r:id="rId45"/>
    <sheet name="SF Existing Water Heat {G}" sheetId="40" r:id="rId46"/>
    <sheet name="Home Energy Assessments {G}" sheetId="41" r:id="rId47"/>
    <sheet name="Single Family Rental Pilot {G}" sheetId="42" r:id="rId48"/>
    <sheet name="Home Appliances {G}" sheetId="43" r:id="rId49"/>
    <sheet name="Web Enabled Thermostats {G}" sheetId="44" r:id="rId50"/>
    <sheet name="Residential Showerheads {G}" sheetId="45" r:id="rId51"/>
    <sheet name="SF Existing Weatherization {G}" sheetId="46" r:id="rId52"/>
    <sheet name="Home Energy Reports {G}" sheetId="47" r:id="rId53"/>
    <sheet name="Efficiency Boost {G}" sheetId="75" r:id="rId54"/>
    <sheet name="Res Midstream HVAC &amp; WH {G}" sheetId="82" r:id="rId55"/>
    <sheet name="SF New Construction {G}" sheetId="49" r:id="rId56"/>
    <sheet name="MH New Construction {G}" sheetId="50" r:id="rId57"/>
    <sheet name="Multi Family Retrofit {G}" sheetId="51" r:id="rId58"/>
    <sheet name="MF New Construction {G}" sheetId="52" r:id="rId59"/>
    <sheet name="CI Retrofit {G}" sheetId="53" r:id="rId60"/>
    <sheet name="CBA {G}" sheetId="71" r:id="rId61"/>
    <sheet name="Industrial EM {G}" sheetId="73" r:id="rId62"/>
    <sheet name="CI New Construction {G}" sheetId="54" r:id="rId63"/>
    <sheet name="Com SEM {G}" sheetId="55" r:id="rId64"/>
    <sheet name="P4P {G}" sheetId="56" r:id="rId65"/>
    <sheet name="Commercial Foodservice {G}" sheetId="57" r:id="rId66"/>
    <sheet name="Commercial HVAC {G}" sheetId="58" r:id="rId67"/>
    <sheet name="Commercial Midstream {G}" sheetId="59" r:id="rId68"/>
    <sheet name="SBDI {G}" sheetId="60" r:id="rId69"/>
    <sheet name="G245 NEEA GAS" sheetId="61" r:id="rId70"/>
    <sheet name="G249 Res Gas Pilot" sheetId="62" r:id="rId71"/>
    <sheet name="G249 Com Gas Pilot" sheetId="63" r:id="rId72"/>
    <sheet name="TDSM {G}" sheetId="64" r:id="rId73"/>
    <sheet name="ElecAvoidedCostsWOCC" sheetId="9" r:id="rId74"/>
    <sheet name="GasAvoidedCostsWOCC" sheetId="10" r:id="rId75"/>
  </sheets>
  <externalReferences>
    <externalReference r:id="rId76"/>
  </externalReferences>
  <definedNames>
    <definedName name="_xlnm._FilterDatabase" localSheetId="33" hidden="1">'Commercial Foodservice {E}'!$B$4:$AP$130</definedName>
    <definedName name="_xlnm._FilterDatabase" localSheetId="4" hidden="1">'E201 LIW {E}'!$B$4:$AP$194</definedName>
    <definedName name="_xlnm._FilterDatabase" localSheetId="43" hidden="1">'G201 LIW {G}'!$B$4:$AP$131</definedName>
    <definedName name="_xlnm._FilterDatabase" localSheetId="3" hidden="1">'Program Costs'!$A$1:$P$134</definedName>
    <definedName name="ElecDiscountRate">0.068</definedName>
    <definedName name="GasDiscountRate">0.068</definedName>
    <definedName name="_xlnm.Print_Area" localSheetId="1">'Electric CE'!$A$1:$W$80</definedName>
    <definedName name="_xlnm.Print_Area" localSheetId="2">'Gas CE'!$A$1:$W$70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9" i="1" l="1"/>
  <c r="O129" i="1" s="1"/>
  <c r="I68" i="67" s="1"/>
  <c r="J63" i="67"/>
  <c r="K63" i="67"/>
  <c r="L63" i="67"/>
  <c r="M63" i="67"/>
  <c r="P63" i="67"/>
  <c r="O5" i="53"/>
  <c r="J74" i="68"/>
  <c r="K74" i="68"/>
  <c r="L74" i="68"/>
  <c r="M74" i="68"/>
  <c r="P74" i="68"/>
  <c r="N132" i="1"/>
  <c r="O132" i="1"/>
  <c r="F134" i="1"/>
  <c r="G134" i="1"/>
  <c r="H134" i="1"/>
  <c r="I134" i="1"/>
  <c r="J134" i="1"/>
  <c r="K134" i="1"/>
  <c r="L134" i="1"/>
  <c r="E134" i="1"/>
  <c r="T6" i="68" l="1"/>
  <c r="T76" i="51" l="1"/>
  <c r="V76" i="51"/>
  <c r="Y76" i="51"/>
  <c r="AD76" i="51"/>
  <c r="AE76" i="51"/>
  <c r="AF76" i="51"/>
  <c r="AG76" i="51" s="1"/>
  <c r="AH76" i="51"/>
  <c r="AI76" i="51" s="1"/>
  <c r="AK76" i="51"/>
  <c r="AM76" i="51"/>
  <c r="T77" i="5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D78" i="51"/>
  <c r="AF78" i="51"/>
  <c r="AG78" i="51"/>
  <c r="AK78" i="51"/>
  <c r="AM78" i="51"/>
  <c r="T79" i="51"/>
  <c r="V79" i="51"/>
  <c r="Y79" i="51"/>
  <c r="AD79" i="51"/>
  <c r="AE79" i="51"/>
  <c r="AF79" i="51"/>
  <c r="AG79" i="51" s="1"/>
  <c r="AH79" i="51"/>
  <c r="AI79" i="51" s="1"/>
  <c r="AK79" i="51"/>
  <c r="AM79" i="51"/>
  <c r="AN79" i="51"/>
  <c r="T80" i="51"/>
  <c r="AD80" i="51" s="1"/>
  <c r="V80" i="51"/>
  <c r="Y80" i="51"/>
  <c r="AF80" i="51"/>
  <c r="AG80" i="51" s="1"/>
  <c r="AK80" i="51"/>
  <c r="AM80" i="51"/>
  <c r="T81" i="51"/>
  <c r="AE81" i="51" s="1"/>
  <c r="V81" i="51"/>
  <c r="Y81" i="51"/>
  <c r="AD81" i="51"/>
  <c r="AF81" i="51"/>
  <c r="AG81" i="51"/>
  <c r="AK81" i="51"/>
  <c r="AM81" i="51"/>
  <c r="T82" i="51"/>
  <c r="V82" i="51"/>
  <c r="Y82" i="51"/>
  <c r="AD82" i="51"/>
  <c r="AE82" i="51"/>
  <c r="AF82" i="51"/>
  <c r="AG82" i="51" s="1"/>
  <c r="AH82" i="51"/>
  <c r="AI82" i="51" s="1"/>
  <c r="AK82" i="51"/>
  <c r="AM82" i="51"/>
  <c r="T83" i="51"/>
  <c r="AD83" i="51" s="1"/>
  <c r="V83" i="51"/>
  <c r="Y83" i="51"/>
  <c r="AF83" i="51"/>
  <c r="AG83" i="51" s="1"/>
  <c r="AK83" i="51"/>
  <c r="AM83" i="51"/>
  <c r="T84" i="51"/>
  <c r="AH84" i="51" s="1"/>
  <c r="AI84" i="51" s="1"/>
  <c r="V84" i="51"/>
  <c r="Y84" i="51"/>
  <c r="AD84" i="51"/>
  <c r="AE84" i="51"/>
  <c r="AF84" i="51"/>
  <c r="AG84" i="51" s="1"/>
  <c r="AK84" i="51"/>
  <c r="AM84" i="51"/>
  <c r="T85" i="51"/>
  <c r="AD85" i="51" s="1"/>
  <c r="V85" i="51"/>
  <c r="Y85" i="51"/>
  <c r="AF85" i="51"/>
  <c r="AG85" i="51" s="1"/>
  <c r="AH85" i="51"/>
  <c r="AI85" i="51" s="1"/>
  <c r="AK85" i="51"/>
  <c r="AM85" i="51"/>
  <c r="T86" i="51"/>
  <c r="AD86" i="51" s="1"/>
  <c r="V86" i="51"/>
  <c r="Y86" i="51"/>
  <c r="AF86" i="51"/>
  <c r="AG86" i="51"/>
  <c r="AK86" i="51"/>
  <c r="AM86" i="51"/>
  <c r="T87" i="51"/>
  <c r="AE87" i="51" s="1"/>
  <c r="V87" i="51"/>
  <c r="Y87" i="51"/>
  <c r="AD87" i="51"/>
  <c r="AF87" i="51"/>
  <c r="AG87" i="51" s="1"/>
  <c r="AK87" i="51"/>
  <c r="AM87" i="51"/>
  <c r="T88" i="51"/>
  <c r="AD88" i="51" s="1"/>
  <c r="V88" i="51"/>
  <c r="Y88" i="51"/>
  <c r="AE88" i="51"/>
  <c r="AF88" i="51"/>
  <c r="AG88" i="51"/>
  <c r="AH88" i="51"/>
  <c r="AI88" i="51" s="1"/>
  <c r="AK88" i="51"/>
  <c r="AM88" i="51"/>
  <c r="T89" i="51"/>
  <c r="V89" i="51"/>
  <c r="Y89" i="51"/>
  <c r="AF89" i="51"/>
  <c r="AG89" i="51" s="1"/>
  <c r="AK89" i="51"/>
  <c r="AM89" i="51"/>
  <c r="T90" i="51"/>
  <c r="AH90" i="51" s="1"/>
  <c r="AI90" i="51" s="1"/>
  <c r="V90" i="51"/>
  <c r="Y90" i="51"/>
  <c r="AF90" i="51"/>
  <c r="AG90" i="51"/>
  <c r="AK90" i="51"/>
  <c r="AM90" i="51"/>
  <c r="T91" i="51"/>
  <c r="AH91" i="51" s="1"/>
  <c r="AI91" i="51" s="1"/>
  <c r="V91" i="51"/>
  <c r="Y91" i="51"/>
  <c r="AD91" i="51"/>
  <c r="AE91" i="51"/>
  <c r="AF91" i="51"/>
  <c r="AG91" i="51" s="1"/>
  <c r="AK91" i="51"/>
  <c r="AM91" i="51"/>
  <c r="AN91" i="51" s="1"/>
  <c r="T92" i="51"/>
  <c r="V92" i="51"/>
  <c r="Y92" i="51"/>
  <c r="AF92" i="51"/>
  <c r="AG92" i="51" s="1"/>
  <c r="AK92" i="51"/>
  <c r="AM92" i="51"/>
  <c r="T93" i="51"/>
  <c r="AE93" i="51" s="1"/>
  <c r="V93" i="51"/>
  <c r="Y93" i="51"/>
  <c r="AF93" i="51"/>
  <c r="AG93" i="51" s="1"/>
  <c r="AK93" i="51"/>
  <c r="AM93" i="51"/>
  <c r="T94" i="51"/>
  <c r="AH94" i="51" s="1"/>
  <c r="AI94" i="51" s="1"/>
  <c r="V94" i="51"/>
  <c r="Y94" i="51"/>
  <c r="AD94" i="51"/>
  <c r="AE94" i="51"/>
  <c r="AF94" i="51"/>
  <c r="AG94" i="51"/>
  <c r="AK94" i="51"/>
  <c r="AM94" i="51"/>
  <c r="T95" i="51"/>
  <c r="V95" i="51"/>
  <c r="Y95" i="51"/>
  <c r="AF95" i="51"/>
  <c r="AG95" i="51" s="1"/>
  <c r="AK95" i="51"/>
  <c r="AM95" i="51"/>
  <c r="T96" i="51"/>
  <c r="AH96" i="51" s="1"/>
  <c r="AI96" i="51" s="1"/>
  <c r="V96" i="51"/>
  <c r="Y96" i="51"/>
  <c r="AF96" i="51"/>
  <c r="AG96" i="51" s="1"/>
  <c r="AL96" i="51" s="1"/>
  <c r="AK96" i="51"/>
  <c r="AM96" i="51"/>
  <c r="T97" i="51"/>
  <c r="V97" i="51"/>
  <c r="Y97" i="51"/>
  <c r="AF97" i="51"/>
  <c r="AG97" i="51" s="1"/>
  <c r="AK97" i="51"/>
  <c r="AM97" i="51"/>
  <c r="T98" i="51"/>
  <c r="V98" i="51"/>
  <c r="Y98" i="51"/>
  <c r="AF98" i="51"/>
  <c r="AG98" i="51"/>
  <c r="AK98" i="51"/>
  <c r="AM98" i="51"/>
  <c r="T99" i="51"/>
  <c r="AE99" i="51" s="1"/>
  <c r="V99" i="51"/>
  <c r="Y99" i="51"/>
  <c r="AF99" i="51"/>
  <c r="AG99" i="51"/>
  <c r="AK99" i="51"/>
  <c r="AM99" i="51"/>
  <c r="T100" i="51"/>
  <c r="AH100" i="51" s="1"/>
  <c r="AI100" i="51" s="1"/>
  <c r="V100" i="51"/>
  <c r="Y100" i="51"/>
  <c r="AD100" i="51"/>
  <c r="AN100" i="51" s="1"/>
  <c r="AE100" i="51"/>
  <c r="AF100" i="51"/>
  <c r="AG100" i="51"/>
  <c r="AK100" i="51"/>
  <c r="AM100" i="51"/>
  <c r="T101" i="51"/>
  <c r="V101" i="51"/>
  <c r="Y101" i="51"/>
  <c r="AF101" i="51"/>
  <c r="AG101" i="51" s="1"/>
  <c r="AK101" i="51"/>
  <c r="AM101" i="51"/>
  <c r="T102" i="51"/>
  <c r="AH102" i="51" s="1"/>
  <c r="AI102" i="51" s="1"/>
  <c r="V102" i="51"/>
  <c r="Y102" i="51"/>
  <c r="AD102" i="51"/>
  <c r="AF102" i="51"/>
  <c r="AG102" i="51"/>
  <c r="AJ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V104" i="51"/>
  <c r="Y104" i="51"/>
  <c r="AF104" i="51"/>
  <c r="AG104" i="51" s="1"/>
  <c r="AK104" i="51"/>
  <c r="AM104" i="51"/>
  <c r="T105" i="51"/>
  <c r="AE105" i="51" s="1"/>
  <c r="V105" i="51"/>
  <c r="Y105" i="51"/>
  <c r="AD105" i="51"/>
  <c r="AF105" i="51"/>
  <c r="AG105" i="51" s="1"/>
  <c r="AK105" i="51"/>
  <c r="AM105" i="51"/>
  <c r="AN105" i="51" s="1"/>
  <c r="T106" i="51"/>
  <c r="AD106" i="51" s="1"/>
  <c r="V106" i="51"/>
  <c r="Y106" i="51"/>
  <c r="AF106" i="51"/>
  <c r="AG106" i="51"/>
  <c r="AK106" i="51"/>
  <c r="AM106" i="51"/>
  <c r="T107" i="51"/>
  <c r="AD107" i="51" s="1"/>
  <c r="V107" i="51"/>
  <c r="Y107" i="51"/>
  <c r="AF107" i="51"/>
  <c r="AG107" i="51" s="1"/>
  <c r="AK107" i="51"/>
  <c r="AM107" i="51"/>
  <c r="T108" i="51"/>
  <c r="AE108" i="51" s="1"/>
  <c r="V108" i="51"/>
  <c r="Y108" i="51"/>
  <c r="AD108" i="51"/>
  <c r="AF108" i="51"/>
  <c r="AG108" i="51"/>
  <c r="AH108" i="51"/>
  <c r="AI108" i="51" s="1"/>
  <c r="AK108" i="51"/>
  <c r="AM108" i="51"/>
  <c r="T109" i="51"/>
  <c r="AD109" i="51" s="1"/>
  <c r="V109" i="51"/>
  <c r="Y109" i="51"/>
  <c r="AE109" i="51"/>
  <c r="AF109" i="51"/>
  <c r="AG109" i="51" s="1"/>
  <c r="AH109" i="51"/>
  <c r="AI109" i="51" s="1"/>
  <c r="AK109" i="51"/>
  <c r="AM109" i="51"/>
  <c r="T110" i="51"/>
  <c r="V110" i="51"/>
  <c r="Y110" i="51"/>
  <c r="AF110" i="51"/>
  <c r="AG110" i="51" s="1"/>
  <c r="AK110" i="51"/>
  <c r="AM110" i="51"/>
  <c r="T111" i="51"/>
  <c r="AE111" i="51" s="1"/>
  <c r="V111" i="51"/>
  <c r="Y111" i="51"/>
  <c r="AD111" i="51"/>
  <c r="AF111" i="51"/>
  <c r="AG111" i="51" s="1"/>
  <c r="AK111" i="51"/>
  <c r="AM111" i="51"/>
  <c r="T112" i="51"/>
  <c r="AE112" i="51" s="1"/>
  <c r="V112" i="51"/>
  <c r="Y112" i="51"/>
  <c r="AD112" i="51"/>
  <c r="AF112" i="51"/>
  <c r="AG112" i="51"/>
  <c r="AH112" i="51"/>
  <c r="AI112" i="51" s="1"/>
  <c r="AK112" i="51"/>
  <c r="AM112" i="51"/>
  <c r="T113" i="51"/>
  <c r="V113" i="51"/>
  <c r="Y113" i="51"/>
  <c r="AF113" i="51"/>
  <c r="AG113" i="51" s="1"/>
  <c r="AK113" i="51"/>
  <c r="AM113" i="51"/>
  <c r="T114" i="51"/>
  <c r="AH114" i="51" s="1"/>
  <c r="AI114" i="51" s="1"/>
  <c r="V114" i="51"/>
  <c r="Y114" i="51"/>
  <c r="AF114" i="51"/>
  <c r="AG114" i="51" s="1"/>
  <c r="AJ114" i="51" s="1"/>
  <c r="AK114" i="51"/>
  <c r="AM114" i="51"/>
  <c r="T115" i="51"/>
  <c r="AH115" i="51" s="1"/>
  <c r="AI115" i="51" s="1"/>
  <c r="V115" i="51"/>
  <c r="Y115" i="51"/>
  <c r="AD115" i="51"/>
  <c r="AE115" i="51"/>
  <c r="AF115" i="51"/>
  <c r="AG115" i="51" s="1"/>
  <c r="AL115" i="51" s="1"/>
  <c r="AK115" i="51"/>
  <c r="AM115" i="51"/>
  <c r="AN115" i="51" s="1"/>
  <c r="T116" i="51"/>
  <c r="V116" i="51"/>
  <c r="Y116" i="51"/>
  <c r="AE116" i="51"/>
  <c r="AF116" i="51"/>
  <c r="AG116" i="51" s="1"/>
  <c r="AK116" i="51"/>
  <c r="AM116" i="51"/>
  <c r="T117" i="51"/>
  <c r="V117" i="51"/>
  <c r="Y117" i="51"/>
  <c r="AD117" i="51"/>
  <c r="AF117" i="51"/>
  <c r="AG117" i="51" s="1"/>
  <c r="AK117" i="51"/>
  <c r="AM117" i="51"/>
  <c r="T118" i="51"/>
  <c r="AE118" i="51" s="1"/>
  <c r="V118" i="51"/>
  <c r="Y118" i="51"/>
  <c r="AD118" i="51"/>
  <c r="AF118" i="51"/>
  <c r="AG118" i="51"/>
  <c r="AK118" i="51"/>
  <c r="AM118" i="51"/>
  <c r="T119" i="51"/>
  <c r="V119" i="51"/>
  <c r="Y119" i="51"/>
  <c r="AF119" i="51"/>
  <c r="AG119" i="51" s="1"/>
  <c r="AK119" i="51"/>
  <c r="AM119" i="51"/>
  <c r="T120" i="51"/>
  <c r="AH120" i="51" s="1"/>
  <c r="AI120" i="51" s="1"/>
  <c r="V120" i="51"/>
  <c r="Y120" i="51"/>
  <c r="AD120" i="51"/>
  <c r="AE120" i="51"/>
  <c r="AF120" i="51"/>
  <c r="AG120" i="51"/>
  <c r="AK120" i="51"/>
  <c r="AM120" i="51"/>
  <c r="AN120" i="51" s="1"/>
  <c r="T121" i="51"/>
  <c r="V121" i="51"/>
  <c r="Y121" i="51"/>
  <c r="AF121" i="51"/>
  <c r="AG121" i="51" s="1"/>
  <c r="AK121" i="51"/>
  <c r="AM121" i="51"/>
  <c r="T122" i="51"/>
  <c r="V122" i="51"/>
  <c r="Y122" i="51"/>
  <c r="AE122" i="51"/>
  <c r="AF122" i="51"/>
  <c r="AG122" i="51" s="1"/>
  <c r="AK122" i="51"/>
  <c r="AM122" i="51"/>
  <c r="T123" i="51"/>
  <c r="AE123" i="51" s="1"/>
  <c r="V123" i="51"/>
  <c r="Y123" i="51"/>
  <c r="AD123" i="51"/>
  <c r="AF123" i="51"/>
  <c r="AG123" i="51" s="1"/>
  <c r="AH123" i="51"/>
  <c r="AI123" i="51" s="1"/>
  <c r="AK123" i="51"/>
  <c r="AM123" i="51"/>
  <c r="T124" i="51"/>
  <c r="AE124" i="51" s="1"/>
  <c r="V124" i="51"/>
  <c r="Y124" i="51"/>
  <c r="AD124" i="51"/>
  <c r="AF124" i="51"/>
  <c r="AG124" i="51"/>
  <c r="AK124" i="51"/>
  <c r="AM124" i="51"/>
  <c r="T125" i="51"/>
  <c r="V125" i="51"/>
  <c r="Y125" i="51"/>
  <c r="AF125" i="51"/>
  <c r="AG125" i="51" s="1"/>
  <c r="AK125" i="51"/>
  <c r="AM125" i="51"/>
  <c r="T126" i="51"/>
  <c r="AH126" i="51" s="1"/>
  <c r="AI126" i="51" s="1"/>
  <c r="V126" i="51"/>
  <c r="Y126" i="51"/>
  <c r="AD126" i="51"/>
  <c r="AF126" i="51"/>
  <c r="AG126" i="51" s="1"/>
  <c r="AK126" i="51"/>
  <c r="AM126" i="51"/>
  <c r="T127" i="51"/>
  <c r="AD127" i="51" s="1"/>
  <c r="V127" i="51"/>
  <c r="Y127" i="51"/>
  <c r="AF127" i="51"/>
  <c r="AG127" i="51"/>
  <c r="AK127" i="51"/>
  <c r="AM127" i="51"/>
  <c r="T128" i="51"/>
  <c r="AE128" i="51" s="1"/>
  <c r="V128" i="51"/>
  <c r="Y128" i="51"/>
  <c r="AF128" i="51"/>
  <c r="AG128" i="51" s="1"/>
  <c r="AK128" i="51"/>
  <c r="AM128" i="51"/>
  <c r="T129" i="51"/>
  <c r="V129" i="51"/>
  <c r="Y129" i="51"/>
  <c r="AF129" i="51"/>
  <c r="AG129" i="51"/>
  <c r="AK129" i="51"/>
  <c r="AM129" i="51"/>
  <c r="T130" i="51"/>
  <c r="AD130" i="51" s="1"/>
  <c r="V130" i="51"/>
  <c r="Y130" i="51"/>
  <c r="AF130" i="51"/>
  <c r="AG130" i="51" s="1"/>
  <c r="AK130" i="51"/>
  <c r="AM130" i="51"/>
  <c r="T131" i="51"/>
  <c r="AE131" i="51" s="1"/>
  <c r="V131" i="51"/>
  <c r="Y131" i="51"/>
  <c r="AF131" i="51"/>
  <c r="AG131" i="51" s="1"/>
  <c r="AK131" i="51"/>
  <c r="AM131" i="51"/>
  <c r="T132" i="51"/>
  <c r="AH132" i="51" s="1"/>
  <c r="V132" i="51"/>
  <c r="Y132" i="51"/>
  <c r="AD132" i="51"/>
  <c r="AE132" i="51"/>
  <c r="AF132" i="51"/>
  <c r="AG132" i="51" s="1"/>
  <c r="AI132" i="51"/>
  <c r="AK132" i="51"/>
  <c r="AM132" i="51"/>
  <c r="T133" i="51"/>
  <c r="AH133" i="51" s="1"/>
  <c r="AI133" i="51" s="1"/>
  <c r="V133" i="51"/>
  <c r="Y133" i="51"/>
  <c r="AE133" i="51"/>
  <c r="AF133" i="51"/>
  <c r="AG133" i="51" s="1"/>
  <c r="AK133" i="51"/>
  <c r="AM133" i="51"/>
  <c r="T134" i="51"/>
  <c r="AD134" i="51" s="1"/>
  <c r="V134" i="51"/>
  <c r="Y134" i="51"/>
  <c r="AF134" i="51"/>
  <c r="AG134" i="51" s="1"/>
  <c r="AH134" i="51"/>
  <c r="AI134" i="51" s="1"/>
  <c r="AK134" i="51"/>
  <c r="AM134" i="51"/>
  <c r="T135" i="51"/>
  <c r="AE135" i="51" s="1"/>
  <c r="V135" i="51"/>
  <c r="Y135" i="51"/>
  <c r="AF135" i="51"/>
  <c r="AG135" i="51" s="1"/>
  <c r="AK135" i="51"/>
  <c r="AM135" i="51"/>
  <c r="T136" i="51"/>
  <c r="AD136" i="51" s="1"/>
  <c r="V136" i="51"/>
  <c r="Y136" i="51"/>
  <c r="AF136" i="51"/>
  <c r="AG136" i="51"/>
  <c r="AH136" i="51"/>
  <c r="AI136" i="51" s="1"/>
  <c r="AK136" i="51"/>
  <c r="AM136" i="51"/>
  <c r="T137" i="51"/>
  <c r="AE137" i="51" s="1"/>
  <c r="V137" i="51"/>
  <c r="Y137" i="51"/>
  <c r="AF137" i="51"/>
  <c r="AG137" i="51" s="1"/>
  <c r="AK137" i="51"/>
  <c r="AM137" i="51"/>
  <c r="T138" i="51"/>
  <c r="V138" i="51"/>
  <c r="Y138" i="51"/>
  <c r="AF138" i="51"/>
  <c r="AG138" i="51" s="1"/>
  <c r="AK138" i="51"/>
  <c r="AM138" i="51"/>
  <c r="T139" i="51"/>
  <c r="V139" i="51"/>
  <c r="Y139" i="51"/>
  <c r="AD139" i="51"/>
  <c r="AE139" i="51"/>
  <c r="AF139" i="51"/>
  <c r="AG139" i="51"/>
  <c r="AH139" i="51"/>
  <c r="AI139" i="51" s="1"/>
  <c r="AK139" i="51"/>
  <c r="AM139" i="51"/>
  <c r="AN139" i="51" s="1"/>
  <c r="T140" i="51"/>
  <c r="AD140" i="51" s="1"/>
  <c r="V140" i="51"/>
  <c r="Y140" i="51"/>
  <c r="AF140" i="51"/>
  <c r="AG140" i="51" s="1"/>
  <c r="AK140" i="51"/>
  <c r="AM140" i="51"/>
  <c r="T141" i="51"/>
  <c r="AE141" i="51" s="1"/>
  <c r="V141" i="51"/>
  <c r="Y141" i="51"/>
  <c r="AF141" i="51"/>
  <c r="AG141" i="51" s="1"/>
  <c r="AK141" i="51"/>
  <c r="AM141" i="51"/>
  <c r="T142" i="51"/>
  <c r="AH142" i="51" s="1"/>
  <c r="AI142" i="51" s="1"/>
  <c r="V142" i="51"/>
  <c r="Y142" i="51"/>
  <c r="AD142" i="51"/>
  <c r="AE142" i="51"/>
  <c r="AF142" i="51"/>
  <c r="AG142" i="51" s="1"/>
  <c r="AJ142" i="51" s="1"/>
  <c r="AK142" i="51"/>
  <c r="AM142" i="51"/>
  <c r="AN142" i="51" s="1"/>
  <c r="T143" i="51"/>
  <c r="V143" i="51"/>
  <c r="Y143" i="51"/>
  <c r="AF143" i="51"/>
  <c r="AG143" i="51" s="1"/>
  <c r="AK143" i="51"/>
  <c r="AM143" i="51"/>
  <c r="T144" i="51"/>
  <c r="AE144" i="51" s="1"/>
  <c r="V144" i="51"/>
  <c r="Y144" i="51"/>
  <c r="AF144" i="51"/>
  <c r="AG144" i="51" s="1"/>
  <c r="AK144" i="51"/>
  <c r="AM144" i="51"/>
  <c r="T145" i="51"/>
  <c r="AE145" i="51" s="1"/>
  <c r="AN145" i="51" s="1"/>
  <c r="V145" i="51"/>
  <c r="Y145" i="51"/>
  <c r="AD145" i="51"/>
  <c r="AF145" i="51"/>
  <c r="AG145" i="51"/>
  <c r="AK145" i="51"/>
  <c r="AM145" i="51"/>
  <c r="T146" i="51"/>
  <c r="V146" i="51"/>
  <c r="Y146" i="51"/>
  <c r="AF146" i="51"/>
  <c r="AG146" i="51" s="1"/>
  <c r="AK146" i="51"/>
  <c r="AM146" i="51"/>
  <c r="T147" i="51"/>
  <c r="AE147" i="51" s="1"/>
  <c r="V147" i="51"/>
  <c r="Y147" i="51"/>
  <c r="AF147" i="51"/>
  <c r="AG147" i="51" s="1"/>
  <c r="AK147" i="51"/>
  <c r="AM147" i="51"/>
  <c r="T148" i="51"/>
  <c r="AE148" i="51" s="1"/>
  <c r="V148" i="51"/>
  <c r="Y148" i="51"/>
  <c r="AD148" i="51"/>
  <c r="AF148" i="51"/>
  <c r="AG148" i="51" s="1"/>
  <c r="AK148" i="51"/>
  <c r="AM148" i="51"/>
  <c r="T149" i="51"/>
  <c r="V149" i="51"/>
  <c r="Y149" i="51"/>
  <c r="AE149" i="51"/>
  <c r="AF149" i="51"/>
  <c r="AG149" i="51" s="1"/>
  <c r="AK149" i="51"/>
  <c r="AM149" i="51"/>
  <c r="T150" i="51"/>
  <c r="V150" i="51"/>
  <c r="Y150" i="51"/>
  <c r="AF150" i="51"/>
  <c r="AG150" i="51" s="1"/>
  <c r="AK150" i="51"/>
  <c r="AM150" i="51"/>
  <c r="T151" i="51"/>
  <c r="V151" i="51"/>
  <c r="Y151" i="51"/>
  <c r="AD151" i="51"/>
  <c r="AE151" i="51"/>
  <c r="AF151" i="51"/>
  <c r="AG151" i="51" s="1"/>
  <c r="AH151" i="51"/>
  <c r="AI151" i="51" s="1"/>
  <c r="AK151" i="51"/>
  <c r="AM151" i="51"/>
  <c r="AN151" i="51" s="1"/>
  <c r="T152" i="51"/>
  <c r="AD152" i="51" s="1"/>
  <c r="V152" i="51"/>
  <c r="Y152" i="51"/>
  <c r="AE152" i="51"/>
  <c r="AF152" i="51"/>
  <c r="AG152" i="51" s="1"/>
  <c r="AH152" i="51"/>
  <c r="AI152" i="51" s="1"/>
  <c r="AL152" i="51" s="1"/>
  <c r="AK152" i="51"/>
  <c r="AM152" i="51"/>
  <c r="T153" i="51"/>
  <c r="V153" i="51"/>
  <c r="Y153" i="51"/>
  <c r="AD153" i="51"/>
  <c r="AF153" i="51"/>
  <c r="AG153" i="51" s="1"/>
  <c r="AK153" i="51"/>
  <c r="AM153" i="51"/>
  <c r="T154" i="51"/>
  <c r="AD154" i="51" s="1"/>
  <c r="V154" i="51"/>
  <c r="Y154" i="51"/>
  <c r="AF154" i="51"/>
  <c r="AG154" i="51"/>
  <c r="AK154" i="51"/>
  <c r="AM154" i="51"/>
  <c r="T155" i="51"/>
  <c r="AH155" i="51" s="1"/>
  <c r="AI155" i="51" s="1"/>
  <c r="V155" i="51"/>
  <c r="Y155" i="51"/>
  <c r="AF155" i="51"/>
  <c r="AG155" i="51" s="1"/>
  <c r="AK155" i="51"/>
  <c r="AM155" i="51"/>
  <c r="T156" i="51"/>
  <c r="AE156" i="51" s="1"/>
  <c r="V156" i="51"/>
  <c r="Y156" i="51"/>
  <c r="AF156" i="51"/>
  <c r="AG156" i="51"/>
  <c r="AK156" i="51"/>
  <c r="AM156" i="51"/>
  <c r="T157" i="51"/>
  <c r="AD157" i="51" s="1"/>
  <c r="V157" i="51"/>
  <c r="Y157" i="51"/>
  <c r="AE157" i="51"/>
  <c r="AF157" i="51"/>
  <c r="AG157" i="51"/>
  <c r="AK157" i="51"/>
  <c r="AM157" i="51"/>
  <c r="T158" i="51"/>
  <c r="V158" i="51"/>
  <c r="Y158" i="51"/>
  <c r="AF158" i="51"/>
  <c r="AG158" i="51" s="1"/>
  <c r="AK158" i="51"/>
  <c r="AM158" i="51"/>
  <c r="T159" i="51"/>
  <c r="AE159" i="51" s="1"/>
  <c r="V159" i="51"/>
  <c r="Y159" i="51"/>
  <c r="AD159" i="51"/>
  <c r="AF159" i="51"/>
  <c r="AG159" i="51"/>
  <c r="AK159" i="51"/>
  <c r="AM159" i="51"/>
  <c r="T160" i="51"/>
  <c r="V160" i="51"/>
  <c r="Y160" i="51"/>
  <c r="AD160" i="51"/>
  <c r="AE160" i="51"/>
  <c r="AF160" i="51"/>
  <c r="AG160" i="51" s="1"/>
  <c r="AH160" i="51"/>
  <c r="AI160" i="51" s="1"/>
  <c r="AK160" i="51"/>
  <c r="AM160" i="51"/>
  <c r="T161" i="51"/>
  <c r="AD161" i="51" s="1"/>
  <c r="V161" i="51"/>
  <c r="Y161" i="51"/>
  <c r="AF161" i="51"/>
  <c r="AG161" i="51" s="1"/>
  <c r="AK161" i="51"/>
  <c r="AM161" i="51"/>
  <c r="T162" i="51"/>
  <c r="V162" i="51"/>
  <c r="Y162" i="51"/>
  <c r="AF162" i="51"/>
  <c r="AG162" i="51" s="1"/>
  <c r="AK162" i="51"/>
  <c r="AM162" i="51"/>
  <c r="T163" i="51"/>
  <c r="AD163" i="51" s="1"/>
  <c r="V163" i="51"/>
  <c r="Y163" i="51"/>
  <c r="AF163" i="51"/>
  <c r="AG163" i="51" s="1"/>
  <c r="AK163" i="51"/>
  <c r="AM163" i="51"/>
  <c r="T164" i="51"/>
  <c r="AD164" i="51" s="1"/>
  <c r="V164" i="51"/>
  <c r="Y164" i="51"/>
  <c r="AE164" i="51"/>
  <c r="AN164" i="51" s="1"/>
  <c r="AF164" i="51"/>
  <c r="AG164" i="51"/>
  <c r="AH164" i="51"/>
  <c r="AI164" i="51" s="1"/>
  <c r="AK164" i="51"/>
  <c r="AM164" i="51"/>
  <c r="T165" i="51"/>
  <c r="AE165" i="51" s="1"/>
  <c r="V165" i="51"/>
  <c r="Y165" i="51"/>
  <c r="AF165" i="51"/>
  <c r="AG165" i="51" s="1"/>
  <c r="AH165" i="51"/>
  <c r="AI165" i="51" s="1"/>
  <c r="AK165" i="51"/>
  <c r="AM165" i="51"/>
  <c r="T166" i="51"/>
  <c r="AH166" i="51" s="1"/>
  <c r="AI166" i="51" s="1"/>
  <c r="V166" i="51"/>
  <c r="Y166" i="51"/>
  <c r="AD166" i="51"/>
  <c r="AE166" i="51"/>
  <c r="AF166" i="51"/>
  <c r="AG166" i="51"/>
  <c r="AJ166" i="51" s="1"/>
  <c r="AK166" i="51"/>
  <c r="AM166" i="51"/>
  <c r="T167" i="51"/>
  <c r="AD167" i="51" s="1"/>
  <c r="V167" i="51"/>
  <c r="Y167" i="51"/>
  <c r="AF167" i="51"/>
  <c r="AG167" i="51" s="1"/>
  <c r="AK167" i="51"/>
  <c r="AM167" i="51"/>
  <c r="T168" i="51"/>
  <c r="V168" i="51"/>
  <c r="Y168" i="51"/>
  <c r="AF168" i="51"/>
  <c r="AG168" i="51" s="1"/>
  <c r="AK168" i="51"/>
  <c r="AM168" i="51"/>
  <c r="T169" i="51"/>
  <c r="AE169" i="51" s="1"/>
  <c r="V169" i="51"/>
  <c r="Y169" i="51"/>
  <c r="AD169" i="51"/>
  <c r="AF169" i="51"/>
  <c r="AG169" i="51"/>
  <c r="AJ169" i="51" s="1"/>
  <c r="AH169" i="51"/>
  <c r="AI169" i="51" s="1"/>
  <c r="AK169" i="51"/>
  <c r="AM169" i="51"/>
  <c r="T170" i="51"/>
  <c r="AD170" i="51" s="1"/>
  <c r="V170" i="51"/>
  <c r="Y170" i="51"/>
  <c r="AF170" i="51"/>
  <c r="AG170" i="51" s="1"/>
  <c r="AL170" i="51" s="1"/>
  <c r="AH170" i="51"/>
  <c r="AI170" i="51" s="1"/>
  <c r="AK170" i="51"/>
  <c r="AM170" i="51"/>
  <c r="T171" i="51"/>
  <c r="V171" i="51"/>
  <c r="Y171" i="51"/>
  <c r="AD171" i="51"/>
  <c r="AE171" i="51"/>
  <c r="AF171" i="51"/>
  <c r="AG171" i="51" s="1"/>
  <c r="AH171" i="51"/>
  <c r="AI171" i="51" s="1"/>
  <c r="AJ171" i="51" s="1"/>
  <c r="AK171" i="51"/>
  <c r="AM171" i="51"/>
  <c r="T172" i="51"/>
  <c r="V172" i="51"/>
  <c r="Y172" i="51"/>
  <c r="AF172" i="51"/>
  <c r="AG172" i="51" s="1"/>
  <c r="AK172" i="51"/>
  <c r="AM172" i="51"/>
  <c r="T173" i="51"/>
  <c r="V173" i="51"/>
  <c r="Y173" i="51"/>
  <c r="AF173" i="51"/>
  <c r="AG173" i="51" s="1"/>
  <c r="AK173" i="51"/>
  <c r="AM173" i="51"/>
  <c r="T174" i="51"/>
  <c r="AD174" i="51" s="1"/>
  <c r="V174" i="51"/>
  <c r="Y174" i="51"/>
  <c r="AF174" i="51"/>
  <c r="AG174" i="51" s="1"/>
  <c r="AK174" i="51"/>
  <c r="AM174" i="51"/>
  <c r="T175" i="51"/>
  <c r="AD175" i="51" s="1"/>
  <c r="V175" i="51"/>
  <c r="Y175" i="51"/>
  <c r="AF175" i="51"/>
  <c r="AG175" i="51" s="1"/>
  <c r="AK175" i="51"/>
  <c r="AM175" i="51"/>
  <c r="T176" i="51"/>
  <c r="V176" i="51"/>
  <c r="Y176" i="51"/>
  <c r="AF176" i="51"/>
  <c r="AG176" i="51" s="1"/>
  <c r="AK176" i="51"/>
  <c r="AM176" i="51"/>
  <c r="T177" i="51"/>
  <c r="V177" i="51"/>
  <c r="Y177" i="51"/>
  <c r="AD177" i="51"/>
  <c r="AN177" i="51" s="1"/>
  <c r="AE177" i="51"/>
  <c r="AF177" i="51"/>
  <c r="AG177" i="51" s="1"/>
  <c r="AH177" i="51"/>
  <c r="AI177" i="51" s="1"/>
  <c r="AK177" i="51"/>
  <c r="AM177" i="51"/>
  <c r="T178" i="51"/>
  <c r="AD178" i="51" s="1"/>
  <c r="V178" i="51"/>
  <c r="Y178" i="51"/>
  <c r="AF178" i="51"/>
  <c r="AG178" i="51" s="1"/>
  <c r="AH178" i="51"/>
  <c r="AI178" i="51" s="1"/>
  <c r="AK178" i="51"/>
  <c r="AM178" i="51"/>
  <c r="T179" i="51"/>
  <c r="V179" i="51"/>
  <c r="Y179" i="51"/>
  <c r="AF179" i="51"/>
  <c r="AG179" i="51" s="1"/>
  <c r="AK179" i="51"/>
  <c r="AM179" i="51"/>
  <c r="T180" i="51"/>
  <c r="AD180" i="51" s="1"/>
  <c r="V180" i="51"/>
  <c r="Y180" i="51"/>
  <c r="AE180" i="51"/>
  <c r="AF180" i="51"/>
  <c r="AG180" i="51" s="1"/>
  <c r="AJ180" i="51" s="1"/>
  <c r="AH180" i="51"/>
  <c r="AI180" i="51" s="1"/>
  <c r="AK180" i="51"/>
  <c r="AM180" i="51"/>
  <c r="T181" i="51"/>
  <c r="AD181" i="51" s="1"/>
  <c r="V181" i="51"/>
  <c r="Y181" i="51"/>
  <c r="AF181" i="51"/>
  <c r="AG181" i="51" s="1"/>
  <c r="AH181" i="51"/>
  <c r="AI181" i="51" s="1"/>
  <c r="AK181" i="51"/>
  <c r="AM181" i="51"/>
  <c r="T182" i="51"/>
  <c r="AE182" i="51" s="1"/>
  <c r="V182" i="51"/>
  <c r="Y182" i="51"/>
  <c r="AD182" i="51"/>
  <c r="AF182" i="51"/>
  <c r="AG182" i="51"/>
  <c r="AJ182" i="51" s="1"/>
  <c r="AH182" i="51"/>
  <c r="AI182" i="51"/>
  <c r="AK182" i="51"/>
  <c r="AL182" i="51"/>
  <c r="AM182" i="51"/>
  <c r="T183" i="51"/>
  <c r="AD183" i="51" s="1"/>
  <c r="V183" i="51"/>
  <c r="Y183" i="51"/>
  <c r="AE183" i="51"/>
  <c r="AF183" i="51"/>
  <c r="AG183" i="51"/>
  <c r="AK183" i="51"/>
  <c r="AM183" i="51"/>
  <c r="T184" i="51"/>
  <c r="V184" i="51"/>
  <c r="Y184" i="51"/>
  <c r="AF184" i="51"/>
  <c r="AG184" i="51" s="1"/>
  <c r="AK184" i="51"/>
  <c r="AM184" i="51"/>
  <c r="T185" i="51"/>
  <c r="V185" i="51"/>
  <c r="Y185" i="51"/>
  <c r="AF185" i="51"/>
  <c r="AG185" i="51"/>
  <c r="AK185" i="51"/>
  <c r="AM185" i="51"/>
  <c r="T186" i="51"/>
  <c r="AD186" i="51" s="1"/>
  <c r="V186" i="51"/>
  <c r="Y186" i="51"/>
  <c r="AE186" i="51"/>
  <c r="AF186" i="51"/>
  <c r="AG186" i="51"/>
  <c r="AH186" i="51"/>
  <c r="AI186" i="51" s="1"/>
  <c r="AK186" i="51"/>
  <c r="AM186" i="51"/>
  <c r="T187" i="51"/>
  <c r="AD187" i="51" s="1"/>
  <c r="V187" i="51"/>
  <c r="Y187" i="51"/>
  <c r="AF187" i="51"/>
  <c r="AG187" i="51" s="1"/>
  <c r="AK187" i="51"/>
  <c r="AM187" i="51"/>
  <c r="T188" i="51"/>
  <c r="V188" i="51"/>
  <c r="Y188" i="51"/>
  <c r="AF188" i="51"/>
  <c r="AG188" i="51" s="1"/>
  <c r="AK188" i="51"/>
  <c r="AM188" i="51"/>
  <c r="T189" i="51"/>
  <c r="AH189" i="51" s="1"/>
  <c r="AI189" i="51" s="1"/>
  <c r="V189" i="51"/>
  <c r="Y189" i="51"/>
  <c r="AF189" i="51"/>
  <c r="AG189" i="51" s="1"/>
  <c r="AK189" i="51"/>
  <c r="AM189" i="51"/>
  <c r="T190" i="51"/>
  <c r="AD190" i="51" s="1"/>
  <c r="V190" i="51"/>
  <c r="Y190" i="51"/>
  <c r="AF190" i="51"/>
  <c r="AG190" i="51" s="1"/>
  <c r="AK190" i="51"/>
  <c r="AM190" i="51"/>
  <c r="T191" i="51"/>
  <c r="V191" i="51"/>
  <c r="Y191" i="51"/>
  <c r="AF191" i="51"/>
  <c r="AG191" i="51" s="1"/>
  <c r="AK191" i="51"/>
  <c r="AM191" i="51"/>
  <c r="T192" i="51"/>
  <c r="AD192" i="51" s="1"/>
  <c r="V192" i="51"/>
  <c r="Y192" i="51"/>
  <c r="AF192" i="51"/>
  <c r="AG192" i="51"/>
  <c r="AK192" i="51"/>
  <c r="AM192" i="51"/>
  <c r="T193" i="51"/>
  <c r="V193" i="51"/>
  <c r="Y193" i="51"/>
  <c r="AF193" i="51"/>
  <c r="AG193" i="51" s="1"/>
  <c r="AK193" i="51"/>
  <c r="AM193" i="51"/>
  <c r="AJ120" i="51" l="1"/>
  <c r="AN112" i="51"/>
  <c r="AN124" i="51"/>
  <c r="AJ115" i="51"/>
  <c r="AJ111" i="51"/>
  <c r="AJ91" i="51"/>
  <c r="AJ132" i="51"/>
  <c r="AL132" i="51"/>
  <c r="AL165" i="51"/>
  <c r="AJ165" i="51"/>
  <c r="AL169" i="51"/>
  <c r="AJ178" i="51"/>
  <c r="AN192" i="51"/>
  <c r="AL181" i="51"/>
  <c r="AN94" i="51"/>
  <c r="AL108" i="51"/>
  <c r="AE178" i="51"/>
  <c r="AN171" i="51"/>
  <c r="AE136" i="51"/>
  <c r="AN88" i="51"/>
  <c r="AH183" i="51"/>
  <c r="AI183" i="51" s="1"/>
  <c r="AL183" i="51" s="1"/>
  <c r="AH157" i="51"/>
  <c r="AI157" i="51" s="1"/>
  <c r="AD156" i="51"/>
  <c r="AH140" i="51"/>
  <c r="AI140" i="51" s="1"/>
  <c r="AN152" i="51"/>
  <c r="AH130" i="51"/>
  <c r="AI130" i="51" s="1"/>
  <c r="AJ130" i="51" s="1"/>
  <c r="AN180" i="51"/>
  <c r="AE170" i="51"/>
  <c r="AN170" i="51" s="1"/>
  <c r="AH154" i="51"/>
  <c r="AI154" i="51" s="1"/>
  <c r="AE140" i="51"/>
  <c r="AJ134" i="51"/>
  <c r="AH127" i="51"/>
  <c r="AI127" i="51" s="1"/>
  <c r="AN118" i="51"/>
  <c r="AH106" i="51"/>
  <c r="AI106" i="51" s="1"/>
  <c r="AH103" i="51"/>
  <c r="AI103" i="51" s="1"/>
  <c r="AJ103" i="51" s="1"/>
  <c r="AN82" i="51"/>
  <c r="AN183" i="51"/>
  <c r="AH174" i="51"/>
  <c r="AI174" i="51" s="1"/>
  <c r="AL174" i="51" s="1"/>
  <c r="AH167" i="51"/>
  <c r="AI167" i="51" s="1"/>
  <c r="AL167" i="51" s="1"/>
  <c r="AN76" i="51"/>
  <c r="AJ88" i="51"/>
  <c r="AE189" i="51"/>
  <c r="AN166" i="51"/>
  <c r="AH148" i="51"/>
  <c r="AI148" i="51" s="1"/>
  <c r="AD147" i="51"/>
  <c r="AH145" i="51"/>
  <c r="AI145" i="51" s="1"/>
  <c r="AD144" i="51"/>
  <c r="AH131" i="51"/>
  <c r="AI131" i="51" s="1"/>
  <c r="AL131" i="51" s="1"/>
  <c r="AE130" i="51"/>
  <c r="AN130" i="51" s="1"/>
  <c r="AH124" i="51"/>
  <c r="AI124" i="51" s="1"/>
  <c r="AJ124" i="51" s="1"/>
  <c r="AH118" i="51"/>
  <c r="AI118" i="51" s="1"/>
  <c r="AL118" i="51" s="1"/>
  <c r="AN109" i="51"/>
  <c r="AH99" i="51"/>
  <c r="AI99" i="51" s="1"/>
  <c r="AJ99" i="51" s="1"/>
  <c r="AE96" i="51"/>
  <c r="AE192" i="51"/>
  <c r="AH190" i="51"/>
  <c r="AI190" i="51" s="1"/>
  <c r="AD189" i="51"/>
  <c r="AN189" i="51" s="1"/>
  <c r="AH187" i="51"/>
  <c r="AI187" i="51" s="1"/>
  <c r="AL187" i="51" s="1"/>
  <c r="AE167" i="51"/>
  <c r="AN167" i="51" s="1"/>
  <c r="AE154" i="51"/>
  <c r="AN154" i="51" s="1"/>
  <c r="AD141" i="51"/>
  <c r="AN140" i="51"/>
  <c r="AE127" i="51"/>
  <c r="AN127" i="51" s="1"/>
  <c r="AE106" i="51"/>
  <c r="AN106" i="51" s="1"/>
  <c r="AE103" i="51"/>
  <c r="AN103" i="51" s="1"/>
  <c r="AD96" i="51"/>
  <c r="AL90" i="51"/>
  <c r="AN157" i="51"/>
  <c r="AH192" i="51"/>
  <c r="AI192" i="51" s="1"/>
  <c r="AJ192" i="51" s="1"/>
  <c r="AE174" i="51"/>
  <c r="AN174" i="51" s="1"/>
  <c r="AD131" i="51"/>
  <c r="AN131" i="51" s="1"/>
  <c r="AD93" i="51"/>
  <c r="AN93" i="51" s="1"/>
  <c r="AL91" i="51"/>
  <c r="AE190" i="51"/>
  <c r="AN190" i="51" s="1"/>
  <c r="AN159" i="51"/>
  <c r="AL155" i="51"/>
  <c r="AD114" i="51"/>
  <c r="AH111" i="51"/>
  <c r="AI111" i="51" s="1"/>
  <c r="AL111" i="51" s="1"/>
  <c r="AJ108" i="51"/>
  <c r="AD99" i="51"/>
  <c r="AD90" i="51"/>
  <c r="AH87" i="51"/>
  <c r="AI87" i="51" s="1"/>
  <c r="AJ87" i="51" s="1"/>
  <c r="AJ162" i="51"/>
  <c r="AL162" i="51"/>
  <c r="AN175" i="51"/>
  <c r="AL190" i="51"/>
  <c r="AD193" i="51"/>
  <c r="AE193" i="51"/>
  <c r="AH188" i="51"/>
  <c r="AI188" i="51" s="1"/>
  <c r="AL188" i="51" s="1"/>
  <c r="AD188" i="51"/>
  <c r="AE188" i="51"/>
  <c r="AL154" i="51"/>
  <c r="AJ154" i="51"/>
  <c r="AH193" i="51"/>
  <c r="AI193" i="51" s="1"/>
  <c r="AL193" i="51" s="1"/>
  <c r="AJ164" i="51"/>
  <c r="AL164" i="51"/>
  <c r="AD146" i="51"/>
  <c r="AE146" i="51"/>
  <c r="AH146" i="51"/>
  <c r="AI146" i="51" s="1"/>
  <c r="AJ146" i="51" s="1"/>
  <c r="AL177" i="51"/>
  <c r="AE173" i="51"/>
  <c r="AH173" i="51"/>
  <c r="AI173" i="51" s="1"/>
  <c r="AJ173" i="51" s="1"/>
  <c r="AH162" i="51"/>
  <c r="AI162" i="51" s="1"/>
  <c r="AE162" i="51"/>
  <c r="AN144" i="51"/>
  <c r="AL192" i="51"/>
  <c r="AE191" i="51"/>
  <c r="AH191" i="51"/>
  <c r="AI191" i="51" s="1"/>
  <c r="AH175" i="51"/>
  <c r="AI175" i="51" s="1"/>
  <c r="AJ175" i="51" s="1"/>
  <c r="AJ174" i="51"/>
  <c r="AD143" i="51"/>
  <c r="AE143" i="51"/>
  <c r="AH143" i="51"/>
  <c r="AI143" i="51" s="1"/>
  <c r="AJ143" i="51" s="1"/>
  <c r="AN186" i="51"/>
  <c r="AD184" i="51"/>
  <c r="AH184" i="51"/>
  <c r="AI184" i="51" s="1"/>
  <c r="AJ184" i="51" s="1"/>
  <c r="AH150" i="51"/>
  <c r="AI150" i="51" s="1"/>
  <c r="AL150" i="51" s="1"/>
  <c r="AD150" i="51"/>
  <c r="AE150" i="51"/>
  <c r="AN150" i="51" s="1"/>
  <c r="AE185" i="51"/>
  <c r="AH185" i="51"/>
  <c r="AI185" i="51" s="1"/>
  <c r="AL185" i="51" s="1"/>
  <c r="AE175" i="51"/>
  <c r="AJ160" i="51"/>
  <c r="AL160" i="51"/>
  <c r="AD172" i="51"/>
  <c r="AH172" i="51"/>
  <c r="AI172" i="51" s="1"/>
  <c r="AJ172" i="51" s="1"/>
  <c r="AN178" i="51"/>
  <c r="AJ187" i="51"/>
  <c r="AD173" i="51"/>
  <c r="AE172" i="51"/>
  <c r="AL171" i="51"/>
  <c r="AJ185" i="51"/>
  <c r="AL189" i="51"/>
  <c r="AD179" i="51"/>
  <c r="AN179" i="51" s="1"/>
  <c r="AE179" i="51"/>
  <c r="AH179" i="51"/>
  <c r="AI179" i="51" s="1"/>
  <c r="AJ186" i="51"/>
  <c r="AL186" i="51"/>
  <c r="AD191" i="51"/>
  <c r="AN191" i="51" s="1"/>
  <c r="AE187" i="51"/>
  <c r="AN187" i="51" s="1"/>
  <c r="AJ181" i="51"/>
  <c r="AL180" i="51"/>
  <c r="AL178" i="51"/>
  <c r="AN169" i="51"/>
  <c r="AN160" i="51"/>
  <c r="AJ190" i="51"/>
  <c r="AJ189" i="51"/>
  <c r="AL184" i="51"/>
  <c r="AJ177" i="51"/>
  <c r="AH176" i="51"/>
  <c r="AI176" i="51" s="1"/>
  <c r="AL176" i="51" s="1"/>
  <c r="AD176" i="51"/>
  <c r="AE176" i="51"/>
  <c r="AJ170" i="51"/>
  <c r="AD162" i="51"/>
  <c r="AN162" i="51" s="1"/>
  <c r="AD185" i="51"/>
  <c r="AN185" i="51" s="1"/>
  <c r="AE184" i="51"/>
  <c r="AN182" i="51"/>
  <c r="AN156" i="51"/>
  <c r="AJ148" i="51"/>
  <c r="AN141" i="51"/>
  <c r="AH77" i="51"/>
  <c r="AI77" i="51" s="1"/>
  <c r="AD77" i="51"/>
  <c r="AE77" i="51"/>
  <c r="AH163" i="51"/>
  <c r="AI163" i="51" s="1"/>
  <c r="AL163" i="51" s="1"/>
  <c r="AJ152" i="51"/>
  <c r="AJ151" i="51"/>
  <c r="AL151" i="51"/>
  <c r="AD121" i="51"/>
  <c r="AE121" i="51"/>
  <c r="AH121" i="51"/>
  <c r="AI121" i="51" s="1"/>
  <c r="AJ78" i="51"/>
  <c r="AL78" i="51"/>
  <c r="AJ145" i="51"/>
  <c r="AL145" i="51"/>
  <c r="AJ133" i="51"/>
  <c r="AL133" i="51"/>
  <c r="AD125" i="51"/>
  <c r="AN125" i="51" s="1"/>
  <c r="AE125" i="51"/>
  <c r="AH125" i="51"/>
  <c r="AI125" i="51" s="1"/>
  <c r="AJ125" i="51" s="1"/>
  <c r="AD155" i="51"/>
  <c r="AE155" i="51"/>
  <c r="AL142" i="51"/>
  <c r="AH137" i="51"/>
  <c r="AI137" i="51" s="1"/>
  <c r="AL137" i="51" s="1"/>
  <c r="AD137" i="51"/>
  <c r="AN137" i="51" s="1"/>
  <c r="AL134" i="51"/>
  <c r="AN99" i="51"/>
  <c r="AD97" i="51"/>
  <c r="AE97" i="51"/>
  <c r="AH97" i="51"/>
  <c r="AI97" i="51" s="1"/>
  <c r="AL97" i="51" s="1"/>
  <c r="AE168" i="51"/>
  <c r="AH168" i="51"/>
  <c r="AI168" i="51" s="1"/>
  <c r="AJ168" i="51" s="1"/>
  <c r="AD165" i="51"/>
  <c r="AN165" i="51" s="1"/>
  <c r="AE163" i="51"/>
  <c r="AN163" i="51" s="1"/>
  <c r="AH161" i="51"/>
  <c r="AI161" i="51" s="1"/>
  <c r="AL161" i="51" s="1"/>
  <c r="AJ139" i="51"/>
  <c r="AL139" i="51"/>
  <c r="AN136" i="51"/>
  <c r="AD158" i="51"/>
  <c r="AE158" i="51"/>
  <c r="AH158" i="51"/>
  <c r="AI158" i="51" s="1"/>
  <c r="AL158" i="51" s="1"/>
  <c r="AJ123" i="51"/>
  <c r="AL123" i="51"/>
  <c r="AE181" i="51"/>
  <c r="AN181" i="51" s="1"/>
  <c r="AL166" i="51"/>
  <c r="AE161" i="51"/>
  <c r="AN161" i="51" s="1"/>
  <c r="AE153" i="51"/>
  <c r="AN153" i="51" s="1"/>
  <c r="AH153" i="51"/>
  <c r="AI153" i="51" s="1"/>
  <c r="AL153" i="51" s="1"/>
  <c r="AJ140" i="51"/>
  <c r="AL140" i="51"/>
  <c r="AN132" i="51"/>
  <c r="AD168" i="51"/>
  <c r="AN168" i="51" s="1"/>
  <c r="AH149" i="51"/>
  <c r="AI149" i="51" s="1"/>
  <c r="AL149" i="51" s="1"/>
  <c r="AD149" i="51"/>
  <c r="AN149" i="51" s="1"/>
  <c r="AH138" i="51"/>
  <c r="AI138" i="51" s="1"/>
  <c r="AJ138" i="51" s="1"/>
  <c r="AD138" i="51"/>
  <c r="AE138" i="51"/>
  <c r="AJ136" i="51"/>
  <c r="AJ155" i="51"/>
  <c r="AN148" i="51"/>
  <c r="AN147" i="51"/>
  <c r="AL125" i="51"/>
  <c r="AE119" i="51"/>
  <c r="AD119" i="51"/>
  <c r="AH119" i="51"/>
  <c r="AI119" i="51" s="1"/>
  <c r="AL119" i="51" s="1"/>
  <c r="AJ126" i="51"/>
  <c r="AJ121" i="51"/>
  <c r="AH141" i="51"/>
  <c r="AI141" i="51" s="1"/>
  <c r="AJ141" i="51" s="1"/>
  <c r="AD133" i="51"/>
  <c r="AN133" i="51" s="1"/>
  <c r="AJ131" i="51"/>
  <c r="AN111" i="51"/>
  <c r="AH89" i="51"/>
  <c r="AI89" i="51" s="1"/>
  <c r="AD89" i="51"/>
  <c r="AE89" i="51"/>
  <c r="AJ112" i="51"/>
  <c r="AJ107" i="51"/>
  <c r="AJ100" i="51"/>
  <c r="AD98" i="51"/>
  <c r="AE98" i="51"/>
  <c r="AH98" i="51"/>
  <c r="AI98" i="51" s="1"/>
  <c r="AL98" i="51" s="1"/>
  <c r="AN96" i="51"/>
  <c r="AJ84" i="51"/>
  <c r="AL84" i="51"/>
  <c r="AJ79" i="51"/>
  <c r="AL79" i="51"/>
  <c r="AJ119" i="51"/>
  <c r="AL106" i="51"/>
  <c r="AD104" i="51"/>
  <c r="AE104" i="51"/>
  <c r="AH104" i="51"/>
  <c r="AI104" i="51" s="1"/>
  <c r="AJ104" i="51" s="1"/>
  <c r="AN87" i="51"/>
  <c r="AH156" i="51"/>
  <c r="AI156" i="51" s="1"/>
  <c r="AJ156" i="51" s="1"/>
  <c r="AL148" i="51"/>
  <c r="AH144" i="51"/>
  <c r="AI144" i="51" s="1"/>
  <c r="AL144" i="51" s="1"/>
  <c r="AL136" i="51"/>
  <c r="AL99" i="51"/>
  <c r="AJ96" i="51"/>
  <c r="AE95" i="51"/>
  <c r="AH95" i="51"/>
  <c r="AI95" i="51" s="1"/>
  <c r="AJ95" i="51" s="1"/>
  <c r="AJ90" i="51"/>
  <c r="AJ76" i="51"/>
  <c r="AN123" i="51"/>
  <c r="AL121" i="51"/>
  <c r="AD110" i="51"/>
  <c r="AE110" i="51"/>
  <c r="AH110" i="51"/>
  <c r="AI110" i="51" s="1"/>
  <c r="AJ110" i="51" s="1"/>
  <c r="AN108" i="51"/>
  <c r="AJ85" i="51"/>
  <c r="AL85" i="51"/>
  <c r="AE134" i="51"/>
  <c r="AN134" i="51" s="1"/>
  <c r="AE129" i="51"/>
  <c r="AH129" i="51"/>
  <c r="AI129" i="51" s="1"/>
  <c r="AL129" i="51" s="1"/>
  <c r="AL103" i="51"/>
  <c r="AJ98" i="51"/>
  <c r="AH159" i="51"/>
  <c r="AI159" i="51" s="1"/>
  <c r="AJ159" i="51" s="1"/>
  <c r="AH147" i="51"/>
  <c r="AI147" i="51" s="1"/>
  <c r="AJ147" i="51" s="1"/>
  <c r="AH135" i="51"/>
  <c r="AI135" i="51" s="1"/>
  <c r="AJ135" i="51" s="1"/>
  <c r="AL120" i="51"/>
  <c r="AL114" i="51"/>
  <c r="AL87" i="51"/>
  <c r="AD128" i="51"/>
  <c r="AN128" i="51" s="1"/>
  <c r="AH128" i="51"/>
  <c r="AI128" i="51" s="1"/>
  <c r="AJ128" i="51" s="1"/>
  <c r="AL126" i="51"/>
  <c r="AE117" i="51"/>
  <c r="AN117" i="51" s="1"/>
  <c r="AH117" i="51"/>
  <c r="AI117" i="51" s="1"/>
  <c r="AJ117" i="51" s="1"/>
  <c r="AH113" i="51"/>
  <c r="AI113" i="51" s="1"/>
  <c r="AJ113" i="51" s="1"/>
  <c r="AD113" i="51"/>
  <c r="AN113" i="51" s="1"/>
  <c r="AE113" i="51"/>
  <c r="AH101" i="51"/>
  <c r="AI101" i="51" s="1"/>
  <c r="AD101" i="51"/>
  <c r="AE101" i="51"/>
  <c r="AL81" i="51"/>
  <c r="AE107" i="51"/>
  <c r="AN107" i="51" s="1"/>
  <c r="AH107" i="51"/>
  <c r="AI107" i="51" s="1"/>
  <c r="AL107" i="51" s="1"/>
  <c r="AJ77" i="51"/>
  <c r="AL77" i="51"/>
  <c r="AD135" i="51"/>
  <c r="AN135" i="51" s="1"/>
  <c r="AD129" i="51"/>
  <c r="AD122" i="51"/>
  <c r="AN122" i="51" s="1"/>
  <c r="AH122" i="51"/>
  <c r="AI122" i="51" s="1"/>
  <c r="AJ122" i="51" s="1"/>
  <c r="AD116" i="51"/>
  <c r="AN116" i="51" s="1"/>
  <c r="AH116" i="51"/>
  <c r="AI116" i="51" s="1"/>
  <c r="AL116" i="51" s="1"/>
  <c r="AJ109" i="51"/>
  <c r="AL109" i="51"/>
  <c r="AL102" i="51"/>
  <c r="AD95" i="51"/>
  <c r="AL94" i="51"/>
  <c r="AD92" i="51"/>
  <c r="AN92" i="51" s="1"/>
  <c r="AE92" i="51"/>
  <c r="AH92" i="51"/>
  <c r="AI92" i="51" s="1"/>
  <c r="AL92" i="51" s="1"/>
  <c r="AN84" i="51"/>
  <c r="AL82" i="51"/>
  <c r="AN81" i="51"/>
  <c r="AJ106" i="51"/>
  <c r="AJ94" i="51"/>
  <c r="AJ82" i="51"/>
  <c r="AH80" i="51"/>
  <c r="AI80" i="51" s="1"/>
  <c r="AL80" i="51" s="1"/>
  <c r="AE126" i="51"/>
  <c r="AN126" i="51" s="1"/>
  <c r="AE114" i="51"/>
  <c r="AN114" i="51" s="1"/>
  <c r="AH105" i="51"/>
  <c r="AI105" i="51" s="1"/>
  <c r="AJ105" i="51" s="1"/>
  <c r="AE102" i="51"/>
  <c r="AN102" i="51" s="1"/>
  <c r="AH93" i="51"/>
  <c r="AI93" i="51" s="1"/>
  <c r="AJ93" i="51" s="1"/>
  <c r="AE90" i="51"/>
  <c r="AN90" i="51" s="1"/>
  <c r="AH81" i="51"/>
  <c r="AI81" i="51" s="1"/>
  <c r="AJ81" i="51" s="1"/>
  <c r="AE78" i="51"/>
  <c r="AN78" i="51" s="1"/>
  <c r="AH83" i="51"/>
  <c r="AI83" i="51" s="1"/>
  <c r="AL83" i="51" s="1"/>
  <c r="AE80" i="51"/>
  <c r="AN80" i="51" s="1"/>
  <c r="AL112" i="51"/>
  <c r="AL100" i="51"/>
  <c r="AL88" i="51"/>
  <c r="AL76" i="51"/>
  <c r="AH86" i="51"/>
  <c r="AI86" i="51" s="1"/>
  <c r="AJ86" i="51" s="1"/>
  <c r="AE83" i="51"/>
  <c r="AN83" i="51" s="1"/>
  <c r="AE85" i="51"/>
  <c r="AN85" i="51" s="1"/>
  <c r="AE86" i="51"/>
  <c r="AN86" i="51" s="1"/>
  <c r="AN138" i="51" l="1"/>
  <c r="AL141" i="51"/>
  <c r="AN176" i="51"/>
  <c r="AJ118" i="51"/>
  <c r="AL130" i="51"/>
  <c r="AJ144" i="51"/>
  <c r="AJ137" i="51"/>
  <c r="AJ116" i="51"/>
  <c r="AL146" i="51"/>
  <c r="AL147" i="51"/>
  <c r="AJ83" i="51"/>
  <c r="AN172" i="51"/>
  <c r="AJ157" i="51"/>
  <c r="AL157" i="51"/>
  <c r="AL124" i="51"/>
  <c r="AN158" i="51"/>
  <c r="AJ127" i="51"/>
  <c r="AL127" i="51"/>
  <c r="AL86" i="51"/>
  <c r="AJ97" i="51"/>
  <c r="AL104" i="51"/>
  <c r="AL113" i="51"/>
  <c r="AN173" i="51"/>
  <c r="AN188" i="51"/>
  <c r="AN104" i="51"/>
  <c r="AJ167" i="51"/>
  <c r="AL143" i="51"/>
  <c r="AJ183" i="51"/>
  <c r="AN110" i="51"/>
  <c r="AL122" i="51"/>
  <c r="AJ153" i="51"/>
  <c r="AL173" i="51"/>
  <c r="AN97" i="51"/>
  <c r="AN77" i="51"/>
  <c r="AL159" i="51"/>
  <c r="AL110" i="51"/>
  <c r="AN193" i="51"/>
  <c r="AJ191" i="51"/>
  <c r="AL191" i="51"/>
  <c r="AL135" i="51"/>
  <c r="AJ161" i="51"/>
  <c r="AJ158" i="51"/>
  <c r="AL156" i="51"/>
  <c r="AJ193" i="51"/>
  <c r="AJ163" i="51"/>
  <c r="AL93" i="51"/>
  <c r="AL175" i="51"/>
  <c r="AN143" i="51"/>
  <c r="AJ80" i="51"/>
  <c r="AJ129" i="51"/>
  <c r="AL128" i="51"/>
  <c r="AL117" i="51"/>
  <c r="AL172" i="51"/>
  <c r="AJ150" i="51"/>
  <c r="AL138" i="51"/>
  <c r="AN121" i="51"/>
  <c r="AJ92" i="51"/>
  <c r="AN129" i="51"/>
  <c r="AL95" i="51"/>
  <c r="AJ149" i="51"/>
  <c r="AL105" i="51"/>
  <c r="AN89" i="51"/>
  <c r="AN155" i="51"/>
  <c r="AL179" i="51"/>
  <c r="AJ179" i="51"/>
  <c r="AJ188" i="51"/>
  <c r="AJ89" i="51"/>
  <c r="AL89" i="51"/>
  <c r="AN184" i="51"/>
  <c r="AN146" i="51"/>
  <c r="AJ176" i="51"/>
  <c r="AN98" i="51"/>
  <c r="AN95" i="51"/>
  <c r="AN101" i="51"/>
  <c r="AL101" i="51"/>
  <c r="AJ101" i="51"/>
  <c r="AN119" i="51"/>
  <c r="AL168" i="51"/>
  <c r="M7" i="67" l="1"/>
  <c r="I62" i="68"/>
  <c r="N62" i="68" s="1"/>
  <c r="Q62" i="68" s="1"/>
  <c r="N3" i="1"/>
  <c r="O3" i="1" s="1"/>
  <c r="N4" i="1"/>
  <c r="I73" i="68" s="1"/>
  <c r="O4" i="1"/>
  <c r="N5" i="1"/>
  <c r="O5" i="1"/>
  <c r="N6" i="1"/>
  <c r="O6" i="1" s="1"/>
  <c r="N7" i="1"/>
  <c r="O7" i="1"/>
  <c r="N8" i="1"/>
  <c r="O8" i="1"/>
  <c r="N9" i="1"/>
  <c r="O9" i="1" s="1"/>
  <c r="N10" i="1"/>
  <c r="O10" i="1" s="1"/>
  <c r="N11" i="1"/>
  <c r="O11" i="1"/>
  <c r="N12" i="1"/>
  <c r="O12" i="1" s="1"/>
  <c r="N13" i="1"/>
  <c r="O13" i="1"/>
  <c r="N14" i="1"/>
  <c r="O14" i="1" s="1"/>
  <c r="N15" i="1"/>
  <c r="O15" i="1" s="1"/>
  <c r="N16" i="1"/>
  <c r="O16" i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/>
  <c r="N23" i="1"/>
  <c r="O23" i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/>
  <c r="N32" i="1"/>
  <c r="O32" i="1" s="1"/>
  <c r="N33" i="1"/>
  <c r="O33" i="1" s="1"/>
  <c r="N34" i="1"/>
  <c r="O34" i="1"/>
  <c r="N35" i="1"/>
  <c r="O35" i="1"/>
  <c r="N36" i="1"/>
  <c r="O36" i="1" s="1"/>
  <c r="N37" i="1"/>
  <c r="O37" i="1" s="1"/>
  <c r="N38" i="1"/>
  <c r="O38" i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/>
  <c r="N50" i="1"/>
  <c r="O50" i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/>
  <c r="N68" i="1"/>
  <c r="O68" i="1" s="1"/>
  <c r="N69" i="1"/>
  <c r="O69" i="1" s="1"/>
  <c r="N70" i="1"/>
  <c r="O70" i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/>
  <c r="O78" i="1"/>
  <c r="N79" i="1"/>
  <c r="O79" i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/>
  <c r="N87" i="1"/>
  <c r="O87" i="1" s="1"/>
  <c r="N88" i="1"/>
  <c r="O88" i="1"/>
  <c r="N89" i="1"/>
  <c r="O89" i="1"/>
  <c r="N90" i="1"/>
  <c r="O90" i="1" s="1"/>
  <c r="N91" i="1"/>
  <c r="O91" i="1" s="1"/>
  <c r="N92" i="1"/>
  <c r="O92" i="1"/>
  <c r="N93" i="1"/>
  <c r="O93" i="1" s="1"/>
  <c r="N94" i="1"/>
  <c r="O94" i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/>
  <c r="N101" i="1"/>
  <c r="O101" i="1"/>
  <c r="N102" i="1"/>
  <c r="O102" i="1" s="1"/>
  <c r="N103" i="1"/>
  <c r="O103" i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/>
  <c r="N125" i="1"/>
  <c r="O125" i="1"/>
  <c r="N126" i="1"/>
  <c r="O126" i="1" s="1"/>
  <c r="N127" i="1"/>
  <c r="I52" i="67" s="1"/>
  <c r="N128" i="1"/>
  <c r="O128" i="1" s="1"/>
  <c r="N130" i="1"/>
  <c r="O130" i="1" s="1"/>
  <c r="N131" i="1"/>
  <c r="N2" i="1"/>
  <c r="O2" i="1" s="1"/>
  <c r="O131" i="1" l="1"/>
  <c r="I62" i="67"/>
  <c r="O73" i="68"/>
  <c r="R73" i="68" s="1"/>
  <c r="N73" i="68"/>
  <c r="Q73" i="68" s="1"/>
  <c r="O127" i="1"/>
  <c r="N52" i="67"/>
  <c r="Q52" i="67" s="1"/>
  <c r="O52" i="67"/>
  <c r="R52" i="67" s="1"/>
  <c r="O62" i="68"/>
  <c r="R62" i="68" s="1"/>
  <c r="O62" i="67" l="1"/>
  <c r="R62" i="67" s="1"/>
  <c r="N62" i="67"/>
  <c r="Q62" i="67" s="1"/>
  <c r="Q5" i="73"/>
  <c r="Q5" i="70"/>
  <c r="M7" i="68"/>
  <c r="L14" i="68" l="1"/>
  <c r="Q5" i="79" l="1"/>
  <c r="Q5" i="56" l="1"/>
  <c r="Q5" i="55"/>
  <c r="Q5" i="54"/>
  <c r="Q5" i="53"/>
  <c r="Q5" i="36" l="1"/>
  <c r="Q5" i="27" l="1"/>
  <c r="Q5" i="26"/>
  <c r="Q5" i="25"/>
  <c r="Q5" i="24"/>
  <c r="Q5" i="23"/>
  <c r="Q5" i="22" l="1"/>
  <c r="Q5" i="69" l="1"/>
  <c r="T33" i="13" l="1"/>
  <c r="V33" i="13"/>
  <c r="Y33" i="13"/>
  <c r="AD33" i="13"/>
  <c r="AE33" i="13"/>
  <c r="AF33" i="13"/>
  <c r="AG33" i="13" s="1"/>
  <c r="AH33" i="13"/>
  <c r="AI33" i="13" s="1"/>
  <c r="AK33" i="13"/>
  <c r="AM33" i="13"/>
  <c r="T34" i="13"/>
  <c r="AH34" i="13" s="1"/>
  <c r="AI34" i="13" s="1"/>
  <c r="V34" i="13"/>
  <c r="Y34" i="13"/>
  <c r="AF34" i="13"/>
  <c r="AG34" i="13" s="1"/>
  <c r="AK34" i="13"/>
  <c r="AM34" i="13"/>
  <c r="T35" i="13"/>
  <c r="AH35" i="13" s="1"/>
  <c r="AI35" i="13" s="1"/>
  <c r="V35" i="13"/>
  <c r="Y35" i="13"/>
  <c r="AF35" i="13"/>
  <c r="AG35" i="13"/>
  <c r="AK35" i="13"/>
  <c r="AM35" i="13"/>
  <c r="T36" i="13"/>
  <c r="AD36" i="13" s="1"/>
  <c r="V36" i="13"/>
  <c r="Y36" i="13"/>
  <c r="AF36" i="13"/>
  <c r="AG36" i="13" s="1"/>
  <c r="AK36" i="13"/>
  <c r="AM36" i="13"/>
  <c r="T37" i="13"/>
  <c r="AD37" i="13" s="1"/>
  <c r="V37" i="13"/>
  <c r="Y37" i="13"/>
  <c r="AF37" i="13"/>
  <c r="AG37" i="13" s="1"/>
  <c r="AH37" i="13"/>
  <c r="AI37" i="13" s="1"/>
  <c r="AK37" i="13"/>
  <c r="T38" i="13"/>
  <c r="AD38" i="13" s="1"/>
  <c r="V38" i="13"/>
  <c r="Y38" i="13"/>
  <c r="AF38" i="13"/>
  <c r="AG38" i="13"/>
  <c r="AH38" i="13"/>
  <c r="AI38" i="13" s="1"/>
  <c r="AJ38" i="13" s="1"/>
  <c r="AK38" i="13"/>
  <c r="AM38" i="13"/>
  <c r="T39" i="13"/>
  <c r="AD39" i="13" s="1"/>
  <c r="V39" i="13"/>
  <c r="Y39" i="13"/>
  <c r="AF39" i="13"/>
  <c r="AG39" i="13" s="1"/>
  <c r="AH39" i="13"/>
  <c r="AI39" i="13" s="1"/>
  <c r="AK39" i="13"/>
  <c r="AM39" i="13"/>
  <c r="T40" i="13"/>
  <c r="AD40" i="13" s="1"/>
  <c r="V40" i="13"/>
  <c r="Y40" i="13"/>
  <c r="AF40" i="13"/>
  <c r="AG40" i="13" s="1"/>
  <c r="AH40" i="13"/>
  <c r="AI40" i="13" s="1"/>
  <c r="AJ40" i="13" s="1"/>
  <c r="AK40" i="13"/>
  <c r="AM40" i="13"/>
  <c r="T41" i="13"/>
  <c r="AD41" i="13" s="1"/>
  <c r="V41" i="13"/>
  <c r="Y41" i="13"/>
  <c r="AF41" i="13"/>
  <c r="AG41" i="13"/>
  <c r="AH41" i="13"/>
  <c r="AI41" i="13" s="1"/>
  <c r="AK41" i="13"/>
  <c r="AM41" i="13"/>
  <c r="T42" i="13"/>
  <c r="AD42" i="13" s="1"/>
  <c r="V42" i="13"/>
  <c r="Y42" i="13"/>
  <c r="AF42" i="13"/>
  <c r="AG42" i="13"/>
  <c r="AJ42" i="13" s="1"/>
  <c r="AH42" i="13"/>
  <c r="AI42" i="13" s="1"/>
  <c r="AK42" i="13"/>
  <c r="AM42" i="13"/>
  <c r="T43" i="13"/>
  <c r="AD43" i="13" s="1"/>
  <c r="V43" i="13"/>
  <c r="Y43" i="13"/>
  <c r="AF43" i="13"/>
  <c r="AG43" i="13" s="1"/>
  <c r="AH43" i="13"/>
  <c r="AI43" i="13"/>
  <c r="AK43" i="13"/>
  <c r="AM43" i="13"/>
  <c r="T44" i="13"/>
  <c r="AE44" i="13" s="1"/>
  <c r="V44" i="13"/>
  <c r="Y44" i="13"/>
  <c r="AD44" i="13"/>
  <c r="AF44" i="13"/>
  <c r="AG44" i="13" s="1"/>
  <c r="AH44" i="13"/>
  <c r="AI44" i="13"/>
  <c r="AK44" i="13"/>
  <c r="AM44" i="13"/>
  <c r="T45" i="13"/>
  <c r="V45" i="13"/>
  <c r="Y45" i="13"/>
  <c r="AD45" i="13"/>
  <c r="AE45" i="13"/>
  <c r="AF45" i="13"/>
  <c r="AG45" i="13" s="1"/>
  <c r="AH45" i="13"/>
  <c r="AI45" i="13" s="1"/>
  <c r="AK45" i="13"/>
  <c r="AM45" i="13"/>
  <c r="T46" i="13"/>
  <c r="AE46" i="13" s="1"/>
  <c r="V46" i="13"/>
  <c r="Y46" i="13"/>
  <c r="AF46" i="13"/>
  <c r="AG46" i="13" s="1"/>
  <c r="AK46" i="13"/>
  <c r="AM46" i="13"/>
  <c r="T47" i="13"/>
  <c r="AH47" i="13" s="1"/>
  <c r="AI47" i="13" s="1"/>
  <c r="V47" i="13"/>
  <c r="Y47" i="13"/>
  <c r="AF47" i="13"/>
  <c r="AG47" i="13"/>
  <c r="AJ47" i="13" s="1"/>
  <c r="AK47" i="13"/>
  <c r="AM47" i="13"/>
  <c r="T48" i="13"/>
  <c r="AD48" i="13" s="1"/>
  <c r="V48" i="13"/>
  <c r="Y48" i="13"/>
  <c r="AE48" i="13"/>
  <c r="AF48" i="13"/>
  <c r="AG48" i="13" s="1"/>
  <c r="AH48" i="13"/>
  <c r="AI48" i="13" s="1"/>
  <c r="AK48" i="13"/>
  <c r="AM48" i="13"/>
  <c r="T49" i="13"/>
  <c r="AE49" i="13" s="1"/>
  <c r="V49" i="13"/>
  <c r="Y49" i="13"/>
  <c r="AF49" i="13"/>
  <c r="AG49" i="13" s="1"/>
  <c r="AH49" i="13"/>
  <c r="AI49" i="13" s="1"/>
  <c r="AK49" i="13"/>
  <c r="AM49" i="13"/>
  <c r="T50" i="13"/>
  <c r="AD50" i="13" s="1"/>
  <c r="V50" i="13"/>
  <c r="Y50" i="13"/>
  <c r="AF50" i="13"/>
  <c r="AG50" i="13"/>
  <c r="AH50" i="13"/>
  <c r="AI50" i="13" s="1"/>
  <c r="AK50" i="13"/>
  <c r="AM50" i="13"/>
  <c r="T51" i="13"/>
  <c r="AD51" i="13" s="1"/>
  <c r="V51" i="13"/>
  <c r="Y51" i="13"/>
  <c r="AF51" i="13"/>
  <c r="AG51" i="13" s="1"/>
  <c r="AH51" i="13"/>
  <c r="AI51" i="13" s="1"/>
  <c r="AK51" i="13"/>
  <c r="AM51" i="13"/>
  <c r="T52" i="13"/>
  <c r="AD52" i="13" s="1"/>
  <c r="V52" i="13"/>
  <c r="Y52" i="13"/>
  <c r="AF52" i="13"/>
  <c r="AG52" i="13" s="1"/>
  <c r="AH52" i="13"/>
  <c r="AI52" i="13" s="1"/>
  <c r="AK52" i="13"/>
  <c r="AM52" i="13"/>
  <c r="AL44" i="13" l="1"/>
  <c r="AJ44" i="13"/>
  <c r="AL41" i="13"/>
  <c r="AL40" i="13"/>
  <c r="AJ43" i="13"/>
  <c r="AL43" i="13"/>
  <c r="AJ50" i="13"/>
  <c r="AL42" i="13"/>
  <c r="AN48" i="13"/>
  <c r="AJ41" i="13"/>
  <c r="AL50" i="13"/>
  <c r="AN45" i="13"/>
  <c r="AJ39" i="13"/>
  <c r="AH36" i="13"/>
  <c r="AI36" i="13" s="1"/>
  <c r="AJ36" i="13" s="1"/>
  <c r="AN33" i="13"/>
  <c r="AM37" i="13"/>
  <c r="AL38" i="13"/>
  <c r="AE36" i="13"/>
  <c r="AN36" i="13" s="1"/>
  <c r="AJ45" i="13"/>
  <c r="AL45" i="13"/>
  <c r="AJ35" i="13"/>
  <c r="AJ37" i="13"/>
  <c r="AL37" i="13"/>
  <c r="AN41" i="13"/>
  <c r="AL39" i="13"/>
  <c r="AJ33" i="13"/>
  <c r="AL33" i="13"/>
  <c r="AJ48" i="13"/>
  <c r="AL51" i="13"/>
  <c r="AJ51" i="13"/>
  <c r="AL52" i="13"/>
  <c r="AJ52" i="13"/>
  <c r="AN44" i="13"/>
  <c r="AJ46" i="13"/>
  <c r="AL46" i="13"/>
  <c r="AJ49" i="13"/>
  <c r="AL49" i="13"/>
  <c r="AJ34" i="13"/>
  <c r="AL34" i="13"/>
  <c r="AE34" i="13"/>
  <c r="AE47" i="13"/>
  <c r="AD46" i="13"/>
  <c r="AN46" i="13" s="1"/>
  <c r="AE35" i="13"/>
  <c r="AD34" i="13"/>
  <c r="AN34" i="13" s="1"/>
  <c r="AD35" i="13"/>
  <c r="AN35" i="13" s="1"/>
  <c r="AE37" i="13"/>
  <c r="AN37" i="13" s="1"/>
  <c r="AE50" i="13"/>
  <c r="AN50" i="13" s="1"/>
  <c r="AD49" i="13"/>
  <c r="AN49" i="13" s="1"/>
  <c r="AE38" i="13"/>
  <c r="AN38" i="13" s="1"/>
  <c r="AE39" i="13"/>
  <c r="AN39" i="13" s="1"/>
  <c r="AE51" i="13"/>
  <c r="AN51" i="13" s="1"/>
  <c r="AE52" i="13"/>
  <c r="AN52" i="13" s="1"/>
  <c r="AL47" i="13"/>
  <c r="AE40" i="13"/>
  <c r="AN40" i="13" s="1"/>
  <c r="AL35" i="13"/>
  <c r="AL48" i="13"/>
  <c r="AE41" i="13"/>
  <c r="AL36" i="13"/>
  <c r="AE42" i="13"/>
  <c r="AN42" i="13" s="1"/>
  <c r="AD47" i="13"/>
  <c r="AN47" i="13" s="1"/>
  <c r="AH46" i="13"/>
  <c r="AI46" i="13" s="1"/>
  <c r="AE43" i="13"/>
  <c r="AN43" i="13" s="1"/>
  <c r="T24" i="60" l="1"/>
  <c r="AH24" i="60" s="1"/>
  <c r="AI24" i="60" s="1"/>
  <c r="V24" i="60"/>
  <c r="Y24" i="60"/>
  <c r="AF24" i="60"/>
  <c r="AG24" i="60" s="1"/>
  <c r="AK24" i="60"/>
  <c r="AM24" i="60"/>
  <c r="T25" i="60"/>
  <c r="AH25" i="60" s="1"/>
  <c r="AI25" i="60" s="1"/>
  <c r="V25" i="60"/>
  <c r="Y25" i="60"/>
  <c r="AF25" i="60"/>
  <c r="AG25" i="60" s="1"/>
  <c r="AK25" i="60"/>
  <c r="AM25" i="60"/>
  <c r="T26" i="60"/>
  <c r="AH26" i="60" s="1"/>
  <c r="AI26" i="60" s="1"/>
  <c r="V26" i="60"/>
  <c r="Y26" i="60"/>
  <c r="AF26" i="60"/>
  <c r="AG26" i="60" s="1"/>
  <c r="AJ26" i="60" s="1"/>
  <c r="AK26" i="60"/>
  <c r="AM26" i="60"/>
  <c r="T27" i="60"/>
  <c r="AD27" i="60" s="1"/>
  <c r="V27" i="60"/>
  <c r="Y27" i="60"/>
  <c r="AF27" i="60"/>
  <c r="AG27" i="60"/>
  <c r="AH27" i="60"/>
  <c r="AI27" i="60" s="1"/>
  <c r="AK27" i="60"/>
  <c r="AM27" i="60"/>
  <c r="T28" i="60"/>
  <c r="AD28" i="60" s="1"/>
  <c r="V28" i="60"/>
  <c r="Y28" i="60"/>
  <c r="AF28" i="60"/>
  <c r="AG28" i="60"/>
  <c r="AJ28" i="60" s="1"/>
  <c r="AH28" i="60"/>
  <c r="AI28" i="60"/>
  <c r="AK28" i="60"/>
  <c r="AM28" i="60"/>
  <c r="T29" i="60"/>
  <c r="AE29" i="60" s="1"/>
  <c r="V29" i="60"/>
  <c r="Y29" i="60"/>
  <c r="AD29" i="60"/>
  <c r="AN29" i="60" s="1"/>
  <c r="AF29" i="60"/>
  <c r="AG29" i="60"/>
  <c r="AL29" i="60" s="1"/>
  <c r="AH29" i="60"/>
  <c r="AI29" i="60"/>
  <c r="AJ29" i="60"/>
  <c r="AK29" i="60"/>
  <c r="AM29" i="60"/>
  <c r="T30" i="60"/>
  <c r="V30" i="60"/>
  <c r="Y30" i="60"/>
  <c r="AD30" i="60"/>
  <c r="AN30" i="60" s="1"/>
  <c r="AE30" i="60"/>
  <c r="AF30" i="60"/>
  <c r="AG30" i="60"/>
  <c r="AH30" i="60"/>
  <c r="AI30" i="60"/>
  <c r="AL30" i="60" s="1"/>
  <c r="AJ30" i="60"/>
  <c r="AK30" i="60"/>
  <c r="AM30" i="60"/>
  <c r="T31" i="60"/>
  <c r="AD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/>
  <c r="AK32" i="60"/>
  <c r="AM32" i="60"/>
  <c r="T33" i="60"/>
  <c r="AD33" i="60" s="1"/>
  <c r="V33" i="60"/>
  <c r="Y33" i="60"/>
  <c r="AF33" i="60"/>
  <c r="AG33" i="60"/>
  <c r="AH33" i="60"/>
  <c r="AI33" i="60" s="1"/>
  <c r="AL33" i="60" s="1"/>
  <c r="AK33" i="60"/>
  <c r="AM33" i="60"/>
  <c r="T34" i="60"/>
  <c r="AE34" i="60" s="1"/>
  <c r="AN34" i="60" s="1"/>
  <c r="V34" i="60"/>
  <c r="Y34" i="60"/>
  <c r="AD34" i="60"/>
  <c r="AF34" i="60"/>
  <c r="AG34" i="60"/>
  <c r="AJ34" i="60" s="1"/>
  <c r="AH34" i="60"/>
  <c r="AI34" i="60"/>
  <c r="AK34" i="60"/>
  <c r="AM34" i="60"/>
  <c r="T35" i="60"/>
  <c r="V35" i="60"/>
  <c r="Y35" i="60"/>
  <c r="AD35" i="60"/>
  <c r="AN35" i="60" s="1"/>
  <c r="AE35" i="60"/>
  <c r="AF35" i="60"/>
  <c r="AG35" i="60"/>
  <c r="AL35" i="60" s="1"/>
  <c r="AH35" i="60"/>
  <c r="AI35" i="60"/>
  <c r="AJ35" i="60"/>
  <c r="AK35" i="60"/>
  <c r="AM35" i="60"/>
  <c r="T36" i="60"/>
  <c r="AH36" i="60" s="1"/>
  <c r="AI36" i="60" s="1"/>
  <c r="V36" i="60"/>
  <c r="Y36" i="60"/>
  <c r="AD36" i="60"/>
  <c r="AN36" i="60" s="1"/>
  <c r="AE36" i="60"/>
  <c r="AF36" i="60"/>
  <c r="AG36" i="60" s="1"/>
  <c r="AK36" i="60"/>
  <c r="AM36" i="60"/>
  <c r="T37" i="60"/>
  <c r="AH37" i="60" s="1"/>
  <c r="AI37" i="60" s="1"/>
  <c r="V37" i="60"/>
  <c r="Y37" i="60"/>
  <c r="AF37" i="60"/>
  <c r="AG37" i="60" s="1"/>
  <c r="AK37" i="60"/>
  <c r="AM37" i="60"/>
  <c r="T38" i="60"/>
  <c r="AH38" i="60" s="1"/>
  <c r="AI38" i="60" s="1"/>
  <c r="V38" i="60"/>
  <c r="Y38" i="60"/>
  <c r="AF38" i="60"/>
  <c r="AG38" i="60"/>
  <c r="AK38" i="60"/>
  <c r="AM38" i="60"/>
  <c r="T39" i="60"/>
  <c r="AD39" i="60" s="1"/>
  <c r="V39" i="60"/>
  <c r="Y39" i="60"/>
  <c r="AF39" i="60"/>
  <c r="AG39" i="60"/>
  <c r="AH39" i="60"/>
  <c r="AI39" i="60" s="1"/>
  <c r="AK39" i="60"/>
  <c r="AM39" i="60"/>
  <c r="T40" i="60"/>
  <c r="AD40" i="60" s="1"/>
  <c r="V40" i="60"/>
  <c r="Y40" i="60"/>
  <c r="AF40" i="60"/>
  <c r="AG40" i="60"/>
  <c r="AJ40" i="60" s="1"/>
  <c r="AH40" i="60"/>
  <c r="AI40" i="60"/>
  <c r="AK40" i="60"/>
  <c r="AM40" i="60"/>
  <c r="T41" i="60"/>
  <c r="AE41" i="60" s="1"/>
  <c r="V41" i="60"/>
  <c r="Y41" i="60"/>
  <c r="AD41" i="60"/>
  <c r="AF41" i="60"/>
  <c r="AG41" i="60"/>
  <c r="AL41" i="60" s="1"/>
  <c r="AH41" i="60"/>
  <c r="AI41" i="60"/>
  <c r="AJ41" i="60"/>
  <c r="AK41" i="60"/>
  <c r="AM41" i="60"/>
  <c r="T42" i="60"/>
  <c r="V42" i="60"/>
  <c r="Y42" i="60"/>
  <c r="AD42" i="60"/>
  <c r="AN42" i="60" s="1"/>
  <c r="AE42" i="60"/>
  <c r="AF42" i="60"/>
  <c r="AG42" i="60"/>
  <c r="AH42" i="60"/>
  <c r="AI42" i="60"/>
  <c r="AL42" i="60" s="1"/>
  <c r="AJ42" i="60"/>
  <c r="AK42" i="60"/>
  <c r="AM42" i="60"/>
  <c r="T43" i="60"/>
  <c r="AE43" i="60" s="1"/>
  <c r="V43" i="60"/>
  <c r="Y43" i="60"/>
  <c r="AF43" i="60"/>
  <c r="AG43" i="60" s="1"/>
  <c r="AK43" i="60"/>
  <c r="AM43" i="60"/>
  <c r="T44" i="60"/>
  <c r="AD44" i="60" s="1"/>
  <c r="V44" i="60"/>
  <c r="Y44" i="60"/>
  <c r="AF44" i="60"/>
  <c r="AG44" i="60"/>
  <c r="AK44" i="60"/>
  <c r="AM44" i="60"/>
  <c r="T45" i="60"/>
  <c r="AD45" i="60" s="1"/>
  <c r="V45" i="60"/>
  <c r="Y45" i="60"/>
  <c r="AF45" i="60"/>
  <c r="AG45" i="60"/>
  <c r="AJ45" i="60" s="1"/>
  <c r="AH45" i="60"/>
  <c r="AI45" i="60" s="1"/>
  <c r="AL45" i="60" s="1"/>
  <c r="AK45" i="60"/>
  <c r="AM45" i="60"/>
  <c r="T46" i="60"/>
  <c r="AE46" i="60" s="1"/>
  <c r="AN46" i="60" s="1"/>
  <c r="V46" i="60"/>
  <c r="Y46" i="60"/>
  <c r="AD46" i="60"/>
  <c r="AF46" i="60"/>
  <c r="AG46" i="60" s="1"/>
  <c r="AH46" i="60"/>
  <c r="AI46" i="60"/>
  <c r="AK46" i="60"/>
  <c r="AM46" i="60"/>
  <c r="AE24" i="60" l="1"/>
  <c r="AD24" i="60"/>
  <c r="AN24" i="60" s="1"/>
  <c r="AJ25" i="60"/>
  <c r="AL25" i="60"/>
  <c r="AJ33" i="60"/>
  <c r="AN31" i="60"/>
  <c r="AN28" i="60"/>
  <c r="AJ24" i="60"/>
  <c r="AL24" i="60"/>
  <c r="AN45" i="60"/>
  <c r="AJ37" i="60"/>
  <c r="AL37" i="60"/>
  <c r="AJ46" i="60"/>
  <c r="AL46" i="60"/>
  <c r="AJ38" i="60"/>
  <c r="AN41" i="60"/>
  <c r="AJ36" i="60"/>
  <c r="AL36" i="60"/>
  <c r="AJ27" i="60"/>
  <c r="AJ39" i="60"/>
  <c r="AE25" i="60"/>
  <c r="AE38" i="60"/>
  <c r="AN38" i="60" s="1"/>
  <c r="AD37" i="60"/>
  <c r="AN37" i="60" s="1"/>
  <c r="AE26" i="60"/>
  <c r="AD25" i="60"/>
  <c r="AE39" i="60"/>
  <c r="AN39" i="60" s="1"/>
  <c r="AD38" i="60"/>
  <c r="AL34" i="60"/>
  <c r="AE27" i="60"/>
  <c r="AN27" i="60" s="1"/>
  <c r="AD26" i="60"/>
  <c r="AN26" i="60" s="1"/>
  <c r="AE37" i="60"/>
  <c r="AH43" i="60"/>
  <c r="AI43" i="60" s="1"/>
  <c r="AJ43" i="60" s="1"/>
  <c r="AE40" i="60"/>
  <c r="AN40" i="60" s="1"/>
  <c r="AH31" i="60"/>
  <c r="AI31" i="60" s="1"/>
  <c r="AL31" i="60" s="1"/>
  <c r="AE28" i="60"/>
  <c r="AH44" i="60"/>
  <c r="AI44" i="60" s="1"/>
  <c r="AL44" i="60" s="1"/>
  <c r="AH32" i="60"/>
  <c r="AI32" i="60" s="1"/>
  <c r="AL32" i="60" s="1"/>
  <c r="AL38" i="60"/>
  <c r="AE31" i="60"/>
  <c r="AL26" i="60"/>
  <c r="AE44" i="60"/>
  <c r="AN44" i="60" s="1"/>
  <c r="AD43" i="60"/>
  <c r="AN43" i="60" s="1"/>
  <c r="AL39" i="60"/>
  <c r="AE32" i="60"/>
  <c r="AN32" i="60" s="1"/>
  <c r="AL27" i="60"/>
  <c r="AE45" i="60"/>
  <c r="AL40" i="60"/>
  <c r="AE33" i="60"/>
  <c r="AN33" i="60" s="1"/>
  <c r="AL28" i="60"/>
  <c r="AL43" i="60" l="1"/>
  <c r="AJ31" i="60"/>
  <c r="AN25" i="60"/>
  <c r="AJ44" i="60"/>
  <c r="AJ32" i="60"/>
  <c r="AM75" i="51" l="1"/>
  <c r="AK75" i="51"/>
  <c r="AF75" i="51"/>
  <c r="AG75" i="51" s="1"/>
  <c r="Y75" i="51"/>
  <c r="V75" i="51"/>
  <c r="T75" i="51"/>
  <c r="AH75" i="51" s="1"/>
  <c r="AI75" i="51" s="1"/>
  <c r="AM74" i="51"/>
  <c r="AK74" i="51"/>
  <c r="AF74" i="51"/>
  <c r="AG74" i="51" s="1"/>
  <c r="AL74" i="51" s="1"/>
  <c r="AD74" i="51"/>
  <c r="Y74" i="51"/>
  <c r="V74" i="51"/>
  <c r="T74" i="51"/>
  <c r="AH74" i="51" s="1"/>
  <c r="AI74" i="51" s="1"/>
  <c r="AM73" i="51"/>
  <c r="AK73" i="51"/>
  <c r="AF73" i="51"/>
  <c r="AG73" i="51" s="1"/>
  <c r="Y73" i="51"/>
  <c r="V73" i="51"/>
  <c r="T73" i="51"/>
  <c r="AH73" i="51" s="1"/>
  <c r="AI73" i="51" s="1"/>
  <c r="AM72" i="51"/>
  <c r="AK72" i="51"/>
  <c r="AF72" i="51"/>
  <c r="AG72" i="51" s="1"/>
  <c r="Y72" i="51"/>
  <c r="V72" i="51"/>
  <c r="T72" i="51"/>
  <c r="AH72" i="51" s="1"/>
  <c r="AI72" i="51" s="1"/>
  <c r="AM71" i="51"/>
  <c r="AK71" i="51"/>
  <c r="AF71" i="51"/>
  <c r="AG71" i="51" s="1"/>
  <c r="Y71" i="51"/>
  <c r="V71" i="51"/>
  <c r="T71" i="51"/>
  <c r="AH71" i="51" s="1"/>
  <c r="AI71" i="51" s="1"/>
  <c r="AM70" i="51"/>
  <c r="AK70" i="51"/>
  <c r="AF70" i="51"/>
  <c r="AG70" i="51" s="1"/>
  <c r="Y70" i="51"/>
  <c r="V70" i="51"/>
  <c r="T70" i="51"/>
  <c r="AE70" i="51" s="1"/>
  <c r="T25" i="51"/>
  <c r="AD25" i="51" s="1"/>
  <c r="V25" i="51"/>
  <c r="Y25" i="51"/>
  <c r="AF25" i="51"/>
  <c r="AG25" i="51" s="1"/>
  <c r="AK25" i="51"/>
  <c r="T26" i="51"/>
  <c r="AH26" i="51" s="1"/>
  <c r="AI26" i="51" s="1"/>
  <c r="V26" i="51"/>
  <c r="Y26" i="51"/>
  <c r="AF26" i="51"/>
  <c r="AG26" i="51" s="1"/>
  <c r="AK26" i="51"/>
  <c r="T27" i="51"/>
  <c r="AM27" i="51" s="1"/>
  <c r="V27" i="51"/>
  <c r="Y27" i="51"/>
  <c r="AF27" i="51"/>
  <c r="AG27" i="51" s="1"/>
  <c r="AK27" i="51"/>
  <c r="T28" i="51"/>
  <c r="AD28" i="51" s="1"/>
  <c r="V28" i="51"/>
  <c r="Y28" i="51"/>
  <c r="AF28" i="51"/>
  <c r="AG28" i="51" s="1"/>
  <c r="AK28" i="51"/>
  <c r="T29" i="51"/>
  <c r="AD29" i="51" s="1"/>
  <c r="V29" i="51"/>
  <c r="Y29" i="51"/>
  <c r="AF29" i="51"/>
  <c r="AG29" i="51" s="1"/>
  <c r="AK29" i="51"/>
  <c r="T30" i="51"/>
  <c r="AE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T32" i="51"/>
  <c r="AD32" i="51" s="1"/>
  <c r="V32" i="51"/>
  <c r="Y32" i="51"/>
  <c r="AF32" i="51"/>
  <c r="AG32" i="51" s="1"/>
  <c r="AK32" i="51"/>
  <c r="T33" i="51"/>
  <c r="AH33" i="51" s="1"/>
  <c r="AI33" i="51" s="1"/>
  <c r="V33" i="51"/>
  <c r="Y33" i="51"/>
  <c r="AF33" i="51"/>
  <c r="AG33" i="51" s="1"/>
  <c r="AK33" i="51"/>
  <c r="T34" i="51"/>
  <c r="AD34" i="51" s="1"/>
  <c r="V34" i="51"/>
  <c r="Y34" i="51"/>
  <c r="AF34" i="51"/>
  <c r="AG34" i="51" s="1"/>
  <c r="AK34" i="51"/>
  <c r="T35" i="51"/>
  <c r="AD35" i="51" s="1"/>
  <c r="V35" i="51"/>
  <c r="Y35" i="51"/>
  <c r="AF35" i="51"/>
  <c r="AG35" i="51" s="1"/>
  <c r="AK35" i="51"/>
  <c r="T36" i="51"/>
  <c r="AH36" i="51" s="1"/>
  <c r="AI36" i="51" s="1"/>
  <c r="V36" i="51"/>
  <c r="Y36" i="51"/>
  <c r="AF36" i="51"/>
  <c r="AG36" i="51" s="1"/>
  <c r="AK36" i="51"/>
  <c r="T37" i="51"/>
  <c r="AM37" i="51" s="1"/>
  <c r="V37" i="51"/>
  <c r="Y37" i="51"/>
  <c r="AD37" i="51"/>
  <c r="AE37" i="51"/>
  <c r="AF37" i="51"/>
  <c r="AG37" i="51" s="1"/>
  <c r="AK37" i="51"/>
  <c r="T38" i="51"/>
  <c r="AH38" i="51" s="1"/>
  <c r="AI38" i="51" s="1"/>
  <c r="V38" i="51"/>
  <c r="Y38" i="51"/>
  <c r="AF38" i="51"/>
  <c r="AG38" i="51" s="1"/>
  <c r="AK38" i="51"/>
  <c r="T39" i="51"/>
  <c r="AM39" i="51" s="1"/>
  <c r="V39" i="51"/>
  <c r="Y39" i="51"/>
  <c r="AF39" i="51"/>
  <c r="AG39" i="51" s="1"/>
  <c r="AK39" i="51"/>
  <c r="T40" i="51"/>
  <c r="AD40" i="51" s="1"/>
  <c r="V40" i="51"/>
  <c r="Y40" i="51"/>
  <c r="AF40" i="51"/>
  <c r="AG40" i="51" s="1"/>
  <c r="AK40" i="51"/>
  <c r="T41" i="51"/>
  <c r="AD41" i="51" s="1"/>
  <c r="V41" i="51"/>
  <c r="Y41" i="51"/>
  <c r="AF41" i="51"/>
  <c r="AG41" i="51" s="1"/>
  <c r="AK41" i="51"/>
  <c r="T42" i="51"/>
  <c r="AE42" i="51" s="1"/>
  <c r="V42" i="51"/>
  <c r="Y42" i="51"/>
  <c r="AF42" i="51"/>
  <c r="AG42" i="51" s="1"/>
  <c r="AK42" i="51"/>
  <c r="T43" i="51"/>
  <c r="AH43" i="51" s="1"/>
  <c r="AI43" i="51" s="1"/>
  <c r="V43" i="51"/>
  <c r="Y43" i="51"/>
  <c r="AD43" i="51"/>
  <c r="AF43" i="51"/>
  <c r="AG43" i="51" s="1"/>
  <c r="AK43" i="51"/>
  <c r="T44" i="51"/>
  <c r="AD44" i="51" s="1"/>
  <c r="V44" i="51"/>
  <c r="Y44" i="51"/>
  <c r="AF44" i="51"/>
  <c r="AG44" i="51" s="1"/>
  <c r="AK44" i="51"/>
  <c r="T45" i="51"/>
  <c r="AH45" i="51" s="1"/>
  <c r="AI45" i="51" s="1"/>
  <c r="V45" i="51"/>
  <c r="Y45" i="51"/>
  <c r="AF45" i="51"/>
  <c r="AG45" i="51" s="1"/>
  <c r="AK45" i="51"/>
  <c r="T46" i="51"/>
  <c r="AD46" i="51" s="1"/>
  <c r="V46" i="51"/>
  <c r="Y46" i="51"/>
  <c r="AF46" i="51"/>
  <c r="AG46" i="51" s="1"/>
  <c r="AK46" i="51"/>
  <c r="T47" i="51"/>
  <c r="AD47" i="51" s="1"/>
  <c r="V47" i="51"/>
  <c r="Y47" i="51"/>
  <c r="AF47" i="51"/>
  <c r="AG47" i="51" s="1"/>
  <c r="AK47" i="51"/>
  <c r="T48" i="51"/>
  <c r="AD48" i="51" s="1"/>
  <c r="V48" i="51"/>
  <c r="Y48" i="51"/>
  <c r="AF48" i="51"/>
  <c r="AG48" i="51" s="1"/>
  <c r="AK48" i="51"/>
  <c r="AM48" i="51"/>
  <c r="T49" i="51"/>
  <c r="AD49" i="51" s="1"/>
  <c r="V49" i="51"/>
  <c r="Y49" i="51"/>
  <c r="AF49" i="51"/>
  <c r="AG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V51" i="51"/>
  <c r="Y51" i="51"/>
  <c r="AF51" i="51"/>
  <c r="AG51" i="51" s="1"/>
  <c r="AK51" i="51"/>
  <c r="AM51" i="51"/>
  <c r="T52" i="51"/>
  <c r="V52" i="51"/>
  <c r="Y52" i="51"/>
  <c r="AF52" i="51"/>
  <c r="AG52" i="51" s="1"/>
  <c r="AK52" i="51"/>
  <c r="AM52" i="51"/>
  <c r="T53" i="51"/>
  <c r="AD53" i="51" s="1"/>
  <c r="V53" i="51"/>
  <c r="Y53" i="51"/>
  <c r="AF53" i="51"/>
  <c r="AG53" i="51" s="1"/>
  <c r="AK53" i="51"/>
  <c r="AM53" i="51"/>
  <c r="T54" i="51"/>
  <c r="AE54" i="51" s="1"/>
  <c r="V54" i="51"/>
  <c r="Y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AD56" i="51" s="1"/>
  <c r="V56" i="51"/>
  <c r="Y56" i="51"/>
  <c r="AF56" i="51"/>
  <c r="AG56" i="51" s="1"/>
  <c r="AK56" i="51"/>
  <c r="AM56" i="51"/>
  <c r="T57" i="51"/>
  <c r="AH57" i="51" s="1"/>
  <c r="AI57" i="51" s="1"/>
  <c r="V57" i="51"/>
  <c r="Y57" i="51"/>
  <c r="AF57" i="51"/>
  <c r="AG57" i="51" s="1"/>
  <c r="AK57" i="51"/>
  <c r="AM57" i="51"/>
  <c r="T58" i="51"/>
  <c r="AD58" i="51" s="1"/>
  <c r="V58" i="51"/>
  <c r="Y58" i="51"/>
  <c r="AF58" i="51"/>
  <c r="AG58" i="51" s="1"/>
  <c r="AK58" i="51"/>
  <c r="AM58" i="51"/>
  <c r="T59" i="51"/>
  <c r="AD59" i="51" s="1"/>
  <c r="V59" i="51"/>
  <c r="Y59" i="51"/>
  <c r="AF59" i="51"/>
  <c r="AG59" i="51" s="1"/>
  <c r="AK59" i="51"/>
  <c r="AM59" i="51"/>
  <c r="T60" i="51"/>
  <c r="AD60" i="51" s="1"/>
  <c r="V60" i="51"/>
  <c r="Y60" i="51"/>
  <c r="AF60" i="51"/>
  <c r="AG60" i="51" s="1"/>
  <c r="AK60" i="51"/>
  <c r="AM60" i="51"/>
  <c r="T61" i="51"/>
  <c r="AD61" i="51" s="1"/>
  <c r="V61" i="51"/>
  <c r="Y61" i="51"/>
  <c r="AF61" i="51"/>
  <c r="AG61" i="51" s="1"/>
  <c r="AK61" i="51"/>
  <c r="AM61" i="51"/>
  <c r="T62" i="51"/>
  <c r="AH62" i="51" s="1"/>
  <c r="AI62" i="51" s="1"/>
  <c r="V62" i="51"/>
  <c r="Y62" i="51"/>
  <c r="AF62" i="51"/>
  <c r="AG62" i="51" s="1"/>
  <c r="AK62" i="51"/>
  <c r="AM62" i="51"/>
  <c r="T63" i="51"/>
  <c r="AE63" i="51" s="1"/>
  <c r="V63" i="51"/>
  <c r="Y63" i="51"/>
  <c r="AF63" i="51"/>
  <c r="AG63" i="51" s="1"/>
  <c r="AK63" i="51"/>
  <c r="AM63" i="51"/>
  <c r="T64" i="51"/>
  <c r="V64" i="51"/>
  <c r="Y64" i="51"/>
  <c r="AF64" i="51"/>
  <c r="AG64" i="51" s="1"/>
  <c r="AK64" i="51"/>
  <c r="AM64" i="51"/>
  <c r="T65" i="51"/>
  <c r="AD65" i="51" s="1"/>
  <c r="V65" i="51"/>
  <c r="Y65" i="51"/>
  <c r="AF65" i="51"/>
  <c r="AG65" i="51" s="1"/>
  <c r="AK65" i="51"/>
  <c r="AM65" i="51"/>
  <c r="T66" i="51"/>
  <c r="AE66" i="51" s="1"/>
  <c r="V66" i="51"/>
  <c r="Y66" i="51"/>
  <c r="AF66" i="51"/>
  <c r="AG66" i="51" s="1"/>
  <c r="AH66" i="51"/>
  <c r="AI66" i="51" s="1"/>
  <c r="AK66" i="51"/>
  <c r="AM66" i="51"/>
  <c r="T67" i="51"/>
  <c r="AD67" i="51" s="1"/>
  <c r="V67" i="51"/>
  <c r="Y67" i="51"/>
  <c r="AF67" i="51"/>
  <c r="AG67" i="51" s="1"/>
  <c r="AK67" i="51"/>
  <c r="AM67" i="51"/>
  <c r="T68" i="51"/>
  <c r="AD68" i="51" s="1"/>
  <c r="V68" i="51"/>
  <c r="Y68" i="51"/>
  <c r="AF68" i="51"/>
  <c r="AG68" i="51" s="1"/>
  <c r="AK68" i="51"/>
  <c r="AM68" i="51"/>
  <c r="T69" i="51"/>
  <c r="AH69" i="51" s="1"/>
  <c r="AI69" i="51" s="1"/>
  <c r="V69" i="51"/>
  <c r="Y69" i="51"/>
  <c r="AF69" i="51"/>
  <c r="AG69" i="51" s="1"/>
  <c r="AK69" i="51"/>
  <c r="AM69" i="51"/>
  <c r="AE71" i="51" l="1"/>
  <c r="AM47" i="51"/>
  <c r="AM31" i="51"/>
  <c r="AH61" i="51"/>
  <c r="AI61" i="51" s="1"/>
  <c r="AD50" i="51"/>
  <c r="AL73" i="51"/>
  <c r="AM36" i="51"/>
  <c r="AM34" i="51"/>
  <c r="AH60" i="51"/>
  <c r="AI60" i="51" s="1"/>
  <c r="AL60" i="51" s="1"/>
  <c r="AM32" i="51"/>
  <c r="AM44" i="51"/>
  <c r="AE36" i="51"/>
  <c r="AN36" i="51" s="1"/>
  <c r="AH34" i="51"/>
  <c r="AI34" i="51" s="1"/>
  <c r="AE60" i="51"/>
  <c r="AN60" i="51" s="1"/>
  <c r="AD36" i="51"/>
  <c r="AH37" i="51"/>
  <c r="AI37" i="51" s="1"/>
  <c r="AE34" i="51"/>
  <c r="AM25" i="51"/>
  <c r="AE50" i="51"/>
  <c r="AN50" i="51" s="1"/>
  <c r="AE43" i="51"/>
  <c r="AJ33" i="51"/>
  <c r="AH31" i="51"/>
  <c r="AI31" i="51" s="1"/>
  <c r="AJ31" i="51" s="1"/>
  <c r="AH25" i="51"/>
  <c r="AI25" i="51" s="1"/>
  <c r="AJ25" i="51" s="1"/>
  <c r="AE31" i="51"/>
  <c r="AN31" i="51" s="1"/>
  <c r="AE25" i="51"/>
  <c r="AD73" i="51"/>
  <c r="AD75" i="51"/>
  <c r="AE73" i="51"/>
  <c r="AN73" i="51" s="1"/>
  <c r="AE75" i="51"/>
  <c r="AN75" i="51" s="1"/>
  <c r="AD70" i="51"/>
  <c r="AN70" i="51" s="1"/>
  <c r="AH70" i="51"/>
  <c r="AI70" i="51" s="1"/>
  <c r="AJ70" i="51" s="1"/>
  <c r="AD72" i="51"/>
  <c r="AJ71" i="51"/>
  <c r="AL71" i="51"/>
  <c r="AL72" i="51"/>
  <c r="AJ72" i="51"/>
  <c r="AL75" i="51"/>
  <c r="AJ75" i="51"/>
  <c r="AE74" i="51"/>
  <c r="AN74" i="51" s="1"/>
  <c r="AD71" i="51"/>
  <c r="AN71" i="51" s="1"/>
  <c r="AE72" i="51"/>
  <c r="AJ74" i="51"/>
  <c r="AJ73" i="51"/>
  <c r="AD38" i="51"/>
  <c r="AJ43" i="51"/>
  <c r="AD33" i="51"/>
  <c r="AJ36" i="51"/>
  <c r="AH29" i="51"/>
  <c r="AI29" i="51" s="1"/>
  <c r="AJ29" i="51" s="1"/>
  <c r="AM40" i="51"/>
  <c r="AM38" i="51"/>
  <c r="AH53" i="51"/>
  <c r="AI53" i="51" s="1"/>
  <c r="AJ53" i="51" s="1"/>
  <c r="AM33" i="51"/>
  <c r="AJ69" i="51"/>
  <c r="AE69" i="51"/>
  <c r="AD69" i="51"/>
  <c r="AN69" i="51" s="1"/>
  <c r="AM43" i="51"/>
  <c r="AN43" i="51" s="1"/>
  <c r="AD42" i="51"/>
  <c r="AH65" i="51"/>
  <c r="AI65" i="51" s="1"/>
  <c r="AL65" i="51" s="1"/>
  <c r="AE33" i="51"/>
  <c r="AH30" i="51"/>
  <c r="AI30" i="51" s="1"/>
  <c r="AJ30" i="51" s="1"/>
  <c r="AJ45" i="51"/>
  <c r="AL45" i="51"/>
  <c r="AL43" i="51"/>
  <c r="AJ66" i="51"/>
  <c r="AM45" i="51"/>
  <c r="AN37" i="51"/>
  <c r="AE57" i="51"/>
  <c r="AL33" i="51"/>
  <c r="AD66" i="51"/>
  <c r="AN66" i="51" s="1"/>
  <c r="AD57" i="51"/>
  <c r="AH54" i="51"/>
  <c r="AI54" i="51" s="1"/>
  <c r="AJ54" i="51" s="1"/>
  <c r="AH48" i="51"/>
  <c r="AI48" i="51" s="1"/>
  <c r="AJ48" i="51" s="1"/>
  <c r="AM41" i="51"/>
  <c r="AE38" i="51"/>
  <c r="AD30" i="51"/>
  <c r="AN30" i="51" s="1"/>
  <c r="AM28" i="51"/>
  <c r="AE61" i="51"/>
  <c r="AN61" i="51" s="1"/>
  <c r="AH55" i="51"/>
  <c r="AI55" i="51" s="1"/>
  <c r="AL55" i="51" s="1"/>
  <c r="AM35" i="51"/>
  <c r="AM26" i="51"/>
  <c r="AH67" i="51"/>
  <c r="AI67" i="51" s="1"/>
  <c r="AL67" i="51" s="1"/>
  <c r="AE67" i="51"/>
  <c r="AN67" i="51" s="1"/>
  <c r="AH58" i="51"/>
  <c r="AI58" i="51" s="1"/>
  <c r="AL58" i="51" s="1"/>
  <c r="AH49" i="51"/>
  <c r="AI49" i="51" s="1"/>
  <c r="AL49" i="51" s="1"/>
  <c r="AM42" i="51"/>
  <c r="AH41" i="51"/>
  <c r="AI41" i="51" s="1"/>
  <c r="AJ41" i="51" s="1"/>
  <c r="AN25" i="51"/>
  <c r="AL57" i="51"/>
  <c r="AD54" i="51"/>
  <c r="AN54" i="51" s="1"/>
  <c r="AE48" i="51"/>
  <c r="AN48" i="51" s="1"/>
  <c r="AM46" i="51"/>
  <c r="AE45" i="51"/>
  <c r="AE62" i="51"/>
  <c r="AL69" i="51"/>
  <c r="AD62" i="51"/>
  <c r="AE55" i="51"/>
  <c r="AN55" i="51" s="1"/>
  <c r="AE49" i="51"/>
  <c r="AN49" i="51" s="1"/>
  <c r="AD45" i="51"/>
  <c r="AM29" i="51"/>
  <c r="AE26" i="51"/>
  <c r="AH46" i="51"/>
  <c r="AI46" i="51" s="1"/>
  <c r="AL46" i="51" s="1"/>
  <c r="AH42" i="51"/>
  <c r="AI42" i="51" s="1"/>
  <c r="AJ42" i="51" s="1"/>
  <c r="AD26" i="51"/>
  <c r="AL66" i="51"/>
  <c r="AJ50" i="51"/>
  <c r="AL50" i="51"/>
  <c r="AH39" i="51"/>
  <c r="AI39" i="51" s="1"/>
  <c r="AJ39" i="51" s="1"/>
  <c r="AE39" i="51"/>
  <c r="AD39" i="51"/>
  <c r="AL36" i="51"/>
  <c r="AJ37" i="51"/>
  <c r="AL37" i="51"/>
  <c r="AE64" i="51"/>
  <c r="AD64" i="51"/>
  <c r="AH64" i="51"/>
  <c r="AI64" i="51" s="1"/>
  <c r="AL64" i="51" s="1"/>
  <c r="AD52" i="51"/>
  <c r="AE52" i="51"/>
  <c r="AH52" i="51"/>
  <c r="AI52" i="51" s="1"/>
  <c r="AJ52" i="51" s="1"/>
  <c r="AJ38" i="51"/>
  <c r="AL38" i="51"/>
  <c r="AH27" i="51"/>
  <c r="AI27" i="51" s="1"/>
  <c r="AJ27" i="51" s="1"/>
  <c r="AE27" i="51"/>
  <c r="AD27" i="51"/>
  <c r="AN34" i="51"/>
  <c r="AH63" i="51"/>
  <c r="AI63" i="51" s="1"/>
  <c r="AL63" i="51" s="1"/>
  <c r="AD63" i="51"/>
  <c r="AN63" i="51" s="1"/>
  <c r="AJ57" i="51"/>
  <c r="AJ34" i="51"/>
  <c r="AL34" i="51"/>
  <c r="AH51" i="51"/>
  <c r="AI51" i="51" s="1"/>
  <c r="AJ51" i="51" s="1"/>
  <c r="AD51" i="51"/>
  <c r="AE51" i="51"/>
  <c r="AJ26" i="51"/>
  <c r="AL26" i="51"/>
  <c r="AL62" i="51"/>
  <c r="AJ62" i="51"/>
  <c r="AJ61" i="51"/>
  <c r="AL61" i="51"/>
  <c r="AH40" i="51"/>
  <c r="AI40" i="51" s="1"/>
  <c r="AL40" i="51" s="1"/>
  <c r="AH28" i="51"/>
  <c r="AI28" i="51" s="1"/>
  <c r="AL28" i="51" s="1"/>
  <c r="AE40" i="51"/>
  <c r="AN40" i="51" s="1"/>
  <c r="AE28" i="51"/>
  <c r="AE65" i="51"/>
  <c r="AN65" i="51" s="1"/>
  <c r="AH56" i="51"/>
  <c r="AI56" i="51" s="1"/>
  <c r="AJ56" i="51" s="1"/>
  <c r="AE53" i="51"/>
  <c r="AN53" i="51" s="1"/>
  <c r="AH44" i="51"/>
  <c r="AI44" i="51" s="1"/>
  <c r="AJ44" i="51" s="1"/>
  <c r="AE41" i="51"/>
  <c r="AH32" i="51"/>
  <c r="AI32" i="51" s="1"/>
  <c r="AL32" i="51" s="1"/>
  <c r="AE29" i="51"/>
  <c r="AH68" i="51"/>
  <c r="AI68" i="51" s="1"/>
  <c r="AJ68" i="51" s="1"/>
  <c r="AE68" i="51"/>
  <c r="AN68" i="51" s="1"/>
  <c r="AH59" i="51"/>
  <c r="AI59" i="51" s="1"/>
  <c r="AL59" i="51" s="1"/>
  <c r="AE56" i="51"/>
  <c r="AN56" i="51" s="1"/>
  <c r="AH47" i="51"/>
  <c r="AI47" i="51" s="1"/>
  <c r="AL47" i="51" s="1"/>
  <c r="AE44" i="51"/>
  <c r="AH35" i="51"/>
  <c r="AI35" i="51" s="1"/>
  <c r="AL35" i="51" s="1"/>
  <c r="AE32" i="51"/>
  <c r="AE58" i="51"/>
  <c r="AN58" i="51" s="1"/>
  <c r="AE46" i="51"/>
  <c r="AE59" i="51"/>
  <c r="AN59" i="51" s="1"/>
  <c r="AE47" i="51"/>
  <c r="AN47" i="51" s="1"/>
  <c r="AE35" i="51"/>
  <c r="AL25" i="51" l="1"/>
  <c r="AN29" i="51"/>
  <c r="AJ60" i="51"/>
  <c r="AN42" i="51"/>
  <c r="AN62" i="51"/>
  <c r="AN28" i="51"/>
  <c r="AN44" i="51"/>
  <c r="AN39" i="51"/>
  <c r="AN72" i="51"/>
  <c r="AL41" i="51"/>
  <c r="AN41" i="51"/>
  <c r="AL31" i="51"/>
  <c r="AN32" i="51"/>
  <c r="AL29" i="51"/>
  <c r="AN51" i="51"/>
  <c r="AN33" i="51"/>
  <c r="AN35" i="51"/>
  <c r="AN57" i="51"/>
  <c r="AN38" i="51"/>
  <c r="AJ65" i="51"/>
  <c r="AJ28" i="51"/>
  <c r="AJ49" i="51"/>
  <c r="AL53" i="51"/>
  <c r="AL70" i="51"/>
  <c r="AN26" i="51"/>
  <c r="AJ32" i="51"/>
  <c r="AL30" i="51"/>
  <c r="AN27" i="51"/>
  <c r="AJ67" i="51"/>
  <c r="AL48" i="51"/>
  <c r="AJ46" i="51"/>
  <c r="AL39" i="51"/>
  <c r="AJ55" i="51"/>
  <c r="AN45" i="51"/>
  <c r="AL42" i="51"/>
  <c r="AJ58" i="51"/>
  <c r="AN46" i="51"/>
  <c r="AJ59" i="51"/>
  <c r="AL54" i="51"/>
  <c r="AN64" i="51"/>
  <c r="AL68" i="51"/>
  <c r="AJ35" i="51"/>
  <c r="AL52" i="51"/>
  <c r="AL27" i="51"/>
  <c r="AL44" i="51"/>
  <c r="AJ64" i="51"/>
  <c r="AJ40" i="51"/>
  <c r="AJ47" i="51"/>
  <c r="AN52" i="51"/>
  <c r="AJ63" i="51"/>
  <c r="AL56" i="51"/>
  <c r="AL51" i="51"/>
  <c r="T25" i="30" l="1"/>
  <c r="V25" i="30"/>
  <c r="Y25" i="30"/>
  <c r="AD25" i="30"/>
  <c r="AE25" i="30"/>
  <c r="AF25" i="30"/>
  <c r="AG25" i="30" s="1"/>
  <c r="AH25" i="30"/>
  <c r="AI25" i="30" s="1"/>
  <c r="AK25" i="30"/>
  <c r="AM25" i="30"/>
  <c r="T26" i="30"/>
  <c r="AH26" i="30" s="1"/>
  <c r="AI26" i="30" s="1"/>
  <c r="V26" i="30"/>
  <c r="Y26" i="30"/>
  <c r="AF26" i="30"/>
  <c r="AG26" i="30" s="1"/>
  <c r="AK26" i="30"/>
  <c r="T27" i="30"/>
  <c r="AH27" i="30" s="1"/>
  <c r="AI27" i="30" s="1"/>
  <c r="V27" i="30"/>
  <c r="Y27" i="30"/>
  <c r="AF27" i="30"/>
  <c r="AG27" i="30" s="1"/>
  <c r="AK27" i="30"/>
  <c r="T28" i="30"/>
  <c r="AD28" i="30" s="1"/>
  <c r="V28" i="30"/>
  <c r="Y28" i="30"/>
  <c r="AF28" i="30"/>
  <c r="AG28" i="30" s="1"/>
  <c r="AK28" i="30"/>
  <c r="T29" i="30"/>
  <c r="AD29" i="30" s="1"/>
  <c r="V29" i="30"/>
  <c r="Y29" i="30"/>
  <c r="AF29" i="30"/>
  <c r="AG29" i="30" s="1"/>
  <c r="AH29" i="30"/>
  <c r="AI29" i="30" s="1"/>
  <c r="AK29" i="30"/>
  <c r="AM29" i="30"/>
  <c r="T30" i="30"/>
  <c r="AD30" i="30" s="1"/>
  <c r="V30" i="30"/>
  <c r="Y30" i="30"/>
  <c r="AF30" i="30"/>
  <c r="AG30" i="30" s="1"/>
  <c r="AK30" i="30"/>
  <c r="T31" i="30"/>
  <c r="AE31" i="30" s="1"/>
  <c r="V31" i="30"/>
  <c r="Y31" i="30"/>
  <c r="AD31" i="30"/>
  <c r="AF31" i="30"/>
  <c r="AG31" i="30" s="1"/>
  <c r="AK31" i="30"/>
  <c r="T32" i="30"/>
  <c r="AD32" i="30" s="1"/>
  <c r="V32" i="30"/>
  <c r="Y32" i="30"/>
  <c r="AF32" i="30"/>
  <c r="AK32" i="30"/>
  <c r="T33" i="30"/>
  <c r="AH33" i="30" s="1"/>
  <c r="AI33" i="30" s="1"/>
  <c r="V33" i="30"/>
  <c r="Y33" i="30"/>
  <c r="AF33" i="30"/>
  <c r="AK33" i="30"/>
  <c r="T34" i="30"/>
  <c r="AD34" i="30" s="1"/>
  <c r="V34" i="30"/>
  <c r="Y34" i="30"/>
  <c r="AF34" i="30"/>
  <c r="AG34" i="30" s="1"/>
  <c r="AK34" i="30"/>
  <c r="T35" i="30"/>
  <c r="AD35" i="30" s="1"/>
  <c r="V35" i="30"/>
  <c r="Y35" i="30"/>
  <c r="AF35" i="30"/>
  <c r="AK35" i="30"/>
  <c r="T36" i="30"/>
  <c r="AD36" i="30" s="1"/>
  <c r="V36" i="30"/>
  <c r="Y36" i="30"/>
  <c r="AF36" i="30"/>
  <c r="AG36" i="30" s="1"/>
  <c r="AK36" i="30"/>
  <c r="T37" i="30"/>
  <c r="AE37" i="30" s="1"/>
  <c r="V37" i="30"/>
  <c r="Y37" i="30"/>
  <c r="AF37" i="30"/>
  <c r="AG37" i="30" s="1"/>
  <c r="AK37" i="30"/>
  <c r="T38" i="30"/>
  <c r="AD38" i="30" s="1"/>
  <c r="V38" i="30"/>
  <c r="Y38" i="30"/>
  <c r="AF38" i="30"/>
  <c r="AG38" i="30" s="1"/>
  <c r="AK38" i="30"/>
  <c r="T39" i="30"/>
  <c r="AD39" i="30" s="1"/>
  <c r="V39" i="30"/>
  <c r="Y39" i="30"/>
  <c r="AF39" i="30"/>
  <c r="AK39" i="30"/>
  <c r="T40" i="30"/>
  <c r="AE40" i="30" s="1"/>
  <c r="V40" i="30"/>
  <c r="Y40" i="30"/>
  <c r="AF40" i="30"/>
  <c r="AG40" i="30" s="1"/>
  <c r="AK40" i="30"/>
  <c r="T41" i="30"/>
  <c r="AH41" i="30" s="1"/>
  <c r="AI41" i="30" s="1"/>
  <c r="V41" i="30"/>
  <c r="Y41" i="30"/>
  <c r="AF41" i="30"/>
  <c r="AG41" i="30" s="1"/>
  <c r="AK41" i="30"/>
  <c r="T42" i="30"/>
  <c r="AD42" i="30" s="1"/>
  <c r="V42" i="30"/>
  <c r="Y42" i="30"/>
  <c r="AF42" i="30"/>
  <c r="AG42" i="30" s="1"/>
  <c r="AK42" i="30"/>
  <c r="AM42" i="30"/>
  <c r="T43" i="30"/>
  <c r="AD43" i="30" s="1"/>
  <c r="V43" i="30"/>
  <c r="Y43" i="30"/>
  <c r="AF43" i="30"/>
  <c r="AG43" i="30" s="1"/>
  <c r="AK43" i="30"/>
  <c r="T44" i="30"/>
  <c r="AE44" i="30" s="1"/>
  <c r="V44" i="30"/>
  <c r="Y44" i="30"/>
  <c r="AD44" i="30"/>
  <c r="AF44" i="30"/>
  <c r="AG44" i="30" s="1"/>
  <c r="AK44" i="30"/>
  <c r="AM44" i="30"/>
  <c r="T45" i="30"/>
  <c r="AD45" i="30" s="1"/>
  <c r="V45" i="30"/>
  <c r="Y45" i="30"/>
  <c r="AF45" i="30"/>
  <c r="AG45" i="30" s="1"/>
  <c r="AK45" i="30"/>
  <c r="AM45" i="30"/>
  <c r="T46" i="30"/>
  <c r="AH46" i="30" s="1"/>
  <c r="AI46" i="30" s="1"/>
  <c r="V46" i="30"/>
  <c r="Y46" i="30"/>
  <c r="AF46" i="30"/>
  <c r="AG46" i="30" s="1"/>
  <c r="AK46" i="30"/>
  <c r="AM46" i="30"/>
  <c r="T47" i="30"/>
  <c r="AH47" i="30" s="1"/>
  <c r="AI47" i="30" s="1"/>
  <c r="V47" i="30"/>
  <c r="Y47" i="30"/>
  <c r="AF47" i="30"/>
  <c r="AG47" i="30" s="1"/>
  <c r="AK47" i="30"/>
  <c r="AM47" i="30"/>
  <c r="T48" i="30"/>
  <c r="AE48" i="30" s="1"/>
  <c r="V48" i="30"/>
  <c r="Y48" i="30"/>
  <c r="AF48" i="30"/>
  <c r="AG48" i="30" s="1"/>
  <c r="AK48" i="30"/>
  <c r="AM48" i="30"/>
  <c r="T49" i="30"/>
  <c r="AD49" i="30" s="1"/>
  <c r="V49" i="30"/>
  <c r="Y49" i="30"/>
  <c r="AF49" i="30"/>
  <c r="AG49" i="30" s="1"/>
  <c r="AK49" i="30"/>
  <c r="AM49" i="30"/>
  <c r="T50" i="30"/>
  <c r="AD50" i="30" s="1"/>
  <c r="V50" i="30"/>
  <c r="Y50" i="30"/>
  <c r="AF50" i="30"/>
  <c r="AG50" i="30" s="1"/>
  <c r="AK50" i="30"/>
  <c r="AM50" i="30"/>
  <c r="T51" i="30"/>
  <c r="AD51" i="30" s="1"/>
  <c r="V51" i="30"/>
  <c r="Y51" i="30"/>
  <c r="AF51" i="30"/>
  <c r="AG51" i="30" s="1"/>
  <c r="AK51" i="30"/>
  <c r="AM51" i="30"/>
  <c r="T52" i="30"/>
  <c r="AD52" i="30" s="1"/>
  <c r="V52" i="30"/>
  <c r="Y52" i="30"/>
  <c r="AF52" i="30"/>
  <c r="AG52" i="30" s="1"/>
  <c r="AK52" i="30"/>
  <c r="AM52" i="30"/>
  <c r="T53" i="30"/>
  <c r="AH53" i="30" s="1"/>
  <c r="AI53" i="30" s="1"/>
  <c r="V53" i="30"/>
  <c r="Y53" i="30"/>
  <c r="AD53" i="30"/>
  <c r="AF53" i="30"/>
  <c r="AG53" i="30" s="1"/>
  <c r="AK53" i="30"/>
  <c r="AM53" i="30"/>
  <c r="T54" i="30"/>
  <c r="AD54" i="30" s="1"/>
  <c r="V54" i="30"/>
  <c r="Y54" i="30"/>
  <c r="AF54" i="30"/>
  <c r="AG54" i="30" s="1"/>
  <c r="AK54" i="30"/>
  <c r="AM54" i="30"/>
  <c r="T55" i="30"/>
  <c r="AD55" i="30" s="1"/>
  <c r="V55" i="30"/>
  <c r="Y55" i="30"/>
  <c r="AF55" i="30"/>
  <c r="AG55" i="30" s="1"/>
  <c r="AK55" i="30"/>
  <c r="AM55" i="30"/>
  <c r="T56" i="30"/>
  <c r="AD56" i="30" s="1"/>
  <c r="V56" i="30"/>
  <c r="Y56" i="30"/>
  <c r="AE56" i="30"/>
  <c r="AF56" i="30"/>
  <c r="AG56" i="30" s="1"/>
  <c r="AH56" i="30"/>
  <c r="AI56" i="30" s="1"/>
  <c r="AK56" i="30"/>
  <c r="AM56" i="30"/>
  <c r="T57" i="30"/>
  <c r="AD57" i="30" s="1"/>
  <c r="V57" i="30"/>
  <c r="Y57" i="30"/>
  <c r="AF57" i="30"/>
  <c r="AG57" i="30" s="1"/>
  <c r="AK57" i="30"/>
  <c r="AM57" i="30"/>
  <c r="T58" i="30"/>
  <c r="AH58" i="30" s="1"/>
  <c r="AI58" i="30" s="1"/>
  <c r="V58" i="30"/>
  <c r="Y58" i="30"/>
  <c r="AF58" i="30"/>
  <c r="AG58" i="30" s="1"/>
  <c r="AK58" i="30"/>
  <c r="AM58" i="30"/>
  <c r="T59" i="30"/>
  <c r="AH59" i="30" s="1"/>
  <c r="AI59" i="30" s="1"/>
  <c r="V59" i="30"/>
  <c r="Y59" i="30"/>
  <c r="AF59" i="30"/>
  <c r="AG59" i="30" s="1"/>
  <c r="AK59" i="30"/>
  <c r="AM59" i="30"/>
  <c r="T60" i="30"/>
  <c r="AE60" i="30" s="1"/>
  <c r="V60" i="30"/>
  <c r="Y60" i="30"/>
  <c r="AF60" i="30"/>
  <c r="AG60" i="30" s="1"/>
  <c r="AK60" i="30"/>
  <c r="AM60" i="30"/>
  <c r="T61" i="30"/>
  <c r="AD61" i="30" s="1"/>
  <c r="V61" i="30"/>
  <c r="Y61" i="30"/>
  <c r="AF61" i="30"/>
  <c r="AG61" i="30" s="1"/>
  <c r="AK61" i="30"/>
  <c r="AM61" i="30"/>
  <c r="T62" i="30"/>
  <c r="AD62" i="30" s="1"/>
  <c r="V62" i="30"/>
  <c r="Y62" i="30"/>
  <c r="AF62" i="30"/>
  <c r="AG62" i="30" s="1"/>
  <c r="AK62" i="30"/>
  <c r="AM62" i="30"/>
  <c r="T63" i="30"/>
  <c r="AD63" i="30" s="1"/>
  <c r="V63" i="30"/>
  <c r="Y63" i="30"/>
  <c r="AE63" i="30"/>
  <c r="AF63" i="30"/>
  <c r="AG63" i="30" s="1"/>
  <c r="AH63" i="30"/>
  <c r="AI63" i="30" s="1"/>
  <c r="AK63" i="30"/>
  <c r="AM63" i="30"/>
  <c r="T64" i="30"/>
  <c r="AD64" i="30" s="1"/>
  <c r="V64" i="30"/>
  <c r="Y64" i="30"/>
  <c r="AF64" i="30"/>
  <c r="AG64" i="30" s="1"/>
  <c r="AK64" i="30"/>
  <c r="AM64" i="30"/>
  <c r="T65" i="30"/>
  <c r="AH65" i="30" s="1"/>
  <c r="AI65" i="30" s="1"/>
  <c r="V65" i="30"/>
  <c r="Y65" i="30"/>
  <c r="AF65" i="30"/>
  <c r="AG65" i="30" s="1"/>
  <c r="AK65" i="30"/>
  <c r="AM65" i="30"/>
  <c r="T66" i="30"/>
  <c r="AD66" i="30" s="1"/>
  <c r="V66" i="30"/>
  <c r="Y66" i="30"/>
  <c r="AF66" i="30"/>
  <c r="AG66" i="30" s="1"/>
  <c r="AK66" i="30"/>
  <c r="AM66" i="30"/>
  <c r="T67" i="30"/>
  <c r="V67" i="30"/>
  <c r="Y67" i="30"/>
  <c r="AF67" i="30"/>
  <c r="AG67" i="30" s="1"/>
  <c r="AK67" i="30"/>
  <c r="AM67" i="30"/>
  <c r="T68" i="30"/>
  <c r="AE68" i="30" s="1"/>
  <c r="V68" i="30"/>
  <c r="Y68" i="30"/>
  <c r="AF68" i="30"/>
  <c r="AG68" i="30" s="1"/>
  <c r="AH68" i="30"/>
  <c r="AI68" i="30" s="1"/>
  <c r="AK68" i="30"/>
  <c r="AM68" i="30"/>
  <c r="T69" i="30"/>
  <c r="AD69" i="30" s="1"/>
  <c r="V69" i="30"/>
  <c r="Y69" i="30"/>
  <c r="AE69" i="30"/>
  <c r="AF69" i="30"/>
  <c r="AG69" i="30" s="1"/>
  <c r="AK69" i="30"/>
  <c r="AM69" i="30"/>
  <c r="T70" i="30"/>
  <c r="AH70" i="30" s="1"/>
  <c r="AI70" i="30" s="1"/>
  <c r="V70" i="30"/>
  <c r="Y70" i="30"/>
  <c r="AF70" i="30"/>
  <c r="AG70" i="30" s="1"/>
  <c r="AK70" i="30"/>
  <c r="AM70" i="30"/>
  <c r="T71" i="30"/>
  <c r="AE71" i="30" s="1"/>
  <c r="V71" i="30"/>
  <c r="Y71" i="30"/>
  <c r="AF71" i="30"/>
  <c r="AG71" i="30" s="1"/>
  <c r="AK71" i="30"/>
  <c r="AM71" i="30"/>
  <c r="T72" i="30"/>
  <c r="AE72" i="30" s="1"/>
  <c r="V72" i="30"/>
  <c r="Y72" i="30"/>
  <c r="AF72" i="30"/>
  <c r="AG72" i="30" s="1"/>
  <c r="AK72" i="30"/>
  <c r="AM72" i="30"/>
  <c r="T73" i="30"/>
  <c r="AD73" i="30" s="1"/>
  <c r="V73" i="30"/>
  <c r="Y73" i="30"/>
  <c r="AF73" i="30"/>
  <c r="AG73" i="30" s="1"/>
  <c r="AK73" i="30"/>
  <c r="AM73" i="30"/>
  <c r="T74" i="30"/>
  <c r="AE74" i="30" s="1"/>
  <c r="V74" i="30"/>
  <c r="Y74" i="30"/>
  <c r="AF74" i="30"/>
  <c r="AG74" i="30" s="1"/>
  <c r="AK74" i="30"/>
  <c r="AM74" i="30"/>
  <c r="T75" i="30"/>
  <c r="AD75" i="30" s="1"/>
  <c r="V75" i="30"/>
  <c r="Y75" i="30"/>
  <c r="AF75" i="30"/>
  <c r="AG75" i="30" s="1"/>
  <c r="AK75" i="30"/>
  <c r="AM75" i="30"/>
  <c r="T76" i="30"/>
  <c r="AE76" i="30" s="1"/>
  <c r="V76" i="30"/>
  <c r="Y76" i="30"/>
  <c r="AD76" i="30"/>
  <c r="AF76" i="30"/>
  <c r="AG76" i="30" s="1"/>
  <c r="AK76" i="30"/>
  <c r="AM76" i="30"/>
  <c r="T77" i="30"/>
  <c r="AH77" i="30" s="1"/>
  <c r="AI77" i="30" s="1"/>
  <c r="V77" i="30"/>
  <c r="Y77" i="30"/>
  <c r="AF77" i="30"/>
  <c r="AG77" i="30" s="1"/>
  <c r="AK77" i="30"/>
  <c r="AM77" i="30"/>
  <c r="T78" i="30"/>
  <c r="AD78" i="30" s="1"/>
  <c r="V78" i="30"/>
  <c r="Y78" i="30"/>
  <c r="AF78" i="30"/>
  <c r="AG78" i="30" s="1"/>
  <c r="AK78" i="30"/>
  <c r="AM78" i="30"/>
  <c r="T79" i="30"/>
  <c r="AD79" i="30" s="1"/>
  <c r="V79" i="30"/>
  <c r="Y79" i="30"/>
  <c r="AF79" i="30"/>
  <c r="AG79" i="30" s="1"/>
  <c r="AK79" i="30"/>
  <c r="AM79" i="30"/>
  <c r="T80" i="30"/>
  <c r="AD80" i="30" s="1"/>
  <c r="V80" i="30"/>
  <c r="Y80" i="30"/>
  <c r="AF80" i="30"/>
  <c r="AG80" i="30" s="1"/>
  <c r="AK80" i="30"/>
  <c r="AM80" i="30"/>
  <c r="T81" i="30"/>
  <c r="AD81" i="30" s="1"/>
  <c r="V81" i="30"/>
  <c r="Y81" i="30"/>
  <c r="AF81" i="30"/>
  <c r="AG81" i="30" s="1"/>
  <c r="AK81" i="30"/>
  <c r="AM81" i="30"/>
  <c r="T82" i="30"/>
  <c r="AE82" i="30" s="1"/>
  <c r="V82" i="30"/>
  <c r="Y82" i="30"/>
  <c r="AF82" i="30"/>
  <c r="AG82" i="30" s="1"/>
  <c r="AK82" i="30"/>
  <c r="AM82" i="30"/>
  <c r="T83" i="30"/>
  <c r="AD83" i="30" s="1"/>
  <c r="V83" i="30"/>
  <c r="Y83" i="30"/>
  <c r="AF83" i="30"/>
  <c r="AG83" i="30" s="1"/>
  <c r="AK83" i="30"/>
  <c r="AM83" i="30"/>
  <c r="T84" i="30"/>
  <c r="AD84" i="30" s="1"/>
  <c r="V84" i="30"/>
  <c r="Y84" i="30"/>
  <c r="AF84" i="30"/>
  <c r="AG84" i="30" s="1"/>
  <c r="AK84" i="30"/>
  <c r="AM84" i="30"/>
  <c r="T85" i="30"/>
  <c r="AD85" i="30" s="1"/>
  <c r="V85" i="30"/>
  <c r="Y85" i="30"/>
  <c r="AF85" i="30"/>
  <c r="AG85" i="30" s="1"/>
  <c r="AH85" i="30"/>
  <c r="AI85" i="30" s="1"/>
  <c r="AK85" i="30"/>
  <c r="AM85" i="30"/>
  <c r="T86" i="30"/>
  <c r="AH86" i="30" s="1"/>
  <c r="AI86" i="30" s="1"/>
  <c r="V86" i="30"/>
  <c r="Y86" i="30"/>
  <c r="AD86" i="30"/>
  <c r="AF86" i="30"/>
  <c r="AG86" i="30" s="1"/>
  <c r="AK86" i="30"/>
  <c r="AM86" i="30"/>
  <c r="T87" i="30"/>
  <c r="AH87" i="30" s="1"/>
  <c r="AI87" i="30" s="1"/>
  <c r="V87" i="30"/>
  <c r="Y87" i="30"/>
  <c r="AF87" i="30"/>
  <c r="AG87" i="30" s="1"/>
  <c r="AK87" i="30"/>
  <c r="AM87" i="30"/>
  <c r="T88" i="30"/>
  <c r="AH88" i="30" s="1"/>
  <c r="AI88" i="30" s="1"/>
  <c r="V88" i="30"/>
  <c r="Y88" i="30"/>
  <c r="AF88" i="30"/>
  <c r="AG88" i="30" s="1"/>
  <c r="AK88" i="30"/>
  <c r="AM88" i="30"/>
  <c r="T89" i="30"/>
  <c r="AD89" i="30" s="1"/>
  <c r="V89" i="30"/>
  <c r="Y89" i="30"/>
  <c r="AF89" i="30"/>
  <c r="AG89" i="30" s="1"/>
  <c r="AK89" i="30"/>
  <c r="AM89" i="30"/>
  <c r="T90" i="30"/>
  <c r="AD90" i="30" s="1"/>
  <c r="V90" i="30"/>
  <c r="Y90" i="30"/>
  <c r="AF90" i="30"/>
  <c r="AG90" i="30" s="1"/>
  <c r="AK90" i="30"/>
  <c r="AM90" i="30"/>
  <c r="T91" i="30"/>
  <c r="AD91" i="30" s="1"/>
  <c r="V91" i="30"/>
  <c r="Y91" i="30"/>
  <c r="AE91" i="30"/>
  <c r="AF91" i="30"/>
  <c r="AG91" i="30" s="1"/>
  <c r="AK91" i="30"/>
  <c r="AM91" i="30"/>
  <c r="T92" i="30"/>
  <c r="AD92" i="30" s="1"/>
  <c r="V92" i="30"/>
  <c r="Y92" i="30"/>
  <c r="AF92" i="30"/>
  <c r="AG92" i="30" s="1"/>
  <c r="AK92" i="30"/>
  <c r="AM92" i="30"/>
  <c r="T93" i="30"/>
  <c r="AD93" i="30" s="1"/>
  <c r="V93" i="30"/>
  <c r="Y93" i="30"/>
  <c r="AF93" i="30"/>
  <c r="AG93" i="30" s="1"/>
  <c r="AK93" i="30"/>
  <c r="AM93" i="30"/>
  <c r="T94" i="30"/>
  <c r="AE94" i="30" s="1"/>
  <c r="V94" i="30"/>
  <c r="Y94" i="30"/>
  <c r="AD94" i="30"/>
  <c r="AF94" i="30"/>
  <c r="AG94" i="30" s="1"/>
  <c r="AK94" i="30"/>
  <c r="AM94" i="30"/>
  <c r="T95" i="30"/>
  <c r="AD95" i="30" s="1"/>
  <c r="V95" i="30"/>
  <c r="Y95" i="30"/>
  <c r="AF95" i="30"/>
  <c r="AG95" i="30" s="1"/>
  <c r="AK95" i="30"/>
  <c r="AM95" i="30"/>
  <c r="T96" i="30"/>
  <c r="AD96" i="30" s="1"/>
  <c r="V96" i="30"/>
  <c r="Y96" i="30"/>
  <c r="AF96" i="30"/>
  <c r="AG96" i="30" s="1"/>
  <c r="AK96" i="30"/>
  <c r="AM96" i="30"/>
  <c r="T97" i="30"/>
  <c r="AD97" i="30" s="1"/>
  <c r="V97" i="30"/>
  <c r="Y97" i="30"/>
  <c r="AF97" i="30"/>
  <c r="AG97" i="30" s="1"/>
  <c r="AH97" i="30"/>
  <c r="AI97" i="30" s="1"/>
  <c r="AK97" i="30"/>
  <c r="AM97" i="30"/>
  <c r="T98" i="30"/>
  <c r="AE98" i="30" s="1"/>
  <c r="V98" i="30"/>
  <c r="Y98" i="30"/>
  <c r="AD98" i="30"/>
  <c r="AF98" i="30"/>
  <c r="AG98" i="30" s="1"/>
  <c r="AK98" i="30"/>
  <c r="AM98" i="30"/>
  <c r="T99" i="30"/>
  <c r="AH99" i="30" s="1"/>
  <c r="AI99" i="30" s="1"/>
  <c r="V99" i="30"/>
  <c r="Y99" i="30"/>
  <c r="AF99" i="30"/>
  <c r="AG99" i="30" s="1"/>
  <c r="AK99" i="30"/>
  <c r="AM99" i="30"/>
  <c r="T100" i="30"/>
  <c r="AH100" i="30" s="1"/>
  <c r="AI100" i="30" s="1"/>
  <c r="V100" i="30"/>
  <c r="Y100" i="30"/>
  <c r="AF100" i="30"/>
  <c r="AG100" i="30" s="1"/>
  <c r="AK100" i="30"/>
  <c r="AM100" i="30"/>
  <c r="T101" i="30"/>
  <c r="AD101" i="30" s="1"/>
  <c r="V101" i="30"/>
  <c r="Y101" i="30"/>
  <c r="AF101" i="30"/>
  <c r="AG101" i="30" s="1"/>
  <c r="AK101" i="30"/>
  <c r="AM101" i="30"/>
  <c r="T102" i="30"/>
  <c r="AD102" i="30" s="1"/>
  <c r="V102" i="30"/>
  <c r="Y102" i="30"/>
  <c r="AF102" i="30"/>
  <c r="AG102" i="30" s="1"/>
  <c r="AK102" i="30"/>
  <c r="AM102" i="30"/>
  <c r="T103" i="30"/>
  <c r="AD103" i="30" s="1"/>
  <c r="V103" i="30"/>
  <c r="Y103" i="30"/>
  <c r="AF103" i="30"/>
  <c r="AG103" i="30"/>
  <c r="AK103" i="30"/>
  <c r="AM103" i="30"/>
  <c r="T104" i="30"/>
  <c r="AE104" i="30" s="1"/>
  <c r="V104" i="30"/>
  <c r="Y104" i="30"/>
  <c r="AF104" i="30"/>
  <c r="AG104" i="30" s="1"/>
  <c r="AK104" i="30"/>
  <c r="AM104" i="30"/>
  <c r="T105" i="30"/>
  <c r="AD105" i="30" s="1"/>
  <c r="V105" i="30"/>
  <c r="Y105" i="30"/>
  <c r="AF105" i="30"/>
  <c r="AG105" i="30" s="1"/>
  <c r="AK105" i="30"/>
  <c r="AM105" i="30"/>
  <c r="T106" i="30"/>
  <c r="AE106" i="30" s="1"/>
  <c r="V106" i="30"/>
  <c r="Y106" i="30"/>
  <c r="AD106" i="30"/>
  <c r="AF106" i="30"/>
  <c r="AG106" i="30" s="1"/>
  <c r="AK106" i="30"/>
  <c r="AM106" i="30"/>
  <c r="T107" i="30"/>
  <c r="AD107" i="30" s="1"/>
  <c r="V107" i="30"/>
  <c r="Y107" i="30"/>
  <c r="AF107" i="30"/>
  <c r="AG107" i="30" s="1"/>
  <c r="AK107" i="30"/>
  <c r="AM107" i="30"/>
  <c r="T108" i="30"/>
  <c r="AD108" i="30" s="1"/>
  <c r="V108" i="30"/>
  <c r="Y108" i="30"/>
  <c r="AF108" i="30"/>
  <c r="AG108" i="30" s="1"/>
  <c r="AK108" i="30"/>
  <c r="AM108" i="30"/>
  <c r="T109" i="30"/>
  <c r="AD109" i="30" s="1"/>
  <c r="V109" i="30"/>
  <c r="Y109" i="30"/>
  <c r="AE109" i="30"/>
  <c r="AF109" i="30"/>
  <c r="AG109" i="30" s="1"/>
  <c r="AH109" i="30"/>
  <c r="AI109" i="30" s="1"/>
  <c r="AK109" i="30"/>
  <c r="AM109" i="30"/>
  <c r="T110" i="30"/>
  <c r="AH110" i="30" s="1"/>
  <c r="AI110" i="30" s="1"/>
  <c r="V110" i="30"/>
  <c r="Y110" i="30"/>
  <c r="AF110" i="30"/>
  <c r="AG110" i="30" s="1"/>
  <c r="AK110" i="30"/>
  <c r="AM110" i="30"/>
  <c r="T111" i="30"/>
  <c r="AH111" i="30" s="1"/>
  <c r="AI111" i="30" s="1"/>
  <c r="V111" i="30"/>
  <c r="Y111" i="30"/>
  <c r="AF111" i="30"/>
  <c r="AG111" i="30" s="1"/>
  <c r="AK111" i="30"/>
  <c r="AM111" i="30"/>
  <c r="T25" i="58"/>
  <c r="V25" i="58"/>
  <c r="Y25" i="58"/>
  <c r="AD25" i="58"/>
  <c r="AE25" i="58"/>
  <c r="AF25" i="58"/>
  <c r="AG25" i="58" s="1"/>
  <c r="AH25" i="58"/>
  <c r="AI25" i="58" s="1"/>
  <c r="AK25" i="58"/>
  <c r="AM25" i="58"/>
  <c r="T26" i="58"/>
  <c r="V26" i="58"/>
  <c r="Y26" i="58"/>
  <c r="AF26" i="58"/>
  <c r="AG26" i="58" s="1"/>
  <c r="AK26" i="58"/>
  <c r="AM26" i="58"/>
  <c r="T27" i="58"/>
  <c r="AH27" i="58" s="1"/>
  <c r="AI27" i="58" s="1"/>
  <c r="V27" i="58"/>
  <c r="Y27" i="58"/>
  <c r="AF27" i="58"/>
  <c r="AG27" i="58"/>
  <c r="AK27" i="58"/>
  <c r="AM27" i="58"/>
  <c r="T28" i="58"/>
  <c r="AD28" i="58" s="1"/>
  <c r="V28" i="58"/>
  <c r="Y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/>
  <c r="AH29" i="58"/>
  <c r="AI29" i="58"/>
  <c r="AK29" i="58"/>
  <c r="AM29" i="58"/>
  <c r="T30" i="58"/>
  <c r="AE30" i="58" s="1"/>
  <c r="V30" i="58"/>
  <c r="Y30" i="58"/>
  <c r="AD30" i="58"/>
  <c r="AF30" i="58"/>
  <c r="AG30" i="58"/>
  <c r="AL30" i="58" s="1"/>
  <c r="AH30" i="58"/>
  <c r="AI30" i="58"/>
  <c r="AJ30" i="58"/>
  <c r="AK30" i="58"/>
  <c r="AM30" i="58"/>
  <c r="AN30" i="58" s="1"/>
  <c r="T31" i="58"/>
  <c r="V31" i="58"/>
  <c r="Y31" i="58"/>
  <c r="AD31" i="58"/>
  <c r="AN31" i="58" s="1"/>
  <c r="AE31" i="58"/>
  <c r="AF31" i="58"/>
  <c r="AG31" i="58"/>
  <c r="AL31" i="58" s="1"/>
  <c r="AH31" i="58"/>
  <c r="AI31" i="58"/>
  <c r="AJ31" i="58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AN34" i="58" s="1"/>
  <c r="V34" i="58"/>
  <c r="Y34" i="58"/>
  <c r="AE34" i="58"/>
  <c r="AF34" i="58"/>
  <c r="AG34" i="58"/>
  <c r="AH34" i="58"/>
  <c r="AI34" i="58" s="1"/>
  <c r="AL34" i="58" s="1"/>
  <c r="AK34" i="58"/>
  <c r="AM34" i="58"/>
  <c r="T35" i="58"/>
  <c r="AD35" i="58" s="1"/>
  <c r="V35" i="58"/>
  <c r="Y35" i="58"/>
  <c r="AF35" i="58"/>
  <c r="AG35" i="58" s="1"/>
  <c r="AH35" i="58"/>
  <c r="AI35" i="58"/>
  <c r="AK35" i="58"/>
  <c r="AM35" i="58"/>
  <c r="T36" i="58"/>
  <c r="V36" i="58"/>
  <c r="Y36" i="58"/>
  <c r="AD36" i="58"/>
  <c r="AN36" i="58" s="1"/>
  <c r="AE36" i="58"/>
  <c r="AF36" i="58"/>
  <c r="AG36" i="58"/>
  <c r="AL36" i="58" s="1"/>
  <c r="AH36" i="58"/>
  <c r="AI36" i="58"/>
  <c r="AJ36" i="58"/>
  <c r="AK36" i="58"/>
  <c r="AM36" i="58"/>
  <c r="T37" i="58"/>
  <c r="V37" i="58"/>
  <c r="Y37" i="58"/>
  <c r="AD37" i="58"/>
  <c r="AE37" i="58"/>
  <c r="AF37" i="58"/>
  <c r="AG37" i="58" s="1"/>
  <c r="AH37" i="58"/>
  <c r="AI37" i="58" s="1"/>
  <c r="AK37" i="58"/>
  <c r="AM37" i="58"/>
  <c r="T38" i="58"/>
  <c r="V38" i="58"/>
  <c r="Y38" i="58"/>
  <c r="AF38" i="58"/>
  <c r="AG38" i="58" s="1"/>
  <c r="AK38" i="58"/>
  <c r="AM38" i="58"/>
  <c r="T39" i="58"/>
  <c r="AH39" i="58" s="1"/>
  <c r="AI39" i="58" s="1"/>
  <c r="V39" i="58"/>
  <c r="Y39" i="58"/>
  <c r="AF39" i="58"/>
  <c r="AG39" i="58"/>
  <c r="AK39" i="58"/>
  <c r="AM39" i="58"/>
  <c r="T40" i="58"/>
  <c r="AD40" i="58" s="1"/>
  <c r="V40" i="58"/>
  <c r="Y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/>
  <c r="AH41" i="58"/>
  <c r="AI41" i="58"/>
  <c r="AK41" i="58"/>
  <c r="AM41" i="58"/>
  <c r="T42" i="58"/>
  <c r="AE42" i="58" s="1"/>
  <c r="V42" i="58"/>
  <c r="Y42" i="58"/>
  <c r="AD42" i="58"/>
  <c r="AF42" i="58"/>
  <c r="AG42" i="58"/>
  <c r="AL42" i="58" s="1"/>
  <c r="AH42" i="58"/>
  <c r="AI42" i="58"/>
  <c r="AJ42" i="58"/>
  <c r="AK42" i="58"/>
  <c r="AM42" i="58"/>
  <c r="AN42" i="58" s="1"/>
  <c r="T43" i="58"/>
  <c r="V43" i="58"/>
  <c r="Y43" i="58"/>
  <c r="AD43" i="58"/>
  <c r="AN43" i="58" s="1"/>
  <c r="AE43" i="58"/>
  <c r="AF43" i="58"/>
  <c r="AG43" i="58"/>
  <c r="AH43" i="58"/>
  <c r="AI43" i="58"/>
  <c r="AJ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AN46" i="58" s="1"/>
  <c r="V46" i="58"/>
  <c r="Y46" i="58"/>
  <c r="AE46" i="58"/>
  <c r="AF46" i="58"/>
  <c r="AG46" i="58"/>
  <c r="AH46" i="58"/>
  <c r="AI46" i="58" s="1"/>
  <c r="AL46" i="58" s="1"/>
  <c r="AK46" i="58"/>
  <c r="AM46" i="58"/>
  <c r="T47" i="58"/>
  <c r="AD47" i="58" s="1"/>
  <c r="V47" i="58"/>
  <c r="Y47" i="58"/>
  <c r="AF47" i="58"/>
  <c r="AG47" i="58" s="1"/>
  <c r="AH47" i="58"/>
  <c r="AI47" i="58"/>
  <c r="AK47" i="58"/>
  <c r="AM47" i="58"/>
  <c r="T48" i="58"/>
  <c r="V48" i="58"/>
  <c r="Y48" i="58"/>
  <c r="AD48" i="58"/>
  <c r="AN48" i="58" s="1"/>
  <c r="AE48" i="58"/>
  <c r="AF48" i="58"/>
  <c r="AG48" i="58"/>
  <c r="AL48" i="58" s="1"/>
  <c r="AH48" i="58"/>
  <c r="AI48" i="58"/>
  <c r="AJ48" i="58"/>
  <c r="AK48" i="58"/>
  <c r="AM48" i="58"/>
  <c r="T49" i="58"/>
  <c r="V49" i="58"/>
  <c r="Y49" i="58"/>
  <c r="AD49" i="58"/>
  <c r="AN49" i="58" s="1"/>
  <c r="AE49" i="58"/>
  <c r="AF49" i="58"/>
  <c r="AG49" i="58" s="1"/>
  <c r="AH49" i="58"/>
  <c r="AI49" i="58" s="1"/>
  <c r="AK49" i="58"/>
  <c r="AM49" i="58"/>
  <c r="T50" i="58"/>
  <c r="V50" i="58"/>
  <c r="Y50" i="58"/>
  <c r="AF50" i="58"/>
  <c r="AG50" i="58" s="1"/>
  <c r="AK50" i="58"/>
  <c r="AM50" i="58"/>
  <c r="T51" i="58"/>
  <c r="AH51" i="58" s="1"/>
  <c r="AI51" i="58" s="1"/>
  <c r="V51" i="58"/>
  <c r="Y51" i="58"/>
  <c r="AE51" i="58"/>
  <c r="AF51" i="58"/>
  <c r="AG51" i="58"/>
  <c r="AK51" i="58"/>
  <c r="AM51" i="58"/>
  <c r="T52" i="58"/>
  <c r="AD52" i="58" s="1"/>
  <c r="V52" i="58"/>
  <c r="Y52" i="58"/>
  <c r="AF52" i="58"/>
  <c r="AG52" i="58" s="1"/>
  <c r="AH52" i="58"/>
  <c r="AI52" i="58" s="1"/>
  <c r="AK52" i="58"/>
  <c r="AM52" i="58"/>
  <c r="T53" i="58"/>
  <c r="AD53" i="58" s="1"/>
  <c r="V53" i="58"/>
  <c r="Y53" i="58"/>
  <c r="AF53" i="58"/>
  <c r="AG53" i="58"/>
  <c r="AH53" i="58"/>
  <c r="AI53" i="58"/>
  <c r="AK53" i="58"/>
  <c r="AM53" i="58"/>
  <c r="T54" i="58"/>
  <c r="AE54" i="58" s="1"/>
  <c r="V54" i="58"/>
  <c r="Y54" i="58"/>
  <c r="AD54" i="58"/>
  <c r="AF54" i="58"/>
  <c r="AG54" i="58"/>
  <c r="AH54" i="58"/>
  <c r="AI54" i="58" s="1"/>
  <c r="AJ54" i="58"/>
  <c r="AK54" i="58"/>
  <c r="AM54" i="58"/>
  <c r="AN54" i="58" s="1"/>
  <c r="T55" i="58"/>
  <c r="V55" i="58"/>
  <c r="Y55" i="58"/>
  <c r="AD55" i="58"/>
  <c r="AN55" i="58" s="1"/>
  <c r="AE55" i="58"/>
  <c r="AF55" i="58"/>
  <c r="AG55" i="58"/>
  <c r="AL55" i="58" s="1"/>
  <c r="AH55" i="58"/>
  <c r="AI55" i="58"/>
  <c r="AJ55" i="58" s="1"/>
  <c r="AK55" i="58"/>
  <c r="AM55" i="58"/>
  <c r="T56" i="58"/>
  <c r="AD56" i="58" s="1"/>
  <c r="V56" i="58"/>
  <c r="Y56" i="58"/>
  <c r="AF56" i="58"/>
  <c r="AG56" i="58" s="1"/>
  <c r="AK56" i="58"/>
  <c r="AM56" i="58"/>
  <c r="T57" i="58"/>
  <c r="AD57" i="58" s="1"/>
  <c r="V57" i="58"/>
  <c r="Y57" i="58"/>
  <c r="AF57" i="58"/>
  <c r="AG57" i="58"/>
  <c r="AK57" i="58"/>
  <c r="AM57" i="58"/>
  <c r="T58" i="58"/>
  <c r="AD58" i="58" s="1"/>
  <c r="AN58" i="58" s="1"/>
  <c r="V58" i="58"/>
  <c r="Y58" i="58"/>
  <c r="AE58" i="58"/>
  <c r="AF58" i="58"/>
  <c r="AG58" i="58"/>
  <c r="AJ58" i="58" s="1"/>
  <c r="AH58" i="58"/>
  <c r="AI58" i="58" s="1"/>
  <c r="AL58" i="58" s="1"/>
  <c r="AK58" i="58"/>
  <c r="AM58" i="58"/>
  <c r="T59" i="58"/>
  <c r="AD59" i="58" s="1"/>
  <c r="V59" i="58"/>
  <c r="Y59" i="58"/>
  <c r="AF59" i="58"/>
  <c r="AG59" i="58" s="1"/>
  <c r="AH59" i="58"/>
  <c r="AI59" i="58"/>
  <c r="AK59" i="58"/>
  <c r="AM59" i="58"/>
  <c r="T60" i="58"/>
  <c r="V60" i="58"/>
  <c r="Y60" i="58"/>
  <c r="AD60" i="58"/>
  <c r="AN60" i="58" s="1"/>
  <c r="AE60" i="58"/>
  <c r="AF60" i="58"/>
  <c r="AG60" i="58"/>
  <c r="AL60" i="58" s="1"/>
  <c r="AH60" i="58"/>
  <c r="AI60" i="58"/>
  <c r="AJ60" i="58"/>
  <c r="AK60" i="58"/>
  <c r="AM60" i="58"/>
  <c r="T61" i="58"/>
  <c r="V61" i="58"/>
  <c r="Y61" i="58"/>
  <c r="AD61" i="58"/>
  <c r="AE61" i="58"/>
  <c r="AF61" i="58"/>
  <c r="AG61" i="58" s="1"/>
  <c r="AH61" i="58"/>
  <c r="AI61" i="58" s="1"/>
  <c r="AK61" i="58"/>
  <c r="AM61" i="58"/>
  <c r="T62" i="58"/>
  <c r="V62" i="58"/>
  <c r="Y62" i="58"/>
  <c r="AD62" i="58"/>
  <c r="AF62" i="58"/>
  <c r="AG62" i="58" s="1"/>
  <c r="AK62" i="58"/>
  <c r="AM62" i="58"/>
  <c r="T63" i="58"/>
  <c r="AH63" i="58" s="1"/>
  <c r="AI63" i="58" s="1"/>
  <c r="V63" i="58"/>
  <c r="Y63" i="58"/>
  <c r="AE63" i="58"/>
  <c r="AF63" i="58"/>
  <c r="AG63" i="58"/>
  <c r="AK63" i="58"/>
  <c r="AM63" i="58"/>
  <c r="T64" i="58"/>
  <c r="V64" i="58"/>
  <c r="Y64" i="58"/>
  <c r="AF64" i="58"/>
  <c r="AG64" i="58"/>
  <c r="AH64" i="58"/>
  <c r="AI64" i="58" s="1"/>
  <c r="AK64" i="58"/>
  <c r="AM64" i="58"/>
  <c r="T65" i="58"/>
  <c r="AD65" i="58" s="1"/>
  <c r="V65" i="58"/>
  <c r="Y65" i="58"/>
  <c r="AF65" i="58"/>
  <c r="AG65" i="58"/>
  <c r="AH65" i="58"/>
  <c r="AI65" i="58"/>
  <c r="AK65" i="58"/>
  <c r="AM65" i="58"/>
  <c r="T66" i="58"/>
  <c r="AE66" i="58" s="1"/>
  <c r="V66" i="58"/>
  <c r="Y66" i="58"/>
  <c r="AD66" i="58"/>
  <c r="AF66" i="58"/>
  <c r="AG66" i="58"/>
  <c r="AH66" i="58"/>
  <c r="AI66" i="58"/>
  <c r="AJ66" i="58" s="1"/>
  <c r="AK66" i="58"/>
  <c r="AM66" i="58"/>
  <c r="AN66" i="58" s="1"/>
  <c r="T67" i="58"/>
  <c r="V67" i="58"/>
  <c r="Y67" i="58"/>
  <c r="AD67" i="58"/>
  <c r="AE67" i="58"/>
  <c r="AF67" i="58"/>
  <c r="AG67" i="58"/>
  <c r="AH67" i="58"/>
  <c r="AI67" i="58"/>
  <c r="AJ67" i="58" s="1"/>
  <c r="AK67" i="58"/>
  <c r="AM67" i="58"/>
  <c r="T68" i="58"/>
  <c r="V68" i="58"/>
  <c r="Y68" i="58"/>
  <c r="AF68" i="58"/>
  <c r="AG68" i="58" s="1"/>
  <c r="AK68" i="58"/>
  <c r="AM68" i="58"/>
  <c r="T69" i="58"/>
  <c r="AD69" i="58" s="1"/>
  <c r="V69" i="58"/>
  <c r="Y69" i="58"/>
  <c r="AF69" i="58"/>
  <c r="AG69" i="58"/>
  <c r="AK69" i="58"/>
  <c r="AM69" i="58"/>
  <c r="T70" i="58"/>
  <c r="AD70" i="58" s="1"/>
  <c r="V70" i="58"/>
  <c r="Y70" i="58"/>
  <c r="AE70" i="58"/>
  <c r="AF70" i="58"/>
  <c r="AG70" i="58"/>
  <c r="AJ70" i="58" s="1"/>
  <c r="AH70" i="58"/>
  <c r="AI70" i="58" s="1"/>
  <c r="AK70" i="58"/>
  <c r="AL70" i="58"/>
  <c r="AM70" i="58"/>
  <c r="AN70" i="58"/>
  <c r="T71" i="58"/>
  <c r="AD71" i="58" s="1"/>
  <c r="V71" i="58"/>
  <c r="Y71" i="58"/>
  <c r="AF71" i="58"/>
  <c r="AG71" i="58" s="1"/>
  <c r="AH71" i="58"/>
  <c r="AI71" i="58"/>
  <c r="AK71" i="58"/>
  <c r="AM71" i="58"/>
  <c r="T72" i="58"/>
  <c r="AE72" i="58" s="1"/>
  <c r="V72" i="58"/>
  <c r="Y72" i="58"/>
  <c r="AD72" i="58"/>
  <c r="AF72" i="58"/>
  <c r="AG72" i="58"/>
  <c r="AL72" i="58" s="1"/>
  <c r="AH72" i="58"/>
  <c r="AI72" i="58"/>
  <c r="AJ72" i="58" s="1"/>
  <c r="AK72" i="58"/>
  <c r="AM72" i="58"/>
  <c r="AN72" i="58"/>
  <c r="T73" i="58"/>
  <c r="V73" i="58"/>
  <c r="Y73" i="58"/>
  <c r="AD73" i="58"/>
  <c r="AN73" i="58" s="1"/>
  <c r="AE73" i="58"/>
  <c r="AF73" i="58"/>
  <c r="AG73" i="58"/>
  <c r="AH73" i="58"/>
  <c r="AI73" i="58" s="1"/>
  <c r="AJ73" i="58" s="1"/>
  <c r="AK73" i="58"/>
  <c r="AM73" i="58"/>
  <c r="T74" i="58"/>
  <c r="AH74" i="58" s="1"/>
  <c r="AI74" i="58" s="1"/>
  <c r="V74" i="58"/>
  <c r="Y74" i="58"/>
  <c r="AF74" i="58"/>
  <c r="AG74" i="58" s="1"/>
  <c r="AK74" i="58"/>
  <c r="AM74" i="58"/>
  <c r="T75" i="58"/>
  <c r="V75" i="58"/>
  <c r="Y75" i="58"/>
  <c r="AE75" i="58"/>
  <c r="AF75" i="58"/>
  <c r="AG75" i="58"/>
  <c r="AK75" i="58"/>
  <c r="AM75" i="58"/>
  <c r="T76" i="58"/>
  <c r="V76" i="58"/>
  <c r="Y76" i="58"/>
  <c r="AF76" i="58"/>
  <c r="AG76" i="58"/>
  <c r="AH76" i="58"/>
  <c r="AI76" i="58" s="1"/>
  <c r="AK76" i="58"/>
  <c r="AM76" i="58"/>
  <c r="T77" i="58"/>
  <c r="AD77" i="58" s="1"/>
  <c r="V77" i="58"/>
  <c r="Y77" i="58"/>
  <c r="AF77" i="58"/>
  <c r="AG77" i="58"/>
  <c r="AH77" i="58"/>
  <c r="AI77" i="58"/>
  <c r="AK77" i="58"/>
  <c r="AL77" i="58"/>
  <c r="AM77" i="58"/>
  <c r="T78" i="58"/>
  <c r="AE78" i="58" s="1"/>
  <c r="V78" i="58"/>
  <c r="Y78" i="58"/>
  <c r="AD78" i="58"/>
  <c r="AF78" i="58"/>
  <c r="AG78" i="58"/>
  <c r="AL78" i="58" s="1"/>
  <c r="AH78" i="58"/>
  <c r="AI78" i="58"/>
  <c r="AJ78" i="58"/>
  <c r="AK78" i="58"/>
  <c r="AM78" i="58"/>
  <c r="T79" i="58"/>
  <c r="V79" i="58"/>
  <c r="Y79" i="58"/>
  <c r="AD79" i="58"/>
  <c r="AN79" i="58" s="1"/>
  <c r="AE79" i="58"/>
  <c r="AF79" i="58"/>
  <c r="AG79" i="58"/>
  <c r="AH79" i="58"/>
  <c r="AI79" i="58" s="1"/>
  <c r="AJ79" i="58" s="1"/>
  <c r="AK79" i="58"/>
  <c r="AM79" i="58"/>
  <c r="T80" i="58"/>
  <c r="V80" i="58"/>
  <c r="Y80" i="58"/>
  <c r="AE80" i="58"/>
  <c r="AF80" i="58"/>
  <c r="AG80" i="58" s="1"/>
  <c r="AK80" i="58"/>
  <c r="AM80" i="58"/>
  <c r="T81" i="58"/>
  <c r="V81" i="58"/>
  <c r="Y81" i="58"/>
  <c r="AF81" i="58"/>
  <c r="AG81" i="58" s="1"/>
  <c r="AK81" i="58"/>
  <c r="AM81" i="58"/>
  <c r="T82" i="58"/>
  <c r="AD82" i="58" s="1"/>
  <c r="V82" i="58"/>
  <c r="Y82" i="58"/>
  <c r="AE82" i="58"/>
  <c r="AF82" i="58"/>
  <c r="AG82" i="58"/>
  <c r="AH82" i="58"/>
  <c r="AI82" i="58" s="1"/>
  <c r="AK82" i="58"/>
  <c r="AM82" i="58"/>
  <c r="AN82" i="58"/>
  <c r="T83" i="58"/>
  <c r="V83" i="58"/>
  <c r="Y83" i="58"/>
  <c r="AF83" i="58"/>
  <c r="AG83" i="58" s="1"/>
  <c r="AH83" i="58"/>
  <c r="AI83" i="58" s="1"/>
  <c r="AK83" i="58"/>
  <c r="AM83" i="58"/>
  <c r="T84" i="58"/>
  <c r="AE84" i="58" s="1"/>
  <c r="V84" i="58"/>
  <c r="Y84" i="58"/>
  <c r="AD84" i="58"/>
  <c r="AF84" i="58"/>
  <c r="AG84" i="58" s="1"/>
  <c r="AH84" i="58"/>
  <c r="AI84" i="58" s="1"/>
  <c r="AK84" i="58"/>
  <c r="AM84" i="58"/>
  <c r="T85" i="58"/>
  <c r="AD85" i="58" s="1"/>
  <c r="V85" i="58"/>
  <c r="Y85" i="58"/>
  <c r="AF85" i="58"/>
  <c r="AG85" i="58"/>
  <c r="AH85" i="58"/>
  <c r="AI85" i="58" s="1"/>
  <c r="AK85" i="58"/>
  <c r="AM85" i="58"/>
  <c r="T86" i="58"/>
  <c r="AE86" i="58" s="1"/>
  <c r="AN86" i="58" s="1"/>
  <c r="V86" i="58"/>
  <c r="Y86" i="58"/>
  <c r="AD86" i="58"/>
  <c r="AF86" i="58"/>
  <c r="AG86" i="58"/>
  <c r="AH86" i="58"/>
  <c r="AI86" i="58" s="1"/>
  <c r="AL86" i="58" s="1"/>
  <c r="AK86" i="58"/>
  <c r="AM86" i="58"/>
  <c r="T87" i="58"/>
  <c r="AD87" i="58" s="1"/>
  <c r="V87" i="58"/>
  <c r="Y87" i="58"/>
  <c r="AE87" i="58"/>
  <c r="AF87" i="58"/>
  <c r="AG87" i="58"/>
  <c r="AL87" i="58" s="1"/>
  <c r="AH87" i="58"/>
  <c r="AI87" i="58"/>
  <c r="AJ87" i="58"/>
  <c r="AK87" i="58"/>
  <c r="AM87" i="58"/>
  <c r="AN87" i="58" s="1"/>
  <c r="T88" i="58"/>
  <c r="AE88" i="58" s="1"/>
  <c r="V88" i="58"/>
  <c r="Y88" i="58"/>
  <c r="AD88" i="58"/>
  <c r="AN88" i="58" s="1"/>
  <c r="AF88" i="58"/>
  <c r="AG88" i="58" s="1"/>
  <c r="AK88" i="58"/>
  <c r="AM88" i="58"/>
  <c r="T89" i="58"/>
  <c r="V89" i="58"/>
  <c r="Y89" i="58"/>
  <c r="AD89" i="58"/>
  <c r="AE89" i="58"/>
  <c r="AF89" i="58"/>
  <c r="AG89" i="58"/>
  <c r="AH89" i="58"/>
  <c r="AI89" i="58"/>
  <c r="AJ89" i="58"/>
  <c r="AK89" i="58"/>
  <c r="AL89" i="58"/>
  <c r="AM89" i="58"/>
  <c r="AN89" i="58" s="1"/>
  <c r="T90" i="58"/>
  <c r="AD90" i="58" s="1"/>
  <c r="V90" i="58"/>
  <c r="Y90" i="58"/>
  <c r="AF90" i="58"/>
  <c r="AG90" i="58" s="1"/>
  <c r="AK90" i="58"/>
  <c r="AM90" i="58"/>
  <c r="T91" i="58"/>
  <c r="AD91" i="58" s="1"/>
  <c r="V91" i="58"/>
  <c r="Y91" i="58"/>
  <c r="AE91" i="58"/>
  <c r="AF91" i="58"/>
  <c r="AG91" i="58"/>
  <c r="AK91" i="58"/>
  <c r="AM91" i="58"/>
  <c r="AN91" i="58"/>
  <c r="T92" i="58"/>
  <c r="AD92" i="58" s="1"/>
  <c r="V92" i="58"/>
  <c r="Y92" i="58"/>
  <c r="AF92" i="58"/>
  <c r="AG92" i="58" s="1"/>
  <c r="AH92" i="58"/>
  <c r="AI92" i="58" s="1"/>
  <c r="AK92" i="58"/>
  <c r="AM92" i="58"/>
  <c r="T93" i="58"/>
  <c r="AE93" i="58" s="1"/>
  <c r="V93" i="58"/>
  <c r="Y93" i="58"/>
  <c r="AD93" i="58"/>
  <c r="AF93" i="58"/>
  <c r="AG93" i="58"/>
  <c r="AH93" i="58"/>
  <c r="AI93" i="58"/>
  <c r="AK93" i="58"/>
  <c r="AM93" i="58"/>
  <c r="T94" i="58"/>
  <c r="V94" i="58"/>
  <c r="Y94" i="58"/>
  <c r="AD94" i="58"/>
  <c r="AN94" i="58" s="1"/>
  <c r="AE94" i="58"/>
  <c r="AF94" i="58"/>
  <c r="AG94" i="58"/>
  <c r="AH94" i="58"/>
  <c r="AI94" i="58" s="1"/>
  <c r="AL94" i="58" s="1"/>
  <c r="AJ94" i="58"/>
  <c r="AK94" i="58"/>
  <c r="AM94" i="58"/>
  <c r="T95" i="58"/>
  <c r="V95" i="58"/>
  <c r="Y95" i="58"/>
  <c r="AE95" i="58"/>
  <c r="AF95" i="58"/>
  <c r="AG95" i="58" s="1"/>
  <c r="AK95" i="58"/>
  <c r="AM95" i="58"/>
  <c r="T96" i="58"/>
  <c r="V96" i="58"/>
  <c r="Y96" i="58"/>
  <c r="AF96" i="58"/>
  <c r="AG96" i="58"/>
  <c r="AK96" i="58"/>
  <c r="AM96" i="58"/>
  <c r="T97" i="58"/>
  <c r="AD97" i="58" s="1"/>
  <c r="V97" i="58"/>
  <c r="Y97" i="58"/>
  <c r="AF97" i="58"/>
  <c r="AG97" i="58"/>
  <c r="AH97" i="58"/>
  <c r="AI97" i="58" s="1"/>
  <c r="AK97" i="58"/>
  <c r="AM97" i="58"/>
  <c r="T98" i="58"/>
  <c r="AE98" i="58" s="1"/>
  <c r="AN98" i="58" s="1"/>
  <c r="V98" i="58"/>
  <c r="Y98" i="58"/>
  <c r="AD98" i="58"/>
  <c r="AF98" i="58"/>
  <c r="AG98" i="58"/>
  <c r="AH98" i="58"/>
  <c r="AI98" i="58" s="1"/>
  <c r="AL98" i="58" s="1"/>
  <c r="AK98" i="58"/>
  <c r="AM98" i="58"/>
  <c r="T99" i="58"/>
  <c r="V99" i="58"/>
  <c r="Y99" i="58"/>
  <c r="AD99" i="58"/>
  <c r="AE99" i="58"/>
  <c r="AF99" i="58"/>
  <c r="AG99" i="58"/>
  <c r="AH99" i="58"/>
  <c r="AI99" i="58"/>
  <c r="AJ99" i="58"/>
  <c r="AK99" i="58"/>
  <c r="AM99" i="58"/>
  <c r="AN99" i="58" s="1"/>
  <c r="T100" i="58"/>
  <c r="AE100" i="58" s="1"/>
  <c r="V100" i="58"/>
  <c r="Y100" i="58"/>
  <c r="AD100" i="58"/>
  <c r="AF100" i="58"/>
  <c r="AG100" i="58" s="1"/>
  <c r="AK100" i="58"/>
  <c r="AM100" i="58"/>
  <c r="AN100" i="58"/>
  <c r="T101" i="58"/>
  <c r="V101" i="58"/>
  <c r="Y101" i="58"/>
  <c r="AD101" i="58"/>
  <c r="AE101" i="58"/>
  <c r="AF101" i="58"/>
  <c r="AG101" i="58"/>
  <c r="AH101" i="58"/>
  <c r="AI101" i="58"/>
  <c r="AJ101" i="58"/>
  <c r="AK101" i="58"/>
  <c r="AL101" i="58"/>
  <c r="AM101" i="58"/>
  <c r="T102" i="58"/>
  <c r="V102" i="58"/>
  <c r="Y102" i="58"/>
  <c r="AD102" i="58"/>
  <c r="AF102" i="58"/>
  <c r="AG102" i="58" s="1"/>
  <c r="AK102" i="58"/>
  <c r="AM102" i="58"/>
  <c r="T103" i="58"/>
  <c r="AD103" i="58" s="1"/>
  <c r="AN103" i="58" s="1"/>
  <c r="V103" i="58"/>
  <c r="Y103" i="58"/>
  <c r="AE103" i="58"/>
  <c r="AF103" i="58"/>
  <c r="AG103" i="58"/>
  <c r="AJ103" i="58" s="1"/>
  <c r="AH103" i="58"/>
  <c r="AI103" i="58"/>
  <c r="AK103" i="58"/>
  <c r="AL103" i="58"/>
  <c r="AM103" i="58"/>
  <c r="T104" i="58"/>
  <c r="AH104" i="58" s="1"/>
  <c r="AI104" i="58" s="1"/>
  <c r="V104" i="58"/>
  <c r="Y104" i="58"/>
  <c r="AF104" i="58"/>
  <c r="AG104" i="58" s="1"/>
  <c r="AK104" i="58"/>
  <c r="AM104" i="58"/>
  <c r="T105" i="58"/>
  <c r="AE105" i="58" s="1"/>
  <c r="V105" i="58"/>
  <c r="Y105" i="58"/>
  <c r="AD105" i="58"/>
  <c r="AF105" i="58"/>
  <c r="AG105" i="58"/>
  <c r="AH105" i="58"/>
  <c r="AI105" i="58"/>
  <c r="AK105" i="58"/>
  <c r="AM105" i="58"/>
  <c r="AN105" i="58"/>
  <c r="T106" i="58"/>
  <c r="V106" i="58"/>
  <c r="Y106" i="58"/>
  <c r="AD106" i="58"/>
  <c r="AE106" i="58"/>
  <c r="AF106" i="58"/>
  <c r="AG106" i="58"/>
  <c r="AH106" i="58"/>
  <c r="AI106" i="58" s="1"/>
  <c r="AL106" i="58" s="1"/>
  <c r="AJ106" i="58"/>
  <c r="AK106" i="58"/>
  <c r="AM106" i="58"/>
  <c r="T107" i="58"/>
  <c r="AH107" i="58" s="1"/>
  <c r="V107" i="58"/>
  <c r="Y107" i="58"/>
  <c r="AD107" i="58"/>
  <c r="AE107" i="58"/>
  <c r="AF107" i="58"/>
  <c r="AG107" i="58" s="1"/>
  <c r="AI107" i="58"/>
  <c r="AK107" i="58"/>
  <c r="AM107" i="58"/>
  <c r="T108" i="58"/>
  <c r="V108" i="58"/>
  <c r="Y108" i="58"/>
  <c r="AE108" i="58"/>
  <c r="AF108" i="58"/>
  <c r="AG108" i="58" s="1"/>
  <c r="AK108" i="58"/>
  <c r="AM108" i="58"/>
  <c r="T109" i="58"/>
  <c r="V109" i="58"/>
  <c r="Y109" i="58"/>
  <c r="AF109" i="58"/>
  <c r="AG109" i="58"/>
  <c r="AH109" i="58"/>
  <c r="AI109" i="58" s="1"/>
  <c r="AK109" i="58"/>
  <c r="AM109" i="58"/>
  <c r="T110" i="58"/>
  <c r="AE110" i="58" s="1"/>
  <c r="V110" i="58"/>
  <c r="Y110" i="58"/>
  <c r="AD110" i="58"/>
  <c r="AF110" i="58"/>
  <c r="AG110" i="58"/>
  <c r="AH110" i="58"/>
  <c r="AI110" i="58"/>
  <c r="AK110" i="58"/>
  <c r="AM110" i="58"/>
  <c r="AN110" i="58"/>
  <c r="T111" i="58"/>
  <c r="V111" i="58"/>
  <c r="Y111" i="58"/>
  <c r="AD111" i="58"/>
  <c r="AE111" i="58"/>
  <c r="AF111" i="58"/>
  <c r="AG111" i="58"/>
  <c r="AH111" i="58"/>
  <c r="AI111" i="58"/>
  <c r="AJ111" i="58" s="1"/>
  <c r="AK111" i="58"/>
  <c r="AM111" i="58"/>
  <c r="AN111" i="58" s="1"/>
  <c r="T112" i="58"/>
  <c r="V112" i="58"/>
  <c r="Y112" i="58"/>
  <c r="AD112" i="58"/>
  <c r="AF112" i="58"/>
  <c r="AG112" i="58" s="1"/>
  <c r="AK112" i="58"/>
  <c r="AM112" i="58"/>
  <c r="T113" i="58"/>
  <c r="AD113" i="58" s="1"/>
  <c r="V113" i="58"/>
  <c r="Y113" i="58"/>
  <c r="AE113" i="58"/>
  <c r="AF113" i="58"/>
  <c r="AG113" i="58"/>
  <c r="AK113" i="58"/>
  <c r="AM113" i="58"/>
  <c r="T114" i="58"/>
  <c r="AE114" i="58" s="1"/>
  <c r="V114" i="58"/>
  <c r="Y114" i="58"/>
  <c r="AF114" i="58"/>
  <c r="AG114" i="58" s="1"/>
  <c r="AK114" i="58"/>
  <c r="AM114" i="58"/>
  <c r="T115" i="58"/>
  <c r="AD115" i="58" s="1"/>
  <c r="AN115" i="58" s="1"/>
  <c r="V115" i="58"/>
  <c r="Y115" i="58"/>
  <c r="AE115" i="58"/>
  <c r="AF115" i="58"/>
  <c r="AG115" i="58"/>
  <c r="AH115" i="58"/>
  <c r="AI115" i="58"/>
  <c r="AK115" i="58"/>
  <c r="AL115" i="58"/>
  <c r="AM115" i="58"/>
  <c r="T116" i="58"/>
  <c r="V116" i="58"/>
  <c r="Y116" i="58"/>
  <c r="AF116" i="58"/>
  <c r="AG116" i="58" s="1"/>
  <c r="AJ116" i="58" s="1"/>
  <c r="AH116" i="58"/>
  <c r="AI116" i="58" s="1"/>
  <c r="AK116" i="58"/>
  <c r="AM116" i="58"/>
  <c r="T117" i="58"/>
  <c r="AE117" i="58" s="1"/>
  <c r="V117" i="58"/>
  <c r="Y117" i="58"/>
  <c r="AD117" i="58"/>
  <c r="AF117" i="58"/>
  <c r="AG117" i="58"/>
  <c r="AH117" i="58"/>
  <c r="AI117" i="58"/>
  <c r="AK117" i="58"/>
  <c r="AM117" i="58"/>
  <c r="AN117" i="58"/>
  <c r="T118" i="58"/>
  <c r="V118" i="58"/>
  <c r="Y118" i="58"/>
  <c r="AD118" i="58"/>
  <c r="AE118" i="58"/>
  <c r="AN118" i="58" s="1"/>
  <c r="AF118" i="58"/>
  <c r="AG118" i="58"/>
  <c r="AH118" i="58"/>
  <c r="AI118" i="58" s="1"/>
  <c r="AJ118" i="58" s="1"/>
  <c r="AK118" i="58"/>
  <c r="AM118" i="58"/>
  <c r="T119" i="58"/>
  <c r="AH119" i="58" s="1"/>
  <c r="V119" i="58"/>
  <c r="Y119" i="58"/>
  <c r="AD119" i="58"/>
  <c r="AE119" i="58"/>
  <c r="AF119" i="58"/>
  <c r="AG119" i="58" s="1"/>
  <c r="AI119" i="58"/>
  <c r="AK119" i="58"/>
  <c r="AM119" i="58"/>
  <c r="AN119" i="58" s="1"/>
  <c r="T120" i="58"/>
  <c r="AH120" i="58" s="1"/>
  <c r="AI120" i="58" s="1"/>
  <c r="AJ120" i="58" s="1"/>
  <c r="V120" i="58"/>
  <c r="Y120" i="58"/>
  <c r="AF120" i="58"/>
  <c r="AG120" i="58"/>
  <c r="AL120" i="58" s="1"/>
  <c r="AK120" i="58"/>
  <c r="AM120" i="58"/>
  <c r="T121" i="58"/>
  <c r="AD121" i="58" s="1"/>
  <c r="V121" i="58"/>
  <c r="Y121" i="58"/>
  <c r="AF121" i="58"/>
  <c r="AG121" i="58"/>
  <c r="AK121" i="58"/>
  <c r="AM121" i="58"/>
  <c r="T122" i="58"/>
  <c r="AE122" i="58" s="1"/>
  <c r="V122" i="58"/>
  <c r="Y122" i="58"/>
  <c r="AF122" i="58"/>
  <c r="AG122" i="58"/>
  <c r="AH122" i="58"/>
  <c r="AI122" i="58"/>
  <c r="AK122" i="58"/>
  <c r="AL122" i="58"/>
  <c r="AM122" i="58"/>
  <c r="T123" i="58"/>
  <c r="AD123" i="58" s="1"/>
  <c r="AN123" i="58" s="1"/>
  <c r="V123" i="58"/>
  <c r="Y123" i="58"/>
  <c r="AE123" i="58"/>
  <c r="AF123" i="58"/>
  <c r="AG123" i="58" s="1"/>
  <c r="AH123" i="58"/>
  <c r="AI123" i="58" s="1"/>
  <c r="AK123" i="58"/>
  <c r="AM123" i="58"/>
  <c r="T124" i="58"/>
  <c r="V124" i="58"/>
  <c r="Y124" i="58"/>
  <c r="AD124" i="58"/>
  <c r="AN124" i="58" s="1"/>
  <c r="AE124" i="58"/>
  <c r="AF124" i="58"/>
  <c r="AG124" i="58"/>
  <c r="AH124" i="58"/>
  <c r="AI124" i="58" s="1"/>
  <c r="AJ124" i="58" s="1"/>
  <c r="AK124" i="58"/>
  <c r="AM124" i="58"/>
  <c r="T125" i="58"/>
  <c r="AD125" i="58" s="1"/>
  <c r="V125" i="58"/>
  <c r="Y125" i="58"/>
  <c r="AF125" i="58"/>
  <c r="AG125" i="58"/>
  <c r="AH125" i="58"/>
  <c r="AI125" i="58" s="1"/>
  <c r="AK125" i="58"/>
  <c r="AM125" i="58"/>
  <c r="T126" i="58"/>
  <c r="AD126" i="58" s="1"/>
  <c r="V126" i="58"/>
  <c r="Y126" i="58"/>
  <c r="AF126" i="58"/>
  <c r="AG126" i="58"/>
  <c r="AJ126" i="58" s="1"/>
  <c r="AH126" i="58"/>
  <c r="AI126" i="58"/>
  <c r="AK126" i="58"/>
  <c r="AM126" i="58"/>
  <c r="T127" i="58"/>
  <c r="AE127" i="58" s="1"/>
  <c r="V127" i="58"/>
  <c r="Y127" i="58"/>
  <c r="AD127" i="58"/>
  <c r="AF127" i="58"/>
  <c r="AG127" i="58"/>
  <c r="AL127" i="58" s="1"/>
  <c r="AH127" i="58"/>
  <c r="AI127" i="58"/>
  <c r="AJ127" i="58"/>
  <c r="AK127" i="58"/>
  <c r="AM127" i="58"/>
  <c r="T128" i="58"/>
  <c r="V128" i="58"/>
  <c r="Y128" i="58"/>
  <c r="AD128" i="58"/>
  <c r="AE128" i="58"/>
  <c r="AN128" i="58" s="1"/>
  <c r="AF128" i="58"/>
  <c r="AG128" i="58"/>
  <c r="AL128" i="58" s="1"/>
  <c r="AH128" i="58"/>
  <c r="AI128" i="58"/>
  <c r="AJ128" i="58"/>
  <c r="AK128" i="58"/>
  <c r="AM128" i="58"/>
  <c r="T129" i="58"/>
  <c r="AH129" i="58" s="1"/>
  <c r="AI129" i="58" s="1"/>
  <c r="V129" i="58"/>
  <c r="Y129" i="58"/>
  <c r="AF129" i="58"/>
  <c r="AG129" i="58" s="1"/>
  <c r="AK129" i="58"/>
  <c r="AM129" i="58"/>
  <c r="T130" i="58"/>
  <c r="AH130" i="58" s="1"/>
  <c r="AI130" i="58" s="1"/>
  <c r="V130" i="58"/>
  <c r="Y130" i="58"/>
  <c r="AD130" i="58"/>
  <c r="AE130" i="58"/>
  <c r="AF130" i="58"/>
  <c r="AG130" i="58"/>
  <c r="AK130" i="58"/>
  <c r="AM130" i="58"/>
  <c r="AN130" i="58" s="1"/>
  <c r="T131" i="58"/>
  <c r="AD131" i="58" s="1"/>
  <c r="AN131" i="58" s="1"/>
  <c r="V131" i="58"/>
  <c r="Y131" i="58"/>
  <c r="AE131" i="58"/>
  <c r="AF131" i="58"/>
  <c r="AG131" i="58" s="1"/>
  <c r="AH131" i="58"/>
  <c r="AI131" i="58" s="1"/>
  <c r="AK131" i="58"/>
  <c r="AM131" i="58"/>
  <c r="T132" i="58"/>
  <c r="AD132" i="58" s="1"/>
  <c r="V132" i="58"/>
  <c r="Y132" i="58"/>
  <c r="AF132" i="58"/>
  <c r="AG132" i="58" s="1"/>
  <c r="AK132" i="58"/>
  <c r="AM132" i="58"/>
  <c r="T133" i="58"/>
  <c r="AE133" i="58" s="1"/>
  <c r="V133" i="58"/>
  <c r="Y133" i="58"/>
  <c r="AD133" i="58"/>
  <c r="AN133" i="58" s="1"/>
  <c r="AF133" i="58"/>
  <c r="AG133" i="58"/>
  <c r="AL133" i="58" s="1"/>
  <c r="AH133" i="58"/>
  <c r="AI133" i="58" s="1"/>
  <c r="AJ133" i="58" s="1"/>
  <c r="AK133" i="58"/>
  <c r="AM133" i="58"/>
  <c r="T134" i="58"/>
  <c r="V134" i="58"/>
  <c r="Y134" i="58"/>
  <c r="AD134" i="58"/>
  <c r="AN134" i="58" s="1"/>
  <c r="AE134" i="58"/>
  <c r="AF134" i="58"/>
  <c r="AG134" i="58"/>
  <c r="AL134" i="58" s="1"/>
  <c r="AH134" i="58"/>
  <c r="AI134" i="58" s="1"/>
  <c r="AJ134" i="58" s="1"/>
  <c r="AK134" i="58"/>
  <c r="AM134" i="58"/>
  <c r="T135" i="58"/>
  <c r="AH135" i="58" s="1"/>
  <c r="AI135" i="58" s="1"/>
  <c r="V135" i="58"/>
  <c r="Y135" i="58"/>
  <c r="AF135" i="58"/>
  <c r="AG135" i="58" s="1"/>
  <c r="AK135" i="58"/>
  <c r="AM135" i="58"/>
  <c r="T136" i="58"/>
  <c r="AE136" i="58" s="1"/>
  <c r="V136" i="58"/>
  <c r="Y136" i="58"/>
  <c r="AF136" i="58"/>
  <c r="AG136" i="58"/>
  <c r="AK136" i="58"/>
  <c r="AM136" i="58"/>
  <c r="T137" i="58"/>
  <c r="AE137" i="58" s="1"/>
  <c r="V137" i="58"/>
  <c r="Y137" i="58"/>
  <c r="AF137" i="58"/>
  <c r="AG137" i="58"/>
  <c r="AH137" i="58"/>
  <c r="AI137" i="58" s="1"/>
  <c r="AK137" i="58"/>
  <c r="AM137" i="58"/>
  <c r="T138" i="58"/>
  <c r="AD138" i="58" s="1"/>
  <c r="V138" i="58"/>
  <c r="Y138" i="58"/>
  <c r="AF138" i="58"/>
  <c r="AG138" i="58"/>
  <c r="AJ138" i="58" s="1"/>
  <c r="AH138" i="58"/>
  <c r="AI138" i="58"/>
  <c r="AK138" i="58"/>
  <c r="AM138" i="58"/>
  <c r="T139" i="58"/>
  <c r="AE139" i="58" s="1"/>
  <c r="V139" i="58"/>
  <c r="Y139" i="58"/>
  <c r="AD139" i="58"/>
  <c r="AF139" i="58"/>
  <c r="AG139" i="58"/>
  <c r="AL139" i="58" s="1"/>
  <c r="AH139" i="58"/>
  <c r="AI139" i="58"/>
  <c r="AJ139" i="58"/>
  <c r="AK139" i="58"/>
  <c r="AM139" i="58"/>
  <c r="T140" i="58"/>
  <c r="V140" i="58"/>
  <c r="Y140" i="58"/>
  <c r="AD140" i="58"/>
  <c r="AE140" i="58"/>
  <c r="AN140" i="58" s="1"/>
  <c r="AF140" i="58"/>
  <c r="AG140" i="58"/>
  <c r="AH140" i="58"/>
  <c r="AI140" i="58"/>
  <c r="AL140" i="58" s="1"/>
  <c r="AJ140" i="58"/>
  <c r="AK140" i="58"/>
  <c r="AM140" i="58"/>
  <c r="T141" i="58"/>
  <c r="AH141" i="58" s="1"/>
  <c r="AI141" i="58" s="1"/>
  <c r="V141" i="58"/>
  <c r="Y141" i="58"/>
  <c r="AF141" i="58"/>
  <c r="AG141" i="58" s="1"/>
  <c r="AK141" i="58"/>
  <c r="AM141" i="58"/>
  <c r="AE73" i="30" l="1"/>
  <c r="AH69" i="30"/>
  <c r="AI69" i="30" s="1"/>
  <c r="AL69" i="30" s="1"/>
  <c r="AE66" i="30"/>
  <c r="AH76" i="30"/>
  <c r="AI76" i="30" s="1"/>
  <c r="AM27" i="30"/>
  <c r="AJ100" i="30"/>
  <c r="AH89" i="30"/>
  <c r="AI89" i="30" s="1"/>
  <c r="AL89" i="30" s="1"/>
  <c r="AD60" i="30"/>
  <c r="AE100" i="30"/>
  <c r="AE46" i="30"/>
  <c r="AH44" i="30"/>
  <c r="AI44" i="30" s="1"/>
  <c r="AJ44" i="30" s="1"/>
  <c r="AE110" i="30"/>
  <c r="AN110" i="30" s="1"/>
  <c r="AE75" i="30"/>
  <c r="AH73" i="30"/>
  <c r="AI73" i="30" s="1"/>
  <c r="AL73" i="30" s="1"/>
  <c r="AD68" i="30"/>
  <c r="AN68" i="30" s="1"/>
  <c r="AH66" i="30"/>
  <c r="AI66" i="30" s="1"/>
  <c r="AH107" i="30"/>
  <c r="AI107" i="30" s="1"/>
  <c r="AL107" i="30" s="1"/>
  <c r="AD104" i="30"/>
  <c r="AN104" i="30" s="1"/>
  <c r="AE86" i="30"/>
  <c r="AD65" i="30"/>
  <c r="AH60" i="30"/>
  <c r="AI60" i="30" s="1"/>
  <c r="AJ60" i="30" s="1"/>
  <c r="AH92" i="30"/>
  <c r="AI92" i="30" s="1"/>
  <c r="AJ68" i="30"/>
  <c r="AJ63" i="30"/>
  <c r="AE53" i="30"/>
  <c r="AE92" i="30"/>
  <c r="AN92" i="30" s="1"/>
  <c r="AN75" i="30"/>
  <c r="AJ69" i="30"/>
  <c r="AE97" i="30"/>
  <c r="AE51" i="30"/>
  <c r="AH103" i="30"/>
  <c r="AI103" i="30" s="1"/>
  <c r="AJ103" i="30" s="1"/>
  <c r="AH98" i="30"/>
  <c r="AI98" i="30" s="1"/>
  <c r="AJ98" i="30" s="1"/>
  <c r="AN88" i="30"/>
  <c r="AE29" i="30"/>
  <c r="AN29" i="30" s="1"/>
  <c r="AN97" i="30"/>
  <c r="AJ85" i="30"/>
  <c r="AH57" i="30"/>
  <c r="AI57" i="30" s="1"/>
  <c r="AM43" i="30"/>
  <c r="AE103" i="30"/>
  <c r="AE88" i="30"/>
  <c r="AH104" i="30"/>
  <c r="AI104" i="30" s="1"/>
  <c r="AD88" i="30"/>
  <c r="AH75" i="30"/>
  <c r="AI75" i="30" s="1"/>
  <c r="AJ75" i="30" s="1"/>
  <c r="AN63" i="30"/>
  <c r="AE57" i="30"/>
  <c r="AN57" i="30" s="1"/>
  <c r="AN56" i="30"/>
  <c r="AN98" i="30"/>
  <c r="AN73" i="30"/>
  <c r="AD33" i="30"/>
  <c r="AM35" i="30"/>
  <c r="AE36" i="30"/>
  <c r="AN25" i="30"/>
  <c r="AG33" i="30"/>
  <c r="AG35" i="30"/>
  <c r="AG39" i="30"/>
  <c r="AG32" i="30"/>
  <c r="AL77" i="30"/>
  <c r="AJ77" i="30"/>
  <c r="AN51" i="30"/>
  <c r="AN109" i="30"/>
  <c r="AJ97" i="30"/>
  <c r="AD110" i="30"/>
  <c r="AD100" i="30"/>
  <c r="AH91" i="30"/>
  <c r="AI91" i="30" s="1"/>
  <c r="AJ91" i="30" s="1"/>
  <c r="AJ66" i="30"/>
  <c r="AE49" i="30"/>
  <c r="AN49" i="30" s="1"/>
  <c r="AL65" i="30"/>
  <c r="AE107" i="30"/>
  <c r="AH101" i="30"/>
  <c r="AI101" i="30" s="1"/>
  <c r="AL101" i="30" s="1"/>
  <c r="AH95" i="30"/>
  <c r="AI95" i="30" s="1"/>
  <c r="AL95" i="30" s="1"/>
  <c r="AD72" i="30"/>
  <c r="AN72" i="30" s="1"/>
  <c r="AH54" i="30"/>
  <c r="AI54" i="30" s="1"/>
  <c r="AD41" i="30"/>
  <c r="AL63" i="30"/>
  <c r="AN91" i="30"/>
  <c r="AE85" i="30"/>
  <c r="AN85" i="30" s="1"/>
  <c r="AD82" i="30"/>
  <c r="AN82" i="30" s="1"/>
  <c r="AD70" i="30"/>
  <c r="AH64" i="30"/>
  <c r="AI64" i="30" s="1"/>
  <c r="AL64" i="30" s="1"/>
  <c r="AE54" i="30"/>
  <c r="AL53" i="30"/>
  <c r="AH45" i="30"/>
  <c r="AI45" i="30" s="1"/>
  <c r="AJ45" i="30" s="1"/>
  <c r="AM36" i="30"/>
  <c r="AN36" i="30" s="1"/>
  <c r="AN107" i="30"/>
  <c r="AE95" i="30"/>
  <c r="AN95" i="30" s="1"/>
  <c r="AN86" i="30"/>
  <c r="AH83" i="30"/>
  <c r="AI83" i="30" s="1"/>
  <c r="AL83" i="30" s="1"/>
  <c r="AH51" i="30"/>
  <c r="AI51" i="30" s="1"/>
  <c r="AL51" i="30" s="1"/>
  <c r="AN44" i="30"/>
  <c r="AH42" i="30"/>
  <c r="AI42" i="30" s="1"/>
  <c r="AJ42" i="30" s="1"/>
  <c r="AN106" i="30"/>
  <c r="AH80" i="30"/>
  <c r="AI80" i="30" s="1"/>
  <c r="AJ80" i="30" s="1"/>
  <c r="AH61" i="30"/>
  <c r="AI61" i="30" s="1"/>
  <c r="AL61" i="30" s="1"/>
  <c r="AN60" i="30"/>
  <c r="AH48" i="30"/>
  <c r="AI48" i="30" s="1"/>
  <c r="AE45" i="30"/>
  <c r="AN45" i="30" s="1"/>
  <c r="AH36" i="30"/>
  <c r="AI36" i="30" s="1"/>
  <c r="AJ36" i="30" s="1"/>
  <c r="AN103" i="30"/>
  <c r="AN100" i="30"/>
  <c r="AE58" i="30"/>
  <c r="AH52" i="30"/>
  <c r="AI52" i="30" s="1"/>
  <c r="AL52" i="30" s="1"/>
  <c r="AE42" i="30"/>
  <c r="AN42" i="30" s="1"/>
  <c r="AM26" i="30"/>
  <c r="AJ109" i="30"/>
  <c r="AE83" i="30"/>
  <c r="AN83" i="30" s="1"/>
  <c r="AE80" i="30"/>
  <c r="AN80" i="30" s="1"/>
  <c r="AN53" i="30"/>
  <c r="AH28" i="30"/>
  <c r="AI28" i="30" s="1"/>
  <c r="AJ28" i="30" s="1"/>
  <c r="AH78" i="30"/>
  <c r="AI78" i="30" s="1"/>
  <c r="AL78" i="30" s="1"/>
  <c r="AN66" i="30"/>
  <c r="AE65" i="30"/>
  <c r="AE61" i="30"/>
  <c r="AN61" i="30" s="1"/>
  <c r="AH49" i="30"/>
  <c r="AI49" i="30" s="1"/>
  <c r="AL49" i="30" s="1"/>
  <c r="AD48" i="30"/>
  <c r="AN48" i="30" s="1"/>
  <c r="AM39" i="30"/>
  <c r="AM38" i="30"/>
  <c r="AE33" i="30"/>
  <c r="AL41" i="30"/>
  <c r="AM34" i="30"/>
  <c r="AN34" i="30" s="1"/>
  <c r="AM40" i="30"/>
  <c r="AM37" i="30"/>
  <c r="AM31" i="30"/>
  <c r="AN31" i="30" s="1"/>
  <c r="AM30" i="30"/>
  <c r="AH39" i="30"/>
  <c r="AI39" i="30" s="1"/>
  <c r="AH40" i="30"/>
  <c r="AI40" i="30" s="1"/>
  <c r="AJ40" i="30" s="1"/>
  <c r="AH37" i="30"/>
  <c r="AI37" i="30" s="1"/>
  <c r="AJ37" i="30" s="1"/>
  <c r="AE34" i="30"/>
  <c r="AM32" i="30"/>
  <c r="AM41" i="30"/>
  <c r="AM28" i="30"/>
  <c r="AD40" i="30"/>
  <c r="AE39" i="30"/>
  <c r="AH32" i="30"/>
  <c r="AI32" i="30" s="1"/>
  <c r="AH31" i="30"/>
  <c r="AI31" i="30" s="1"/>
  <c r="AJ31" i="30" s="1"/>
  <c r="AD37" i="30"/>
  <c r="AM33" i="30"/>
  <c r="AE32" i="30"/>
  <c r="AE41" i="30"/>
  <c r="AJ99" i="30"/>
  <c r="AL99" i="30"/>
  <c r="AJ89" i="30"/>
  <c r="AL80" i="30"/>
  <c r="AN94" i="30"/>
  <c r="AJ87" i="30"/>
  <c r="AL87" i="30"/>
  <c r="AJ86" i="30"/>
  <c r="AL86" i="30"/>
  <c r="AJ110" i="30"/>
  <c r="AL110" i="30"/>
  <c r="AJ78" i="30"/>
  <c r="AL92" i="30"/>
  <c r="AJ92" i="30"/>
  <c r="AJ107" i="30"/>
  <c r="AJ88" i="30"/>
  <c r="AL104" i="30"/>
  <c r="AJ104" i="30"/>
  <c r="AJ76" i="30"/>
  <c r="AL76" i="30"/>
  <c r="AJ111" i="30"/>
  <c r="AL111" i="30"/>
  <c r="AJ101" i="30"/>
  <c r="AL70" i="30"/>
  <c r="AN65" i="30"/>
  <c r="AE111" i="30"/>
  <c r="AH102" i="30"/>
  <c r="AI102" i="30" s="1"/>
  <c r="AJ102" i="30" s="1"/>
  <c r="AE99" i="30"/>
  <c r="AH90" i="30"/>
  <c r="AI90" i="30" s="1"/>
  <c r="AJ90" i="30" s="1"/>
  <c r="AE87" i="30"/>
  <c r="AD74" i="30"/>
  <c r="AN74" i="30" s="1"/>
  <c r="AL45" i="30"/>
  <c r="AJ29" i="30"/>
  <c r="AN76" i="30"/>
  <c r="AD111" i="30"/>
  <c r="AD99" i="30"/>
  <c r="AD87" i="30"/>
  <c r="AJ58" i="30"/>
  <c r="AL58" i="30"/>
  <c r="AJ33" i="30"/>
  <c r="AL33" i="30"/>
  <c r="AE101" i="30"/>
  <c r="AN101" i="30" s="1"/>
  <c r="AE89" i="30"/>
  <c r="AN89" i="30" s="1"/>
  <c r="AE79" i="30"/>
  <c r="AN79" i="30" s="1"/>
  <c r="AL66" i="30"/>
  <c r="AJ61" i="30"/>
  <c r="AJ48" i="30"/>
  <c r="AL109" i="30"/>
  <c r="AH105" i="30"/>
  <c r="AI105" i="30" s="1"/>
  <c r="AL105" i="30" s="1"/>
  <c r="AE102" i="30"/>
  <c r="AN102" i="30" s="1"/>
  <c r="AL97" i="30"/>
  <c r="AH93" i="30"/>
  <c r="AI93" i="30" s="1"/>
  <c r="AL93" i="30" s="1"/>
  <c r="AE90" i="30"/>
  <c r="AN90" i="30" s="1"/>
  <c r="AL85" i="30"/>
  <c r="AH81" i="30"/>
  <c r="AI81" i="30" s="1"/>
  <c r="AJ81" i="30" s="1"/>
  <c r="AE77" i="30"/>
  <c r="AJ65" i="30"/>
  <c r="AH71" i="30"/>
  <c r="AI71" i="30" s="1"/>
  <c r="AJ71" i="30" s="1"/>
  <c r="AD71" i="30"/>
  <c r="AN71" i="30" s="1"/>
  <c r="AH106" i="30"/>
  <c r="AI106" i="30" s="1"/>
  <c r="AJ106" i="30" s="1"/>
  <c r="AH94" i="30"/>
  <c r="AI94" i="30" s="1"/>
  <c r="AJ94" i="30" s="1"/>
  <c r="AH82" i="30"/>
  <c r="AI82" i="30" s="1"/>
  <c r="AJ82" i="30" s="1"/>
  <c r="AD77" i="30"/>
  <c r="AJ73" i="30"/>
  <c r="AJ46" i="30"/>
  <c r="AL46" i="30"/>
  <c r="AJ27" i="30"/>
  <c r="AL27" i="30"/>
  <c r="AN69" i="30"/>
  <c r="AJ53" i="30"/>
  <c r="AJ25" i="30"/>
  <c r="AL25" i="30"/>
  <c r="AH108" i="30"/>
  <c r="AI108" i="30" s="1"/>
  <c r="AJ108" i="30" s="1"/>
  <c r="AE105" i="30"/>
  <c r="AN105" i="30" s="1"/>
  <c r="AL100" i="30"/>
  <c r="AH96" i="30"/>
  <c r="AI96" i="30" s="1"/>
  <c r="AJ96" i="30" s="1"/>
  <c r="AE93" i="30"/>
  <c r="AN93" i="30" s="1"/>
  <c r="AL88" i="30"/>
  <c r="AH84" i="30"/>
  <c r="AI84" i="30" s="1"/>
  <c r="AJ84" i="30" s="1"/>
  <c r="AE81" i="30"/>
  <c r="AN81" i="30" s="1"/>
  <c r="AJ70" i="30"/>
  <c r="AJ56" i="30"/>
  <c r="AE70" i="30"/>
  <c r="AL68" i="30"/>
  <c r="AJ59" i="30"/>
  <c r="AL59" i="30"/>
  <c r="AL102" i="30"/>
  <c r="AD67" i="30"/>
  <c r="AE67" i="30"/>
  <c r="AH67" i="30"/>
  <c r="AI67" i="30" s="1"/>
  <c r="AJ67" i="30" s="1"/>
  <c r="AJ41" i="30"/>
  <c r="AE108" i="30"/>
  <c r="AN108" i="30" s="1"/>
  <c r="AE96" i="30"/>
  <c r="AN96" i="30" s="1"/>
  <c r="AE84" i="30"/>
  <c r="AN84" i="30" s="1"/>
  <c r="AE78" i="30"/>
  <c r="AN78" i="30" s="1"/>
  <c r="AH72" i="30"/>
  <c r="AI72" i="30" s="1"/>
  <c r="AJ72" i="30" s="1"/>
  <c r="AJ57" i="30"/>
  <c r="AL57" i="30"/>
  <c r="AH79" i="30"/>
  <c r="AI79" i="30" s="1"/>
  <c r="AJ79" i="30" s="1"/>
  <c r="AH74" i="30"/>
  <c r="AI74" i="30" s="1"/>
  <c r="AJ74" i="30" s="1"/>
  <c r="AJ54" i="30"/>
  <c r="AL54" i="30"/>
  <c r="AJ47" i="30"/>
  <c r="AL47" i="30"/>
  <c r="AJ26" i="30"/>
  <c r="AL26" i="30"/>
  <c r="AN54" i="30"/>
  <c r="AE26" i="30"/>
  <c r="AH62" i="30"/>
  <c r="AI62" i="30" s="1"/>
  <c r="AJ62" i="30" s="1"/>
  <c r="AE59" i="30"/>
  <c r="AD58" i="30"/>
  <c r="AN58" i="30" s="1"/>
  <c r="AH50" i="30"/>
  <c r="AI50" i="30" s="1"/>
  <c r="AL50" i="30" s="1"/>
  <c r="AE47" i="30"/>
  <c r="AD46" i="30"/>
  <c r="AN46" i="30" s="1"/>
  <c r="AH38" i="30"/>
  <c r="AI38" i="30" s="1"/>
  <c r="AL38" i="30" s="1"/>
  <c r="AH30" i="30"/>
  <c r="AI30" i="30" s="1"/>
  <c r="AL30" i="30" s="1"/>
  <c r="AE27" i="30"/>
  <c r="AD26" i="30"/>
  <c r="AD59" i="30"/>
  <c r="AD47" i="30"/>
  <c r="AE28" i="30"/>
  <c r="AD27" i="30"/>
  <c r="AL56" i="30"/>
  <c r="AL44" i="30"/>
  <c r="AE62" i="30"/>
  <c r="AN62" i="30" s="1"/>
  <c r="AE50" i="30"/>
  <c r="AN50" i="30" s="1"/>
  <c r="AE38" i="30"/>
  <c r="AE30" i="30"/>
  <c r="AH34" i="30"/>
  <c r="AI34" i="30" s="1"/>
  <c r="AL34" i="30" s="1"/>
  <c r="AE64" i="30"/>
  <c r="AN64" i="30" s="1"/>
  <c r="AH55" i="30"/>
  <c r="AI55" i="30" s="1"/>
  <c r="AJ55" i="30" s="1"/>
  <c r="AE52" i="30"/>
  <c r="AN52" i="30" s="1"/>
  <c r="AH43" i="30"/>
  <c r="AI43" i="30" s="1"/>
  <c r="AL43" i="30" s="1"/>
  <c r="AH35" i="30"/>
  <c r="AI35" i="30" s="1"/>
  <c r="AL60" i="30"/>
  <c r="AL48" i="30"/>
  <c r="AL29" i="30"/>
  <c r="AE55" i="30"/>
  <c r="AN55" i="30" s="1"/>
  <c r="AE43" i="30"/>
  <c r="AN43" i="30" s="1"/>
  <c r="AE35" i="30"/>
  <c r="AN35" i="30" s="1"/>
  <c r="AN139" i="58"/>
  <c r="AJ112" i="58"/>
  <c r="AJ135" i="58"/>
  <c r="AL135" i="58"/>
  <c r="AL141" i="58"/>
  <c r="AJ141" i="58"/>
  <c r="AL131" i="58"/>
  <c r="AJ131" i="58"/>
  <c r="AN116" i="58"/>
  <c r="AJ130" i="58"/>
  <c r="AL130" i="58"/>
  <c r="AL123" i="58"/>
  <c r="AJ123" i="58"/>
  <c r="AJ84" i="58"/>
  <c r="AL84" i="58"/>
  <c r="AN138" i="58"/>
  <c r="AJ137" i="58"/>
  <c r="AN126" i="58"/>
  <c r="AJ125" i="58"/>
  <c r="AL129" i="58"/>
  <c r="AJ129" i="58"/>
  <c r="AN132" i="58"/>
  <c r="AN127" i="58"/>
  <c r="AL111" i="58"/>
  <c r="AL88" i="58"/>
  <c r="AE102" i="58"/>
  <c r="AN102" i="58" s="1"/>
  <c r="AH102" i="58"/>
  <c r="AI102" i="58" s="1"/>
  <c r="AE141" i="58"/>
  <c r="AH132" i="58"/>
  <c r="AI132" i="58" s="1"/>
  <c r="AJ132" i="58" s="1"/>
  <c r="AE129" i="58"/>
  <c r="AJ119" i="58"/>
  <c r="AJ117" i="58"/>
  <c r="AL117" i="58"/>
  <c r="AH114" i="58"/>
  <c r="AI114" i="58" s="1"/>
  <c r="AJ114" i="58" s="1"/>
  <c r="AJ113" i="58"/>
  <c r="AE112" i="58"/>
  <c r="AN112" i="58" s="1"/>
  <c r="AH112" i="58"/>
  <c r="AI112" i="58" s="1"/>
  <c r="AN97" i="58"/>
  <c r="AN93" i="58"/>
  <c r="AJ102" i="58"/>
  <c r="AD122" i="58"/>
  <c r="AN122" i="58" s="1"/>
  <c r="AJ105" i="58"/>
  <c r="AL105" i="58"/>
  <c r="AL137" i="58"/>
  <c r="AD129" i="58"/>
  <c r="AN129" i="58" s="1"/>
  <c r="AL125" i="58"/>
  <c r="AH121" i="58"/>
  <c r="AI121" i="58" s="1"/>
  <c r="AJ121" i="58" s="1"/>
  <c r="AJ110" i="58"/>
  <c r="AH108" i="58"/>
  <c r="AI108" i="58" s="1"/>
  <c r="AJ108" i="58" s="1"/>
  <c r="AD108" i="58"/>
  <c r="AN108" i="58" s="1"/>
  <c r="AE135" i="58"/>
  <c r="AL138" i="58"/>
  <c r="AL126" i="58"/>
  <c r="AL121" i="58"/>
  <c r="AL118" i="58"/>
  <c r="AL116" i="58"/>
  <c r="AD116" i="58"/>
  <c r="AE116" i="58"/>
  <c r="AD114" i="58"/>
  <c r="AJ104" i="58"/>
  <c r="AL104" i="58"/>
  <c r="AH95" i="58"/>
  <c r="AI95" i="58" s="1"/>
  <c r="AJ95" i="58" s="1"/>
  <c r="AD95" i="58"/>
  <c r="AN62" i="58"/>
  <c r="AD135" i="58"/>
  <c r="AN135" i="58" s="1"/>
  <c r="AH96" i="58"/>
  <c r="AI96" i="58" s="1"/>
  <c r="AL96" i="58" s="1"/>
  <c r="AD96" i="58"/>
  <c r="AE96" i="58"/>
  <c r="AD136" i="58"/>
  <c r="AN136" i="58" s="1"/>
  <c r="AJ83" i="58"/>
  <c r="AL83" i="58"/>
  <c r="AE132" i="58"/>
  <c r="AL124" i="58"/>
  <c r="AJ109" i="58"/>
  <c r="AL109" i="58"/>
  <c r="AN107" i="58"/>
  <c r="AL102" i="58"/>
  <c r="AJ98" i="58"/>
  <c r="AJ97" i="58"/>
  <c r="AL97" i="58"/>
  <c r="AN84" i="58"/>
  <c r="AJ92" i="58"/>
  <c r="AL92" i="58"/>
  <c r="AD141" i="58"/>
  <c r="AN141" i="58" s="1"/>
  <c r="AH136" i="58"/>
  <c r="AI136" i="58" s="1"/>
  <c r="AJ136" i="58" s="1"/>
  <c r="AE121" i="58"/>
  <c r="AN121" i="58" s="1"/>
  <c r="AJ85" i="58"/>
  <c r="AL85" i="58"/>
  <c r="AN47" i="58"/>
  <c r="AN78" i="58"/>
  <c r="AH50" i="58"/>
  <c r="AI50" i="58" s="1"/>
  <c r="AL50" i="58" s="1"/>
  <c r="AD50" i="58"/>
  <c r="AN50" i="58" s="1"/>
  <c r="AE50" i="58"/>
  <c r="AJ86" i="58"/>
  <c r="AJ51" i="58"/>
  <c r="AL51" i="58"/>
  <c r="AJ76" i="58"/>
  <c r="AL76" i="58"/>
  <c r="AE125" i="58"/>
  <c r="AN125" i="58" s="1"/>
  <c r="AE120" i="58"/>
  <c r="AN95" i="58"/>
  <c r="AL91" i="58"/>
  <c r="AE138" i="58"/>
  <c r="AD137" i="58"/>
  <c r="AN137" i="58" s="1"/>
  <c r="AE126" i="58"/>
  <c r="AJ122" i="58"/>
  <c r="AD120" i="58"/>
  <c r="AN120" i="58" s="1"/>
  <c r="AL119" i="58"/>
  <c r="AJ115" i="58"/>
  <c r="AN114" i="58"/>
  <c r="AL110" i="58"/>
  <c r="AJ82" i="58"/>
  <c r="AL82" i="58"/>
  <c r="AJ59" i="58"/>
  <c r="AL59" i="58"/>
  <c r="AJ40" i="58"/>
  <c r="AN37" i="58"/>
  <c r="AL112" i="58"/>
  <c r="AJ107" i="58"/>
  <c r="AL107" i="58"/>
  <c r="AD104" i="58"/>
  <c r="AN104" i="58" s="1"/>
  <c r="AE104" i="58"/>
  <c r="AL68" i="58"/>
  <c r="AL114" i="58"/>
  <c r="AN113" i="58"/>
  <c r="AD109" i="58"/>
  <c r="AE109" i="58"/>
  <c r="AN109" i="58" s="1"/>
  <c r="AN106" i="58"/>
  <c r="AN101" i="58"/>
  <c r="AL99" i="58"/>
  <c r="AJ93" i="58"/>
  <c r="AE81" i="58"/>
  <c r="AN81" i="58" s="1"/>
  <c r="AH81" i="58"/>
  <c r="AI81" i="58" s="1"/>
  <c r="AL81" i="58" s="1"/>
  <c r="AD81" i="58"/>
  <c r="AL79" i="58"/>
  <c r="AJ74" i="58"/>
  <c r="AL74" i="58"/>
  <c r="AE74" i="58"/>
  <c r="AL73" i="58"/>
  <c r="AN67" i="58"/>
  <c r="AL66" i="58"/>
  <c r="AJ46" i="58"/>
  <c r="AJ32" i="58"/>
  <c r="AH26" i="58"/>
  <c r="AI26" i="58" s="1"/>
  <c r="AD26" i="58"/>
  <c r="AE26" i="58"/>
  <c r="AH100" i="58"/>
  <c r="AI100" i="58" s="1"/>
  <c r="AJ100" i="58" s="1"/>
  <c r="AE97" i="58"/>
  <c r="AH88" i="58"/>
  <c r="AI88" i="58" s="1"/>
  <c r="AJ88" i="58" s="1"/>
  <c r="AE85" i="58"/>
  <c r="AN85" i="58" s="1"/>
  <c r="AN80" i="58"/>
  <c r="AD74" i="58"/>
  <c r="AN74" i="58" s="1"/>
  <c r="AJ65" i="58"/>
  <c r="AL65" i="58"/>
  <c r="AJ64" i="58"/>
  <c r="AL64" i="58"/>
  <c r="AJ27" i="58"/>
  <c r="AL27" i="58"/>
  <c r="AH113" i="58"/>
  <c r="AI113" i="58" s="1"/>
  <c r="AL113" i="58" s="1"/>
  <c r="AL93" i="58"/>
  <c r="AD80" i="58"/>
  <c r="AH80" i="58"/>
  <c r="AI80" i="58" s="1"/>
  <c r="AL80" i="58" s="1"/>
  <c r="AH62" i="58"/>
  <c r="AI62" i="58" s="1"/>
  <c r="AL62" i="58" s="1"/>
  <c r="AE62" i="58"/>
  <c r="AJ41" i="58"/>
  <c r="AJ38" i="58"/>
  <c r="AH90" i="58"/>
  <c r="AI90" i="58" s="1"/>
  <c r="AL90" i="58" s="1"/>
  <c r="AD68" i="58"/>
  <c r="AN68" i="58" s="1"/>
  <c r="AE68" i="58"/>
  <c r="AH68" i="58"/>
  <c r="AI68" i="58" s="1"/>
  <c r="AJ68" i="58" s="1"/>
  <c r="AJ49" i="58"/>
  <c r="AL49" i="58"/>
  <c r="AJ47" i="58"/>
  <c r="AL47" i="58"/>
  <c r="AL43" i="58"/>
  <c r="AH91" i="58"/>
  <c r="AI91" i="58" s="1"/>
  <c r="AJ91" i="58" s="1"/>
  <c r="AD83" i="58"/>
  <c r="AN83" i="58" s="1"/>
  <c r="AE83" i="58"/>
  <c r="AJ57" i="58"/>
  <c r="AJ25" i="58"/>
  <c r="AL25" i="58"/>
  <c r="AJ52" i="58"/>
  <c r="AL52" i="58"/>
  <c r="AH38" i="58"/>
  <c r="AI38" i="58" s="1"/>
  <c r="AL38" i="58" s="1"/>
  <c r="AD38" i="58"/>
  <c r="AE38" i="58"/>
  <c r="AE90" i="58"/>
  <c r="AN90" i="58" s="1"/>
  <c r="AD76" i="58"/>
  <c r="AN76" i="58" s="1"/>
  <c r="AE76" i="58"/>
  <c r="AH75" i="58"/>
  <c r="AI75" i="58" s="1"/>
  <c r="AJ75" i="58" s="1"/>
  <c r="AD75" i="58"/>
  <c r="AN75" i="58" s="1"/>
  <c r="AD64" i="58"/>
  <c r="AN64" i="58" s="1"/>
  <c r="AE64" i="58"/>
  <c r="AN59" i="58"/>
  <c r="AJ44" i="58"/>
  <c r="AJ39" i="58"/>
  <c r="AL39" i="58"/>
  <c r="AJ34" i="58"/>
  <c r="AJ28" i="58"/>
  <c r="AN25" i="58"/>
  <c r="AN69" i="58"/>
  <c r="AN63" i="58"/>
  <c r="AJ61" i="58"/>
  <c r="AL61" i="58"/>
  <c r="AE92" i="58"/>
  <c r="AN92" i="58" s="1"/>
  <c r="AJ53" i="58"/>
  <c r="AN52" i="58"/>
  <c r="AJ50" i="58"/>
  <c r="AJ77" i="58"/>
  <c r="AJ71" i="58"/>
  <c r="AL71" i="58"/>
  <c r="AL67" i="58"/>
  <c r="AJ63" i="58"/>
  <c r="AL63" i="58"/>
  <c r="AN61" i="58"/>
  <c r="AL54" i="58"/>
  <c r="AN51" i="58"/>
  <c r="AJ37" i="58"/>
  <c r="AL37" i="58"/>
  <c r="AJ35" i="58"/>
  <c r="AL35" i="58"/>
  <c r="AN32" i="58"/>
  <c r="AJ29" i="58"/>
  <c r="AJ26" i="58"/>
  <c r="AL26" i="58"/>
  <c r="AL57" i="58"/>
  <c r="AE39" i="58"/>
  <c r="AN39" i="58" s="1"/>
  <c r="AE27" i="58"/>
  <c r="AD63" i="58"/>
  <c r="AE52" i="58"/>
  <c r="AD51" i="58"/>
  <c r="AE40" i="58"/>
  <c r="AN40" i="58" s="1"/>
  <c r="AD39" i="58"/>
  <c r="AE28" i="58"/>
  <c r="AN28" i="58" s="1"/>
  <c r="AD27" i="58"/>
  <c r="AN27" i="58" s="1"/>
  <c r="AE77" i="58"/>
  <c r="AN77" i="58" s="1"/>
  <c r="AE65" i="58"/>
  <c r="AN65" i="58" s="1"/>
  <c r="AH56" i="58"/>
  <c r="AI56" i="58" s="1"/>
  <c r="AL56" i="58" s="1"/>
  <c r="AE53" i="58"/>
  <c r="AN53" i="58" s="1"/>
  <c r="AH44" i="58"/>
  <c r="AI44" i="58" s="1"/>
  <c r="AL44" i="58" s="1"/>
  <c r="AE41" i="58"/>
  <c r="AN41" i="58" s="1"/>
  <c r="AH32" i="58"/>
  <c r="AI32" i="58" s="1"/>
  <c r="AL32" i="58" s="1"/>
  <c r="AE29" i="58"/>
  <c r="AN29" i="58" s="1"/>
  <c r="AH69" i="58"/>
  <c r="AI69" i="58" s="1"/>
  <c r="AJ69" i="58" s="1"/>
  <c r="AH57" i="58"/>
  <c r="AI57" i="58" s="1"/>
  <c r="AH45" i="58"/>
  <c r="AI45" i="58" s="1"/>
  <c r="AL45" i="58" s="1"/>
  <c r="AH33" i="58"/>
  <c r="AI33" i="58" s="1"/>
  <c r="AL33" i="58" s="1"/>
  <c r="AE56" i="58"/>
  <c r="AN56" i="58" s="1"/>
  <c r="AE44" i="58"/>
  <c r="AN44" i="58" s="1"/>
  <c r="AE32" i="58"/>
  <c r="AE69" i="58"/>
  <c r="AE57" i="58"/>
  <c r="AN57" i="58" s="1"/>
  <c r="AE45" i="58"/>
  <c r="AN45" i="58" s="1"/>
  <c r="AL40" i="58"/>
  <c r="AE33" i="58"/>
  <c r="AN33" i="58" s="1"/>
  <c r="AL28" i="58"/>
  <c r="AL53" i="58"/>
  <c r="AL41" i="58"/>
  <c r="AL29" i="58"/>
  <c r="AE71" i="58"/>
  <c r="AN71" i="58" s="1"/>
  <c r="AE59" i="58"/>
  <c r="AE47" i="58"/>
  <c r="AE35" i="58"/>
  <c r="AN35" i="58" s="1"/>
  <c r="AL103" i="30" l="1"/>
  <c r="AJ52" i="30"/>
  <c r="AJ95" i="30"/>
  <c r="AL75" i="30"/>
  <c r="AJ64" i="30"/>
  <c r="AL42" i="30"/>
  <c r="AN70" i="30"/>
  <c r="AL98" i="30"/>
  <c r="AJ49" i="30"/>
  <c r="AJ105" i="30"/>
  <c r="AL74" i="30"/>
  <c r="AL91" i="30"/>
  <c r="AJ51" i="30"/>
  <c r="AN47" i="30"/>
  <c r="AN59" i="30"/>
  <c r="AN77" i="30"/>
  <c r="AL94" i="30"/>
  <c r="AL96" i="30"/>
  <c r="AJ32" i="30"/>
  <c r="AL28" i="30"/>
  <c r="AN39" i="30"/>
  <c r="AJ35" i="30"/>
  <c r="AN30" i="30"/>
  <c r="AL32" i="30"/>
  <c r="AL31" i="30"/>
  <c r="AN28" i="30"/>
  <c r="AL39" i="30"/>
  <c r="AL90" i="30"/>
  <c r="AN87" i="30"/>
  <c r="AN41" i="30"/>
  <c r="AN26" i="30"/>
  <c r="AN33" i="30"/>
  <c r="AN38" i="30"/>
  <c r="AL67" i="30"/>
  <c r="AN99" i="30"/>
  <c r="AL81" i="30"/>
  <c r="AL37" i="30"/>
  <c r="AN111" i="30"/>
  <c r="AL36" i="30"/>
  <c r="AL40" i="30"/>
  <c r="AJ50" i="30"/>
  <c r="AJ43" i="30"/>
  <c r="AN37" i="30"/>
  <c r="AN27" i="30"/>
  <c r="AN67" i="30"/>
  <c r="AN40" i="30"/>
  <c r="AL62" i="30"/>
  <c r="AJ83" i="30"/>
  <c r="AN32" i="30"/>
  <c r="AJ39" i="30"/>
  <c r="AJ34" i="30"/>
  <c r="AL72" i="30"/>
  <c r="AJ93" i="30"/>
  <c r="AJ30" i="30"/>
  <c r="AL71" i="30"/>
  <c r="AL35" i="30"/>
  <c r="AL79" i="30"/>
  <c r="AJ38" i="30"/>
  <c r="AL82" i="30"/>
  <c r="AL55" i="30"/>
  <c r="AL108" i="30"/>
  <c r="AL84" i="30"/>
  <c r="AL106" i="30"/>
  <c r="AN38" i="58"/>
  <c r="AL95" i="58"/>
  <c r="AJ62" i="58"/>
  <c r="AL132" i="58"/>
  <c r="AL75" i="58"/>
  <c r="AL69" i="58"/>
  <c r="AL100" i="58"/>
  <c r="AJ33" i="58"/>
  <c r="AJ80" i="58"/>
  <c r="AJ56" i="58"/>
  <c r="AJ90" i="58"/>
  <c r="AJ81" i="58"/>
  <c r="AL136" i="58"/>
  <c r="AL108" i="58"/>
  <c r="AJ45" i="58"/>
  <c r="AN26" i="58"/>
  <c r="AN96" i="58"/>
  <c r="AJ96" i="58"/>
  <c r="P17" i="67" l="1"/>
  <c r="L17" i="67"/>
  <c r="AM67" i="82"/>
  <c r="AK67" i="82"/>
  <c r="AF67" i="82"/>
  <c r="AG67" i="82" s="1"/>
  <c r="AE67" i="82"/>
  <c r="Y67" i="82"/>
  <c r="V67" i="82"/>
  <c r="T67" i="82"/>
  <c r="AD67" i="82" s="1"/>
  <c r="AN67" i="82" s="1"/>
  <c r="AM66" i="82"/>
  <c r="AK66" i="82"/>
  <c r="AF66" i="82"/>
  <c r="AG66" i="82" s="1"/>
  <c r="AE66" i="82"/>
  <c r="AD66" i="82"/>
  <c r="Y66" i="82"/>
  <c r="V66" i="82"/>
  <c r="T66" i="82"/>
  <c r="AH66" i="82" s="1"/>
  <c r="AI66" i="82" s="1"/>
  <c r="AM65" i="82"/>
  <c r="AK65" i="82"/>
  <c r="AF65" i="82"/>
  <c r="AG65" i="82" s="1"/>
  <c r="AD65" i="82"/>
  <c r="Y65" i="82"/>
  <c r="V65" i="82"/>
  <c r="T65" i="82"/>
  <c r="AH65" i="82" s="1"/>
  <c r="AI65" i="82" s="1"/>
  <c r="AN64" i="82"/>
  <c r="AM64" i="82"/>
  <c r="AK64" i="82"/>
  <c r="AH64" i="82"/>
  <c r="AI64" i="82" s="1"/>
  <c r="AF64" i="82"/>
  <c r="AG64" i="82" s="1"/>
  <c r="AE64" i="82"/>
  <c r="AD64" i="82"/>
  <c r="Y64" i="82"/>
  <c r="V64" i="82"/>
  <c r="T64" i="82"/>
  <c r="AM63" i="82"/>
  <c r="AK63" i="82"/>
  <c r="AH63" i="82"/>
  <c r="AI63" i="82" s="1"/>
  <c r="AJ63" i="82" s="1"/>
  <c r="AG63" i="82"/>
  <c r="AF63" i="82"/>
  <c r="AE63" i="82"/>
  <c r="AD63" i="82"/>
  <c r="Y63" i="82"/>
  <c r="V63" i="82"/>
  <c r="T63" i="82"/>
  <c r="AM62" i="82"/>
  <c r="AK62" i="82"/>
  <c r="AF62" i="82"/>
  <c r="AG62" i="82" s="1"/>
  <c r="AJ62" i="82" s="1"/>
  <c r="Y62" i="82"/>
  <c r="V62" i="82"/>
  <c r="T62" i="82"/>
  <c r="AH62" i="82" s="1"/>
  <c r="AI62" i="82" s="1"/>
  <c r="AM61" i="82"/>
  <c r="AK61" i="82"/>
  <c r="AF61" i="82"/>
  <c r="AG61" i="82" s="1"/>
  <c r="AE61" i="82"/>
  <c r="Y61" i="82"/>
  <c r="V61" i="82"/>
  <c r="T61" i="82"/>
  <c r="AH61" i="82" s="1"/>
  <c r="AI61" i="82" s="1"/>
  <c r="AM60" i="82"/>
  <c r="AK60" i="82"/>
  <c r="AJ60" i="82"/>
  <c r="AG60" i="82"/>
  <c r="AF60" i="82"/>
  <c r="AE60" i="82"/>
  <c r="AD60" i="82"/>
  <c r="Y60" i="82"/>
  <c r="V60" i="82"/>
  <c r="T60" i="82"/>
  <c r="AH60" i="82" s="1"/>
  <c r="AI60" i="82" s="1"/>
  <c r="AL60" i="82" s="1"/>
  <c r="AM59" i="82"/>
  <c r="AK59" i="82"/>
  <c r="AF59" i="82"/>
  <c r="AG59" i="82" s="1"/>
  <c r="Y59" i="82"/>
  <c r="V59" i="82"/>
  <c r="T59" i="82"/>
  <c r="AH59" i="82" s="1"/>
  <c r="AI59" i="82" s="1"/>
  <c r="AM58" i="82"/>
  <c r="AK58" i="82"/>
  <c r="AH58" i="82"/>
  <c r="AI58" i="82" s="1"/>
  <c r="AF58" i="82"/>
  <c r="AG58" i="82" s="1"/>
  <c r="AE58" i="82"/>
  <c r="AN58" i="82" s="1"/>
  <c r="AD58" i="82"/>
  <c r="Y58" i="82"/>
  <c r="V58" i="82"/>
  <c r="T58" i="82"/>
  <c r="AM57" i="82"/>
  <c r="AK57" i="82"/>
  <c r="AH57" i="82"/>
  <c r="AI57" i="82" s="1"/>
  <c r="AG57" i="82"/>
  <c r="AF57" i="82"/>
  <c r="AD57" i="82"/>
  <c r="Y57" i="82"/>
  <c r="V57" i="82"/>
  <c r="T57" i="82"/>
  <c r="AE57" i="82" s="1"/>
  <c r="AM56" i="82"/>
  <c r="AK56" i="82"/>
  <c r="AF56" i="82"/>
  <c r="AG56" i="82" s="1"/>
  <c r="Y56" i="82"/>
  <c r="V56" i="82"/>
  <c r="T56" i="82"/>
  <c r="AM55" i="82"/>
  <c r="AK55" i="82"/>
  <c r="AF55" i="82"/>
  <c r="AG55" i="82" s="1"/>
  <c r="AE55" i="82"/>
  <c r="Y55" i="82"/>
  <c r="V55" i="82"/>
  <c r="T55" i="82"/>
  <c r="AD55" i="82" s="1"/>
  <c r="AN55" i="82" s="1"/>
  <c r="AM54" i="82"/>
  <c r="AK54" i="82"/>
  <c r="AF54" i="82"/>
  <c r="AG54" i="82" s="1"/>
  <c r="AE54" i="82"/>
  <c r="AD54" i="82"/>
  <c r="Y54" i="82"/>
  <c r="V54" i="82"/>
  <c r="T54" i="82"/>
  <c r="AH54" i="82" s="1"/>
  <c r="AI54" i="82" s="1"/>
  <c r="AM53" i="82"/>
  <c r="AN53" i="82" s="1"/>
  <c r="AK53" i="82"/>
  <c r="AF53" i="82"/>
  <c r="AG53" i="82" s="1"/>
  <c r="AE53" i="82"/>
  <c r="AD53" i="82"/>
  <c r="Y53" i="82"/>
  <c r="V53" i="82"/>
  <c r="T53" i="82"/>
  <c r="AH53" i="82" s="1"/>
  <c r="AI53" i="82" s="1"/>
  <c r="AN52" i="82"/>
  <c r="AM52" i="82"/>
  <c r="AK52" i="82"/>
  <c r="AH52" i="82"/>
  <c r="AI52" i="82" s="1"/>
  <c r="AF52" i="82"/>
  <c r="AG52" i="82" s="1"/>
  <c r="AE52" i="82"/>
  <c r="AD52" i="82"/>
  <c r="Y52" i="82"/>
  <c r="V52" i="82"/>
  <c r="T52" i="82"/>
  <c r="AM51" i="82"/>
  <c r="AK51" i="82"/>
  <c r="AH51" i="82"/>
  <c r="AI51" i="82" s="1"/>
  <c r="AG51" i="82"/>
  <c r="AL51" i="82" s="1"/>
  <c r="AF51" i="82"/>
  <c r="AE51" i="82"/>
  <c r="AD51" i="82"/>
  <c r="Y51" i="82"/>
  <c r="V51" i="82"/>
  <c r="T51" i="82"/>
  <c r="AM50" i="82"/>
  <c r="AL50" i="82"/>
  <c r="AK50" i="82"/>
  <c r="AF50" i="82"/>
  <c r="AG50" i="82" s="1"/>
  <c r="Y50" i="82"/>
  <c r="V50" i="82"/>
  <c r="T50" i="82"/>
  <c r="AH50" i="82" s="1"/>
  <c r="AI50" i="82" s="1"/>
  <c r="AM49" i="82"/>
  <c r="AK49" i="82"/>
  <c r="AF49" i="82"/>
  <c r="AG49" i="82" s="1"/>
  <c r="AE49" i="82"/>
  <c r="Y49" i="82"/>
  <c r="V49" i="82"/>
  <c r="T49" i="82"/>
  <c r="AH49" i="82" s="1"/>
  <c r="AI49" i="82" s="1"/>
  <c r="AM48" i="82"/>
  <c r="AK48" i="82"/>
  <c r="AG48" i="82"/>
  <c r="AF48" i="82"/>
  <c r="AE48" i="82"/>
  <c r="AD48" i="82"/>
  <c r="Y48" i="82"/>
  <c r="V48" i="82"/>
  <c r="T48" i="82"/>
  <c r="AH48" i="82" s="1"/>
  <c r="AI48" i="82" s="1"/>
  <c r="AL48" i="82" s="1"/>
  <c r="AM47" i="82"/>
  <c r="AK47" i="82"/>
  <c r="AI47" i="82"/>
  <c r="AF47" i="82"/>
  <c r="AG47" i="82" s="1"/>
  <c r="AD47" i="82"/>
  <c r="Y47" i="82"/>
  <c r="V47" i="82"/>
  <c r="T47" i="82"/>
  <c r="AH47" i="82" s="1"/>
  <c r="AN46" i="82"/>
  <c r="AM46" i="82"/>
  <c r="AK46" i="82"/>
  <c r="AH46" i="82"/>
  <c r="AI46" i="82" s="1"/>
  <c r="AF46" i="82"/>
  <c r="AG46" i="82" s="1"/>
  <c r="AE46" i="82"/>
  <c r="AD46" i="82"/>
  <c r="Y46" i="82"/>
  <c r="V46" i="82"/>
  <c r="T46" i="82"/>
  <c r="AM45" i="82"/>
  <c r="AK45" i="82"/>
  <c r="AH45" i="82"/>
  <c r="AI45" i="82" s="1"/>
  <c r="AG45" i="82"/>
  <c r="AF45" i="82"/>
  <c r="AE45" i="82"/>
  <c r="AD45" i="82"/>
  <c r="Y45" i="82"/>
  <c r="V45" i="82"/>
  <c r="T45" i="82"/>
  <c r="AM44" i="82"/>
  <c r="AK44" i="82"/>
  <c r="AF44" i="82"/>
  <c r="AG44" i="82" s="1"/>
  <c r="Y44" i="82"/>
  <c r="V44" i="82"/>
  <c r="T44" i="82"/>
  <c r="AM43" i="82"/>
  <c r="AK43" i="82"/>
  <c r="AF43" i="82"/>
  <c r="AG43" i="82" s="1"/>
  <c r="AE43" i="82"/>
  <c r="Y43" i="82"/>
  <c r="V43" i="82"/>
  <c r="T43" i="82"/>
  <c r="AD43" i="82" s="1"/>
  <c r="AN43" i="82" s="1"/>
  <c r="AM42" i="82"/>
  <c r="AK42" i="82"/>
  <c r="AF42" i="82"/>
  <c r="AG42" i="82" s="1"/>
  <c r="AD42" i="82"/>
  <c r="Y42" i="82"/>
  <c r="V42" i="82"/>
  <c r="T42" i="82"/>
  <c r="AH42" i="82" s="1"/>
  <c r="AI42" i="82" s="1"/>
  <c r="AM41" i="82"/>
  <c r="AN41" i="82" s="1"/>
  <c r="AK41" i="82"/>
  <c r="AF41" i="82"/>
  <c r="AG41" i="82" s="1"/>
  <c r="AE41" i="82"/>
  <c r="AD41" i="82"/>
  <c r="Y41" i="82"/>
  <c r="V41" i="82"/>
  <c r="T41" i="82"/>
  <c r="AH41" i="82" s="1"/>
  <c r="AI41" i="82" s="1"/>
  <c r="AN40" i="82"/>
  <c r="AM40" i="82"/>
  <c r="AK40" i="82"/>
  <c r="AH40" i="82"/>
  <c r="AI40" i="82" s="1"/>
  <c r="AF40" i="82"/>
  <c r="AG40" i="82" s="1"/>
  <c r="AE40" i="82"/>
  <c r="AD40" i="82"/>
  <c r="Y40" i="82"/>
  <c r="V40" i="82"/>
  <c r="T40" i="82"/>
  <c r="AM39" i="82"/>
  <c r="AK39" i="82"/>
  <c r="AH39" i="82"/>
  <c r="AI39" i="82" s="1"/>
  <c r="AG39" i="82"/>
  <c r="AF39" i="82"/>
  <c r="AE39" i="82"/>
  <c r="AD39" i="82"/>
  <c r="Y39" i="82"/>
  <c r="V39" i="82"/>
  <c r="T39" i="82"/>
  <c r="AM38" i="82"/>
  <c r="AK38" i="82"/>
  <c r="AF38" i="82"/>
  <c r="AG38" i="82" s="1"/>
  <c r="AJ38" i="82" s="1"/>
  <c r="Y38" i="82"/>
  <c r="V38" i="82"/>
  <c r="T38" i="82"/>
  <c r="AH38" i="82" s="1"/>
  <c r="AI38" i="82" s="1"/>
  <c r="AM37" i="82"/>
  <c r="AK37" i="82"/>
  <c r="AF37" i="82"/>
  <c r="AG37" i="82" s="1"/>
  <c r="AE37" i="82"/>
  <c r="Y37" i="82"/>
  <c r="V37" i="82"/>
  <c r="T37" i="82"/>
  <c r="AH37" i="82" s="1"/>
  <c r="AI37" i="82" s="1"/>
  <c r="AM36" i="82"/>
  <c r="AK36" i="82"/>
  <c r="AG36" i="82"/>
  <c r="AF36" i="82"/>
  <c r="AE36" i="82"/>
  <c r="AD36" i="82"/>
  <c r="Y36" i="82"/>
  <c r="V36" i="82"/>
  <c r="T36" i="82"/>
  <c r="AH36" i="82" s="1"/>
  <c r="AI36" i="82" s="1"/>
  <c r="AL36" i="82" s="1"/>
  <c r="AM35" i="82"/>
  <c r="AK35" i="82"/>
  <c r="AF35" i="82"/>
  <c r="AG35" i="82" s="1"/>
  <c r="AD35" i="82"/>
  <c r="Y35" i="82"/>
  <c r="V35" i="82"/>
  <c r="T35" i="82"/>
  <c r="AH35" i="82" s="1"/>
  <c r="AI35" i="82" s="1"/>
  <c r="AN34" i="82"/>
  <c r="AM34" i="82"/>
  <c r="AK34" i="82"/>
  <c r="AH34" i="82"/>
  <c r="AI34" i="82" s="1"/>
  <c r="AF34" i="82"/>
  <c r="AG34" i="82" s="1"/>
  <c r="AE34" i="82"/>
  <c r="AD34" i="82"/>
  <c r="Y34" i="82"/>
  <c r="V34" i="82"/>
  <c r="T34" i="82"/>
  <c r="AM33" i="82"/>
  <c r="AK33" i="82"/>
  <c r="AI33" i="82"/>
  <c r="AH33" i="82"/>
  <c r="AG33" i="82"/>
  <c r="AF33" i="82"/>
  <c r="AE33" i="82"/>
  <c r="AD33" i="82"/>
  <c r="Y33" i="82"/>
  <c r="V33" i="82"/>
  <c r="T33" i="82"/>
  <c r="AM32" i="82"/>
  <c r="AK32" i="82"/>
  <c r="AF32" i="82"/>
  <c r="AG32" i="82" s="1"/>
  <c r="Y32" i="82"/>
  <c r="V32" i="82"/>
  <c r="T32" i="82"/>
  <c r="AM31" i="82"/>
  <c r="AK31" i="82"/>
  <c r="AG31" i="82"/>
  <c r="AF31" i="82"/>
  <c r="AE31" i="82"/>
  <c r="Y31" i="82"/>
  <c r="V31" i="82"/>
  <c r="T31" i="82"/>
  <c r="AD31" i="82" s="1"/>
  <c r="AN31" i="82" s="1"/>
  <c r="AM30" i="82"/>
  <c r="AK30" i="82"/>
  <c r="AF30" i="82"/>
  <c r="AG30" i="82" s="1"/>
  <c r="AD30" i="82"/>
  <c r="Y30" i="82"/>
  <c r="V30" i="82"/>
  <c r="T30" i="82"/>
  <c r="AH30" i="82" s="1"/>
  <c r="AI30" i="82" s="1"/>
  <c r="AM29" i="82"/>
  <c r="AN29" i="82" s="1"/>
  <c r="AK29" i="82"/>
  <c r="AF29" i="82"/>
  <c r="AG29" i="82" s="1"/>
  <c r="AE29" i="82"/>
  <c r="AD29" i="82"/>
  <c r="Y29" i="82"/>
  <c r="V29" i="82"/>
  <c r="T29" i="82"/>
  <c r="AH29" i="82" s="1"/>
  <c r="AI29" i="82" s="1"/>
  <c r="AN28" i="82"/>
  <c r="AM28" i="82"/>
  <c r="AK28" i="82"/>
  <c r="AH28" i="82"/>
  <c r="AI28" i="82" s="1"/>
  <c r="AF28" i="82"/>
  <c r="AG28" i="82" s="1"/>
  <c r="AE28" i="82"/>
  <c r="AD28" i="82"/>
  <c r="Y28" i="82"/>
  <c r="V28" i="82"/>
  <c r="T28" i="82"/>
  <c r="AM27" i="82"/>
  <c r="AK27" i="82"/>
  <c r="AH27" i="82"/>
  <c r="AI27" i="82" s="1"/>
  <c r="AG27" i="82"/>
  <c r="AL27" i="82" s="1"/>
  <c r="AF27" i="82"/>
  <c r="AE27" i="82"/>
  <c r="AD27" i="82"/>
  <c r="Y27" i="82"/>
  <c r="V27" i="82"/>
  <c r="T27" i="82"/>
  <c r="AM26" i="82"/>
  <c r="AK26" i="82"/>
  <c r="AF26" i="82"/>
  <c r="AG26" i="82" s="1"/>
  <c r="Y26" i="82"/>
  <c r="V26" i="82"/>
  <c r="T26" i="82"/>
  <c r="AM25" i="82"/>
  <c r="AK25" i="82"/>
  <c r="AF25" i="82"/>
  <c r="AG25" i="82" s="1"/>
  <c r="AE25" i="82"/>
  <c r="Y25" i="82"/>
  <c r="V25" i="82"/>
  <c r="T25" i="82"/>
  <c r="AH25" i="82" s="1"/>
  <c r="AI25" i="82" s="1"/>
  <c r="AM24" i="82"/>
  <c r="AL24" i="82"/>
  <c r="AK24" i="82"/>
  <c r="AJ24" i="82"/>
  <c r="AG24" i="82"/>
  <c r="AF24" i="82"/>
  <c r="AE24" i="82"/>
  <c r="AD24" i="82"/>
  <c r="Y24" i="82"/>
  <c r="V24" i="82"/>
  <c r="T24" i="82"/>
  <c r="AH24" i="82" s="1"/>
  <c r="AI24" i="82" s="1"/>
  <c r="AM23" i="82"/>
  <c r="AK23" i="82"/>
  <c r="AG23" i="82"/>
  <c r="AF23" i="82"/>
  <c r="AE23" i="82"/>
  <c r="AD23" i="82"/>
  <c r="Y23" i="82"/>
  <c r="V23" i="82"/>
  <c r="T23" i="82"/>
  <c r="AH23" i="82" s="1"/>
  <c r="AI23" i="82" s="1"/>
  <c r="AJ23" i="82" s="1"/>
  <c r="AM22" i="82"/>
  <c r="AK22" i="82"/>
  <c r="AI22" i="82"/>
  <c r="AF22" i="82"/>
  <c r="AG22" i="82" s="1"/>
  <c r="AD22" i="82"/>
  <c r="Y22" i="82"/>
  <c r="V22" i="82"/>
  <c r="T22" i="82"/>
  <c r="AH22" i="82" s="1"/>
  <c r="AM21" i="82"/>
  <c r="AK21" i="82"/>
  <c r="AF21" i="82"/>
  <c r="AG21" i="82" s="1"/>
  <c r="AD21" i="82"/>
  <c r="Y21" i="82"/>
  <c r="V21" i="82"/>
  <c r="T21" i="82"/>
  <c r="AH21" i="82" s="1"/>
  <c r="AI21" i="82" s="1"/>
  <c r="AN20" i="82"/>
  <c r="AM20" i="82"/>
  <c r="AK20" i="82"/>
  <c r="AI20" i="82"/>
  <c r="AH20" i="82"/>
  <c r="AF20" i="82"/>
  <c r="AG20" i="82" s="1"/>
  <c r="AL20" i="82" s="1"/>
  <c r="AE20" i="82"/>
  <c r="AD20" i="82"/>
  <c r="Y20" i="82"/>
  <c r="V20" i="82"/>
  <c r="T20" i="82"/>
  <c r="AN19" i="82"/>
  <c r="AM19" i="82"/>
  <c r="AK19" i="82"/>
  <c r="AI19" i="82"/>
  <c r="AJ19" i="82" s="1"/>
  <c r="AH19" i="82"/>
  <c r="AF19" i="82"/>
  <c r="AG19" i="82" s="1"/>
  <c r="AE19" i="82"/>
  <c r="AD19" i="82"/>
  <c r="Y19" i="82"/>
  <c r="V19" i="82"/>
  <c r="T19" i="82"/>
  <c r="AN18" i="82"/>
  <c r="AM18" i="82"/>
  <c r="AK18" i="82"/>
  <c r="AI18" i="82"/>
  <c r="AH18" i="82"/>
  <c r="AG18" i="82"/>
  <c r="AF18" i="82"/>
  <c r="AE18" i="82"/>
  <c r="AD18" i="82"/>
  <c r="Y18" i="82"/>
  <c r="V18" i="82"/>
  <c r="T18" i="82"/>
  <c r="AM17" i="82"/>
  <c r="AK17" i="82"/>
  <c r="AI17" i="82"/>
  <c r="AH17" i="82"/>
  <c r="AG17" i="82"/>
  <c r="AF17" i="82"/>
  <c r="AE17" i="82"/>
  <c r="AD17" i="82"/>
  <c r="Y17" i="82"/>
  <c r="V17" i="82"/>
  <c r="T17" i="82"/>
  <c r="AM16" i="82"/>
  <c r="AK16" i="82"/>
  <c r="AH16" i="82"/>
  <c r="AI16" i="82" s="1"/>
  <c r="AL16" i="82" s="1"/>
  <c r="AG16" i="82"/>
  <c r="AF16" i="82"/>
  <c r="Y16" i="82"/>
  <c r="V16" i="82"/>
  <c r="T16" i="82"/>
  <c r="AM15" i="82"/>
  <c r="AK15" i="82"/>
  <c r="AH15" i="82"/>
  <c r="AI15" i="82" s="1"/>
  <c r="AF15" i="82"/>
  <c r="AG15" i="82" s="1"/>
  <c r="Y15" i="82"/>
  <c r="V15" i="82"/>
  <c r="T15" i="82"/>
  <c r="AM14" i="82"/>
  <c r="AK14" i="82"/>
  <c r="AG14" i="82"/>
  <c r="AF14" i="82"/>
  <c r="Y14" i="82"/>
  <c r="V14" i="82"/>
  <c r="T14" i="82"/>
  <c r="AD14" i="82" s="1"/>
  <c r="AM13" i="82"/>
  <c r="AK13" i="82"/>
  <c r="AH13" i="82"/>
  <c r="AI13" i="82" s="1"/>
  <c r="AG13" i="82"/>
  <c r="AJ13" i="82" s="1"/>
  <c r="AF13" i="82"/>
  <c r="AE13" i="82"/>
  <c r="AN13" i="82" s="1"/>
  <c r="Y13" i="82"/>
  <c r="V13" i="82"/>
  <c r="T13" i="82"/>
  <c r="AD13" i="82" s="1"/>
  <c r="AM12" i="82"/>
  <c r="AK12" i="82"/>
  <c r="AF12" i="82"/>
  <c r="AG12" i="82" s="1"/>
  <c r="AE12" i="82"/>
  <c r="Y12" i="82"/>
  <c r="V12" i="82"/>
  <c r="T12" i="82"/>
  <c r="AH12" i="82" s="1"/>
  <c r="AI12" i="82" s="1"/>
  <c r="A12" i="82"/>
  <c r="J17" i="67" s="1"/>
  <c r="AM11" i="82"/>
  <c r="AK11" i="82"/>
  <c r="AF11" i="82"/>
  <c r="AG11" i="82" s="1"/>
  <c r="Y11" i="82"/>
  <c r="V11" i="82"/>
  <c r="T11" i="82"/>
  <c r="AH11" i="82" s="1"/>
  <c r="AI11" i="82" s="1"/>
  <c r="AM10" i="82"/>
  <c r="AK10" i="82"/>
  <c r="AG10" i="82"/>
  <c r="AF10" i="82"/>
  <c r="AE10" i="82"/>
  <c r="AD10" i="82"/>
  <c r="Y10" i="82"/>
  <c r="V10" i="82"/>
  <c r="T10" i="82"/>
  <c r="AH10" i="82" s="1"/>
  <c r="AI10" i="82" s="1"/>
  <c r="A10" i="82"/>
  <c r="W22" i="82" s="1"/>
  <c r="AM9" i="82"/>
  <c r="AK9" i="82"/>
  <c r="AH9" i="82"/>
  <c r="AI9" i="82" s="1"/>
  <c r="AF9" i="82"/>
  <c r="AG9" i="82" s="1"/>
  <c r="AD9" i="82"/>
  <c r="Y9" i="82"/>
  <c r="V9" i="82"/>
  <c r="T9" i="82"/>
  <c r="AE9" i="82" s="1"/>
  <c r="AK8" i="82"/>
  <c r="AF8" i="82"/>
  <c r="AG8" i="82" s="1"/>
  <c r="Y8" i="82"/>
  <c r="V8" i="82"/>
  <c r="T8" i="82"/>
  <c r="AH8" i="82" s="1"/>
  <c r="AI8" i="82" s="1"/>
  <c r="AK7" i="82"/>
  <c r="AH7" i="82"/>
  <c r="AI7" i="82" s="1"/>
  <c r="AF7" i="82"/>
  <c r="AG7" i="82" s="1"/>
  <c r="AD7" i="82"/>
  <c r="Y7" i="82"/>
  <c r="V7" i="82"/>
  <c r="T7" i="82"/>
  <c r="AM7" i="82" s="1"/>
  <c r="AM6" i="82"/>
  <c r="AK6" i="82"/>
  <c r="AH6" i="82"/>
  <c r="AI6" i="82" s="1"/>
  <c r="AF6" i="82"/>
  <c r="AG6" i="82" s="1"/>
  <c r="Y6" i="82"/>
  <c r="W6" i="82"/>
  <c r="V6" i="82"/>
  <c r="T6" i="82"/>
  <c r="AD6" i="82" s="1"/>
  <c r="A6" i="82"/>
  <c r="AM5" i="82"/>
  <c r="AK5" i="82"/>
  <c r="AH5" i="82"/>
  <c r="AI5" i="82" s="1"/>
  <c r="AF5" i="82"/>
  <c r="AG5" i="82" s="1"/>
  <c r="AD5" i="82"/>
  <c r="Y5" i="82"/>
  <c r="A14" i="82" s="1"/>
  <c r="K17" i="67" s="1"/>
  <c r="W5" i="82"/>
  <c r="V5" i="82"/>
  <c r="U5" i="82"/>
  <c r="T5" i="82"/>
  <c r="F1" i="82"/>
  <c r="P18" i="68"/>
  <c r="L18" i="68"/>
  <c r="K18" i="68"/>
  <c r="J18" i="68"/>
  <c r="H18" i="68"/>
  <c r="C19" i="2" s="1"/>
  <c r="A8" i="81"/>
  <c r="A20" i="81" s="1"/>
  <c r="O18" i="68" s="1"/>
  <c r="R18" i="68" s="1"/>
  <c r="AM50" i="81"/>
  <c r="AK50" i="81"/>
  <c r="AF50" i="81"/>
  <c r="AG50" i="81" s="1"/>
  <c r="Y50" i="81"/>
  <c r="V50" i="81"/>
  <c r="T50" i="81"/>
  <c r="AD50" i="81" s="1"/>
  <c r="AM49" i="81"/>
  <c r="AK49" i="81"/>
  <c r="AH49" i="81"/>
  <c r="AI49" i="81" s="1"/>
  <c r="AF49" i="81"/>
  <c r="AG49" i="81" s="1"/>
  <c r="AL49" i="81" s="1"/>
  <c r="AE49" i="81"/>
  <c r="Y49" i="81"/>
  <c r="V49" i="81"/>
  <c r="T49" i="81"/>
  <c r="AD49" i="81" s="1"/>
  <c r="AM48" i="81"/>
  <c r="AK48" i="81"/>
  <c r="AF48" i="81"/>
  <c r="AG48" i="81" s="1"/>
  <c r="AD48" i="81"/>
  <c r="Y48" i="81"/>
  <c r="V48" i="81"/>
  <c r="T48" i="81"/>
  <c r="AM47" i="81"/>
  <c r="AK47" i="81"/>
  <c r="AF47" i="81"/>
  <c r="AG47" i="81" s="1"/>
  <c r="AE47" i="81"/>
  <c r="Y47" i="81"/>
  <c r="V47" i="81"/>
  <c r="T47" i="81"/>
  <c r="AH47" i="81" s="1"/>
  <c r="AI47" i="81" s="1"/>
  <c r="AM46" i="81"/>
  <c r="AK46" i="81"/>
  <c r="AH46" i="81"/>
  <c r="AI46" i="81" s="1"/>
  <c r="AG46" i="81"/>
  <c r="AL46" i="81" s="1"/>
  <c r="AF46" i="81"/>
  <c r="AE46" i="81"/>
  <c r="AD46" i="81"/>
  <c r="Y46" i="81"/>
  <c r="V46" i="81"/>
  <c r="T46" i="81"/>
  <c r="AM45" i="81"/>
  <c r="AK45" i="81"/>
  <c r="AF45" i="81"/>
  <c r="AG45" i="81" s="1"/>
  <c r="AD45" i="81"/>
  <c r="Y45" i="81"/>
  <c r="V45" i="81"/>
  <c r="T45" i="81"/>
  <c r="AH45" i="81" s="1"/>
  <c r="AI45" i="81" s="1"/>
  <c r="AM44" i="81"/>
  <c r="AK44" i="81"/>
  <c r="AF44" i="81"/>
  <c r="AG44" i="81" s="1"/>
  <c r="AE44" i="81"/>
  <c r="Y44" i="81"/>
  <c r="V44" i="81"/>
  <c r="T44" i="81"/>
  <c r="AH44" i="81" s="1"/>
  <c r="AI44" i="81" s="1"/>
  <c r="AM43" i="81"/>
  <c r="AN43" i="81" s="1"/>
  <c r="AK43" i="81"/>
  <c r="AF43" i="81"/>
  <c r="AG43" i="81" s="1"/>
  <c r="AE43" i="81"/>
  <c r="AD43" i="81"/>
  <c r="Y43" i="81"/>
  <c r="V43" i="81"/>
  <c r="T43" i="81"/>
  <c r="AH43" i="81" s="1"/>
  <c r="AI43" i="81" s="1"/>
  <c r="AM42" i="81"/>
  <c r="AK42" i="81"/>
  <c r="AF42" i="81"/>
  <c r="AG42" i="81" s="1"/>
  <c r="AE42" i="81"/>
  <c r="AD42" i="81"/>
  <c r="Y42" i="81"/>
  <c r="V42" i="81"/>
  <c r="T42" i="81"/>
  <c r="AH42" i="81" s="1"/>
  <c r="AI42" i="81" s="1"/>
  <c r="AM41" i="81"/>
  <c r="AK41" i="81"/>
  <c r="AH41" i="81"/>
  <c r="AI41" i="81" s="1"/>
  <c r="AF41" i="81"/>
  <c r="AG41" i="81" s="1"/>
  <c r="AD41" i="81"/>
  <c r="Y41" i="81"/>
  <c r="V41" i="81"/>
  <c r="T41" i="81"/>
  <c r="AE41" i="81" s="1"/>
  <c r="AN41" i="81" s="1"/>
  <c r="AM40" i="81"/>
  <c r="AK40" i="81"/>
  <c r="AH40" i="81"/>
  <c r="AI40" i="81" s="1"/>
  <c r="AF40" i="81"/>
  <c r="AG40" i="81" s="1"/>
  <c r="AL40" i="81" s="1"/>
  <c r="Y40" i="81"/>
  <c r="V40" i="81"/>
  <c r="T40" i="81"/>
  <c r="AE40" i="81" s="1"/>
  <c r="AM39" i="81"/>
  <c r="AK39" i="81"/>
  <c r="AF39" i="81"/>
  <c r="AG39" i="81" s="1"/>
  <c r="Y39" i="81"/>
  <c r="V39" i="81"/>
  <c r="T39" i="81"/>
  <c r="AE39" i="81" s="1"/>
  <c r="AM38" i="81"/>
  <c r="AK38" i="81"/>
  <c r="AF38" i="81"/>
  <c r="AG38" i="81" s="1"/>
  <c r="Y38" i="81"/>
  <c r="V38" i="81"/>
  <c r="T38" i="81"/>
  <c r="AD38" i="81" s="1"/>
  <c r="AM37" i="81"/>
  <c r="AK37" i="81"/>
  <c r="AH37" i="81"/>
  <c r="AI37" i="81" s="1"/>
  <c r="AF37" i="81"/>
  <c r="AG37" i="81" s="1"/>
  <c r="AL37" i="81" s="1"/>
  <c r="AE37" i="81"/>
  <c r="AD37" i="81"/>
  <c r="Y37" i="81"/>
  <c r="V37" i="81"/>
  <c r="T37" i="81"/>
  <c r="AM36" i="81"/>
  <c r="AK36" i="81"/>
  <c r="AF36" i="81"/>
  <c r="AG36" i="81" s="1"/>
  <c r="AD36" i="81"/>
  <c r="Y36" i="81"/>
  <c r="V36" i="81"/>
  <c r="T36" i="81"/>
  <c r="AH36" i="81" s="1"/>
  <c r="AI36" i="81" s="1"/>
  <c r="AM35" i="81"/>
  <c r="AK35" i="81"/>
  <c r="AF35" i="81"/>
  <c r="AG35" i="81" s="1"/>
  <c r="AE35" i="81"/>
  <c r="Y35" i="81"/>
  <c r="V35" i="81"/>
  <c r="T35" i="81"/>
  <c r="AH35" i="81" s="1"/>
  <c r="AI35" i="81" s="1"/>
  <c r="AM34" i="81"/>
  <c r="AK34" i="81"/>
  <c r="AH34" i="81"/>
  <c r="AI34" i="81" s="1"/>
  <c r="AF34" i="81"/>
  <c r="AG34" i="81" s="1"/>
  <c r="AL34" i="81" s="1"/>
  <c r="AE34" i="81"/>
  <c r="AD34" i="81"/>
  <c r="Y34" i="81"/>
  <c r="V34" i="81"/>
  <c r="T34" i="81"/>
  <c r="AM33" i="81"/>
  <c r="AK33" i="81"/>
  <c r="AF33" i="81"/>
  <c r="AG33" i="81" s="1"/>
  <c r="AD33" i="81"/>
  <c r="Y33" i="81"/>
  <c r="V33" i="81"/>
  <c r="T33" i="81"/>
  <c r="AH33" i="81" s="1"/>
  <c r="AI33" i="81" s="1"/>
  <c r="AM32" i="81"/>
  <c r="AK32" i="81"/>
  <c r="AF32" i="81"/>
  <c r="AG32" i="81" s="1"/>
  <c r="AE32" i="81"/>
  <c r="Y32" i="81"/>
  <c r="V32" i="81"/>
  <c r="T32" i="81"/>
  <c r="AH32" i="81" s="1"/>
  <c r="AI32" i="81" s="1"/>
  <c r="AM31" i="81"/>
  <c r="AK31" i="81"/>
  <c r="AF31" i="81"/>
  <c r="AG31" i="81" s="1"/>
  <c r="AE31" i="81"/>
  <c r="AD31" i="81"/>
  <c r="Y31" i="81"/>
  <c r="V31" i="81"/>
  <c r="T31" i="81"/>
  <c r="AH31" i="81" s="1"/>
  <c r="AI31" i="81" s="1"/>
  <c r="AM30" i="81"/>
  <c r="AK30" i="81"/>
  <c r="AF30" i="81"/>
  <c r="AG30" i="81" s="1"/>
  <c r="AE30" i="81"/>
  <c r="AD30" i="81"/>
  <c r="Y30" i="81"/>
  <c r="V30" i="81"/>
  <c r="T30" i="81"/>
  <c r="AH30" i="81" s="1"/>
  <c r="AI30" i="81" s="1"/>
  <c r="AM29" i="81"/>
  <c r="AK29" i="81"/>
  <c r="AH29" i="81"/>
  <c r="AI29" i="81" s="1"/>
  <c r="AF29" i="81"/>
  <c r="AG29" i="81" s="1"/>
  <c r="AD29" i="81"/>
  <c r="Y29" i="81"/>
  <c r="V29" i="81"/>
  <c r="T29" i="81"/>
  <c r="AE29" i="81" s="1"/>
  <c r="AM28" i="81"/>
  <c r="AK28" i="81"/>
  <c r="AH28" i="81"/>
  <c r="AI28" i="81" s="1"/>
  <c r="AF28" i="81"/>
  <c r="AG28" i="81" s="1"/>
  <c r="AE28" i="81"/>
  <c r="Y28" i="81"/>
  <c r="V28" i="81"/>
  <c r="T28" i="81"/>
  <c r="AD28" i="81" s="1"/>
  <c r="AM27" i="81"/>
  <c r="AK27" i="81"/>
  <c r="AF27" i="81"/>
  <c r="AG27" i="81" s="1"/>
  <c r="Y27" i="81"/>
  <c r="V27" i="81"/>
  <c r="T27" i="81"/>
  <c r="AE27" i="81" s="1"/>
  <c r="AM26" i="81"/>
  <c r="AK26" i="81"/>
  <c r="AF26" i="81"/>
  <c r="AG26" i="81" s="1"/>
  <c r="Y26" i="81"/>
  <c r="V26" i="81"/>
  <c r="T26" i="81"/>
  <c r="AD26" i="81" s="1"/>
  <c r="AM25" i="81"/>
  <c r="AK25" i="81"/>
  <c r="AH25" i="81"/>
  <c r="AI25" i="81" s="1"/>
  <c r="AG25" i="81"/>
  <c r="AL25" i="81" s="1"/>
  <c r="AF25" i="81"/>
  <c r="AE25" i="81"/>
  <c r="AD25" i="81"/>
  <c r="Y25" i="81"/>
  <c r="V25" i="81"/>
  <c r="T25" i="81"/>
  <c r="AM24" i="81"/>
  <c r="AK24" i="81"/>
  <c r="AF24" i="81"/>
  <c r="AG24" i="81" s="1"/>
  <c r="AD24" i="81"/>
  <c r="Y24" i="81"/>
  <c r="V24" i="81"/>
  <c r="T24" i="81"/>
  <c r="AM23" i="81"/>
  <c r="AK23" i="81"/>
  <c r="AF23" i="81"/>
  <c r="AG23" i="81" s="1"/>
  <c r="AD23" i="81"/>
  <c r="Y23" i="81"/>
  <c r="V23" i="81"/>
  <c r="T23" i="81"/>
  <c r="AH23" i="81" s="1"/>
  <c r="AI23" i="81" s="1"/>
  <c r="AM22" i="81"/>
  <c r="AK22" i="81"/>
  <c r="AF22" i="81"/>
  <c r="AG22" i="81" s="1"/>
  <c r="AE22" i="81"/>
  <c r="Y22" i="81"/>
  <c r="V22" i="81"/>
  <c r="T22" i="81"/>
  <c r="AH22" i="81" s="1"/>
  <c r="AI22" i="81" s="1"/>
  <c r="AM21" i="81"/>
  <c r="AK21" i="81"/>
  <c r="AF21" i="81"/>
  <c r="AG21" i="81" s="1"/>
  <c r="AE21" i="81"/>
  <c r="Y21" i="81"/>
  <c r="V21" i="81"/>
  <c r="T21" i="81"/>
  <c r="AH21" i="81" s="1"/>
  <c r="AI21" i="81" s="1"/>
  <c r="AM20" i="81"/>
  <c r="AK20" i="81"/>
  <c r="AH20" i="81"/>
  <c r="AI20" i="81" s="1"/>
  <c r="AF20" i="81"/>
  <c r="AG20" i="81" s="1"/>
  <c r="AL20" i="81" s="1"/>
  <c r="AE20" i="81"/>
  <c r="AD20" i="81"/>
  <c r="Y20" i="81"/>
  <c r="V20" i="81"/>
  <c r="T20" i="81"/>
  <c r="AM19" i="81"/>
  <c r="AK19" i="81"/>
  <c r="AH19" i="81"/>
  <c r="AI19" i="81" s="1"/>
  <c r="AG19" i="81"/>
  <c r="AF19" i="81"/>
  <c r="AE19" i="81"/>
  <c r="AD19" i="81"/>
  <c r="Y19" i="81"/>
  <c r="V19" i="81"/>
  <c r="T19" i="81"/>
  <c r="AM18" i="81"/>
  <c r="AK18" i="81"/>
  <c r="AF18" i="81"/>
  <c r="AG18" i="81" s="1"/>
  <c r="AD18" i="81"/>
  <c r="Y18" i="81"/>
  <c r="V18" i="81"/>
  <c r="T18" i="81"/>
  <c r="AH18" i="81" s="1"/>
  <c r="AI18" i="81" s="1"/>
  <c r="AM17" i="81"/>
  <c r="AK17" i="81"/>
  <c r="AF17" i="81"/>
  <c r="AG17" i="81" s="1"/>
  <c r="AD17" i="81"/>
  <c r="Y17" i="81"/>
  <c r="V17" i="81"/>
  <c r="T17" i="81"/>
  <c r="AH17" i="81" s="1"/>
  <c r="AI17" i="81" s="1"/>
  <c r="AM16" i="81"/>
  <c r="AK16" i="81"/>
  <c r="AF16" i="81"/>
  <c r="AG16" i="81" s="1"/>
  <c r="AE16" i="81"/>
  <c r="Y16" i="81"/>
  <c r="V16" i="81"/>
  <c r="T16" i="81"/>
  <c r="AH16" i="81" s="1"/>
  <c r="AI16" i="81" s="1"/>
  <c r="AM15" i="81"/>
  <c r="AK15" i="81"/>
  <c r="AF15" i="81"/>
  <c r="AG15" i="81" s="1"/>
  <c r="AE15" i="81"/>
  <c r="Y15" i="81"/>
  <c r="V15" i="81"/>
  <c r="T15" i="81"/>
  <c r="AH15" i="81" s="1"/>
  <c r="AI15" i="81" s="1"/>
  <c r="AM14" i="81"/>
  <c r="AK14" i="81"/>
  <c r="AF14" i="81"/>
  <c r="AG14" i="81" s="1"/>
  <c r="AE14" i="81"/>
  <c r="AD14" i="81"/>
  <c r="Y14" i="81"/>
  <c r="V14" i="81"/>
  <c r="T14" i="81"/>
  <c r="AH14" i="81" s="1"/>
  <c r="AI14" i="81" s="1"/>
  <c r="AM13" i="81"/>
  <c r="AK13" i="81"/>
  <c r="AF13" i="81"/>
  <c r="AG13" i="81" s="1"/>
  <c r="AE13" i="81"/>
  <c r="AD13" i="81"/>
  <c r="Y13" i="81"/>
  <c r="V13" i="81"/>
  <c r="T13" i="81"/>
  <c r="AH13" i="81" s="1"/>
  <c r="AI13" i="81" s="1"/>
  <c r="AM12" i="81"/>
  <c r="AK12" i="81"/>
  <c r="AF12" i="81"/>
  <c r="AG12" i="81" s="1"/>
  <c r="AE12" i="81"/>
  <c r="AD12" i="81"/>
  <c r="Y12" i="81"/>
  <c r="V12" i="81"/>
  <c r="T12" i="81"/>
  <c r="AH12" i="81" s="1"/>
  <c r="AI12" i="81" s="1"/>
  <c r="A12" i="81"/>
  <c r="AM11" i="81"/>
  <c r="AK11" i="81"/>
  <c r="AF11" i="81"/>
  <c r="AG11" i="81" s="1"/>
  <c r="AE11" i="81"/>
  <c r="AD11" i="81"/>
  <c r="Y11" i="81"/>
  <c r="V11" i="81"/>
  <c r="T11" i="81"/>
  <c r="AH11" i="81" s="1"/>
  <c r="AI11" i="81" s="1"/>
  <c r="AM10" i="81"/>
  <c r="AK10" i="81"/>
  <c r="AI10" i="81"/>
  <c r="AH10" i="81"/>
  <c r="AF10" i="81"/>
  <c r="AG10" i="81" s="1"/>
  <c r="AE10" i="81"/>
  <c r="AD10" i="81"/>
  <c r="Y10" i="81"/>
  <c r="V10" i="81"/>
  <c r="T10" i="81"/>
  <c r="A10" i="81"/>
  <c r="W43" i="81" s="1"/>
  <c r="AM9" i="81"/>
  <c r="AK9" i="81"/>
  <c r="AI9" i="81"/>
  <c r="AH9" i="81"/>
  <c r="AF9" i="81"/>
  <c r="AG9" i="81" s="1"/>
  <c r="AE9" i="81"/>
  <c r="AD9" i="81"/>
  <c r="AN9" i="81" s="1"/>
  <c r="Y9" i="81"/>
  <c r="V9" i="81"/>
  <c r="T9" i="81"/>
  <c r="AM8" i="81"/>
  <c r="AK8" i="81"/>
  <c r="AH8" i="81"/>
  <c r="AI8" i="81" s="1"/>
  <c r="AF8" i="81"/>
  <c r="AG8" i="81" s="1"/>
  <c r="Y8" i="81"/>
  <c r="W8" i="81"/>
  <c r="V8" i="81"/>
  <c r="T8" i="81"/>
  <c r="AD8" i="81" s="1"/>
  <c r="AM7" i="81"/>
  <c r="AK7" i="81"/>
  <c r="AF7" i="81"/>
  <c r="AG7" i="81" s="1"/>
  <c r="Y7" i="81"/>
  <c r="V7" i="81"/>
  <c r="T7" i="81"/>
  <c r="AM6" i="81"/>
  <c r="AK6" i="81"/>
  <c r="AF6" i="81"/>
  <c r="AG6" i="81" s="1"/>
  <c r="AD6" i="81"/>
  <c r="Y6" i="81"/>
  <c r="W6" i="81"/>
  <c r="V6" i="81"/>
  <c r="T6" i="81"/>
  <c r="AH6" i="81" s="1"/>
  <c r="AI6" i="81" s="1"/>
  <c r="A6" i="81"/>
  <c r="AK5" i="81"/>
  <c r="AF5" i="81"/>
  <c r="AG5" i="81" s="1"/>
  <c r="Y5" i="81"/>
  <c r="A14" i="81" s="1"/>
  <c r="V5" i="81"/>
  <c r="T5" i="81"/>
  <c r="AM5" i="81" s="1"/>
  <c r="S18" i="68" s="1"/>
  <c r="F1" i="81"/>
  <c r="AJ5" i="82" l="1"/>
  <c r="AD5" i="81"/>
  <c r="AN29" i="81"/>
  <c r="AJ8" i="81"/>
  <c r="AJ15" i="81"/>
  <c r="AN46" i="81"/>
  <c r="AL12" i="81"/>
  <c r="AN20" i="81"/>
  <c r="AN34" i="81"/>
  <c r="AN37" i="81"/>
  <c r="AN10" i="81"/>
  <c r="AL11" i="81"/>
  <c r="AN19" i="81"/>
  <c r="AN25" i="81"/>
  <c r="AJ40" i="81"/>
  <c r="AJ28" i="81"/>
  <c r="AL8" i="82"/>
  <c r="AN5" i="82"/>
  <c r="AM8" i="82"/>
  <c r="AN6" i="82"/>
  <c r="I18" i="68"/>
  <c r="S17" i="67"/>
  <c r="W15" i="82"/>
  <c r="U15" i="82"/>
  <c r="U7" i="82"/>
  <c r="U11" i="82"/>
  <c r="W18" i="82"/>
  <c r="H17" i="67"/>
  <c r="K17" i="2" s="1"/>
  <c r="U6" i="82"/>
  <c r="W7" i="82"/>
  <c r="U13" i="82"/>
  <c r="AL12" i="82"/>
  <c r="AJ12" i="82"/>
  <c r="AJ15" i="82"/>
  <c r="AL15" i="82"/>
  <c r="AJ8" i="82"/>
  <c r="AL10" i="82"/>
  <c r="AJ10" i="82"/>
  <c r="AL11" i="82"/>
  <c r="AJ11" i="82"/>
  <c r="AL6" i="82"/>
  <c r="AJ6" i="82"/>
  <c r="AJ7" i="82"/>
  <c r="AL7" i="82"/>
  <c r="AL5" i="82"/>
  <c r="AL9" i="82"/>
  <c r="AJ9" i="82"/>
  <c r="AN9" i="82"/>
  <c r="W21" i="82"/>
  <c r="AL23" i="82"/>
  <c r="AL42" i="82"/>
  <c r="AJ42" i="82"/>
  <c r="AL45" i="82"/>
  <c r="AJ45" i="82"/>
  <c r="AL66" i="82"/>
  <c r="AJ66" i="82"/>
  <c r="AH26" i="82"/>
  <c r="AI26" i="82" s="1"/>
  <c r="AE26" i="82"/>
  <c r="AD26" i="82"/>
  <c r="AN26" i="82" s="1"/>
  <c r="AL29" i="82"/>
  <c r="AJ29" i="82"/>
  <c r="AJ37" i="82"/>
  <c r="AL37" i="82"/>
  <c r="AE56" i="82"/>
  <c r="AN56" i="82" s="1"/>
  <c r="AD56" i="82"/>
  <c r="AH56" i="82"/>
  <c r="AI56" i="82" s="1"/>
  <c r="AL57" i="82"/>
  <c r="AJ57" i="82"/>
  <c r="AJ61" i="82"/>
  <c r="AL61" i="82"/>
  <c r="AN7" i="82"/>
  <c r="AE14" i="82"/>
  <c r="AN14" i="82" s="1"/>
  <c r="AE16" i="82"/>
  <c r="AD16" i="82"/>
  <c r="AN16" i="82" s="1"/>
  <c r="AL17" i="82"/>
  <c r="AJ17" i="82"/>
  <c r="W19" i="82"/>
  <c r="AL28" i="82"/>
  <c r="AJ28" i="82"/>
  <c r="AJ49" i="82"/>
  <c r="AL49" i="82"/>
  <c r="AL54" i="82"/>
  <c r="AJ54" i="82"/>
  <c r="AN6" i="81"/>
  <c r="AN14" i="81"/>
  <c r="W60" i="82"/>
  <c r="U58" i="82"/>
  <c r="W48" i="82"/>
  <c r="U46" i="82"/>
  <c r="W36" i="82"/>
  <c r="U34" i="82"/>
  <c r="W24" i="82"/>
  <c r="W23" i="82"/>
  <c r="U20" i="82"/>
  <c r="U19" i="82"/>
  <c r="W61" i="82"/>
  <c r="U59" i="82"/>
  <c r="W49" i="82"/>
  <c r="U47" i="82"/>
  <c r="W37" i="82"/>
  <c r="U35" i="82"/>
  <c r="W25" i="82"/>
  <c r="U22" i="82"/>
  <c r="U21" i="82"/>
  <c r="W62" i="82"/>
  <c r="U60" i="82"/>
  <c r="W50" i="82"/>
  <c r="U48" i="82"/>
  <c r="W38" i="82"/>
  <c r="U36" i="82"/>
  <c r="W26" i="82"/>
  <c r="U24" i="82"/>
  <c r="U23" i="82"/>
  <c r="W63" i="82"/>
  <c r="U61" i="82"/>
  <c r="W51" i="82"/>
  <c r="U49" i="82"/>
  <c r="W39" i="82"/>
  <c r="U37" i="82"/>
  <c r="W27" i="82"/>
  <c r="U25" i="82"/>
  <c r="W64" i="82"/>
  <c r="U62" i="82"/>
  <c r="W52" i="82"/>
  <c r="U50" i="82"/>
  <c r="W40" i="82"/>
  <c r="U38" i="82"/>
  <c r="W28" i="82"/>
  <c r="U26" i="82"/>
  <c r="W65" i="82"/>
  <c r="U63" i="82"/>
  <c r="W53" i="82"/>
  <c r="U51" i="82"/>
  <c r="W41" i="82"/>
  <c r="U39" i="82"/>
  <c r="W29" i="82"/>
  <c r="U27" i="82"/>
  <c r="W66" i="82"/>
  <c r="U64" i="82"/>
  <c r="W54" i="82"/>
  <c r="U52" i="82"/>
  <c r="W42" i="82"/>
  <c r="U40" i="82"/>
  <c r="W30" i="82"/>
  <c r="U28" i="82"/>
  <c r="W12" i="82"/>
  <c r="W11" i="82"/>
  <c r="W67" i="82"/>
  <c r="U65" i="82"/>
  <c r="W55" i="82"/>
  <c r="U53" i="82"/>
  <c r="W43" i="82"/>
  <c r="U41" i="82"/>
  <c r="W31" i="82"/>
  <c r="U29" i="82"/>
  <c r="W14" i="82"/>
  <c r="W13" i="82"/>
  <c r="U66" i="82"/>
  <c r="W56" i="82"/>
  <c r="U54" i="82"/>
  <c r="W44" i="82"/>
  <c r="U42" i="82"/>
  <c r="W32" i="82"/>
  <c r="U30" i="82"/>
  <c r="W16" i="82"/>
  <c r="U67" i="82"/>
  <c r="W57" i="82"/>
  <c r="U55" i="82"/>
  <c r="W45" i="82"/>
  <c r="U43" i="82"/>
  <c r="W33" i="82"/>
  <c r="U31" i="82"/>
  <c r="W58" i="82"/>
  <c r="U56" i="82"/>
  <c r="W46" i="82"/>
  <c r="U44" i="82"/>
  <c r="W34" i="82"/>
  <c r="U32" i="82"/>
  <c r="U16" i="82"/>
  <c r="W35" i="82"/>
  <c r="AL65" i="82"/>
  <c r="AJ65" i="82"/>
  <c r="AE44" i="82"/>
  <c r="AD44" i="82"/>
  <c r="AH44" i="82"/>
  <c r="AI44" i="82" s="1"/>
  <c r="AL44" i="82" s="1"/>
  <c r="AN51" i="82"/>
  <c r="AD8" i="82"/>
  <c r="U12" i="82"/>
  <c r="AL13" i="82"/>
  <c r="AJ14" i="82"/>
  <c r="U33" i="82"/>
  <c r="AL41" i="82"/>
  <c r="AJ41" i="82"/>
  <c r="W47" i="82"/>
  <c r="AL56" i="82"/>
  <c r="AJ56" i="82"/>
  <c r="W59" i="82"/>
  <c r="U9" i="82"/>
  <c r="U10" i="82"/>
  <c r="AH14" i="82"/>
  <c r="AI14" i="82" s="1"/>
  <c r="U17" i="82"/>
  <c r="AJ20" i="82"/>
  <c r="AL21" i="82"/>
  <c r="AJ26" i="82"/>
  <c r="AL40" i="82"/>
  <c r="AJ40" i="82"/>
  <c r="AL53" i="82"/>
  <c r="AJ53" i="82"/>
  <c r="AL64" i="82"/>
  <c r="AJ64" i="82"/>
  <c r="AD11" i="82"/>
  <c r="AN11" i="82" s="1"/>
  <c r="AL18" i="82"/>
  <c r="AJ18" i="82"/>
  <c r="AL35" i="82"/>
  <c r="AJ35" i="82"/>
  <c r="AJ36" i="82"/>
  <c r="U45" i="82"/>
  <c r="AL52" i="82"/>
  <c r="AJ52" i="82"/>
  <c r="AL59" i="82"/>
  <c r="AJ59" i="82"/>
  <c r="AN8" i="81"/>
  <c r="AN13" i="81"/>
  <c r="U8" i="82"/>
  <c r="W9" i="82"/>
  <c r="W10" i="82"/>
  <c r="AE11" i="82"/>
  <c r="AL14" i="82"/>
  <c r="W17" i="82"/>
  <c r="AN17" i="82"/>
  <c r="W20" i="82"/>
  <c r="AJ21" i="82"/>
  <c r="AL22" i="82"/>
  <c r="AJ22" i="82"/>
  <c r="AL26" i="82"/>
  <c r="AN27" i="82"/>
  <c r="AL39" i="82"/>
  <c r="AL47" i="82"/>
  <c r="AJ47" i="82"/>
  <c r="AJ48" i="82"/>
  <c r="AL63" i="82"/>
  <c r="AL34" i="82"/>
  <c r="AJ34" i="82"/>
  <c r="AJ43" i="82"/>
  <c r="U57" i="82"/>
  <c r="AL67" i="82"/>
  <c r="W8" i="82"/>
  <c r="AN10" i="82"/>
  <c r="AD12" i="82"/>
  <c r="AN12" i="82" s="1"/>
  <c r="U14" i="82"/>
  <c r="U18" i="82"/>
  <c r="AL19" i="82"/>
  <c r="AL30" i="82"/>
  <c r="AJ30" i="82"/>
  <c r="AE32" i="82"/>
  <c r="AN32" i="82" s="1"/>
  <c r="AD32" i="82"/>
  <c r="AH32" i="82"/>
  <c r="AI32" i="82" s="1"/>
  <c r="AL32" i="82" s="1"/>
  <c r="AL46" i="82"/>
  <c r="AJ46" i="82"/>
  <c r="AJ50" i="82"/>
  <c r="AN59" i="82"/>
  <c r="AE15" i="82"/>
  <c r="AD15" i="82"/>
  <c r="AN15" i="82" s="1"/>
  <c r="AJ16" i="82"/>
  <c r="AJ25" i="82"/>
  <c r="AL25" i="82"/>
  <c r="AL33" i="82"/>
  <c r="AJ33" i="82"/>
  <c r="AL38" i="82"/>
  <c r="AN39" i="82"/>
  <c r="AL58" i="82"/>
  <c r="AJ58" i="82"/>
  <c r="AL62" i="82"/>
  <c r="AN63" i="82"/>
  <c r="AE30" i="82"/>
  <c r="AN30" i="82" s="1"/>
  <c r="AE42" i="82"/>
  <c r="AN42" i="82" s="1"/>
  <c r="AE65" i="82"/>
  <c r="AN65" i="82" s="1"/>
  <c r="AH31" i="82"/>
  <c r="AI31" i="82" s="1"/>
  <c r="AL31" i="82" s="1"/>
  <c r="AH43" i="82"/>
  <c r="AI43" i="82" s="1"/>
  <c r="AL43" i="82" s="1"/>
  <c r="AH55" i="82"/>
  <c r="AI55" i="82" s="1"/>
  <c r="AL55" i="82" s="1"/>
  <c r="AN61" i="82"/>
  <c r="AH67" i="82"/>
  <c r="AI67" i="82" s="1"/>
  <c r="AJ67" i="82" s="1"/>
  <c r="AN23" i="82"/>
  <c r="AN24" i="82"/>
  <c r="AN36" i="82"/>
  <c r="AD38" i="82"/>
  <c r="AN48" i="82"/>
  <c r="AD50" i="82"/>
  <c r="AN50" i="82" s="1"/>
  <c r="AN60" i="82"/>
  <c r="AD62" i="82"/>
  <c r="AN62" i="82" s="1"/>
  <c r="AD25" i="82"/>
  <c r="AN25" i="82" s="1"/>
  <c r="AJ31" i="82"/>
  <c r="AD37" i="82"/>
  <c r="AN37" i="82" s="1"/>
  <c r="AE38" i="82"/>
  <c r="AD49" i="82"/>
  <c r="AN49" i="82" s="1"/>
  <c r="AE50" i="82"/>
  <c r="AD61" i="82"/>
  <c r="AE62" i="82"/>
  <c r="AN33" i="82"/>
  <c r="AN45" i="82"/>
  <c r="AN57" i="82"/>
  <c r="AD59" i="82"/>
  <c r="AE21" i="82"/>
  <c r="AN21" i="82" s="1"/>
  <c r="AE22" i="82"/>
  <c r="AN22" i="82" s="1"/>
  <c r="AE35" i="82"/>
  <c r="AN35" i="82" s="1"/>
  <c r="AN44" i="82"/>
  <c r="AE47" i="82"/>
  <c r="AN47" i="82" s="1"/>
  <c r="AE59" i="82"/>
  <c r="AJ27" i="82"/>
  <c r="AJ39" i="82"/>
  <c r="AJ51" i="82"/>
  <c r="AN54" i="82"/>
  <c r="AN66" i="82"/>
  <c r="U24" i="81"/>
  <c r="W7" i="81"/>
  <c r="U48" i="81"/>
  <c r="W39" i="81"/>
  <c r="W29" i="81"/>
  <c r="U25" i="81"/>
  <c r="W26" i="81"/>
  <c r="U37" i="81"/>
  <c r="W38" i="81"/>
  <c r="X38" i="81" s="1"/>
  <c r="AA38" i="81" s="1"/>
  <c r="AC38" i="81" s="1"/>
  <c r="W41" i="81"/>
  <c r="U27" i="81"/>
  <c r="W27" i="81"/>
  <c r="X27" i="81" s="1"/>
  <c r="AA27" i="81" s="1"/>
  <c r="AC27" i="81" s="1"/>
  <c r="W50" i="81"/>
  <c r="W5" i="81"/>
  <c r="X5" i="81" s="1"/>
  <c r="W9" i="81"/>
  <c r="U49" i="81"/>
  <c r="U8" i="81"/>
  <c r="W10" i="81"/>
  <c r="X10" i="81" s="1"/>
  <c r="Z10" i="81" s="1"/>
  <c r="AB10" i="81" s="1"/>
  <c r="AO10" i="81" s="1"/>
  <c r="U39" i="81"/>
  <c r="A18" i="81"/>
  <c r="N18" i="68" s="1"/>
  <c r="X7" i="81"/>
  <c r="AA7" i="81" s="1"/>
  <c r="AC7" i="81" s="1"/>
  <c r="X29" i="81"/>
  <c r="AA29" i="81" s="1"/>
  <c r="AC29" i="81" s="1"/>
  <c r="AP29" i="81" s="1"/>
  <c r="X39" i="81"/>
  <c r="AA39" i="81" s="1"/>
  <c r="AC39" i="81" s="1"/>
  <c r="X6" i="81"/>
  <c r="Z6" i="81" s="1"/>
  <c r="AB6" i="81" s="1"/>
  <c r="AO6" i="81" s="1"/>
  <c r="X41" i="81"/>
  <c r="AA41" i="81" s="1"/>
  <c r="AC41" i="81" s="1"/>
  <c r="AP41" i="81" s="1"/>
  <c r="X50" i="81"/>
  <c r="AA50" i="81" s="1"/>
  <c r="AC50" i="81" s="1"/>
  <c r="X9" i="81"/>
  <c r="AA9" i="81" s="1"/>
  <c r="AC9" i="81" s="1"/>
  <c r="AP9" i="81" s="1"/>
  <c r="X43" i="81"/>
  <c r="Z43" i="81" s="1"/>
  <c r="AB43" i="81" s="1"/>
  <c r="AO43" i="81" s="1"/>
  <c r="X8" i="81"/>
  <c r="Z8" i="81" s="1"/>
  <c r="AB8" i="81" s="1"/>
  <c r="AO8" i="81" s="1"/>
  <c r="X26" i="81"/>
  <c r="AA26" i="81" s="1"/>
  <c r="AC26" i="81" s="1"/>
  <c r="AL36" i="81"/>
  <c r="AJ36" i="81"/>
  <c r="AL43" i="81"/>
  <c r="AJ43" i="81"/>
  <c r="AH7" i="81"/>
  <c r="AI7" i="81" s="1"/>
  <c r="AL7" i="81" s="1"/>
  <c r="AD7" i="81"/>
  <c r="AN7" i="81" s="1"/>
  <c r="AL19" i="81"/>
  <c r="AJ12" i="81"/>
  <c r="AJ32" i="81"/>
  <c r="AL32" i="81"/>
  <c r="AJ10" i="81"/>
  <c r="AL10" i="81"/>
  <c r="AL8" i="81"/>
  <c r="AJ11" i="81"/>
  <c r="AJ18" i="81"/>
  <c r="AL18" i="81"/>
  <c r="AL22" i="81"/>
  <c r="AJ22" i="81"/>
  <c r="AL35" i="81"/>
  <c r="AJ35" i="81"/>
  <c r="AL42" i="81"/>
  <c r="AJ42" i="81"/>
  <c r="AL23" i="81"/>
  <c r="AJ23" i="81"/>
  <c r="AJ45" i="81"/>
  <c r="AL45" i="81"/>
  <c r="AL15" i="81"/>
  <c r="AL28" i="81"/>
  <c r="AN5" i="81"/>
  <c r="AJ7" i="81"/>
  <c r="AL41" i="81"/>
  <c r="AJ41" i="81"/>
  <c r="AL29" i="81"/>
  <c r="AJ29" i="81"/>
  <c r="AL14" i="81"/>
  <c r="AJ14" i="81"/>
  <c r="AJ44" i="81"/>
  <c r="AL44" i="81"/>
  <c r="AJ16" i="81"/>
  <c r="AL16" i="81"/>
  <c r="AJ17" i="81"/>
  <c r="AL17" i="81"/>
  <c r="AL31" i="81"/>
  <c r="AJ31" i="81"/>
  <c r="AL47" i="81"/>
  <c r="AJ47" i="81"/>
  <c r="AL9" i="81"/>
  <c r="AJ9" i="81"/>
  <c r="AL21" i="81"/>
  <c r="AJ21" i="81"/>
  <c r="AL13" i="81"/>
  <c r="AJ13" i="81"/>
  <c r="AL30" i="81"/>
  <c r="AJ30" i="81"/>
  <c r="AL6" i="81"/>
  <c r="AJ33" i="81"/>
  <c r="AL33" i="81"/>
  <c r="AH50" i="81"/>
  <c r="AI50" i="81" s="1"/>
  <c r="AL50" i="81" s="1"/>
  <c r="U36" i="81"/>
  <c r="W11" i="81"/>
  <c r="X11" i="81" s="1"/>
  <c r="W12" i="81"/>
  <c r="X12" i="81" s="1"/>
  <c r="AE26" i="81"/>
  <c r="AN26" i="81" s="1"/>
  <c r="U28" i="81"/>
  <c r="W30" i="81"/>
  <c r="X30" i="81" s="1"/>
  <c r="AE38" i="81"/>
  <c r="U40" i="81"/>
  <c r="W42" i="81"/>
  <c r="X42" i="81" s="1"/>
  <c r="AE50" i="81"/>
  <c r="U7" i="81"/>
  <c r="AD21" i="81"/>
  <c r="AN21" i="81" s="1"/>
  <c r="AD22" i="81"/>
  <c r="AN22" i="81" s="1"/>
  <c r="AE23" i="81"/>
  <c r="AN23" i="81" s="1"/>
  <c r="AE24" i="81"/>
  <c r="AN24" i="81" s="1"/>
  <c r="U26" i="81"/>
  <c r="AH27" i="81"/>
  <c r="AI27" i="81" s="1"/>
  <c r="AJ27" i="81" s="1"/>
  <c r="W28" i="81"/>
  <c r="X28" i="81" s="1"/>
  <c r="AD35" i="81"/>
  <c r="AN35" i="81" s="1"/>
  <c r="AE36" i="81"/>
  <c r="AN36" i="81" s="1"/>
  <c r="U38" i="81"/>
  <c r="AH39" i="81"/>
  <c r="AI39" i="81" s="1"/>
  <c r="AL39" i="81" s="1"/>
  <c r="W40" i="81"/>
  <c r="X40" i="81" s="1"/>
  <c r="AD47" i="81"/>
  <c r="AN47" i="81" s="1"/>
  <c r="AE48" i="81"/>
  <c r="AN48" i="81" s="1"/>
  <c r="U50" i="81"/>
  <c r="U23" i="81"/>
  <c r="AN31" i="81"/>
  <c r="AJ39" i="81"/>
  <c r="U5" i="81"/>
  <c r="AH5" i="81"/>
  <c r="AI5" i="81" s="1"/>
  <c r="AL5" i="81" s="1"/>
  <c r="AN11" i="81"/>
  <c r="AN12" i="81"/>
  <c r="AD15" i="81"/>
  <c r="AN15" i="81" s="1"/>
  <c r="AD16" i="81"/>
  <c r="AN16" i="81" s="1"/>
  <c r="AE17" i="81"/>
  <c r="AN17" i="81" s="1"/>
  <c r="AE18" i="81"/>
  <c r="AN18" i="81" s="1"/>
  <c r="U21" i="81"/>
  <c r="U22" i="81"/>
  <c r="AH24" i="81"/>
  <c r="AI24" i="81" s="1"/>
  <c r="AL24" i="81" s="1"/>
  <c r="W25" i="81"/>
  <c r="X25" i="81" s="1"/>
  <c r="AN30" i="81"/>
  <c r="AD32" i="81"/>
  <c r="AN32" i="81" s="1"/>
  <c r="AE33" i="81"/>
  <c r="AN33" i="81" s="1"/>
  <c r="U35" i="81"/>
  <c r="W37" i="81"/>
  <c r="X37" i="81" s="1"/>
  <c r="AN42" i="81"/>
  <c r="AD44" i="81"/>
  <c r="AN44" i="81" s="1"/>
  <c r="AE45" i="81"/>
  <c r="AN45" i="81" s="1"/>
  <c r="U47" i="81"/>
  <c r="AH48" i="81"/>
  <c r="AI48" i="81" s="1"/>
  <c r="AL48" i="81" s="1"/>
  <c r="W49" i="81"/>
  <c r="X49" i="81" s="1"/>
  <c r="AJ6" i="81"/>
  <c r="U19" i="81"/>
  <c r="U20" i="81"/>
  <c r="W23" i="81"/>
  <c r="X23" i="81" s="1"/>
  <c r="W24" i="81"/>
  <c r="X24" i="81" s="1"/>
  <c r="AJ25" i="81"/>
  <c r="U34" i="81"/>
  <c r="W36" i="81"/>
  <c r="X36" i="81" s="1"/>
  <c r="AJ37" i="81"/>
  <c r="U46" i="81"/>
  <c r="W48" i="81"/>
  <c r="X48" i="81" s="1"/>
  <c r="AJ49" i="81"/>
  <c r="U17" i="81"/>
  <c r="U18" i="81"/>
  <c r="W21" i="81"/>
  <c r="X21" i="81" s="1"/>
  <c r="W22" i="81"/>
  <c r="X22" i="81" s="1"/>
  <c r="AN28" i="81"/>
  <c r="U33" i="81"/>
  <c r="W35" i="81"/>
  <c r="X35" i="81" s="1"/>
  <c r="AN40" i="81"/>
  <c r="U45" i="81"/>
  <c r="W47" i="81"/>
  <c r="X47" i="81" s="1"/>
  <c r="AH38" i="81"/>
  <c r="AI38" i="81" s="1"/>
  <c r="AJ38" i="81" s="1"/>
  <c r="U6" i="81"/>
  <c r="U15" i="81"/>
  <c r="U16" i="81"/>
  <c r="W19" i="81"/>
  <c r="X19" i="81" s="1"/>
  <c r="W20" i="81"/>
  <c r="X20" i="81" s="1"/>
  <c r="U32" i="81"/>
  <c r="W34" i="81"/>
  <c r="X34" i="81" s="1"/>
  <c r="AN39" i="81"/>
  <c r="U44" i="81"/>
  <c r="W46" i="81"/>
  <c r="X46" i="81" s="1"/>
  <c r="AH26" i="81"/>
  <c r="AI26" i="81" s="1"/>
  <c r="AL26" i="81" s="1"/>
  <c r="U13" i="81"/>
  <c r="U14" i="81"/>
  <c r="W17" i="81"/>
  <c r="X17" i="81" s="1"/>
  <c r="W18" i="81"/>
  <c r="X18" i="81" s="1"/>
  <c r="AJ19" i="81"/>
  <c r="AJ20" i="81"/>
  <c r="U31" i="81"/>
  <c r="W33" i="81"/>
  <c r="X33" i="81" s="1"/>
  <c r="AJ34" i="81"/>
  <c r="AN38" i="81"/>
  <c r="AD40" i="81"/>
  <c r="U43" i="81"/>
  <c r="W45" i="81"/>
  <c r="X45" i="81" s="1"/>
  <c r="AJ46" i="81"/>
  <c r="AN50" i="81"/>
  <c r="U11" i="81"/>
  <c r="U12" i="81"/>
  <c r="W15" i="81"/>
  <c r="X15" i="81" s="1"/>
  <c r="W16" i="81"/>
  <c r="X16" i="81" s="1"/>
  <c r="AD27" i="81"/>
  <c r="AN27" i="81" s="1"/>
  <c r="U30" i="81"/>
  <c r="W32" i="81"/>
  <c r="X32" i="81" s="1"/>
  <c r="AD39" i="81"/>
  <c r="U42" i="81"/>
  <c r="W44" i="81"/>
  <c r="X44" i="81" s="1"/>
  <c r="AN49" i="81"/>
  <c r="U9" i="81"/>
  <c r="U10" i="81"/>
  <c r="W13" i="81"/>
  <c r="X13" i="81" s="1"/>
  <c r="W14" i="81"/>
  <c r="X14" i="81" s="1"/>
  <c r="U29" i="81"/>
  <c r="W31" i="81"/>
  <c r="X31" i="81" s="1"/>
  <c r="U41" i="81"/>
  <c r="AN8" i="82" l="1"/>
  <c r="AL38" i="81"/>
  <c r="AL27" i="81"/>
  <c r="A16" i="82"/>
  <c r="F17" i="67" s="1"/>
  <c r="T17" i="67"/>
  <c r="M17" i="2" s="1"/>
  <c r="Z26" i="81"/>
  <c r="AB26" i="81" s="1"/>
  <c r="AO26" i="81" s="1"/>
  <c r="Z7" i="81"/>
  <c r="AB7" i="81" s="1"/>
  <c r="AO7" i="81" s="1"/>
  <c r="D19" i="2"/>
  <c r="Q18" i="68"/>
  <c r="U18" i="68" s="1"/>
  <c r="F19" i="2" s="1"/>
  <c r="AJ44" i="82"/>
  <c r="AJ32" i="82"/>
  <c r="AJ55" i="82"/>
  <c r="AN38" i="82"/>
  <c r="T18" i="68"/>
  <c r="AA6" i="81"/>
  <c r="AC6" i="81" s="1"/>
  <c r="AP6" i="81" s="1"/>
  <c r="AA8" i="81"/>
  <c r="AC8" i="81" s="1"/>
  <c r="AP8" i="81" s="1"/>
  <c r="Z50" i="81"/>
  <c r="AB50" i="81" s="1"/>
  <c r="AO50" i="81" s="1"/>
  <c r="Z41" i="81"/>
  <c r="AB41" i="81" s="1"/>
  <c r="AO41" i="81" s="1"/>
  <c r="Z38" i="81"/>
  <c r="AB38" i="81" s="1"/>
  <c r="AO38" i="81" s="1"/>
  <c r="AA5" i="81"/>
  <c r="AC5" i="81" s="1"/>
  <c r="AP5" i="81" s="1"/>
  <c r="Z5" i="81"/>
  <c r="AB5" i="81" s="1"/>
  <c r="AO5" i="81" s="1"/>
  <c r="Z9" i="81"/>
  <c r="AB9" i="81" s="1"/>
  <c r="AO9" i="81" s="1"/>
  <c r="AP7" i="81"/>
  <c r="AP38" i="81"/>
  <c r="Z29" i="81"/>
  <c r="AB29" i="81" s="1"/>
  <c r="AO29" i="81" s="1"/>
  <c r="AA10" i="81"/>
  <c r="AC10" i="81" s="1"/>
  <c r="AP10" i="81" s="1"/>
  <c r="AP39" i="81"/>
  <c r="AP26" i="81"/>
  <c r="AP27" i="81"/>
  <c r="AA43" i="81"/>
  <c r="AC43" i="81" s="1"/>
  <c r="AP43" i="81" s="1"/>
  <c r="Z27" i="81"/>
  <c r="AB27" i="81" s="1"/>
  <c r="AO27" i="81" s="1"/>
  <c r="Z39" i="81"/>
  <c r="AB39" i="81" s="1"/>
  <c r="AO39" i="81" s="1"/>
  <c r="AP50" i="81"/>
  <c r="AA25" i="81"/>
  <c r="AC25" i="81" s="1"/>
  <c r="AP25" i="81" s="1"/>
  <c r="Z25" i="81"/>
  <c r="AB25" i="81" s="1"/>
  <c r="AO25" i="81" s="1"/>
  <c r="AA47" i="81"/>
  <c r="AC47" i="81" s="1"/>
  <c r="AP47" i="81" s="1"/>
  <c r="Z47" i="81"/>
  <c r="AB47" i="81" s="1"/>
  <c r="AO47" i="81" s="1"/>
  <c r="A16" i="81"/>
  <c r="AJ50" i="81"/>
  <c r="AA48" i="81"/>
  <c r="AC48" i="81" s="1"/>
  <c r="AP48" i="81" s="1"/>
  <c r="Z48" i="81"/>
  <c r="AB48" i="81" s="1"/>
  <c r="AO48" i="81" s="1"/>
  <c r="AA33" i="81"/>
  <c r="AC33" i="81" s="1"/>
  <c r="AP33" i="81" s="1"/>
  <c r="Z33" i="81"/>
  <c r="AB33" i="81" s="1"/>
  <c r="AO33" i="81" s="1"/>
  <c r="AA28" i="81"/>
  <c r="AC28" i="81" s="1"/>
  <c r="AP28" i="81" s="1"/>
  <c r="Z28" i="81"/>
  <c r="AB28" i="81" s="1"/>
  <c r="AO28" i="81" s="1"/>
  <c r="AJ48" i="81"/>
  <c r="Z46" i="81"/>
  <c r="AB46" i="81" s="1"/>
  <c r="AO46" i="81" s="1"/>
  <c r="AA46" i="81"/>
  <c r="AC46" i="81" s="1"/>
  <c r="AP46" i="81" s="1"/>
  <c r="AA16" i="81"/>
  <c r="AC16" i="81" s="1"/>
  <c r="AP16" i="81" s="1"/>
  <c r="Z16" i="81"/>
  <c r="AB16" i="81" s="1"/>
  <c r="AO16" i="81" s="1"/>
  <c r="AA14" i="81"/>
  <c r="AC14" i="81" s="1"/>
  <c r="AP14" i="81" s="1"/>
  <c r="Z14" i="81"/>
  <c r="AB14" i="81" s="1"/>
  <c r="AO14" i="81" s="1"/>
  <c r="AA35" i="81"/>
  <c r="AC35" i="81" s="1"/>
  <c r="AP35" i="81" s="1"/>
  <c r="Z35" i="81"/>
  <c r="AB35" i="81" s="1"/>
  <c r="AO35" i="81" s="1"/>
  <c r="Z20" i="81"/>
  <c r="AB20" i="81" s="1"/>
  <c r="AO20" i="81" s="1"/>
  <c r="AA20" i="81"/>
  <c r="AC20" i="81" s="1"/>
  <c r="AP20" i="81" s="1"/>
  <c r="AA30" i="81"/>
  <c r="AC30" i="81" s="1"/>
  <c r="AP30" i="81" s="1"/>
  <c r="Z30" i="81"/>
  <c r="AB30" i="81" s="1"/>
  <c r="AO30" i="81" s="1"/>
  <c r="Z42" i="81"/>
  <c r="AB42" i="81" s="1"/>
  <c r="AO42" i="81" s="1"/>
  <c r="AA42" i="81"/>
  <c r="AC42" i="81" s="1"/>
  <c r="AP42" i="81" s="1"/>
  <c r="AA15" i="81"/>
  <c r="AC15" i="81" s="1"/>
  <c r="AP15" i="81" s="1"/>
  <c r="Z15" i="81"/>
  <c r="AB15" i="81" s="1"/>
  <c r="AO15" i="81" s="1"/>
  <c r="Z32" i="81"/>
  <c r="AB32" i="81" s="1"/>
  <c r="AO32" i="81" s="1"/>
  <c r="AA32" i="81"/>
  <c r="AC32" i="81" s="1"/>
  <c r="AP32" i="81" s="1"/>
  <c r="AA24" i="81"/>
  <c r="AC24" i="81" s="1"/>
  <c r="AP24" i="81" s="1"/>
  <c r="Z24" i="81"/>
  <c r="AB24" i="81" s="1"/>
  <c r="AO24" i="81" s="1"/>
  <c r="AJ26" i="81"/>
  <c r="Z34" i="81"/>
  <c r="AB34" i="81" s="1"/>
  <c r="AO34" i="81" s="1"/>
  <c r="AA34" i="81"/>
  <c r="AC34" i="81" s="1"/>
  <c r="AP34" i="81" s="1"/>
  <c r="AA22" i="81"/>
  <c r="AC22" i="81" s="1"/>
  <c r="AP22" i="81" s="1"/>
  <c r="Z22" i="81"/>
  <c r="AB22" i="81" s="1"/>
  <c r="AO22" i="81" s="1"/>
  <c r="Z44" i="81"/>
  <c r="AB44" i="81" s="1"/>
  <c r="AO44" i="81" s="1"/>
  <c r="AA44" i="81"/>
  <c r="AC44" i="81" s="1"/>
  <c r="AP44" i="81" s="1"/>
  <c r="AA45" i="81"/>
  <c r="AC45" i="81" s="1"/>
  <c r="AP45" i="81" s="1"/>
  <c r="Z45" i="81"/>
  <c r="AB45" i="81" s="1"/>
  <c r="AO45" i="81" s="1"/>
  <c r="AA21" i="81"/>
  <c r="AC21" i="81" s="1"/>
  <c r="AP21" i="81" s="1"/>
  <c r="Z21" i="81"/>
  <c r="AB21" i="81" s="1"/>
  <c r="AO21" i="81" s="1"/>
  <c r="AA23" i="81"/>
  <c r="AC23" i="81" s="1"/>
  <c r="AP23" i="81" s="1"/>
  <c r="Z23" i="81"/>
  <c r="AB23" i="81" s="1"/>
  <c r="AO23" i="81" s="1"/>
  <c r="AA12" i="81"/>
  <c r="AC12" i="81" s="1"/>
  <c r="AP12" i="81" s="1"/>
  <c r="Z12" i="81"/>
  <c r="AB12" i="81" s="1"/>
  <c r="AO12" i="81" s="1"/>
  <c r="AJ24" i="81"/>
  <c r="AJ5" i="81"/>
  <c r="Z31" i="81"/>
  <c r="AB31" i="81" s="1"/>
  <c r="AO31" i="81" s="1"/>
  <c r="AA31" i="81"/>
  <c r="AC31" i="81" s="1"/>
  <c r="AP31" i="81" s="1"/>
  <c r="AA36" i="81"/>
  <c r="AC36" i="81" s="1"/>
  <c r="AP36" i="81" s="1"/>
  <c r="Z36" i="81"/>
  <c r="AB36" i="81" s="1"/>
  <c r="AO36" i="81" s="1"/>
  <c r="AA13" i="81"/>
  <c r="AC13" i="81" s="1"/>
  <c r="AP13" i="81" s="1"/>
  <c r="Z13" i="81"/>
  <c r="AB13" i="81" s="1"/>
  <c r="AO13" i="81" s="1"/>
  <c r="Z18" i="81"/>
  <c r="AB18" i="81" s="1"/>
  <c r="AO18" i="81" s="1"/>
  <c r="AA18" i="81"/>
  <c r="AC18" i="81" s="1"/>
  <c r="AP18" i="81" s="1"/>
  <c r="Z17" i="81"/>
  <c r="AB17" i="81" s="1"/>
  <c r="AO17" i="81" s="1"/>
  <c r="AA17" i="81"/>
  <c r="AC17" i="81" s="1"/>
  <c r="AP17" i="81" s="1"/>
  <c r="AA40" i="81"/>
  <c r="AC40" i="81" s="1"/>
  <c r="AP40" i="81" s="1"/>
  <c r="Z40" i="81"/>
  <c r="AB40" i="81" s="1"/>
  <c r="AO40" i="81" s="1"/>
  <c r="Z11" i="81"/>
  <c r="AB11" i="81" s="1"/>
  <c r="AO11" i="81" s="1"/>
  <c r="AA11" i="81"/>
  <c r="AC11" i="81" s="1"/>
  <c r="AP11" i="81" s="1"/>
  <c r="AA49" i="81"/>
  <c r="AC49" i="81" s="1"/>
  <c r="AP49" i="81" s="1"/>
  <c r="Z49" i="81"/>
  <c r="AB49" i="81" s="1"/>
  <c r="AO49" i="81" s="1"/>
  <c r="Z19" i="81"/>
  <c r="AB19" i="81" s="1"/>
  <c r="AO19" i="81" s="1"/>
  <c r="AA19" i="81"/>
  <c r="AC19" i="81" s="1"/>
  <c r="AP19" i="81" s="1"/>
  <c r="AA37" i="81"/>
  <c r="AC37" i="81" s="1"/>
  <c r="AP37" i="81" s="1"/>
  <c r="Z37" i="81"/>
  <c r="AB37" i="81" s="1"/>
  <c r="AO37" i="81" s="1"/>
  <c r="V18" i="68" l="1"/>
  <c r="G19" i="2" s="1"/>
  <c r="E19" i="2"/>
  <c r="A24" i="81"/>
  <c r="A22" i="81"/>
  <c r="G37" i="10" l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E37" i="10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C37" i="10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G36" i="10"/>
  <c r="F36" i="10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E36" i="10"/>
  <c r="D36" i="10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C36" i="10"/>
  <c r="B36" i="10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L38" i="9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P37" i="9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M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L37" i="9"/>
  <c r="G37" i="9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F37" i="9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D37" i="9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P36" i="9"/>
  <c r="O36" i="9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N36" i="9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M36" i="9"/>
  <c r="L36" i="9"/>
  <c r="K36" i="9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J36" i="9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I36" i="9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G36" i="9"/>
  <c r="F36" i="9"/>
  <c r="E36" i="9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D36" i="9"/>
  <c r="C36" i="9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B36" i="9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T77" i="65"/>
  <c r="T78" i="65"/>
  <c r="T79" i="65"/>
  <c r="T80" i="65"/>
  <c r="T81" i="65"/>
  <c r="T82" i="65"/>
  <c r="T83" i="65"/>
  <c r="T84" i="65"/>
  <c r="T85" i="65"/>
  <c r="T86" i="65"/>
  <c r="T87" i="65"/>
  <c r="T88" i="65"/>
  <c r="T89" i="65"/>
  <c r="T90" i="65"/>
  <c r="T91" i="65"/>
  <c r="T92" i="65"/>
  <c r="T93" i="65"/>
  <c r="T94" i="65"/>
  <c r="T95" i="65"/>
  <c r="T96" i="65"/>
  <c r="T97" i="65"/>
  <c r="T98" i="65"/>
  <c r="T99" i="65"/>
  <c r="T100" i="65"/>
  <c r="T101" i="65"/>
  <c r="T102" i="65"/>
  <c r="T103" i="65"/>
  <c r="T104" i="65"/>
  <c r="T105" i="65"/>
  <c r="T106" i="65"/>
  <c r="T107" i="65"/>
  <c r="T108" i="65"/>
  <c r="T109" i="65"/>
  <c r="T110" i="65"/>
  <c r="T111" i="65"/>
  <c r="T112" i="65"/>
  <c r="T113" i="65"/>
  <c r="T114" i="65"/>
  <c r="T115" i="65"/>
  <c r="T116" i="65"/>
  <c r="T117" i="65"/>
  <c r="T118" i="65"/>
  <c r="T119" i="65"/>
  <c r="T120" i="65"/>
  <c r="T121" i="65"/>
  <c r="T122" i="65"/>
  <c r="T123" i="65"/>
  <c r="T124" i="65"/>
  <c r="T125" i="65"/>
  <c r="T126" i="65"/>
  <c r="T127" i="65"/>
  <c r="T128" i="65"/>
  <c r="T129" i="65"/>
  <c r="T130" i="65"/>
  <c r="T131" i="65"/>
  <c r="T132" i="65"/>
  <c r="T133" i="65"/>
  <c r="T134" i="65"/>
  <c r="T135" i="65"/>
  <c r="T136" i="65"/>
  <c r="T137" i="65"/>
  <c r="T138" i="65"/>
  <c r="T139" i="65"/>
  <c r="T140" i="65"/>
  <c r="T141" i="65"/>
  <c r="T142" i="65"/>
  <c r="T143" i="65"/>
  <c r="T144" i="65"/>
  <c r="T145" i="65"/>
  <c r="T146" i="65"/>
  <c r="T147" i="65"/>
  <c r="T148" i="65"/>
  <c r="T149" i="65"/>
  <c r="T150" i="65"/>
  <c r="T151" i="65"/>
  <c r="T152" i="65"/>
  <c r="T153" i="65"/>
  <c r="T154" i="65"/>
  <c r="T155" i="65"/>
  <c r="T156" i="65"/>
  <c r="T157" i="65"/>
  <c r="T158" i="65"/>
  <c r="T159" i="65"/>
  <c r="T160" i="65"/>
  <c r="T161" i="65"/>
  <c r="T162" i="65"/>
  <c r="T163" i="65"/>
  <c r="T164" i="65"/>
  <c r="T165" i="65"/>
  <c r="T166" i="65"/>
  <c r="T167" i="65"/>
  <c r="T168" i="65"/>
  <c r="T169" i="65"/>
  <c r="T170" i="65"/>
  <c r="E136" i="1" l="1"/>
  <c r="N68" i="67" l="1"/>
  <c r="J80" i="68"/>
  <c r="I79" i="68"/>
  <c r="O79" i="68" s="1"/>
  <c r="R79" i="68" s="1"/>
  <c r="A8" i="82"/>
  <c r="A20" i="82" l="1"/>
  <c r="O17" i="67" s="1"/>
  <c r="R17" i="67" s="1"/>
  <c r="V17" i="67" s="1"/>
  <c r="O17" i="2" s="1"/>
  <c r="I17" i="67"/>
  <c r="A18" i="82"/>
  <c r="N17" i="67" s="1"/>
  <c r="X22" i="82"/>
  <c r="X5" i="82"/>
  <c r="X6" i="82"/>
  <c r="X15" i="82"/>
  <c r="X50" i="82"/>
  <c r="X24" i="82"/>
  <c r="X21" i="82"/>
  <c r="X48" i="82"/>
  <c r="X49" i="82"/>
  <c r="X53" i="82"/>
  <c r="X64" i="82"/>
  <c r="X10" i="82"/>
  <c r="X65" i="82"/>
  <c r="X31" i="82"/>
  <c r="X39" i="82"/>
  <c r="X60" i="82"/>
  <c r="X27" i="82"/>
  <c r="X7" i="82"/>
  <c r="X8" i="82"/>
  <c r="X59" i="82"/>
  <c r="X20" i="82"/>
  <c r="X57" i="82"/>
  <c r="X61" i="82"/>
  <c r="X9" i="82"/>
  <c r="X46" i="82"/>
  <c r="X58" i="82"/>
  <c r="X33" i="82"/>
  <c r="X34" i="82"/>
  <c r="X32" i="82"/>
  <c r="X44" i="82"/>
  <c r="X56" i="82"/>
  <c r="X37" i="82"/>
  <c r="X16" i="82"/>
  <c r="X18" i="82"/>
  <c r="X19" i="82"/>
  <c r="X11" i="82"/>
  <c r="X17" i="82"/>
  <c r="X30" i="82"/>
  <c r="X62" i="82"/>
  <c r="X55" i="82"/>
  <c r="X26" i="82"/>
  <c r="X45" i="82"/>
  <c r="X51" i="82"/>
  <c r="X23" i="82"/>
  <c r="X66" i="82"/>
  <c r="X42" i="82"/>
  <c r="X13" i="82"/>
  <c r="X43" i="82"/>
  <c r="X40" i="82"/>
  <c r="X67" i="82"/>
  <c r="X47" i="82"/>
  <c r="X38" i="82"/>
  <c r="X36" i="82"/>
  <c r="X54" i="82"/>
  <c r="X63" i="82"/>
  <c r="X29" i="82"/>
  <c r="X12" i="82"/>
  <c r="X35" i="82"/>
  <c r="X28" i="82"/>
  <c r="X25" i="82"/>
  <c r="X52" i="82"/>
  <c r="X41" i="82"/>
  <c r="X14" i="82"/>
  <c r="N79" i="68"/>
  <c r="Q79" i="68" s="1"/>
  <c r="P32" i="68"/>
  <c r="L32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F87" i="79"/>
  <c r="AG87" i="79" s="1"/>
  <c r="AE87" i="79"/>
  <c r="AD87" i="79"/>
  <c r="Y87" i="79"/>
  <c r="V87" i="79"/>
  <c r="T87" i="79"/>
  <c r="AM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F81" i="79"/>
  <c r="AG81" i="79" s="1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M78" i="79"/>
  <c r="AK78" i="79"/>
  <c r="AF78" i="79"/>
  <c r="AG78" i="79" s="1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F75" i="79"/>
  <c r="AG75" i="79" s="1"/>
  <c r="AE75" i="79"/>
  <c r="AD75" i="79"/>
  <c r="Y75" i="79"/>
  <c r="V75" i="79"/>
  <c r="T75" i="79"/>
  <c r="AM74" i="79"/>
  <c r="AK74" i="79"/>
  <c r="AF74" i="79"/>
  <c r="AG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F72" i="79"/>
  <c r="AG72" i="79" s="1"/>
  <c r="AE72" i="79"/>
  <c r="AD72" i="79"/>
  <c r="Y72" i="79"/>
  <c r="V72" i="79"/>
  <c r="T72" i="79"/>
  <c r="AH72" i="79" s="1"/>
  <c r="AI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Y70" i="79"/>
  <c r="V70" i="79"/>
  <c r="T70" i="79"/>
  <c r="AM69" i="79"/>
  <c r="AK69" i="79"/>
  <c r="AH69" i="79"/>
  <c r="AI69" i="79" s="1"/>
  <c r="AF69" i="79"/>
  <c r="AG69" i="79" s="1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F66" i="79"/>
  <c r="AG66" i="79" s="1"/>
  <c r="AL66" i="79" s="1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M63" i="79"/>
  <c r="AK63" i="79"/>
  <c r="AH63" i="79"/>
  <c r="AI63" i="79" s="1"/>
  <c r="AF63" i="79"/>
  <c r="AG63" i="79" s="1"/>
  <c r="AE63" i="79"/>
  <c r="AD63" i="79"/>
  <c r="Y63" i="79"/>
  <c r="V63" i="79"/>
  <c r="T63" i="79"/>
  <c r="AM62" i="79"/>
  <c r="AK62" i="79"/>
  <c r="AF62" i="79"/>
  <c r="AG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F60" i="79"/>
  <c r="AG60" i="79" s="1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M57" i="79"/>
  <c r="AK57" i="79"/>
  <c r="AH57" i="79"/>
  <c r="AI57" i="79" s="1"/>
  <c r="AF57" i="79"/>
  <c r="AG57" i="79" s="1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M54" i="79"/>
  <c r="AK54" i="79"/>
  <c r="AH54" i="79"/>
  <c r="AI54" i="79" s="1"/>
  <c r="AG54" i="79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M51" i="79"/>
  <c r="AK51" i="79"/>
  <c r="AH51" i="79"/>
  <c r="AI51" i="79" s="1"/>
  <c r="AG51" i="79"/>
  <c r="AF51" i="79"/>
  <c r="AE51" i="79"/>
  <c r="AD51" i="79"/>
  <c r="Y51" i="79"/>
  <c r="V51" i="79"/>
  <c r="T51" i="79"/>
  <c r="AM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F48" i="79"/>
  <c r="AG48" i="79" s="1"/>
  <c r="AJ48" i="79" s="1"/>
  <c r="AE48" i="79"/>
  <c r="AD48" i="79"/>
  <c r="Y48" i="79"/>
  <c r="V48" i="79"/>
  <c r="T48" i="79"/>
  <c r="AH48" i="79" s="1"/>
  <c r="AI48" i="79" s="1"/>
  <c r="AM47" i="79"/>
  <c r="AK47" i="79"/>
  <c r="AF47" i="79"/>
  <c r="AG47" i="79" s="1"/>
  <c r="AD47" i="79"/>
  <c r="Y47" i="79"/>
  <c r="V47" i="79"/>
  <c r="T47" i="79"/>
  <c r="AH47" i="79" s="1"/>
  <c r="AI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H45" i="79"/>
  <c r="AI45" i="79" s="1"/>
  <c r="AF45" i="79"/>
  <c r="AG45" i="79" s="1"/>
  <c r="AJ45" i="79" s="1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F42" i="79"/>
  <c r="AG42" i="79" s="1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H40" i="79"/>
  <c r="AI40" i="79" s="1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F37" i="79"/>
  <c r="AG37" i="79" s="1"/>
  <c r="Y37" i="79"/>
  <c r="V37" i="79"/>
  <c r="T37" i="79"/>
  <c r="AD37" i="79" s="1"/>
  <c r="AM36" i="79"/>
  <c r="AK36" i="79"/>
  <c r="AF36" i="79"/>
  <c r="AG36" i="79" s="1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H34" i="79"/>
  <c r="AI34" i="79" s="1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Y33" i="79"/>
  <c r="V33" i="79"/>
  <c r="T33" i="79"/>
  <c r="AH33" i="79" s="1"/>
  <c r="AI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H31" i="79"/>
  <c r="AI31" i="79" s="1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F30" i="79"/>
  <c r="AG30" i="79" s="1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F26" i="79"/>
  <c r="AG26" i="79" s="1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M24" i="79"/>
  <c r="AK24" i="79"/>
  <c r="AF24" i="79"/>
  <c r="AG24" i="79" s="1"/>
  <c r="AE24" i="79"/>
  <c r="AD24" i="79"/>
  <c r="Y24" i="79"/>
  <c r="V24" i="79"/>
  <c r="T24" i="79"/>
  <c r="AH24" i="79" s="1"/>
  <c r="AI24" i="79" s="1"/>
  <c r="AM23" i="79"/>
  <c r="AK23" i="79"/>
  <c r="AF23" i="79"/>
  <c r="AG23" i="79" s="1"/>
  <c r="AE23" i="79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Y19" i="79"/>
  <c r="V19" i="79"/>
  <c r="T19" i="79"/>
  <c r="AM18" i="79"/>
  <c r="AK18" i="79"/>
  <c r="AF18" i="79"/>
  <c r="AG18" i="79" s="1"/>
  <c r="AD18" i="79"/>
  <c r="Y18" i="79"/>
  <c r="V18" i="79"/>
  <c r="T18" i="79"/>
  <c r="AH18" i="79" s="1"/>
  <c r="AI18" i="79" s="1"/>
  <c r="AM17" i="79"/>
  <c r="AK17" i="79"/>
  <c r="AF17" i="79"/>
  <c r="AG17" i="79" s="1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H14" i="79"/>
  <c r="AI14" i="79" s="1"/>
  <c r="AF14" i="79"/>
  <c r="AG14" i="79" s="1"/>
  <c r="AE14" i="79"/>
  <c r="Y14" i="79"/>
  <c r="V14" i="79"/>
  <c r="T14" i="79"/>
  <c r="AD14" i="79" s="1"/>
  <c r="AM13" i="79"/>
  <c r="AK13" i="79"/>
  <c r="AH13" i="79"/>
  <c r="AI13" i="79" s="1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F12" i="79"/>
  <c r="AG12" i="79" s="1"/>
  <c r="AL12" i="79" s="1"/>
  <c r="AE12" i="79"/>
  <c r="AD12" i="79"/>
  <c r="Y12" i="79"/>
  <c r="V12" i="79"/>
  <c r="T12" i="79"/>
  <c r="A12" i="79"/>
  <c r="J32" i="68" s="1"/>
  <c r="AM11" i="79"/>
  <c r="AK11" i="79"/>
  <c r="AH11" i="79"/>
  <c r="AI11" i="79" s="1"/>
  <c r="AF11" i="79"/>
  <c r="AG11" i="79" s="1"/>
  <c r="AL11" i="79" s="1"/>
  <c r="AE11" i="79"/>
  <c r="AD11" i="79"/>
  <c r="Y11" i="79"/>
  <c r="V11" i="79"/>
  <c r="T11" i="79"/>
  <c r="AM10" i="79"/>
  <c r="AK10" i="79"/>
  <c r="AF10" i="79"/>
  <c r="AG10" i="79" s="1"/>
  <c r="Y10" i="79"/>
  <c r="V10" i="79"/>
  <c r="T10" i="79"/>
  <c r="AE10" i="79" s="1"/>
  <c r="A10" i="79"/>
  <c r="U32" i="79" s="1"/>
  <c r="AM9" i="79"/>
  <c r="AK9" i="79"/>
  <c r="AG9" i="79"/>
  <c r="AF9" i="79"/>
  <c r="Y9" i="79"/>
  <c r="V9" i="79"/>
  <c r="T9" i="79"/>
  <c r="AE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T6" i="79"/>
  <c r="AD6" i="79" s="1"/>
  <c r="A6" i="79"/>
  <c r="AM5" i="79"/>
  <c r="S32" i="68" s="1"/>
  <c r="AK5" i="79"/>
  <c r="AF5" i="79"/>
  <c r="AG5" i="79" s="1"/>
  <c r="Y5" i="79"/>
  <c r="A14" i="79" s="1"/>
  <c r="K32" i="68" s="1"/>
  <c r="V5" i="79"/>
  <c r="T5" i="79"/>
  <c r="AH5" i="79" s="1"/>
  <c r="AI5" i="79" s="1"/>
  <c r="F1" i="79"/>
  <c r="P29" i="68"/>
  <c r="L29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F16" i="78"/>
  <c r="AG16" i="78" s="1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9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P31" i="68"/>
  <c r="L31" i="68"/>
  <c r="L30" i="68"/>
  <c r="P30" i="68"/>
  <c r="AD5" i="79" l="1"/>
  <c r="AJ62" i="79"/>
  <c r="AL87" i="79"/>
  <c r="AL34" i="79"/>
  <c r="AL50" i="79"/>
  <c r="AL42" i="79"/>
  <c r="AL86" i="79"/>
  <c r="AN14" i="79"/>
  <c r="AL78" i="79"/>
  <c r="AJ72" i="79"/>
  <c r="AA49" i="82"/>
  <c r="AC49" i="82" s="1"/>
  <c r="AP49" i="82" s="1"/>
  <c r="Z49" i="82"/>
  <c r="AB49" i="82" s="1"/>
  <c r="AO49" i="82" s="1"/>
  <c r="AA29" i="82"/>
  <c r="AC29" i="82" s="1"/>
  <c r="AP29" i="82" s="1"/>
  <c r="Z29" i="82"/>
  <c r="AB29" i="82" s="1"/>
  <c r="AO29" i="82" s="1"/>
  <c r="AA23" i="82"/>
  <c r="AC23" i="82" s="1"/>
  <c r="AP23" i="82" s="1"/>
  <c r="Z23" i="82"/>
  <c r="AB23" i="82" s="1"/>
  <c r="AO23" i="82" s="1"/>
  <c r="Z37" i="82"/>
  <c r="AB37" i="82" s="1"/>
  <c r="AO37" i="82" s="1"/>
  <c r="AA37" i="82"/>
  <c r="AC37" i="82" s="1"/>
  <c r="AP37" i="82" s="1"/>
  <c r="Z59" i="82"/>
  <c r="AB59" i="82" s="1"/>
  <c r="AO59" i="82" s="1"/>
  <c r="AA59" i="82"/>
  <c r="AC59" i="82" s="1"/>
  <c r="AP59" i="82" s="1"/>
  <c r="AA48" i="82"/>
  <c r="AC48" i="82" s="1"/>
  <c r="AP48" i="82" s="1"/>
  <c r="Z48" i="82"/>
  <c r="AB48" i="82" s="1"/>
  <c r="AO48" i="82" s="1"/>
  <c r="Z20" i="82"/>
  <c r="AB20" i="82" s="1"/>
  <c r="AO20" i="82" s="1"/>
  <c r="AA20" i="82"/>
  <c r="AC20" i="82" s="1"/>
  <c r="AP20" i="82" s="1"/>
  <c r="Z63" i="82"/>
  <c r="AB63" i="82" s="1"/>
  <c r="AO63" i="82" s="1"/>
  <c r="AA63" i="82"/>
  <c r="AC63" i="82" s="1"/>
  <c r="AP63" i="82" s="1"/>
  <c r="Z51" i="82"/>
  <c r="AB51" i="82" s="1"/>
  <c r="AO51" i="82" s="1"/>
  <c r="AA51" i="82"/>
  <c r="AC51" i="82" s="1"/>
  <c r="AP51" i="82" s="1"/>
  <c r="AA56" i="82"/>
  <c r="AC56" i="82" s="1"/>
  <c r="AP56" i="82" s="1"/>
  <c r="Z56" i="82"/>
  <c r="AB56" i="82" s="1"/>
  <c r="AO56" i="82" s="1"/>
  <c r="AA8" i="82"/>
  <c r="AC8" i="82" s="1"/>
  <c r="AP8" i="82" s="1"/>
  <c r="Z8" i="82"/>
  <c r="AB8" i="82" s="1"/>
  <c r="AO8" i="82" s="1"/>
  <c r="AA21" i="82"/>
  <c r="AC21" i="82" s="1"/>
  <c r="AP21" i="82" s="1"/>
  <c r="Z21" i="82"/>
  <c r="AB21" i="82" s="1"/>
  <c r="AO21" i="82" s="1"/>
  <c r="Z16" i="82"/>
  <c r="AB16" i="82" s="1"/>
  <c r="AO16" i="82" s="1"/>
  <c r="AA16" i="82"/>
  <c r="AC16" i="82" s="1"/>
  <c r="AP16" i="82" s="1"/>
  <c r="Z54" i="82"/>
  <c r="AB54" i="82" s="1"/>
  <c r="AO54" i="82" s="1"/>
  <c r="AA54" i="82"/>
  <c r="AC54" i="82" s="1"/>
  <c r="AP54" i="82" s="1"/>
  <c r="AA45" i="82"/>
  <c r="AC45" i="82" s="1"/>
  <c r="AP45" i="82" s="1"/>
  <c r="Z45" i="82"/>
  <c r="AB45" i="82" s="1"/>
  <c r="AO45" i="82" s="1"/>
  <c r="AA44" i="82"/>
  <c r="AC44" i="82" s="1"/>
  <c r="AP44" i="82" s="1"/>
  <c r="Z44" i="82"/>
  <c r="AB44" i="82" s="1"/>
  <c r="AO44" i="82" s="1"/>
  <c r="AA7" i="82"/>
  <c r="AC7" i="82" s="1"/>
  <c r="AP7" i="82" s="1"/>
  <c r="Z7" i="82"/>
  <c r="AB7" i="82" s="1"/>
  <c r="AO7" i="82" s="1"/>
  <c r="AA24" i="82"/>
  <c r="AC24" i="82" s="1"/>
  <c r="AP24" i="82" s="1"/>
  <c r="Z24" i="82"/>
  <c r="AB24" i="82" s="1"/>
  <c r="AO24" i="82" s="1"/>
  <c r="AA66" i="82"/>
  <c r="AC66" i="82" s="1"/>
  <c r="AP66" i="82" s="1"/>
  <c r="Z66" i="82"/>
  <c r="AB66" i="82" s="1"/>
  <c r="AO66" i="82" s="1"/>
  <c r="Z36" i="82"/>
  <c r="AB36" i="82" s="1"/>
  <c r="AO36" i="82" s="1"/>
  <c r="AA36" i="82"/>
  <c r="AC36" i="82" s="1"/>
  <c r="AP36" i="82" s="1"/>
  <c r="AA26" i="82"/>
  <c r="AC26" i="82" s="1"/>
  <c r="AP26" i="82" s="1"/>
  <c r="Z26" i="82"/>
  <c r="AB26" i="82" s="1"/>
  <c r="AO26" i="82" s="1"/>
  <c r="Z32" i="82"/>
  <c r="AB32" i="82" s="1"/>
  <c r="AO32" i="82" s="1"/>
  <c r="AA32" i="82"/>
  <c r="AC32" i="82" s="1"/>
  <c r="AP32" i="82" s="1"/>
  <c r="Z27" i="82"/>
  <c r="AB27" i="82" s="1"/>
  <c r="AO27" i="82" s="1"/>
  <c r="AA27" i="82"/>
  <c r="AC27" i="82" s="1"/>
  <c r="AP27" i="82" s="1"/>
  <c r="AA50" i="82"/>
  <c r="AC50" i="82" s="1"/>
  <c r="AP50" i="82" s="1"/>
  <c r="Z50" i="82"/>
  <c r="AB50" i="82" s="1"/>
  <c r="AO50" i="82" s="1"/>
  <c r="Z38" i="82"/>
  <c r="AB38" i="82" s="1"/>
  <c r="AO38" i="82" s="1"/>
  <c r="AA38" i="82"/>
  <c r="AC38" i="82" s="1"/>
  <c r="AP38" i="82" s="1"/>
  <c r="AA55" i="82"/>
  <c r="AC55" i="82" s="1"/>
  <c r="AP55" i="82" s="1"/>
  <c r="Z55" i="82"/>
  <c r="AB55" i="82" s="1"/>
  <c r="AO55" i="82" s="1"/>
  <c r="AA34" i="82"/>
  <c r="AC34" i="82" s="1"/>
  <c r="AP34" i="82" s="1"/>
  <c r="Z34" i="82"/>
  <c r="AB34" i="82" s="1"/>
  <c r="AO34" i="82" s="1"/>
  <c r="Z60" i="82"/>
  <c r="AB60" i="82" s="1"/>
  <c r="AO60" i="82" s="1"/>
  <c r="AA60" i="82"/>
  <c r="AC60" i="82" s="1"/>
  <c r="AP60" i="82" s="1"/>
  <c r="AA15" i="82"/>
  <c r="AC15" i="82" s="1"/>
  <c r="AP15" i="82" s="1"/>
  <c r="Z15" i="82"/>
  <c r="AB15" i="82" s="1"/>
  <c r="AO15" i="82" s="1"/>
  <c r="AA14" i="82"/>
  <c r="AC14" i="82" s="1"/>
  <c r="AP14" i="82" s="1"/>
  <c r="Z14" i="82"/>
  <c r="AB14" i="82" s="1"/>
  <c r="AO14" i="82" s="1"/>
  <c r="AA47" i="82"/>
  <c r="AC47" i="82" s="1"/>
  <c r="AP47" i="82" s="1"/>
  <c r="Z47" i="82"/>
  <c r="AB47" i="82" s="1"/>
  <c r="AO47" i="82" s="1"/>
  <c r="AA62" i="82"/>
  <c r="AC62" i="82" s="1"/>
  <c r="AP62" i="82" s="1"/>
  <c r="Z62" i="82"/>
  <c r="AB62" i="82" s="1"/>
  <c r="AO62" i="82" s="1"/>
  <c r="AA33" i="82"/>
  <c r="AC33" i="82" s="1"/>
  <c r="AP33" i="82" s="1"/>
  <c r="Z33" i="82"/>
  <c r="AB33" i="82" s="1"/>
  <c r="AO33" i="82" s="1"/>
  <c r="Z39" i="82"/>
  <c r="AB39" i="82" s="1"/>
  <c r="AO39" i="82" s="1"/>
  <c r="AA39" i="82"/>
  <c r="AC39" i="82" s="1"/>
  <c r="AP39" i="82" s="1"/>
  <c r="AA6" i="82"/>
  <c r="AC6" i="82" s="1"/>
  <c r="AP6" i="82" s="1"/>
  <c r="Z6" i="82"/>
  <c r="AB6" i="82" s="1"/>
  <c r="AO6" i="82" s="1"/>
  <c r="AA12" i="82"/>
  <c r="AC12" i="82" s="1"/>
  <c r="AP12" i="82" s="1"/>
  <c r="Z12" i="82"/>
  <c r="AB12" i="82" s="1"/>
  <c r="AO12" i="82" s="1"/>
  <c r="AA41" i="82"/>
  <c r="AC41" i="82" s="1"/>
  <c r="AP41" i="82" s="1"/>
  <c r="Z41" i="82"/>
  <c r="AB41" i="82" s="1"/>
  <c r="AO41" i="82" s="1"/>
  <c r="AA67" i="82"/>
  <c r="AC67" i="82" s="1"/>
  <c r="AP67" i="82" s="1"/>
  <c r="Z67" i="82"/>
  <c r="AB67" i="82" s="1"/>
  <c r="AO67" i="82" s="1"/>
  <c r="AA30" i="82"/>
  <c r="AC30" i="82" s="1"/>
  <c r="AP30" i="82" s="1"/>
  <c r="Z30" i="82"/>
  <c r="AB30" i="82" s="1"/>
  <c r="AO30" i="82" s="1"/>
  <c r="AA58" i="82"/>
  <c r="AC58" i="82" s="1"/>
  <c r="AP58" i="82" s="1"/>
  <c r="Z58" i="82"/>
  <c r="AB58" i="82" s="1"/>
  <c r="AO58" i="82" s="1"/>
  <c r="Z31" i="82"/>
  <c r="AB31" i="82" s="1"/>
  <c r="AO31" i="82" s="1"/>
  <c r="AA31" i="82"/>
  <c r="AC31" i="82" s="1"/>
  <c r="AP31" i="82" s="1"/>
  <c r="AA5" i="82"/>
  <c r="AC5" i="82" s="1"/>
  <c r="Z5" i="82"/>
  <c r="AB5" i="82" s="1"/>
  <c r="AA52" i="82"/>
  <c r="AC52" i="82" s="1"/>
  <c r="AP52" i="82" s="1"/>
  <c r="Z52" i="82"/>
  <c r="AB52" i="82" s="1"/>
  <c r="AO52" i="82" s="1"/>
  <c r="AA40" i="82"/>
  <c r="AC40" i="82" s="1"/>
  <c r="AP40" i="82" s="1"/>
  <c r="Z40" i="82"/>
  <c r="AB40" i="82" s="1"/>
  <c r="AO40" i="82" s="1"/>
  <c r="AA17" i="82"/>
  <c r="AC17" i="82" s="1"/>
  <c r="AP17" i="82" s="1"/>
  <c r="Z17" i="82"/>
  <c r="AB17" i="82" s="1"/>
  <c r="AO17" i="82" s="1"/>
  <c r="AA46" i="82"/>
  <c r="AC46" i="82" s="1"/>
  <c r="AP46" i="82" s="1"/>
  <c r="Z46" i="82"/>
  <c r="AB46" i="82" s="1"/>
  <c r="AO46" i="82" s="1"/>
  <c r="Z65" i="82"/>
  <c r="AB65" i="82" s="1"/>
  <c r="AO65" i="82" s="1"/>
  <c r="AA65" i="82"/>
  <c r="AC65" i="82" s="1"/>
  <c r="AP65" i="82" s="1"/>
  <c r="AA22" i="82"/>
  <c r="AC22" i="82" s="1"/>
  <c r="AP22" i="82" s="1"/>
  <c r="Z22" i="82"/>
  <c r="AB22" i="82" s="1"/>
  <c r="AO22" i="82" s="1"/>
  <c r="AA25" i="82"/>
  <c r="AC25" i="82" s="1"/>
  <c r="AP25" i="82" s="1"/>
  <c r="Z25" i="82"/>
  <c r="AB25" i="82" s="1"/>
  <c r="AO25" i="82" s="1"/>
  <c r="AA43" i="82"/>
  <c r="AC43" i="82" s="1"/>
  <c r="AP43" i="82" s="1"/>
  <c r="Z43" i="82"/>
  <c r="AB43" i="82" s="1"/>
  <c r="AO43" i="82" s="1"/>
  <c r="Z11" i="82"/>
  <c r="AB11" i="82" s="1"/>
  <c r="AO11" i="82" s="1"/>
  <c r="AA11" i="82"/>
  <c r="AC11" i="82" s="1"/>
  <c r="AP11" i="82" s="1"/>
  <c r="AA9" i="82"/>
  <c r="AC9" i="82" s="1"/>
  <c r="AP9" i="82" s="1"/>
  <c r="Z9" i="82"/>
  <c r="AB9" i="82" s="1"/>
  <c r="AO9" i="82" s="1"/>
  <c r="Z10" i="82"/>
  <c r="AB10" i="82" s="1"/>
  <c r="AO10" i="82" s="1"/>
  <c r="AA10" i="82"/>
  <c r="AC10" i="82" s="1"/>
  <c r="AP10" i="82" s="1"/>
  <c r="L17" i="2"/>
  <c r="Q17" i="67"/>
  <c r="U17" i="67" s="1"/>
  <c r="N17" i="2" s="1"/>
  <c r="AA28" i="82"/>
  <c r="AC28" i="82" s="1"/>
  <c r="AP28" i="82" s="1"/>
  <c r="Z28" i="82"/>
  <c r="AB28" i="82" s="1"/>
  <c r="AO28" i="82" s="1"/>
  <c r="AA13" i="82"/>
  <c r="AC13" i="82" s="1"/>
  <c r="AP13" i="82" s="1"/>
  <c r="Z13" i="82"/>
  <c r="AB13" i="82" s="1"/>
  <c r="AO13" i="82" s="1"/>
  <c r="AA19" i="82"/>
  <c r="AC19" i="82" s="1"/>
  <c r="AP19" i="82" s="1"/>
  <c r="Z19" i="82"/>
  <c r="AB19" i="82" s="1"/>
  <c r="AO19" i="82" s="1"/>
  <c r="AA61" i="82"/>
  <c r="AC61" i="82" s="1"/>
  <c r="AP61" i="82" s="1"/>
  <c r="Z61" i="82"/>
  <c r="AB61" i="82" s="1"/>
  <c r="AO61" i="82" s="1"/>
  <c r="AA64" i="82"/>
  <c r="AC64" i="82" s="1"/>
  <c r="AP64" i="82" s="1"/>
  <c r="Z64" i="82"/>
  <c r="AB64" i="82" s="1"/>
  <c r="AO64" i="82" s="1"/>
  <c r="AA35" i="82"/>
  <c r="AC35" i="82" s="1"/>
  <c r="AP35" i="82" s="1"/>
  <c r="Z35" i="82"/>
  <c r="AB35" i="82" s="1"/>
  <c r="AO35" i="82" s="1"/>
  <c r="AA42" i="82"/>
  <c r="AC42" i="82" s="1"/>
  <c r="AP42" i="82" s="1"/>
  <c r="Z42" i="82"/>
  <c r="AB42" i="82" s="1"/>
  <c r="AO42" i="82" s="1"/>
  <c r="AA18" i="82"/>
  <c r="AC18" i="82" s="1"/>
  <c r="AP18" i="82" s="1"/>
  <c r="Z18" i="82"/>
  <c r="AB18" i="82" s="1"/>
  <c r="AO18" i="82" s="1"/>
  <c r="AA57" i="82"/>
  <c r="AC57" i="82" s="1"/>
  <c r="AP57" i="82" s="1"/>
  <c r="Z57" i="82"/>
  <c r="AB57" i="82" s="1"/>
  <c r="AO57" i="82" s="1"/>
  <c r="AA53" i="82"/>
  <c r="AC53" i="82" s="1"/>
  <c r="AP53" i="82" s="1"/>
  <c r="Z53" i="82"/>
  <c r="AB53" i="82" s="1"/>
  <c r="AO53" i="82" s="1"/>
  <c r="W10" i="79"/>
  <c r="U6" i="79"/>
  <c r="U9" i="79"/>
  <c r="H32" i="68"/>
  <c r="C32" i="2" s="1"/>
  <c r="AN5" i="79"/>
  <c r="W8" i="79"/>
  <c r="AN88" i="79"/>
  <c r="AN82" i="79"/>
  <c r="AN24" i="79"/>
  <c r="AN76" i="79"/>
  <c r="AN33" i="79"/>
  <c r="AN8" i="79"/>
  <c r="AL51" i="79"/>
  <c r="AL54" i="79"/>
  <c r="AL60" i="79"/>
  <c r="AN23" i="79"/>
  <c r="AJ47" i="79"/>
  <c r="AJ60" i="79"/>
  <c r="AJ74" i="79"/>
  <c r="AN6" i="79"/>
  <c r="AN58" i="79"/>
  <c r="AN64" i="79"/>
  <c r="AL47" i="79"/>
  <c r="AN52" i="79"/>
  <c r="AN55" i="79"/>
  <c r="AN70" i="79"/>
  <c r="AN79" i="79"/>
  <c r="AJ33" i="79"/>
  <c r="AL72" i="79"/>
  <c r="AN19" i="79"/>
  <c r="AL37" i="79"/>
  <c r="AN20" i="79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L56" i="79" s="1"/>
  <c r="AN17" i="78"/>
  <c r="AH9" i="79"/>
  <c r="AI9" i="79" s="1"/>
  <c r="AJ9" i="79" s="1"/>
  <c r="AH10" i="79"/>
  <c r="AI10" i="79" s="1"/>
  <c r="AJ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D21" i="79"/>
  <c r="AD22" i="79"/>
  <c r="U26" i="79"/>
  <c r="W28" i="79"/>
  <c r="AL45" i="79"/>
  <c r="AL48" i="79"/>
  <c r="W59" i="79"/>
  <c r="W71" i="79"/>
  <c r="AL77" i="79"/>
  <c r="AJ77" i="79"/>
  <c r="AE21" i="79"/>
  <c r="AE22" i="79"/>
  <c r="U25" i="79"/>
  <c r="W27" i="79"/>
  <c r="W34" i="79"/>
  <c r="AH43" i="79"/>
  <c r="AI43" i="79" s="1"/>
  <c r="AL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N68" i="79" s="1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D49" i="79"/>
  <c r="AN49" i="79" s="1"/>
  <c r="AE50" i="79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9" i="68" s="1"/>
  <c r="AD16" i="78"/>
  <c r="AD5" i="78"/>
  <c r="AE11" i="78"/>
  <c r="AE16" i="78"/>
  <c r="AD15" i="78"/>
  <c r="AD20" i="78"/>
  <c r="AE23" i="78"/>
  <c r="AN23" i="78" s="1"/>
  <c r="H29" i="68"/>
  <c r="AE15" i="78"/>
  <c r="AL16" i="78"/>
  <c r="AE20" i="78"/>
  <c r="AN8" i="78"/>
  <c r="AD10" i="78"/>
  <c r="AD19" i="78"/>
  <c r="AD22" i="78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 s="1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 s="1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 s="1"/>
  <c r="AH68" i="57"/>
  <c r="AI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K69" i="57"/>
  <c r="AM69" i="57"/>
  <c r="T70" i="57"/>
  <c r="V70" i="57"/>
  <c r="Y70" i="57"/>
  <c r="AD70" i="57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 s="1"/>
  <c r="AK72" i="57"/>
  <c r="AM72" i="57"/>
  <c r="T73" i="57"/>
  <c r="V73" i="57"/>
  <c r="Y73" i="57"/>
  <c r="AD73" i="57"/>
  <c r="AE73" i="57"/>
  <c r="AF73" i="57"/>
  <c r="AG73" i="57" s="1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K76" i="57"/>
  <c r="AM76" i="57"/>
  <c r="T77" i="57"/>
  <c r="V77" i="57"/>
  <c r="Y77" i="57"/>
  <c r="AD77" i="57"/>
  <c r="AE77" i="57"/>
  <c r="AF77" i="57"/>
  <c r="AG77" i="57" s="1"/>
  <c r="AH77" i="57"/>
  <c r="AI77" i="57" s="1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 s="1"/>
  <c r="AH80" i="57"/>
  <c r="AI80" i="57" s="1"/>
  <c r="AK80" i="57"/>
  <c r="AM80" i="57"/>
  <c r="T81" i="57"/>
  <c r="V81" i="57"/>
  <c r="Y81" i="57"/>
  <c r="AD81" i="57"/>
  <c r="AE81" i="57"/>
  <c r="AF81" i="57"/>
  <c r="AG81" i="57" s="1"/>
  <c r="AH81" i="57"/>
  <c r="AI81" i="57" s="1"/>
  <c r="AK81" i="57"/>
  <c r="AM81" i="57"/>
  <c r="T82" i="57"/>
  <c r="V82" i="57"/>
  <c r="Y82" i="57"/>
  <c r="AD82" i="57"/>
  <c r="AE82" i="57"/>
  <c r="AF82" i="57"/>
  <c r="AG82" i="57" s="1"/>
  <c r="AH82" i="57"/>
  <c r="AI82" i="57" s="1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H88" i="57"/>
  <c r="AI88" i="57" s="1"/>
  <c r="AJ88" i="57" s="1"/>
  <c r="AK88" i="57"/>
  <c r="AM88" i="57"/>
  <c r="AO5" i="82" l="1"/>
  <c r="A22" i="82"/>
  <c r="AP5" i="82"/>
  <c r="A24" i="82"/>
  <c r="AN44" i="79"/>
  <c r="AN82" i="57"/>
  <c r="AN70" i="57"/>
  <c r="AN15" i="79"/>
  <c r="AN50" i="79"/>
  <c r="AN15" i="78"/>
  <c r="AN86" i="79"/>
  <c r="AN22" i="78"/>
  <c r="AJ76" i="57"/>
  <c r="AJ58" i="57"/>
  <c r="AL88" i="57"/>
  <c r="AL80" i="57"/>
  <c r="AL81" i="57"/>
  <c r="AL68" i="57"/>
  <c r="AL56" i="57"/>
  <c r="AL69" i="57"/>
  <c r="S29" i="68"/>
  <c r="AJ56" i="79"/>
  <c r="AJ43" i="79"/>
  <c r="AN32" i="79"/>
  <c r="AN74" i="79"/>
  <c r="T32" i="68"/>
  <c r="E32" i="2" s="1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F32" i="68" s="1"/>
  <c r="AJ29" i="79"/>
  <c r="AJ68" i="79"/>
  <c r="AN11" i="78"/>
  <c r="AN14" i="78"/>
  <c r="AL6" i="78"/>
  <c r="AN5" i="78"/>
  <c r="T29" i="68"/>
  <c r="AN10" i="78"/>
  <c r="A16" i="78"/>
  <c r="F29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E53" i="57"/>
  <c r="AH50" i="57"/>
  <c r="AI50" i="57" s="1"/>
  <c r="AL50" i="57" s="1"/>
  <c r="AD49" i="57"/>
  <c r="AN49" i="57" s="1"/>
  <c r="AJ57" i="57"/>
  <c r="AL57" i="57"/>
  <c r="AJ74" i="57"/>
  <c r="AL74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N60" i="57"/>
  <c r="AN54" i="57"/>
  <c r="AJ56" i="57"/>
  <c r="AL73" i="57"/>
  <c r="AN57" i="57"/>
  <c r="AL76" i="57"/>
  <c r="AJ63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L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L79" i="57" s="1"/>
  <c r="AD75" i="57"/>
  <c r="AH67" i="57"/>
  <c r="AI67" i="57" s="1"/>
  <c r="AL67" i="57" s="1"/>
  <c r="AD63" i="57"/>
  <c r="AH55" i="57"/>
  <c r="AI55" i="57" s="1"/>
  <c r="AL55" i="57" s="1"/>
  <c r="AD51" i="57"/>
  <c r="AL84" i="57"/>
  <c r="AL72" i="57"/>
  <c r="AL85" i="57"/>
  <c r="AL61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P17" i="68"/>
  <c r="L17" i="68"/>
  <c r="T25" i="77"/>
  <c r="AD25" i="77" s="1"/>
  <c r="V25" i="77"/>
  <c r="Y25" i="77"/>
  <c r="AF25" i="77"/>
  <c r="AG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 s="1"/>
  <c r="AH27" i="77"/>
  <c r="AI27" i="77" s="1"/>
  <c r="AK27" i="77"/>
  <c r="AM27" i="77"/>
  <c r="T28" i="77"/>
  <c r="AD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 s="1"/>
  <c r="AH30" i="77"/>
  <c r="AI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 s="1"/>
  <c r="AK32" i="77"/>
  <c r="AM32" i="77"/>
  <c r="T33" i="77"/>
  <c r="V33" i="77"/>
  <c r="Y33" i="77"/>
  <c r="AD33" i="77"/>
  <c r="AE33" i="77"/>
  <c r="AF33" i="77"/>
  <c r="AG33" i="77" s="1"/>
  <c r="AH33" i="77"/>
  <c r="AI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 s="1"/>
  <c r="AH36" i="77"/>
  <c r="AI36" i="77" s="1"/>
  <c r="AK36" i="77"/>
  <c r="AM36" i="77"/>
  <c r="T37" i="77"/>
  <c r="AD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 s="1"/>
  <c r="AH39" i="77"/>
  <c r="AI39" i="77" s="1"/>
  <c r="AK39" i="77"/>
  <c r="AM39" i="77"/>
  <c r="T40" i="77"/>
  <c r="AD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 s="1"/>
  <c r="AH42" i="77"/>
  <c r="AI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 s="1"/>
  <c r="AK44" i="77"/>
  <c r="AM44" i="77"/>
  <c r="T45" i="77"/>
  <c r="V45" i="77"/>
  <c r="Y45" i="77"/>
  <c r="AD45" i="77"/>
  <c r="AE45" i="77"/>
  <c r="AF45" i="77"/>
  <c r="AG45" i="77" s="1"/>
  <c r="AH45" i="77"/>
  <c r="AI45" i="77" s="1"/>
  <c r="AK45" i="77"/>
  <c r="AM45" i="77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V48" i="77"/>
  <c r="Y48" i="77"/>
  <c r="AD48" i="77"/>
  <c r="AE48" i="77"/>
  <c r="AF48" i="77"/>
  <c r="AG48" i="77" s="1"/>
  <c r="AH48" i="77"/>
  <c r="AI48" i="77" s="1"/>
  <c r="AK48" i="77"/>
  <c r="AM48" i="77"/>
  <c r="T49" i="77"/>
  <c r="AD49" i="77" s="1"/>
  <c r="V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 s="1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J17" i="68" s="1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F91" i="76"/>
  <c r="AG91" i="76" s="1"/>
  <c r="AE91" i="76"/>
  <c r="Y91" i="76"/>
  <c r="V91" i="76"/>
  <c r="T91" i="76"/>
  <c r="AD91" i="76" s="1"/>
  <c r="AM90" i="76"/>
  <c r="AK90" i="76"/>
  <c r="AH90" i="76"/>
  <c r="AI90" i="76" s="1"/>
  <c r="AF90" i="76"/>
  <c r="AG90" i="76" s="1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H87" i="76"/>
  <c r="AI87" i="76" s="1"/>
  <c r="AF87" i="76"/>
  <c r="AG87" i="76" s="1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F85" i="76"/>
  <c r="AG85" i="76" s="1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F83" i="76"/>
  <c r="AG83" i="76" s="1"/>
  <c r="AE83" i="76"/>
  <c r="AD83" i="76"/>
  <c r="Y83" i="76"/>
  <c r="V83" i="76"/>
  <c r="T83" i="76"/>
  <c r="AH83" i="76" s="1"/>
  <c r="AI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F81" i="76"/>
  <c r="AG81" i="76" s="1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F79" i="76"/>
  <c r="AG79" i="76" s="1"/>
  <c r="AE79" i="76"/>
  <c r="Y79" i="76"/>
  <c r="V79" i="76"/>
  <c r="T79" i="76"/>
  <c r="AD79" i="76" s="1"/>
  <c r="AM78" i="76"/>
  <c r="AK78" i="76"/>
  <c r="AH78" i="76"/>
  <c r="AI78" i="76" s="1"/>
  <c r="AF78" i="76"/>
  <c r="AG78" i="76" s="1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H75" i="76"/>
  <c r="AI75" i="76" s="1"/>
  <c r="AF75" i="76"/>
  <c r="AG75" i="76" s="1"/>
  <c r="AE75" i="76"/>
  <c r="AD75" i="76"/>
  <c r="Y75" i="76"/>
  <c r="V75" i="76"/>
  <c r="T75" i="76"/>
  <c r="AM74" i="76"/>
  <c r="AK74" i="76"/>
  <c r="AH74" i="76"/>
  <c r="AI74" i="76" s="1"/>
  <c r="AF74" i="76"/>
  <c r="AG74" i="76" s="1"/>
  <c r="AD74" i="76"/>
  <c r="Y74" i="76"/>
  <c r="V74" i="76"/>
  <c r="T74" i="76"/>
  <c r="AE74" i="76" s="1"/>
  <c r="AM73" i="76"/>
  <c r="AK73" i="76"/>
  <c r="AF73" i="76"/>
  <c r="AG73" i="76" s="1"/>
  <c r="AJ73" i="76" s="1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H69" i="76"/>
  <c r="AI69" i="76" s="1"/>
  <c r="AF69" i="76"/>
  <c r="AG69" i="76" s="1"/>
  <c r="AL69" i="76" s="1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F67" i="76"/>
  <c r="AG67" i="76" s="1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F65" i="76"/>
  <c r="AG65" i="76" s="1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F51" i="76"/>
  <c r="AG51" i="76" s="1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H45" i="76"/>
  <c r="AI45" i="76" s="1"/>
  <c r="AF45" i="76"/>
  <c r="AG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F43" i="76"/>
  <c r="AG43" i="76" s="1"/>
  <c r="AE43" i="76"/>
  <c r="Y43" i="76"/>
  <c r="V43" i="76"/>
  <c r="T43" i="76"/>
  <c r="AD43" i="76" s="1"/>
  <c r="AK42" i="76"/>
  <c r="AF42" i="76"/>
  <c r="AG42" i="76" s="1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F39" i="76"/>
  <c r="AG39" i="76" s="1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M26" i="76"/>
  <c r="AK26" i="76"/>
  <c r="AF26" i="76"/>
  <c r="AG26" i="76" s="1"/>
  <c r="Y26" i="76"/>
  <c r="V26" i="76"/>
  <c r="T26" i="76"/>
  <c r="AH26" i="76" s="1"/>
  <c r="AI26" i="76" s="1"/>
  <c r="AK25" i="76"/>
  <c r="AF25" i="76"/>
  <c r="AG25" i="76" s="1"/>
  <c r="Y25" i="76"/>
  <c r="V25" i="76"/>
  <c r="T25" i="76"/>
  <c r="AE25" i="76" s="1"/>
  <c r="AM24" i="76"/>
  <c r="AK24" i="76"/>
  <c r="AF24" i="76"/>
  <c r="AG24" i="76" s="1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J31" i="68" s="1"/>
  <c r="AM11" i="76"/>
  <c r="AK11" i="76"/>
  <c r="AF11" i="76"/>
  <c r="AG11" i="76" s="1"/>
  <c r="Y11" i="76"/>
  <c r="V11" i="76"/>
  <c r="T11" i="76"/>
  <c r="AH11" i="76" s="1"/>
  <c r="AI11" i="76" s="1"/>
  <c r="AM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AM9" i="76"/>
  <c r="AK9" i="76"/>
  <c r="AF9" i="76"/>
  <c r="AG9" i="76" s="1"/>
  <c r="Y9" i="76"/>
  <c r="V9" i="76"/>
  <c r="T9" i="76"/>
  <c r="AH9" i="76" s="1"/>
  <c r="AI9" i="76" s="1"/>
  <c r="AM8" i="76"/>
  <c r="AK8" i="76"/>
  <c r="AF8" i="76"/>
  <c r="AG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T7" i="76"/>
  <c r="AH7" i="76" s="1"/>
  <c r="AI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F5" i="76"/>
  <c r="AG5" i="76" s="1"/>
  <c r="Y5" i="76"/>
  <c r="V5" i="76"/>
  <c r="T5" i="76"/>
  <c r="AH5" i="76" s="1"/>
  <c r="AI5" i="76" s="1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J7" i="76" l="1"/>
  <c r="AJ63" i="76"/>
  <c r="AJ45" i="77"/>
  <c r="AJ85" i="76"/>
  <c r="AL10" i="76"/>
  <c r="AL87" i="76"/>
  <c r="AN48" i="77"/>
  <c r="AN45" i="77"/>
  <c r="W6" i="77"/>
  <c r="AJ66" i="57"/>
  <c r="AJ67" i="57"/>
  <c r="AJ52" i="57"/>
  <c r="AJ79" i="57"/>
  <c r="AJ55" i="57"/>
  <c r="AJ54" i="57"/>
  <c r="AL75" i="76"/>
  <c r="AJ27" i="76"/>
  <c r="AJ83" i="76"/>
  <c r="AJ8" i="76"/>
  <c r="AJ45" i="76"/>
  <c r="AL71" i="76"/>
  <c r="AN40" i="77"/>
  <c r="AN37" i="77"/>
  <c r="AN28" i="77"/>
  <c r="AL57" i="76"/>
  <c r="AJ61" i="76"/>
  <c r="AJ74" i="76"/>
  <c r="AJ33" i="77"/>
  <c r="AJ9" i="76"/>
  <c r="AJ42" i="77"/>
  <c r="AJ30" i="77"/>
  <c r="AL49" i="57"/>
  <c r="AJ50" i="57"/>
  <c r="W35" i="76"/>
  <c r="H31" i="68"/>
  <c r="C31" i="2" s="1"/>
  <c r="W25" i="76"/>
  <c r="W5" i="76"/>
  <c r="U7" i="76"/>
  <c r="H17" i="68"/>
  <c r="C18" i="2" s="1"/>
  <c r="AH25" i="77"/>
  <c r="AI25" i="77" s="1"/>
  <c r="W49" i="77"/>
  <c r="U48" i="77"/>
  <c r="AE25" i="77"/>
  <c r="AN25" i="77" s="1"/>
  <c r="AN63" i="57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AL7" i="77" s="1"/>
  <c r="W44" i="77"/>
  <c r="W41" i="77"/>
  <c r="AM21" i="77"/>
  <c r="AJ49" i="77"/>
  <c r="AL49" i="77"/>
  <c r="AJ39" i="77"/>
  <c r="AL33" i="77"/>
  <c r="AJ26" i="77"/>
  <c r="AL26" i="77"/>
  <c r="AJ36" i="77"/>
  <c r="AL30" i="77"/>
  <c r="AJ27" i="77"/>
  <c r="AJ38" i="77"/>
  <c r="AL38" i="77"/>
  <c r="AJ40" i="77"/>
  <c r="AL40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AJ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14" i="77"/>
  <c r="K17" i="68" s="1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J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K31" i="68" s="1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J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L24" i="76" s="1"/>
  <c r="AD9" i="76"/>
  <c r="AJ10" i="76"/>
  <c r="AE13" i="76"/>
  <c r="AD15" i="76"/>
  <c r="AE18" i="76"/>
  <c r="AN18" i="76" s="1"/>
  <c r="AH23" i="76"/>
  <c r="AI23" i="76" s="1"/>
  <c r="AL23" i="76" s="1"/>
  <c r="AD26" i="76"/>
  <c r="AE30" i="76"/>
  <c r="AN30" i="76" s="1"/>
  <c r="W71" i="76"/>
  <c r="AL26" i="76"/>
  <c r="AJ26" i="76"/>
  <c r="AN10" i="76"/>
  <c r="AL5" i="76"/>
  <c r="AJ5" i="76"/>
  <c r="AL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29" i="76"/>
  <c r="AL33" i="76"/>
  <c r="AJ46" i="76"/>
  <c r="AL46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L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J7" i="77" l="1"/>
  <c r="AJ15" i="77"/>
  <c r="AJ16" i="77"/>
  <c r="S31" i="68"/>
  <c r="AJ15" i="76"/>
  <c r="AL16" i="77"/>
  <c r="AJ76" i="76"/>
  <c r="AL24" i="77"/>
  <c r="AL80" i="76"/>
  <c r="AJ24" i="76"/>
  <c r="AJ46" i="77"/>
  <c r="AJ88" i="76"/>
  <c r="AL34" i="77"/>
  <c r="AJ17" i="76"/>
  <c r="AJ17" i="77"/>
  <c r="AN22" i="77"/>
  <c r="S17" i="68"/>
  <c r="AN15" i="77"/>
  <c r="AN77" i="76"/>
  <c r="AN15" i="76"/>
  <c r="AN49" i="76"/>
  <c r="AN9" i="76"/>
  <c r="AN13" i="77"/>
  <c r="AN19" i="77"/>
  <c r="AN14" i="76"/>
  <c r="AN58" i="76"/>
  <c r="AN22" i="76"/>
  <c r="T31" i="68"/>
  <c r="E31" i="2" s="1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F17" i="68" s="1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F31" i="68" s="1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V27" i="13"/>
  <c r="Y27" i="13"/>
  <c r="AE27" i="13"/>
  <c r="AF27" i="13"/>
  <c r="AG27" i="13" s="1"/>
  <c r="AH27" i="13"/>
  <c r="AI27" i="13" s="1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 s="1"/>
  <c r="AK31" i="13"/>
  <c r="AM31" i="13"/>
  <c r="T32" i="13"/>
  <c r="AE32" i="13" s="1"/>
  <c r="V32" i="13"/>
  <c r="Y32" i="13"/>
  <c r="AD32" i="13"/>
  <c r="AF32" i="13"/>
  <c r="AG32" i="13" s="1"/>
  <c r="AH32" i="13"/>
  <c r="AI32" i="13" s="1"/>
  <c r="AK32" i="13"/>
  <c r="AM32" i="13"/>
  <c r="AL29" i="13" l="1"/>
  <c r="AJ29" i="13"/>
  <c r="AJ27" i="13"/>
  <c r="AN27" i="13"/>
  <c r="AJ32" i="13"/>
  <c r="AN32" i="13"/>
  <c r="AN26" i="13"/>
  <c r="AN29" i="13"/>
  <c r="AH26" i="13"/>
  <c r="AI26" i="13" s="1"/>
  <c r="AJ26" i="13" s="1"/>
  <c r="AL32" i="13"/>
  <c r="AJ30" i="13"/>
  <c r="AL28" i="13"/>
  <c r="AN28" i="13"/>
  <c r="AH28" i="13"/>
  <c r="AI28" i="13" s="1"/>
  <c r="AJ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F23" i="64"/>
  <c r="AG23" i="64" s="1"/>
  <c r="AL23" i="64" s="1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F22" i="64"/>
  <c r="AG22" i="64" s="1"/>
  <c r="AJ22" i="64" s="1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F17" i="64"/>
  <c r="AG17" i="64" s="1"/>
  <c r="AL17" i="64" s="1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L9" i="64" s="1"/>
  <c r="AE9" i="64"/>
  <c r="AD9" i="64"/>
  <c r="Y9" i="64"/>
  <c r="W9" i="64"/>
  <c r="V9" i="64"/>
  <c r="U9" i="64"/>
  <c r="T9" i="64"/>
  <c r="AM8" i="64"/>
  <c r="S38" i="67" s="1"/>
  <c r="AK8" i="64"/>
  <c r="AH8" i="64"/>
  <c r="AI8" i="64" s="1"/>
  <c r="AF8" i="64"/>
  <c r="AG8" i="64" s="1"/>
  <c r="AD8" i="64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W5" i="64"/>
  <c r="V5" i="64"/>
  <c r="T5" i="64"/>
  <c r="AH5" i="64" s="1"/>
  <c r="AI5" i="64" s="1"/>
  <c r="F1" i="64"/>
  <c r="AM24" i="63"/>
  <c r="AK24" i="63"/>
  <c r="AH24" i="63"/>
  <c r="AI24" i="63" s="1"/>
  <c r="AF24" i="63"/>
  <c r="AG24" i="63" s="1"/>
  <c r="AL24" i="63" s="1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H22" i="63"/>
  <c r="AI22" i="63" s="1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L21" i="63" s="1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H19" i="63"/>
  <c r="AI19" i="63" s="1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F18" i="63"/>
  <c r="AG18" i="63" s="1"/>
  <c r="AL18" i="63" s="1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H16" i="63"/>
  <c r="AI16" i="63" s="1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H23" i="62"/>
  <c r="AI23" i="62" s="1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H20" i="62"/>
  <c r="AI20" i="62" s="1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H17" i="62"/>
  <c r="AI17" i="62" s="1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H12" i="62"/>
  <c r="AI12" i="62" s="1"/>
  <c r="AG12" i="62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F7" i="62"/>
  <c r="AG7" i="62" s="1"/>
  <c r="AD7" i="62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Y6" i="62"/>
  <c r="W6" i="62"/>
  <c r="V6" i="62"/>
  <c r="U6" i="62"/>
  <c r="T6" i="62"/>
  <c r="A6" i="62"/>
  <c r="AM5" i="62"/>
  <c r="AK5" i="62"/>
  <c r="AH5" i="62"/>
  <c r="AI5" i="62" s="1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H22" i="61"/>
  <c r="AI22" i="61" s="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S37" i="67" s="1"/>
  <c r="S39" i="67" s="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G9" i="61"/>
  <c r="AF9" i="61"/>
  <c r="AE9" i="61"/>
  <c r="AD9" i="61"/>
  <c r="Y9" i="61"/>
  <c r="W9" i="61"/>
  <c r="V9" i="61"/>
  <c r="U9" i="61"/>
  <c r="T9" i="61"/>
  <c r="AM8" i="61"/>
  <c r="AK8" i="61"/>
  <c r="AH8" i="61"/>
  <c r="AI8" i="61" s="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AD5" i="61"/>
  <c r="Y5" i="61"/>
  <c r="W5" i="61"/>
  <c r="V5" i="61"/>
  <c r="U5" i="61"/>
  <c r="T5" i="61"/>
  <c r="F1" i="61"/>
  <c r="AM23" i="60"/>
  <c r="AK23" i="60"/>
  <c r="AF23" i="60"/>
  <c r="AG23" i="60" s="1"/>
  <c r="Y23" i="60"/>
  <c r="V23" i="60"/>
  <c r="T23" i="60"/>
  <c r="AH23" i="60" s="1"/>
  <c r="AI23" i="60" s="1"/>
  <c r="AM22" i="60"/>
  <c r="AK22" i="60"/>
  <c r="AF22" i="60"/>
  <c r="AG22" i="60" s="1"/>
  <c r="Y22" i="60"/>
  <c r="V22" i="60"/>
  <c r="T22" i="60"/>
  <c r="AH22" i="60" s="1"/>
  <c r="AI22" i="60" s="1"/>
  <c r="AM21" i="60"/>
  <c r="AK21" i="60"/>
  <c r="AF21" i="60"/>
  <c r="AG21" i="60" s="1"/>
  <c r="Y21" i="60"/>
  <c r="V21" i="60"/>
  <c r="T21" i="60"/>
  <c r="AH21" i="60" s="1"/>
  <c r="AI21" i="60" s="1"/>
  <c r="AM20" i="60"/>
  <c r="AK20" i="60"/>
  <c r="AF20" i="60"/>
  <c r="AG20" i="60" s="1"/>
  <c r="Y20" i="60"/>
  <c r="V20" i="60"/>
  <c r="T20" i="60"/>
  <c r="AE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Y18" i="60"/>
  <c r="V18" i="60"/>
  <c r="T18" i="60"/>
  <c r="AH18" i="60" s="1"/>
  <c r="AI18" i="60" s="1"/>
  <c r="AM17" i="60"/>
  <c r="AK17" i="60"/>
  <c r="AF17" i="60"/>
  <c r="AG17" i="60" s="1"/>
  <c r="Y17" i="60"/>
  <c r="V17" i="60"/>
  <c r="T17" i="60"/>
  <c r="AH17" i="60" s="1"/>
  <c r="AI17" i="60" s="1"/>
  <c r="AM16" i="60"/>
  <c r="AK16" i="60"/>
  <c r="AF16" i="60"/>
  <c r="AG16" i="60" s="1"/>
  <c r="Y16" i="60"/>
  <c r="V16" i="60"/>
  <c r="T16" i="60"/>
  <c r="AE16" i="60" s="1"/>
  <c r="AM15" i="60"/>
  <c r="AK15" i="60"/>
  <c r="AF15" i="60"/>
  <c r="AG15" i="60" s="1"/>
  <c r="Y15" i="60"/>
  <c r="V15" i="60"/>
  <c r="T15" i="60"/>
  <c r="AD15" i="60" s="1"/>
  <c r="AM14" i="60"/>
  <c r="AK14" i="60"/>
  <c r="AF14" i="60"/>
  <c r="AG14" i="60" s="1"/>
  <c r="Y14" i="60"/>
  <c r="V14" i="60"/>
  <c r="T14" i="60"/>
  <c r="AH14" i="60" s="1"/>
  <c r="AI14" i="60" s="1"/>
  <c r="AM13" i="60"/>
  <c r="AK13" i="60"/>
  <c r="AF13" i="60"/>
  <c r="AG13" i="60" s="1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H11" i="60"/>
  <c r="AI11" i="60" s="1"/>
  <c r="AF11" i="60"/>
  <c r="AG11" i="60" s="1"/>
  <c r="Y11" i="60"/>
  <c r="V11" i="60"/>
  <c r="T11" i="60"/>
  <c r="AE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K8" i="60"/>
  <c r="AF8" i="60"/>
  <c r="AG8" i="60" s="1"/>
  <c r="Y8" i="60"/>
  <c r="V8" i="60"/>
  <c r="T8" i="60"/>
  <c r="AH8" i="60" s="1"/>
  <c r="AI8" i="60" s="1"/>
  <c r="AM7" i="60"/>
  <c r="AK7" i="60"/>
  <c r="AF7" i="60"/>
  <c r="AG7" i="60" s="1"/>
  <c r="Y7" i="60"/>
  <c r="V7" i="60"/>
  <c r="T7" i="60"/>
  <c r="AH7" i="60" s="1"/>
  <c r="AI7" i="60" s="1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V5" i="60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Y23" i="59"/>
  <c r="V23" i="59"/>
  <c r="T23" i="59"/>
  <c r="AM22" i="59"/>
  <c r="AK22" i="59"/>
  <c r="AH22" i="59"/>
  <c r="AI22" i="59" s="1"/>
  <c r="AF22" i="59"/>
  <c r="AG22" i="59" s="1"/>
  <c r="AE22" i="59"/>
  <c r="AD22" i="59"/>
  <c r="Y22" i="59"/>
  <c r="V22" i="59"/>
  <c r="T22" i="59"/>
  <c r="AM21" i="59"/>
  <c r="AK21" i="59"/>
  <c r="AH21" i="59"/>
  <c r="AI21" i="59" s="1"/>
  <c r="AF21" i="59"/>
  <c r="AG21" i="59" s="1"/>
  <c r="AL21" i="59" s="1"/>
  <c r="AE21" i="59"/>
  <c r="AD21" i="59"/>
  <c r="AN21" i="59" s="1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F17" i="59"/>
  <c r="AG17" i="59" s="1"/>
  <c r="AE17" i="59"/>
  <c r="AD17" i="59"/>
  <c r="Y17" i="59"/>
  <c r="V17" i="59"/>
  <c r="T17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H15" i="59"/>
  <c r="AI15" i="59" s="1"/>
  <c r="AF15" i="59"/>
  <c r="AG15" i="59" s="1"/>
  <c r="Y15" i="59"/>
  <c r="V15" i="59"/>
  <c r="T15" i="59"/>
  <c r="AE15" i="59" s="1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V10" i="59"/>
  <c r="T10" i="59"/>
  <c r="AD10" i="59" s="1"/>
  <c r="A10" i="59"/>
  <c r="W17" i="59" s="1"/>
  <c r="AK9" i="59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H24" i="58"/>
  <c r="AI24" i="58" s="1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Y23" i="58"/>
  <c r="V23" i="58"/>
  <c r="T23" i="58"/>
  <c r="AE23" i="58" s="1"/>
  <c r="AM22" i="58"/>
  <c r="AK22" i="58"/>
  <c r="AH22" i="58"/>
  <c r="AI22" i="58" s="1"/>
  <c r="AG22" i="58"/>
  <c r="AF22" i="58"/>
  <c r="AE22" i="58"/>
  <c r="AD22" i="58"/>
  <c r="Y22" i="58"/>
  <c r="V22" i="58"/>
  <c r="T22" i="58"/>
  <c r="AK21" i="58"/>
  <c r="AF21" i="58"/>
  <c r="AG21" i="58" s="1"/>
  <c r="Y21" i="58"/>
  <c r="V21" i="58"/>
  <c r="T21" i="58"/>
  <c r="AM21" i="58" s="1"/>
  <c r="AK20" i="58"/>
  <c r="AF20" i="58"/>
  <c r="AG20" i="58" s="1"/>
  <c r="Y20" i="58"/>
  <c r="V20" i="58"/>
  <c r="T20" i="58"/>
  <c r="AM20" i="58" s="1"/>
  <c r="AK19" i="58"/>
  <c r="AH19" i="58"/>
  <c r="AI19" i="58" s="1"/>
  <c r="AF19" i="58"/>
  <c r="AG19" i="58" s="1"/>
  <c r="Y19" i="58"/>
  <c r="V19" i="58"/>
  <c r="T19" i="58"/>
  <c r="AE19" i="58" s="1"/>
  <c r="AM18" i="58"/>
  <c r="AK18" i="58"/>
  <c r="AH18" i="58"/>
  <c r="AI18" i="58" s="1"/>
  <c r="AF18" i="58"/>
  <c r="AG18" i="58" s="1"/>
  <c r="AE18" i="58"/>
  <c r="AD18" i="58"/>
  <c r="Y18" i="58"/>
  <c r="V18" i="58"/>
  <c r="T18" i="58"/>
  <c r="AK17" i="58"/>
  <c r="AF17" i="58"/>
  <c r="AG17" i="58" s="1"/>
  <c r="Y17" i="58"/>
  <c r="V17" i="58"/>
  <c r="T17" i="58"/>
  <c r="AM17" i="58" s="1"/>
  <c r="AK16" i="58"/>
  <c r="AF16" i="58"/>
  <c r="AG16" i="58" s="1"/>
  <c r="Y16" i="58"/>
  <c r="V16" i="58"/>
  <c r="T16" i="58"/>
  <c r="AM16" i="58" s="1"/>
  <c r="AK15" i="58"/>
  <c r="AH15" i="58"/>
  <c r="AI15" i="58" s="1"/>
  <c r="AF15" i="58"/>
  <c r="AG15" i="58" s="1"/>
  <c r="Y15" i="58"/>
  <c r="V15" i="58"/>
  <c r="T15" i="58"/>
  <c r="AE15" i="58" s="1"/>
  <c r="AM14" i="58"/>
  <c r="AK14" i="58"/>
  <c r="AH14" i="58"/>
  <c r="AI14" i="58" s="1"/>
  <c r="AF14" i="58"/>
  <c r="AG14" i="58" s="1"/>
  <c r="AE14" i="58"/>
  <c r="AD14" i="58"/>
  <c r="Y14" i="58"/>
  <c r="V14" i="58"/>
  <c r="T14" i="58"/>
  <c r="AK13" i="58"/>
  <c r="AF13" i="58"/>
  <c r="AG13" i="58" s="1"/>
  <c r="Y13" i="58"/>
  <c r="V13" i="58"/>
  <c r="T13" i="58"/>
  <c r="AM13" i="58" s="1"/>
  <c r="AK12" i="58"/>
  <c r="AF12" i="58"/>
  <c r="AG12" i="58" s="1"/>
  <c r="Y12" i="58"/>
  <c r="V12" i="58"/>
  <c r="T12" i="58"/>
  <c r="AM12" i="58" s="1"/>
  <c r="A12" i="58"/>
  <c r="J33" i="67" s="1"/>
  <c r="AM11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H10" i="58" s="1"/>
  <c r="AI10" i="58" s="1"/>
  <c r="A10" i="58"/>
  <c r="W7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V8" i="58"/>
  <c r="T8" i="58"/>
  <c r="AH8" i="58" s="1"/>
  <c r="AI8" i="58" s="1"/>
  <c r="AM7" i="58"/>
  <c r="AK7" i="58"/>
  <c r="AF7" i="58"/>
  <c r="AG7" i="58" s="1"/>
  <c r="Y7" i="58"/>
  <c r="V7" i="58"/>
  <c r="T7" i="58"/>
  <c r="AD7" i="58" s="1"/>
  <c r="AK6" i="58"/>
  <c r="AF6" i="58"/>
  <c r="AG6" i="58" s="1"/>
  <c r="Y6" i="58"/>
  <c r="V6" i="58"/>
  <c r="T6" i="58"/>
  <c r="AD6" i="58" s="1"/>
  <c r="A6" i="58"/>
  <c r="AM5" i="58"/>
  <c r="AK5" i="58"/>
  <c r="AF5" i="58"/>
  <c r="AG5" i="58" s="1"/>
  <c r="Y5" i="58"/>
  <c r="W5" i="58"/>
  <c r="V5" i="58"/>
  <c r="T5" i="58"/>
  <c r="AH5" i="58" s="1"/>
  <c r="AI5" i="58" s="1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E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2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Y10" i="57"/>
  <c r="V10" i="57"/>
  <c r="T10" i="57"/>
  <c r="AM10" i="57" s="1"/>
  <c r="A10" i="57"/>
  <c r="U5" i="57" s="1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K23" i="56"/>
  <c r="AI23" i="56"/>
  <c r="AH23" i="56"/>
  <c r="AG23" i="56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K20" i="56"/>
  <c r="AI20" i="56"/>
  <c r="AH20" i="56"/>
  <c r="AG20" i="56"/>
  <c r="AL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F18" i="56"/>
  <c r="AG18" i="56" s="1"/>
  <c r="AE18" i="56"/>
  <c r="AD18" i="56"/>
  <c r="Y18" i="56"/>
  <c r="V18" i="56"/>
  <c r="T18" i="56"/>
  <c r="AM17" i="56"/>
  <c r="AK17" i="56"/>
  <c r="AI17" i="56"/>
  <c r="AH17" i="56"/>
  <c r="AF17" i="56"/>
  <c r="AG17" i="56" s="1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H15" i="56"/>
  <c r="AI15" i="56" s="1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F12" i="56"/>
  <c r="AG12" i="56" s="1"/>
  <c r="AE12" i="56"/>
  <c r="AD12" i="56"/>
  <c r="Y12" i="56"/>
  <c r="V12" i="56"/>
  <c r="T12" i="56"/>
  <c r="A12" i="56"/>
  <c r="J30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F10" i="56"/>
  <c r="AE10" i="56"/>
  <c r="AD10" i="56"/>
  <c r="Y10" i="56"/>
  <c r="V10" i="56"/>
  <c r="T10" i="56"/>
  <c r="A10" i="56"/>
  <c r="W24" i="56" s="1"/>
  <c r="AM9" i="56"/>
  <c r="AK9" i="56"/>
  <c r="AH9" i="56"/>
  <c r="AI9" i="56" s="1"/>
  <c r="AG9" i="56"/>
  <c r="AF9" i="56"/>
  <c r="AE9" i="56"/>
  <c r="AD9" i="56"/>
  <c r="Y9" i="56"/>
  <c r="V9" i="56"/>
  <c r="T9" i="56"/>
  <c r="AM8" i="56"/>
  <c r="AK8" i="56"/>
  <c r="AH8" i="56"/>
  <c r="AI8" i="56" s="1"/>
  <c r="AF8" i="56"/>
  <c r="AG8" i="56" s="1"/>
  <c r="AD8" i="56"/>
  <c r="AN8" i="56" s="1"/>
  <c r="Y8" i="56"/>
  <c r="V8" i="56"/>
  <c r="T8" i="56"/>
  <c r="AM7" i="56"/>
  <c r="AK7" i="56"/>
  <c r="AI7" i="56"/>
  <c r="AH7" i="56"/>
  <c r="AG7" i="56"/>
  <c r="AF7" i="56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K5" i="56"/>
  <c r="AF5" i="56"/>
  <c r="AG5" i="56" s="1"/>
  <c r="Y5" i="56"/>
  <c r="A14" i="56" s="1"/>
  <c r="K30" i="67" s="1"/>
  <c r="V5" i="56"/>
  <c r="T5" i="56"/>
  <c r="AM5" i="56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G20" i="55"/>
  <c r="AF20" i="55"/>
  <c r="AE20" i="55"/>
  <c r="AD20" i="55"/>
  <c r="Y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F15" i="55"/>
  <c r="AG15" i="55" s="1"/>
  <c r="AL15" i="55" s="1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Y13" i="55"/>
  <c r="V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F11" i="55"/>
  <c r="AG11" i="55" s="1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V5" i="55"/>
  <c r="T5" i="55"/>
  <c r="AH5" i="55" s="1"/>
  <c r="AI5" i="55" s="1"/>
  <c r="F1" i="55"/>
  <c r="AM24" i="54"/>
  <c r="AK24" i="54"/>
  <c r="AH24" i="54"/>
  <c r="AI24" i="54" s="1"/>
  <c r="AF24" i="54"/>
  <c r="AG24" i="54" s="1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AD20" i="54"/>
  <c r="Y20" i="54"/>
  <c r="V20" i="54"/>
  <c r="T20" i="54"/>
  <c r="AM19" i="54"/>
  <c r="AK19" i="54"/>
  <c r="AH19" i="54"/>
  <c r="AI19" i="54" s="1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H12" i="54"/>
  <c r="AI12" i="54" s="1"/>
  <c r="AF12" i="54"/>
  <c r="AG12" i="54" s="1"/>
  <c r="AE12" i="54"/>
  <c r="AD12" i="54"/>
  <c r="AN12" i="54" s="1"/>
  <c r="Y12" i="54"/>
  <c r="V12" i="54"/>
  <c r="T12" i="54"/>
  <c r="A12" i="54"/>
  <c r="J28" i="67" s="1"/>
  <c r="AM11" i="54"/>
  <c r="AK11" i="54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F9" i="54"/>
  <c r="AG9" i="54" s="1"/>
  <c r="Y9" i="54"/>
  <c r="V9" i="54"/>
  <c r="T9" i="54"/>
  <c r="AM9" i="54" s="1"/>
  <c r="AK8" i="54"/>
  <c r="AF8" i="54"/>
  <c r="AG8" i="54" s="1"/>
  <c r="Y8" i="54"/>
  <c r="V8" i="54"/>
  <c r="T8" i="54"/>
  <c r="AM8" i="54" s="1"/>
  <c r="AM7" i="54"/>
  <c r="AK7" i="54"/>
  <c r="AF7" i="54"/>
  <c r="AG7" i="54" s="1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8" i="67" s="1"/>
  <c r="V5" i="54"/>
  <c r="T5" i="54"/>
  <c r="AH5" i="54" s="1"/>
  <c r="AI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H21" i="73"/>
  <c r="AI21" i="73" s="1"/>
  <c r="AG21" i="73"/>
  <c r="AF21" i="73"/>
  <c r="AE21" i="73"/>
  <c r="AD21" i="73"/>
  <c r="Y21" i="73"/>
  <c r="V21" i="73"/>
  <c r="T21" i="73"/>
  <c r="AM20" i="73"/>
  <c r="AK20" i="73"/>
  <c r="AH20" i="73"/>
  <c r="AI20" i="73" s="1"/>
  <c r="AF20" i="73"/>
  <c r="AG20" i="73" s="1"/>
  <c r="AE20" i="73"/>
  <c r="AD20" i="73"/>
  <c r="Y20" i="73"/>
  <c r="V20" i="73"/>
  <c r="T20" i="73"/>
  <c r="AM19" i="73"/>
  <c r="AK19" i="73"/>
  <c r="AH19" i="73"/>
  <c r="AI19" i="73" s="1"/>
  <c r="AF19" i="73"/>
  <c r="AG19" i="73" s="1"/>
  <c r="AE19" i="73"/>
  <c r="AD19" i="73"/>
  <c r="Y19" i="73"/>
  <c r="V19" i="73"/>
  <c r="T19" i="73"/>
  <c r="AM18" i="73"/>
  <c r="AK18" i="73"/>
  <c r="AH18" i="73"/>
  <c r="AI18" i="73" s="1"/>
  <c r="AG18" i="73"/>
  <c r="AJ18" i="73" s="1"/>
  <c r="AF18" i="73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F15" i="73"/>
  <c r="AG15" i="73" s="1"/>
  <c r="AE15" i="73"/>
  <c r="AD15" i="73"/>
  <c r="Y15" i="73"/>
  <c r="V15" i="73"/>
  <c r="T15" i="73"/>
  <c r="AM14" i="73"/>
  <c r="AK14" i="73"/>
  <c r="AH14" i="73"/>
  <c r="AI14" i="73" s="1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G12" i="73"/>
  <c r="AF12" i="73"/>
  <c r="AE12" i="73"/>
  <c r="AD12" i="73"/>
  <c r="Y12" i="73"/>
  <c r="V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V11" i="73"/>
  <c r="T11" i="73"/>
  <c r="AM10" i="73"/>
  <c r="AK10" i="73"/>
  <c r="AI10" i="73"/>
  <c r="AH10" i="73"/>
  <c r="AF10" i="73"/>
  <c r="AG10" i="73" s="1"/>
  <c r="AE10" i="73"/>
  <c r="AD10" i="73"/>
  <c r="Y10" i="73"/>
  <c r="V10" i="73"/>
  <c r="T10" i="73"/>
  <c r="A10" i="73"/>
  <c r="W22" i="73" s="1"/>
  <c r="AM9" i="73"/>
  <c r="AK9" i="73"/>
  <c r="AI9" i="73"/>
  <c r="AH9" i="73"/>
  <c r="AF9" i="73"/>
  <c r="AG9" i="73" s="1"/>
  <c r="AL9" i="73" s="1"/>
  <c r="AE9" i="73"/>
  <c r="AD9" i="73"/>
  <c r="AN9" i="73" s="1"/>
  <c r="Y9" i="73"/>
  <c r="V9" i="73"/>
  <c r="T9" i="73"/>
  <c r="AM8" i="73"/>
  <c r="AK8" i="73"/>
  <c r="AH8" i="73"/>
  <c r="AI8" i="73" s="1"/>
  <c r="AF8" i="73"/>
  <c r="AG8" i="73" s="1"/>
  <c r="AD8" i="73"/>
  <c r="Y8" i="73"/>
  <c r="V8" i="73"/>
  <c r="T8" i="73"/>
  <c r="AM7" i="73"/>
  <c r="AK7" i="73"/>
  <c r="AF7" i="73"/>
  <c r="AG7" i="73" s="1"/>
  <c r="Y7" i="73"/>
  <c r="V7" i="73"/>
  <c r="T7" i="73"/>
  <c r="AH7" i="73" s="1"/>
  <c r="AI7" i="73" s="1"/>
  <c r="AK6" i="73"/>
  <c r="AF6" i="73"/>
  <c r="AG6" i="73" s="1"/>
  <c r="Y6" i="73"/>
  <c r="V6" i="73"/>
  <c r="T6" i="73"/>
  <c r="AH6" i="73" s="1"/>
  <c r="AI6" i="73" s="1"/>
  <c r="A6" i="73"/>
  <c r="AK5" i="73"/>
  <c r="AF5" i="73"/>
  <c r="AG5" i="73" s="1"/>
  <c r="Y5" i="73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F22" i="71"/>
  <c r="AG22" i="71" s="1"/>
  <c r="AE22" i="71"/>
  <c r="AD22" i="71"/>
  <c r="Y22" i="71"/>
  <c r="V22" i="71"/>
  <c r="T22" i="71"/>
  <c r="AM21" i="71"/>
  <c r="AK21" i="71"/>
  <c r="AH21" i="71"/>
  <c r="AI21" i="71" s="1"/>
  <c r="AF21" i="71"/>
  <c r="AG21" i="71" s="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F19" i="71"/>
  <c r="AG19" i="71" s="1"/>
  <c r="AE19" i="71"/>
  <c r="AD19" i="71"/>
  <c r="Y19" i="71"/>
  <c r="V19" i="71"/>
  <c r="T19" i="71"/>
  <c r="AM18" i="71"/>
  <c r="AK18" i="71"/>
  <c r="AI18" i="71"/>
  <c r="AH18" i="7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Y16" i="71"/>
  <c r="V16" i="71"/>
  <c r="T16" i="71"/>
  <c r="AM15" i="71"/>
  <c r="AK15" i="71"/>
  <c r="AH15" i="71"/>
  <c r="AI15" i="71" s="1"/>
  <c r="AF15" i="71"/>
  <c r="AG15" i="71" s="1"/>
  <c r="AE15" i="71"/>
  <c r="AD15" i="71"/>
  <c r="Y15" i="71"/>
  <c r="V15" i="71"/>
  <c r="T15" i="71"/>
  <c r="AM14" i="71"/>
  <c r="AK14" i="71"/>
  <c r="AH14" i="71"/>
  <c r="AI14" i="71" s="1"/>
  <c r="AF14" i="71"/>
  <c r="AG14" i="71" s="1"/>
  <c r="AL14" i="71" s="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0" i="71" s="1"/>
  <c r="AM9" i="71"/>
  <c r="AK9" i="71"/>
  <c r="AH9" i="71"/>
  <c r="AI9" i="71" s="1"/>
  <c r="AG9" i="7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F7" i="71"/>
  <c r="AG7" i="71" s="1"/>
  <c r="Y7" i="71"/>
  <c r="V7" i="71"/>
  <c r="T7" i="71"/>
  <c r="AH7" i="71" s="1"/>
  <c r="AI7" i="71" s="1"/>
  <c r="AM6" i="71"/>
  <c r="AK6" i="71"/>
  <c r="AF6" i="71"/>
  <c r="AG6" i="71" s="1"/>
  <c r="AD6" i="71"/>
  <c r="Y6" i="71"/>
  <c r="V6" i="71"/>
  <c r="T6" i="71"/>
  <c r="AH6" i="71" s="1"/>
  <c r="AI6" i="71" s="1"/>
  <c r="A6" i="71"/>
  <c r="AM5" i="71"/>
  <c r="AK5" i="71"/>
  <c r="AF5" i="71"/>
  <c r="AG5" i="71" s="1"/>
  <c r="Y5" i="71"/>
  <c r="V5" i="71"/>
  <c r="T5" i="71"/>
  <c r="AH5" i="71" s="1"/>
  <c r="AI5" i="71" s="1"/>
  <c r="F1" i="71"/>
  <c r="AM55" i="53"/>
  <c r="AK55" i="53"/>
  <c r="AH55" i="53"/>
  <c r="AI55" i="53" s="1"/>
  <c r="AF55" i="53"/>
  <c r="AG55" i="53" s="1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F52" i="53"/>
  <c r="AG52" i="53" s="1"/>
  <c r="AL52" i="53" s="1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Y49" i="53"/>
  <c r="V49" i="53"/>
  <c r="T49" i="53"/>
  <c r="AM48" i="53"/>
  <c r="AK48" i="53"/>
  <c r="AH48" i="53"/>
  <c r="AI48" i="53" s="1"/>
  <c r="AF48" i="53"/>
  <c r="AG48" i="53" s="1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F43" i="53"/>
  <c r="AG43" i="53" s="1"/>
  <c r="AL43" i="53" s="1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F41" i="53"/>
  <c r="AG41" i="53" s="1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F38" i="53"/>
  <c r="AG38" i="53" s="1"/>
  <c r="AE38" i="53"/>
  <c r="AD38" i="53"/>
  <c r="Y38" i="53"/>
  <c r="V38" i="53"/>
  <c r="T38" i="53"/>
  <c r="AM37" i="53"/>
  <c r="AK37" i="53"/>
  <c r="AI37" i="53"/>
  <c r="AH37" i="53"/>
  <c r="AF37" i="53"/>
  <c r="AG37" i="53" s="1"/>
  <c r="AE37" i="53"/>
  <c r="AD37" i="53"/>
  <c r="Y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Y34" i="53"/>
  <c r="V34" i="53"/>
  <c r="T34" i="53"/>
  <c r="AM33" i="53"/>
  <c r="AK33" i="53"/>
  <c r="AH33" i="53"/>
  <c r="AI33" i="53" s="1"/>
  <c r="AF33" i="53"/>
  <c r="AG33" i="53" s="1"/>
  <c r="AE33" i="53"/>
  <c r="AD33" i="53"/>
  <c r="Y33" i="53"/>
  <c r="V33" i="53"/>
  <c r="T33" i="53"/>
  <c r="AM32" i="53"/>
  <c r="AK32" i="53"/>
  <c r="AH32" i="53"/>
  <c r="AI32" i="53" s="1"/>
  <c r="AF32" i="53"/>
  <c r="AG32" i="53" s="1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F15" i="53"/>
  <c r="AG15" i="53" s="1"/>
  <c r="Y15" i="53"/>
  <c r="V15" i="53"/>
  <c r="T15" i="53"/>
  <c r="AE15" i="53" s="1"/>
  <c r="AK14" i="53"/>
  <c r="AF14" i="53"/>
  <c r="AG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Y10" i="53"/>
  <c r="V10" i="53"/>
  <c r="T10" i="53"/>
  <c r="AM10" i="53" s="1"/>
  <c r="A10" i="53"/>
  <c r="U11" i="53" s="1"/>
  <c r="AK9" i="53"/>
  <c r="AF9" i="53"/>
  <c r="AG9" i="53" s="1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F6" i="53"/>
  <c r="AG6" i="53" s="1"/>
  <c r="Y6" i="53"/>
  <c r="V6" i="53"/>
  <c r="T6" i="53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F21" i="52"/>
  <c r="AG21" i="52" s="1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V15" i="52"/>
  <c r="T15" i="52"/>
  <c r="AM14" i="52"/>
  <c r="AK14" i="52"/>
  <c r="AH14" i="52"/>
  <c r="AI14" i="52" s="1"/>
  <c r="AF14" i="52"/>
  <c r="AG14" i="52" s="1"/>
  <c r="AE14" i="52"/>
  <c r="AD14" i="52"/>
  <c r="AN14" i="52" s="1"/>
  <c r="Y14" i="52"/>
  <c r="V14" i="52"/>
  <c r="T14" i="52"/>
  <c r="AM13" i="52"/>
  <c r="AK13" i="52"/>
  <c r="AI13" i="52"/>
  <c r="AH13" i="52"/>
  <c r="AF13" i="52"/>
  <c r="AG13" i="52" s="1"/>
  <c r="AL13" i="52" s="1"/>
  <c r="AE13" i="52"/>
  <c r="AD13" i="52"/>
  <c r="Y13" i="52"/>
  <c r="V13" i="52"/>
  <c r="T13" i="52"/>
  <c r="AM12" i="52"/>
  <c r="AK12" i="52"/>
  <c r="AI12" i="52"/>
  <c r="AH12" i="52"/>
  <c r="AF12" i="52"/>
  <c r="AG12" i="52" s="1"/>
  <c r="AE12" i="52"/>
  <c r="AD12" i="52"/>
  <c r="Y12" i="52"/>
  <c r="V12" i="52"/>
  <c r="T12" i="52"/>
  <c r="A12" i="52"/>
  <c r="AM11" i="52"/>
  <c r="AK11" i="52"/>
  <c r="AH11" i="52"/>
  <c r="AI11" i="52" s="1"/>
  <c r="AL11" i="52" s="1"/>
  <c r="AG11" i="52"/>
  <c r="AF11" i="52"/>
  <c r="AE11" i="52"/>
  <c r="AD11" i="52"/>
  <c r="Y11" i="52"/>
  <c r="V11" i="52"/>
  <c r="T11" i="52"/>
  <c r="AM10" i="52"/>
  <c r="AK10" i="52"/>
  <c r="AH10" i="52"/>
  <c r="AI10" i="52" s="1"/>
  <c r="AG10" i="52"/>
  <c r="AF10" i="52"/>
  <c r="AE10" i="52"/>
  <c r="AD10" i="52"/>
  <c r="Y10" i="52"/>
  <c r="V10" i="52"/>
  <c r="T10" i="52"/>
  <c r="A10" i="52"/>
  <c r="W10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F8" i="52"/>
  <c r="AG8" i="52" s="1"/>
  <c r="Y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Y6" i="52"/>
  <c r="V6" i="52"/>
  <c r="T6" i="52"/>
  <c r="A6" i="52"/>
  <c r="AM5" i="52"/>
  <c r="AK5" i="52"/>
  <c r="AH5" i="52"/>
  <c r="AI5" i="52" s="1"/>
  <c r="AF5" i="52"/>
  <c r="AG5" i="52" s="1"/>
  <c r="Y5" i="52"/>
  <c r="V5" i="52"/>
  <c r="T5" i="52"/>
  <c r="AD5" i="52" s="1"/>
  <c r="F1" i="52"/>
  <c r="AK24" i="51"/>
  <c r="AF24" i="51"/>
  <c r="AG24" i="51" s="1"/>
  <c r="Y24" i="51"/>
  <c r="V24" i="51"/>
  <c r="T24" i="51"/>
  <c r="AE24" i="51" s="1"/>
  <c r="AK23" i="51"/>
  <c r="AF23" i="51"/>
  <c r="AG23" i="51" s="1"/>
  <c r="Y23" i="51"/>
  <c r="V23" i="51"/>
  <c r="T23" i="51"/>
  <c r="AM23" i="51" s="1"/>
  <c r="AK22" i="51"/>
  <c r="AF22" i="51"/>
  <c r="AG22" i="51" s="1"/>
  <c r="Y22" i="51"/>
  <c r="V22" i="51"/>
  <c r="T22" i="51"/>
  <c r="AM22" i="51" s="1"/>
  <c r="AM21" i="51"/>
  <c r="AK21" i="51"/>
  <c r="AF21" i="51"/>
  <c r="AG21" i="51" s="1"/>
  <c r="Y21" i="51"/>
  <c r="V21" i="51"/>
  <c r="T21" i="51"/>
  <c r="AH21" i="51" s="1"/>
  <c r="AI21" i="51" s="1"/>
  <c r="AK20" i="51"/>
  <c r="AF20" i="51"/>
  <c r="AG20" i="51" s="1"/>
  <c r="Y20" i="51"/>
  <c r="V20" i="51"/>
  <c r="T20" i="51"/>
  <c r="AD20" i="51" s="1"/>
  <c r="AK19" i="51"/>
  <c r="AF19" i="51"/>
  <c r="AG19" i="51" s="1"/>
  <c r="Y19" i="51"/>
  <c r="V19" i="51"/>
  <c r="T19" i="51"/>
  <c r="AH19" i="51" s="1"/>
  <c r="AI19" i="51" s="1"/>
  <c r="AK18" i="51"/>
  <c r="AF18" i="51"/>
  <c r="AG18" i="51" s="1"/>
  <c r="Y18" i="51"/>
  <c r="V18" i="51"/>
  <c r="T18" i="51"/>
  <c r="AM18" i="51" s="1"/>
  <c r="AK17" i="51"/>
  <c r="AF17" i="51"/>
  <c r="AG17" i="51" s="1"/>
  <c r="Y17" i="51"/>
  <c r="V17" i="51"/>
  <c r="T17" i="51"/>
  <c r="AH17" i="51" s="1"/>
  <c r="AI17" i="51" s="1"/>
  <c r="AK16" i="51"/>
  <c r="AF16" i="51"/>
  <c r="AG16" i="51" s="1"/>
  <c r="Y16" i="51"/>
  <c r="V16" i="51"/>
  <c r="T16" i="51"/>
  <c r="AH16" i="51" s="1"/>
  <c r="AI16" i="51" s="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K13" i="5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K11" i="51"/>
  <c r="AF11" i="51"/>
  <c r="AG11" i="51" s="1"/>
  <c r="Y11" i="51"/>
  <c r="V11" i="51"/>
  <c r="T11" i="51"/>
  <c r="AD11" i="51" s="1"/>
  <c r="AK10" i="51"/>
  <c r="AF10" i="51"/>
  <c r="AG10" i="51" s="1"/>
  <c r="Y10" i="51"/>
  <c r="V10" i="51"/>
  <c r="T10" i="51"/>
  <c r="AH10" i="51" s="1"/>
  <c r="AI10" i="51" s="1"/>
  <c r="A10" i="5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K5" i="51"/>
  <c r="AF5" i="51"/>
  <c r="AG5" i="51" s="1"/>
  <c r="Y5" i="51"/>
  <c r="V5" i="51"/>
  <c r="T5" i="51"/>
  <c r="AD5" i="51" s="1"/>
  <c r="F1" i="51"/>
  <c r="AM24" i="50"/>
  <c r="AK24" i="50"/>
  <c r="AH24" i="50"/>
  <c r="AI24" i="50" s="1"/>
  <c r="AF24" i="50"/>
  <c r="AG24" i="50" s="1"/>
  <c r="AE24" i="50"/>
  <c r="AD24" i="50"/>
  <c r="AN24" i="50" s="1"/>
  <c r="Y24" i="50"/>
  <c r="V24" i="50"/>
  <c r="T24" i="50"/>
  <c r="AM23" i="50"/>
  <c r="AK23" i="50"/>
  <c r="AI23" i="50"/>
  <c r="AH23" i="50"/>
  <c r="AF23" i="50"/>
  <c r="AG23" i="50" s="1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H20" i="50"/>
  <c r="AI20" i="50" s="1"/>
  <c r="AF20" i="50"/>
  <c r="AG20" i="50" s="1"/>
  <c r="AE20" i="50"/>
  <c r="AD20" i="50"/>
  <c r="Y20" i="50"/>
  <c r="V20" i="50"/>
  <c r="T20" i="50"/>
  <c r="AM19" i="50"/>
  <c r="AK19" i="50"/>
  <c r="AH19" i="50"/>
  <c r="AI19" i="50" s="1"/>
  <c r="AF19" i="50"/>
  <c r="AG19" i="50" s="1"/>
  <c r="AJ19" i="50" s="1"/>
  <c r="AE19" i="50"/>
  <c r="AD19" i="50"/>
  <c r="Y19" i="50"/>
  <c r="V19" i="50"/>
  <c r="T19" i="50"/>
  <c r="AM18" i="50"/>
  <c r="AK18" i="50"/>
  <c r="AI18" i="50"/>
  <c r="AH18" i="50"/>
  <c r="AF18" i="50"/>
  <c r="AG18" i="50" s="1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H16" i="50"/>
  <c r="AI16" i="50" s="1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H14" i="50"/>
  <c r="AI14" i="50" s="1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L13" i="50" s="1"/>
  <c r="AE13" i="50"/>
  <c r="AD13" i="50"/>
  <c r="Y13" i="50"/>
  <c r="V13" i="50"/>
  <c r="T13" i="50"/>
  <c r="AM12" i="50"/>
  <c r="AK12" i="50"/>
  <c r="AH12" i="50"/>
  <c r="AI12" i="50" s="1"/>
  <c r="AF12" i="50"/>
  <c r="AG12" i="50" s="1"/>
  <c r="AL12" i="50" s="1"/>
  <c r="AE12" i="50"/>
  <c r="AD12" i="50"/>
  <c r="Y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V11" i="50"/>
  <c r="T11" i="50"/>
  <c r="AM10" i="50"/>
  <c r="AK10" i="50"/>
  <c r="AH10" i="50"/>
  <c r="AI10" i="50" s="1"/>
  <c r="AF10" i="50"/>
  <c r="AG10" i="50" s="1"/>
  <c r="AE10" i="50"/>
  <c r="AD10" i="50"/>
  <c r="Y10" i="50"/>
  <c r="V10" i="50"/>
  <c r="T10" i="50"/>
  <c r="A10" i="50"/>
  <c r="U15" i="50" s="1"/>
  <c r="AM9" i="50"/>
  <c r="AK9" i="50"/>
  <c r="AH9" i="50"/>
  <c r="AI9" i="50" s="1"/>
  <c r="AF9" i="50"/>
  <c r="AG9" i="50" s="1"/>
  <c r="AE9" i="50"/>
  <c r="AD9" i="50"/>
  <c r="Y9" i="50"/>
  <c r="V9" i="50"/>
  <c r="T9" i="50"/>
  <c r="AM8" i="50"/>
  <c r="AK8" i="50"/>
  <c r="AH8" i="50"/>
  <c r="AI8" i="50" s="1"/>
  <c r="AF8" i="50"/>
  <c r="AG8" i="50" s="1"/>
  <c r="Y8" i="50"/>
  <c r="V8" i="50"/>
  <c r="T8" i="50"/>
  <c r="AD8" i="50" s="1"/>
  <c r="A8" i="50"/>
  <c r="AM7" i="50"/>
  <c r="AK7" i="50"/>
  <c r="AF7" i="50"/>
  <c r="AG7" i="50" s="1"/>
  <c r="AD7" i="50"/>
  <c r="Y7" i="50"/>
  <c r="W7" i="50"/>
  <c r="V7" i="50"/>
  <c r="T7" i="50"/>
  <c r="AH7" i="50" s="1"/>
  <c r="AI7" i="50" s="1"/>
  <c r="AK6" i="50"/>
  <c r="AF6" i="50"/>
  <c r="AG6" i="50" s="1"/>
  <c r="Y6" i="50"/>
  <c r="W6" i="50"/>
  <c r="V6" i="50"/>
  <c r="T6" i="50"/>
  <c r="AH6" i="50" s="1"/>
  <c r="AI6" i="50" s="1"/>
  <c r="A6" i="50"/>
  <c r="AK5" i="50"/>
  <c r="AF5" i="50"/>
  <c r="AG5" i="50" s="1"/>
  <c r="Y5" i="50"/>
  <c r="V5" i="50"/>
  <c r="T5" i="50"/>
  <c r="AH5" i="50" s="1"/>
  <c r="AI5" i="50" s="1"/>
  <c r="F1" i="50"/>
  <c r="AM24" i="49"/>
  <c r="AK24" i="49"/>
  <c r="AH24" i="49"/>
  <c r="AI24" i="49" s="1"/>
  <c r="AF24" i="49"/>
  <c r="AG24" i="49" s="1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F20" i="49"/>
  <c r="AG20" i="49" s="1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F16" i="49"/>
  <c r="AE16" i="49"/>
  <c r="AD16" i="49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F12" i="49"/>
  <c r="AG12" i="49" s="1"/>
  <c r="AL12" i="49" s="1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H9" i="49"/>
  <c r="AI9" i="49" s="1"/>
  <c r="AG9" i="49"/>
  <c r="AF9" i="49"/>
  <c r="AE9" i="49"/>
  <c r="AD9" i="49"/>
  <c r="AN9" i="49" s="1"/>
  <c r="Y9" i="49"/>
  <c r="V9" i="49"/>
  <c r="T9" i="49"/>
  <c r="AM8" i="49"/>
  <c r="AK8" i="49"/>
  <c r="AF8" i="49"/>
  <c r="AG8" i="49" s="1"/>
  <c r="Y8" i="49"/>
  <c r="V8" i="49"/>
  <c r="T8" i="49"/>
  <c r="AD8" i="49" s="1"/>
  <c r="AM7" i="49"/>
  <c r="AK7" i="49"/>
  <c r="AF7" i="49"/>
  <c r="AG7" i="49" s="1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8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K66" i="75"/>
  <c r="AI66" i="75"/>
  <c r="AH66" i="75"/>
  <c r="AF66" i="75"/>
  <c r="AG66" i="75" s="1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K63" i="75"/>
  <c r="AI63" i="75"/>
  <c r="AH63" i="75"/>
  <c r="AF63" i="75"/>
  <c r="AG63" i="75" s="1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K54" i="75"/>
  <c r="AI54" i="75"/>
  <c r="AL54" i="75" s="1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H33" i="75"/>
  <c r="AI33" i="75" s="1"/>
  <c r="AJ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F30" i="75"/>
  <c r="AG30" i="75" s="1"/>
  <c r="AJ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H27" i="75"/>
  <c r="AI27" i="75" s="1"/>
  <c r="AF27" i="75"/>
  <c r="AG27" i="75" s="1"/>
  <c r="AJ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Y22" i="75"/>
  <c r="W22" i="75"/>
  <c r="V22" i="75"/>
  <c r="U22" i="75"/>
  <c r="T22" i="75"/>
  <c r="AM21" i="75"/>
  <c r="S16" i="67" s="1"/>
  <c r="AK21" i="75"/>
  <c r="AH21" i="75"/>
  <c r="AI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L19" i="75"/>
  <c r="AK19" i="75"/>
  <c r="AH19" i="75"/>
  <c r="AI19" i="75" s="1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K16" i="75"/>
  <c r="AJ16" i="75"/>
  <c r="AH16" i="75"/>
  <c r="AI16" i="75" s="1"/>
  <c r="AL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K14" i="75"/>
  <c r="AI14" i="75"/>
  <c r="AH14" i="75"/>
  <c r="AF14" i="75"/>
  <c r="AG14" i="75" s="1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I11" i="75"/>
  <c r="AH11" i="75"/>
  <c r="AF11" i="75"/>
  <c r="AG11" i="75" s="1"/>
  <c r="AJ11" i="75" s="1"/>
  <c r="AE11" i="75"/>
  <c r="AD11" i="75"/>
  <c r="Y11" i="75"/>
  <c r="W11" i="75"/>
  <c r="V11" i="75"/>
  <c r="U11" i="75"/>
  <c r="T11" i="75"/>
  <c r="AM10" i="75"/>
  <c r="AK10" i="75"/>
  <c r="AH10" i="75"/>
  <c r="AI10" i="75" s="1"/>
  <c r="AF10" i="75"/>
  <c r="AG10" i="75" s="1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Y8" i="75"/>
  <c r="W8" i="75"/>
  <c r="V8" i="75"/>
  <c r="U8" i="75"/>
  <c r="T8" i="75"/>
  <c r="AM7" i="75"/>
  <c r="AK7" i="75"/>
  <c r="AH7" i="75"/>
  <c r="AI7" i="75" s="1"/>
  <c r="AJ7" i="75" s="1"/>
  <c r="AG7" i="75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F6" i="75"/>
  <c r="AG6" i="75" s="1"/>
  <c r="AD6" i="75"/>
  <c r="Y6" i="75"/>
  <c r="W6" i="75"/>
  <c r="V6" i="75"/>
  <c r="U6" i="75"/>
  <c r="T6" i="75"/>
  <c r="A6" i="75"/>
  <c r="AM5" i="75"/>
  <c r="AK5" i="75"/>
  <c r="AH5" i="75"/>
  <c r="AI5" i="75" s="1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H67" i="47"/>
  <c r="AI67" i="47" s="1"/>
  <c r="AJ67" i="47" s="1"/>
  <c r="AG67" i="47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H65" i="47"/>
  <c r="AI65" i="47" s="1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H63" i="47"/>
  <c r="AI63" i="47" s="1"/>
  <c r="AF63" i="47"/>
  <c r="AG63" i="47" s="1"/>
  <c r="AE63" i="47"/>
  <c r="AD63" i="47"/>
  <c r="Y63" i="47"/>
  <c r="V63" i="47"/>
  <c r="T63" i="47"/>
  <c r="AM62" i="47"/>
  <c r="AK62" i="47"/>
  <c r="AH62" i="47"/>
  <c r="AI62" i="47" s="1"/>
  <c r="AF62" i="47"/>
  <c r="AG62" i="47" s="1"/>
  <c r="AE62" i="47"/>
  <c r="AD62" i="47"/>
  <c r="Y62" i="47"/>
  <c r="V62" i="47"/>
  <c r="T62" i="47"/>
  <c r="AM61" i="47"/>
  <c r="AK61" i="47"/>
  <c r="AH61" i="47"/>
  <c r="AI61" i="47" s="1"/>
  <c r="AF61" i="47"/>
  <c r="AG61" i="47" s="1"/>
  <c r="AE61" i="47"/>
  <c r="AD61" i="47"/>
  <c r="Y61" i="47"/>
  <c r="V61" i="47"/>
  <c r="T61" i="47"/>
  <c r="AM60" i="47"/>
  <c r="AK60" i="47"/>
  <c r="AH60" i="47"/>
  <c r="AI60" i="47" s="1"/>
  <c r="AF60" i="47"/>
  <c r="AG60" i="47" s="1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D59" i="47"/>
  <c r="Y59" i="47"/>
  <c r="V59" i="47"/>
  <c r="T59" i="47"/>
  <c r="AM58" i="47"/>
  <c r="AK58" i="47"/>
  <c r="AH58" i="47"/>
  <c r="AI58" i="47" s="1"/>
  <c r="AF58" i="47"/>
  <c r="AG58" i="47" s="1"/>
  <c r="AL58" i="47" s="1"/>
  <c r="AE58" i="47"/>
  <c r="AD58" i="47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H56" i="47"/>
  <c r="AI56" i="47" s="1"/>
  <c r="AF56" i="47"/>
  <c r="AG56" i="47" s="1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I53" i="47"/>
  <c r="AH53" i="47"/>
  <c r="AF53" i="47"/>
  <c r="AG53" i="47" s="1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T50" i="47"/>
  <c r="AM49" i="47"/>
  <c r="AK49" i="47"/>
  <c r="AI49" i="47"/>
  <c r="AH49" i="47"/>
  <c r="AG49" i="47"/>
  <c r="AL49" i="47" s="1"/>
  <c r="AF49" i="47"/>
  <c r="AE49" i="47"/>
  <c r="AD49" i="47"/>
  <c r="Y49" i="47"/>
  <c r="V49" i="47"/>
  <c r="T49" i="47"/>
  <c r="AM48" i="47"/>
  <c r="AK48" i="47"/>
  <c r="AH48" i="47"/>
  <c r="AI48" i="47" s="1"/>
  <c r="AF48" i="47"/>
  <c r="AG48" i="47" s="1"/>
  <c r="AE48" i="47"/>
  <c r="AD48" i="47"/>
  <c r="Y48" i="47"/>
  <c r="V48" i="47"/>
  <c r="T48" i="47"/>
  <c r="AM47" i="47"/>
  <c r="AK47" i="47"/>
  <c r="AH47" i="47"/>
  <c r="AI47" i="47" s="1"/>
  <c r="AL47" i="47" s="1"/>
  <c r="AF47" i="47"/>
  <c r="AG47" i="47" s="1"/>
  <c r="AE47" i="47"/>
  <c r="AD47" i="47"/>
  <c r="AN47" i="47" s="1"/>
  <c r="Y47" i="47"/>
  <c r="V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F45" i="47"/>
  <c r="AG45" i="47" s="1"/>
  <c r="AL45" i="47" s="1"/>
  <c r="AE45" i="47"/>
  <c r="AD45" i="47"/>
  <c r="Y45" i="47"/>
  <c r="V45" i="47"/>
  <c r="T45" i="47"/>
  <c r="AM44" i="47"/>
  <c r="AK44" i="47"/>
  <c r="AH44" i="47"/>
  <c r="AI44" i="47" s="1"/>
  <c r="AF44" i="47"/>
  <c r="AG44" i="47" s="1"/>
  <c r="AE44" i="47"/>
  <c r="AD44" i="47"/>
  <c r="Y44" i="47"/>
  <c r="V44" i="47"/>
  <c r="T44" i="47"/>
  <c r="AM43" i="47"/>
  <c r="AK43" i="47"/>
  <c r="AH43" i="47"/>
  <c r="AI43" i="47" s="1"/>
  <c r="AF43" i="47"/>
  <c r="AG43" i="47" s="1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H40" i="47"/>
  <c r="AI40" i="47" s="1"/>
  <c r="AF40" i="47"/>
  <c r="AG40" i="47" s="1"/>
  <c r="AE40" i="47"/>
  <c r="AD40" i="47"/>
  <c r="Y40" i="47"/>
  <c r="V40" i="47"/>
  <c r="T40" i="47"/>
  <c r="AM39" i="47"/>
  <c r="AK39" i="47"/>
  <c r="AH39" i="47"/>
  <c r="AI39" i="47" s="1"/>
  <c r="AF39" i="47"/>
  <c r="AG39" i="47" s="1"/>
  <c r="AE39" i="47"/>
  <c r="AD39" i="47"/>
  <c r="Y39" i="47"/>
  <c r="V39" i="47"/>
  <c r="T39" i="47"/>
  <c r="AM38" i="47"/>
  <c r="AK38" i="47"/>
  <c r="AI38" i="47"/>
  <c r="AH38" i="47"/>
  <c r="AG38" i="47"/>
  <c r="AJ38" i="47" s="1"/>
  <c r="AF38" i="47"/>
  <c r="AE38" i="47"/>
  <c r="AD38" i="47"/>
  <c r="Y38" i="47"/>
  <c r="V38" i="47"/>
  <c r="T38" i="47"/>
  <c r="AM37" i="47"/>
  <c r="AK37" i="47"/>
  <c r="AH37" i="47"/>
  <c r="AI37" i="47" s="1"/>
  <c r="AF37" i="47"/>
  <c r="AG37" i="47" s="1"/>
  <c r="AE37" i="47"/>
  <c r="AD37" i="47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I35" i="47"/>
  <c r="AH35" i="47"/>
  <c r="AG35" i="47"/>
  <c r="AL35" i="47" s="1"/>
  <c r="AF35" i="47"/>
  <c r="AE35" i="47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F31" i="47"/>
  <c r="AG31" i="47" s="1"/>
  <c r="AE31" i="47"/>
  <c r="AD31" i="47"/>
  <c r="Y31" i="47"/>
  <c r="V31" i="47"/>
  <c r="T31" i="47"/>
  <c r="AM30" i="47"/>
  <c r="AK30" i="47"/>
  <c r="AH30" i="47"/>
  <c r="AI30" i="47" s="1"/>
  <c r="AF30" i="47"/>
  <c r="AG30" i="47" s="1"/>
  <c r="AE30" i="47"/>
  <c r="AD30" i="47"/>
  <c r="Y30" i="47"/>
  <c r="V30" i="47"/>
  <c r="T30" i="47"/>
  <c r="AM29" i="47"/>
  <c r="AK29" i="47"/>
  <c r="AH29" i="47"/>
  <c r="AI29" i="47" s="1"/>
  <c r="AG29" i="47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V24" i="47"/>
  <c r="T24" i="47"/>
  <c r="AM23" i="47"/>
  <c r="AK23" i="47"/>
  <c r="AH23" i="47"/>
  <c r="AI23" i="47" s="1"/>
  <c r="AF23" i="47"/>
  <c r="AG23" i="47" s="1"/>
  <c r="AE23" i="47"/>
  <c r="AD23" i="47"/>
  <c r="Y23" i="47"/>
  <c r="V23" i="47"/>
  <c r="T23" i="47"/>
  <c r="AM22" i="47"/>
  <c r="AK22" i="47"/>
  <c r="AH22" i="47"/>
  <c r="AI22" i="47" s="1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H20" i="47"/>
  <c r="AI20" i="47" s="1"/>
  <c r="AG20" i="47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H17" i="47"/>
  <c r="AI17" i="47" s="1"/>
  <c r="AG17" i="47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H15" i="47"/>
  <c r="AI15" i="47" s="1"/>
  <c r="AJ15" i="47" s="1"/>
  <c r="AF15" i="47"/>
  <c r="AG15" i="47" s="1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F13" i="47"/>
  <c r="AG13" i="47" s="1"/>
  <c r="AL13" i="47" s="1"/>
  <c r="AE13" i="47"/>
  <c r="AD13" i="47"/>
  <c r="Y13" i="47"/>
  <c r="V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H11" i="47"/>
  <c r="AI11" i="47" s="1"/>
  <c r="AG11" i="47"/>
  <c r="AF11" i="47"/>
  <c r="AE11" i="47"/>
  <c r="AD11" i="47"/>
  <c r="AN11" i="47" s="1"/>
  <c r="Y11" i="47"/>
  <c r="V11" i="47"/>
  <c r="T11" i="47"/>
  <c r="AM10" i="47"/>
  <c r="AK10" i="47"/>
  <c r="AI10" i="47"/>
  <c r="AH10" i="47"/>
  <c r="AF10" i="47"/>
  <c r="AG10" i="47" s="1"/>
  <c r="AL10" i="47" s="1"/>
  <c r="AE10" i="47"/>
  <c r="AD10" i="47"/>
  <c r="Y10" i="47"/>
  <c r="V10" i="47"/>
  <c r="T10" i="47"/>
  <c r="A10" i="47"/>
  <c r="W15" i="47" s="1"/>
  <c r="AM9" i="47"/>
  <c r="AK9" i="47"/>
  <c r="AH9" i="47"/>
  <c r="AI9" i="47" s="1"/>
  <c r="AF9" i="47"/>
  <c r="AG9" i="47" s="1"/>
  <c r="AL9" i="47" s="1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F7" i="47"/>
  <c r="AG7" i="47" s="1"/>
  <c r="Y7" i="47"/>
  <c r="V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F82" i="46"/>
  <c r="AG82" i="46" s="1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F76" i="46"/>
  <c r="AG76" i="46" s="1"/>
  <c r="AL76" i="46" s="1"/>
  <c r="AE76" i="46"/>
  <c r="AD76" i="46"/>
  <c r="Y76" i="46"/>
  <c r="V76" i="46"/>
  <c r="T76" i="46"/>
  <c r="AM75" i="46"/>
  <c r="AK75" i="46"/>
  <c r="AH75" i="46"/>
  <c r="AI75" i="46" s="1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Y72" i="46"/>
  <c r="V72" i="46"/>
  <c r="T72" i="46"/>
  <c r="AM71" i="46"/>
  <c r="AK71" i="46"/>
  <c r="AF71" i="46"/>
  <c r="AG71" i="46" s="1"/>
  <c r="Y71" i="46"/>
  <c r="V71" i="46"/>
  <c r="T71" i="46"/>
  <c r="AE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F65" i="46"/>
  <c r="AG65" i="46" s="1"/>
  <c r="Y65" i="46"/>
  <c r="V65" i="46"/>
  <c r="T65" i="46"/>
  <c r="AH65" i="46" s="1"/>
  <c r="AI65" i="46" s="1"/>
  <c r="AM64" i="46"/>
  <c r="AK64" i="46"/>
  <c r="AF64" i="46"/>
  <c r="AG64" i="46" s="1"/>
  <c r="Y64" i="46"/>
  <c r="V64" i="46"/>
  <c r="T64" i="46"/>
  <c r="AH64" i="46" s="1"/>
  <c r="AI64" i="46" s="1"/>
  <c r="AK63" i="46"/>
  <c r="AF63" i="46"/>
  <c r="AG63" i="46" s="1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D60" i="46" s="1"/>
  <c r="AM59" i="46"/>
  <c r="AK59" i="46"/>
  <c r="AF59" i="46"/>
  <c r="AG59" i="46" s="1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AE55" i="46"/>
  <c r="Y55" i="46"/>
  <c r="V55" i="46"/>
  <c r="T55" i="46"/>
  <c r="AH55" i="46" s="1"/>
  <c r="AI55" i="46" s="1"/>
  <c r="AK54" i="46"/>
  <c r="AF54" i="46"/>
  <c r="AG54" i="46" s="1"/>
  <c r="AE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F50" i="46"/>
  <c r="AG50" i="46" s="1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Y47" i="46"/>
  <c r="V47" i="46"/>
  <c r="T47" i="46"/>
  <c r="AD47" i="46" s="1"/>
  <c r="AK46" i="46"/>
  <c r="AF46" i="46"/>
  <c r="AG46" i="46" s="1"/>
  <c r="AE46" i="46"/>
  <c r="AD46" i="46"/>
  <c r="Y46" i="46"/>
  <c r="V46" i="46"/>
  <c r="T46" i="46"/>
  <c r="AM46" i="46" s="1"/>
  <c r="AM45" i="46"/>
  <c r="AK45" i="46"/>
  <c r="AF45" i="46"/>
  <c r="AG45" i="46" s="1"/>
  <c r="Y45" i="46"/>
  <c r="V45" i="46"/>
  <c r="T45" i="46"/>
  <c r="AH45" i="46" s="1"/>
  <c r="AI45" i="46" s="1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F39" i="46"/>
  <c r="AG39" i="46" s="1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F32" i="46"/>
  <c r="AG32" i="46" s="1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F25" i="46"/>
  <c r="AG25" i="46" s="1"/>
  <c r="Y25" i="46"/>
  <c r="V25" i="46"/>
  <c r="T25" i="46"/>
  <c r="AH25" i="46" s="1"/>
  <c r="AI25" i="46" s="1"/>
  <c r="AK24" i="46"/>
  <c r="AF24" i="46"/>
  <c r="AG24" i="46" s="1"/>
  <c r="Y24" i="46"/>
  <c r="V24" i="46"/>
  <c r="T24" i="46"/>
  <c r="AD24" i="46" s="1"/>
  <c r="AK23" i="46"/>
  <c r="AF23" i="46"/>
  <c r="AG23" i="46" s="1"/>
  <c r="Y23" i="46"/>
  <c r="V23" i="46"/>
  <c r="T23" i="46"/>
  <c r="AH23" i="46" s="1"/>
  <c r="AI23" i="46" s="1"/>
  <c r="AM22" i="46"/>
  <c r="AK22" i="46"/>
  <c r="AF22" i="46"/>
  <c r="AG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F18" i="46"/>
  <c r="AG18" i="46" s="1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F15" i="46"/>
  <c r="AG15" i="46" s="1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F8" i="46"/>
  <c r="AG8" i="46" s="1"/>
  <c r="Y8" i="46"/>
  <c r="V8" i="46"/>
  <c r="T8" i="46"/>
  <c r="AD8" i="46" s="1"/>
  <c r="AK7" i="46"/>
  <c r="AF7" i="46"/>
  <c r="AG7" i="46" s="1"/>
  <c r="Y7" i="46"/>
  <c r="V7" i="46"/>
  <c r="T7" i="46"/>
  <c r="AH7" i="46" s="1"/>
  <c r="AI7" i="46" s="1"/>
  <c r="AM6" i="46"/>
  <c r="AK6" i="46"/>
  <c r="AF6" i="46"/>
  <c r="AG6" i="46" s="1"/>
  <c r="Y6" i="46"/>
  <c r="V6" i="46"/>
  <c r="T6" i="46"/>
  <c r="AH6" i="46" s="1"/>
  <c r="AI6" i="46" s="1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Y14" i="45"/>
  <c r="V14" i="45"/>
  <c r="T14" i="45"/>
  <c r="AE14" i="45" s="1"/>
  <c r="AM13" i="45"/>
  <c r="AK13" i="45"/>
  <c r="AH13" i="45"/>
  <c r="AI13" i="45" s="1"/>
  <c r="AF13" i="45"/>
  <c r="AG13" i="45" s="1"/>
  <c r="AE13" i="45"/>
  <c r="AD13" i="45"/>
  <c r="Y13" i="45"/>
  <c r="V13" i="45"/>
  <c r="T13" i="45"/>
  <c r="AM12" i="45"/>
  <c r="AK12" i="45"/>
  <c r="AF12" i="45"/>
  <c r="AG12" i="45" s="1"/>
  <c r="AE12" i="45"/>
  <c r="Y12" i="45"/>
  <c r="V12" i="45"/>
  <c r="T12" i="45"/>
  <c r="AD12" i="45" s="1"/>
  <c r="A12" i="45"/>
  <c r="J13" i="67" s="1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F21" i="44"/>
  <c r="AG21" i="44" s="1"/>
  <c r="AL21" i="44" s="1"/>
  <c r="AE21" i="44"/>
  <c r="AD21" i="44"/>
  <c r="Y21" i="44"/>
  <c r="V21" i="44"/>
  <c r="T21" i="44"/>
  <c r="AM20" i="44"/>
  <c r="AK20" i="44"/>
  <c r="AH20" i="44"/>
  <c r="AI20" i="44" s="1"/>
  <c r="AF20" i="44"/>
  <c r="AG20" i="44" s="1"/>
  <c r="AE20" i="44"/>
  <c r="AD20" i="44"/>
  <c r="Y20" i="44"/>
  <c r="V20" i="44"/>
  <c r="T20" i="44"/>
  <c r="AM19" i="44"/>
  <c r="AK19" i="44"/>
  <c r="AH19" i="44"/>
  <c r="AI19" i="44" s="1"/>
  <c r="AF19" i="44"/>
  <c r="AG19" i="44" s="1"/>
  <c r="Y19" i="44"/>
  <c r="V19" i="44"/>
  <c r="T19" i="44"/>
  <c r="AE19" i="44" s="1"/>
  <c r="AK18" i="44"/>
  <c r="AH18" i="44"/>
  <c r="AI18" i="44" s="1"/>
  <c r="AF18" i="44"/>
  <c r="AG18" i="44" s="1"/>
  <c r="AD18" i="44"/>
  <c r="Y18" i="44"/>
  <c r="V18" i="44"/>
  <c r="T18" i="44"/>
  <c r="AE18" i="44" s="1"/>
  <c r="AK17" i="44"/>
  <c r="AF17" i="44"/>
  <c r="AG17" i="44" s="1"/>
  <c r="AE17" i="44"/>
  <c r="AD17" i="44"/>
  <c r="Y17" i="44"/>
  <c r="V17" i="44"/>
  <c r="T17" i="44"/>
  <c r="AM17" i="44" s="1"/>
  <c r="AM16" i="44"/>
  <c r="AK16" i="44"/>
  <c r="AF16" i="44"/>
  <c r="AG16" i="44" s="1"/>
  <c r="Y16" i="44"/>
  <c r="V16" i="44"/>
  <c r="T16" i="44"/>
  <c r="AH16" i="44" s="1"/>
  <c r="AI16" i="44" s="1"/>
  <c r="AM15" i="44"/>
  <c r="AK15" i="44"/>
  <c r="AH15" i="44"/>
  <c r="AI15" i="44" s="1"/>
  <c r="AF15" i="44"/>
  <c r="AG15" i="44" s="1"/>
  <c r="Y15" i="44"/>
  <c r="V15" i="44"/>
  <c r="T15" i="44"/>
  <c r="AE15" i="44" s="1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F10" i="44"/>
  <c r="AG10" i="44" s="1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T7" i="44"/>
  <c r="AH7" i="44" s="1"/>
  <c r="AI7" i="44" s="1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J24" i="43" s="1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F10" i="43"/>
  <c r="AG10" i="43" s="1"/>
  <c r="AE10" i="43"/>
  <c r="AD10" i="43"/>
  <c r="Y10" i="43"/>
  <c r="V10" i="43"/>
  <c r="T10" i="43"/>
  <c r="AH10" i="43" s="1"/>
  <c r="AI10" i="43" s="1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F24" i="42"/>
  <c r="AG24" i="42" s="1"/>
  <c r="AL24" i="42" s="1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F21" i="42"/>
  <c r="AG21" i="42" s="1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F18" i="42"/>
  <c r="AG18" i="42" s="1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H10" i="42"/>
  <c r="AI10" i="42" s="1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Y5" i="42"/>
  <c r="W5" i="42"/>
  <c r="V5" i="42"/>
  <c r="U5" i="42"/>
  <c r="T5" i="42"/>
  <c r="F1" i="42"/>
  <c r="AM24" i="41"/>
  <c r="AK24" i="41"/>
  <c r="AH24" i="41"/>
  <c r="AI24" i="41" s="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H21" i="41"/>
  <c r="AI21" i="41" s="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H15" i="41"/>
  <c r="AI15" i="41" s="1"/>
  <c r="AF15" i="41"/>
  <c r="AG15" i="41" s="1"/>
  <c r="AE15" i="41"/>
  <c r="AD15" i="41"/>
  <c r="Y15" i="41"/>
  <c r="W15" i="41"/>
  <c r="V15" i="41"/>
  <c r="U15" i="41"/>
  <c r="T15" i="41"/>
  <c r="AM14" i="41"/>
  <c r="AK14" i="41"/>
  <c r="AH14" i="41"/>
  <c r="AI14" i="41" s="1"/>
  <c r="AF14" i="41"/>
  <c r="AG14" i="41" s="1"/>
  <c r="AL14" i="41" s="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H11" i="41"/>
  <c r="AI11" i="41" s="1"/>
  <c r="AF11" i="41"/>
  <c r="AG11" i="41" s="1"/>
  <c r="AL11" i="41" s="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F9" i="41"/>
  <c r="AG9" i="41" s="1"/>
  <c r="AJ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H5" i="41"/>
  <c r="AI5" i="41" s="1"/>
  <c r="AF5" i="41"/>
  <c r="AG5" i="41" s="1"/>
  <c r="AD5" i="41"/>
  <c r="Y5" i="41"/>
  <c r="W5" i="41"/>
  <c r="V5" i="41"/>
  <c r="U5" i="41"/>
  <c r="T5" i="41"/>
  <c r="F1" i="41"/>
  <c r="AM24" i="40"/>
  <c r="AK24" i="40"/>
  <c r="AH24" i="40"/>
  <c r="AI24" i="40" s="1"/>
  <c r="AF24" i="40"/>
  <c r="AG24" i="40" s="1"/>
  <c r="AE24" i="40"/>
  <c r="AD24" i="40"/>
  <c r="Y24" i="40"/>
  <c r="V24" i="40"/>
  <c r="T24" i="40"/>
  <c r="AM23" i="40"/>
  <c r="AK23" i="40"/>
  <c r="AH23" i="40"/>
  <c r="AI23" i="40" s="1"/>
  <c r="AF23" i="40"/>
  <c r="AG23" i="40" s="1"/>
  <c r="AE23" i="40"/>
  <c r="AD23" i="40"/>
  <c r="Y23" i="40"/>
  <c r="V23" i="40"/>
  <c r="T23" i="40"/>
  <c r="AM22" i="40"/>
  <c r="AK22" i="40"/>
  <c r="AH22" i="40"/>
  <c r="AI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H20" i="40"/>
  <c r="AI20" i="40" s="1"/>
  <c r="AF20" i="40"/>
  <c r="AG20" i="40" s="1"/>
  <c r="AL20" i="40" s="1"/>
  <c r="AE20" i="40"/>
  <c r="AD20" i="40"/>
  <c r="Y20" i="40"/>
  <c r="V20" i="40"/>
  <c r="T20" i="40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D6" i="40" s="1"/>
  <c r="A6" i="40"/>
  <c r="AK5" i="40"/>
  <c r="AF5" i="40"/>
  <c r="AG5" i="40" s="1"/>
  <c r="Y5" i="40"/>
  <c r="V5" i="40"/>
  <c r="T5" i="40"/>
  <c r="AH5" i="40" s="1"/>
  <c r="AI5" i="40" s="1"/>
  <c r="F1" i="40"/>
  <c r="AM50" i="39"/>
  <c r="AK50" i="39"/>
  <c r="AH50" i="39"/>
  <c r="AI50" i="39" s="1"/>
  <c r="AF50" i="39"/>
  <c r="AG50" i="39" s="1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I47" i="39"/>
  <c r="AH47" i="39"/>
  <c r="AG47" i="39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F45" i="39"/>
  <c r="AG45" i="39" s="1"/>
  <c r="AL45" i="39" s="1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H43" i="39"/>
  <c r="AI43" i="39" s="1"/>
  <c r="AF43" i="39"/>
  <c r="AG43" i="39" s="1"/>
  <c r="AL43" i="39" s="1"/>
  <c r="AE43" i="39"/>
  <c r="AD43" i="39"/>
  <c r="Y43" i="39"/>
  <c r="V43" i="39"/>
  <c r="T43" i="39"/>
  <c r="AM42" i="39"/>
  <c r="AK42" i="39"/>
  <c r="AI42" i="39"/>
  <c r="AH42" i="39"/>
  <c r="AG42" i="39"/>
  <c r="AF42" i="39"/>
  <c r="AE42" i="39"/>
  <c r="AD42" i="39"/>
  <c r="Y42" i="39"/>
  <c r="V42" i="39"/>
  <c r="T42" i="39"/>
  <c r="AM41" i="39"/>
  <c r="AK41" i="39"/>
  <c r="AH41" i="39"/>
  <c r="AI41" i="39" s="1"/>
  <c r="AF41" i="39"/>
  <c r="AG41" i="39" s="1"/>
  <c r="AJ41" i="39" s="1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F39" i="39"/>
  <c r="AG39" i="39" s="1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H37" i="39"/>
  <c r="AI37" i="39" s="1"/>
  <c r="AF37" i="39"/>
  <c r="AG37" i="39" s="1"/>
  <c r="AE37" i="39"/>
  <c r="AD37" i="39"/>
  <c r="Y37" i="39"/>
  <c r="V37" i="39"/>
  <c r="T37" i="39"/>
  <c r="AM36" i="39"/>
  <c r="AK36" i="39"/>
  <c r="AI36" i="39"/>
  <c r="AH36" i="39"/>
  <c r="AG36" i="39"/>
  <c r="AF36" i="39"/>
  <c r="AE36" i="39"/>
  <c r="AD36" i="39"/>
  <c r="Y36" i="39"/>
  <c r="V36" i="39"/>
  <c r="T36" i="39"/>
  <c r="AM35" i="39"/>
  <c r="AK35" i="39"/>
  <c r="AH35" i="39"/>
  <c r="AI35" i="39" s="1"/>
  <c r="AF35" i="39"/>
  <c r="AG35" i="39" s="1"/>
  <c r="AJ35" i="39" s="1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F33" i="39"/>
  <c r="AG33" i="39" s="1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H31" i="39"/>
  <c r="AI31" i="39" s="1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H26" i="39"/>
  <c r="AI26" i="39" s="1"/>
  <c r="AF26" i="39"/>
  <c r="AG26" i="39" s="1"/>
  <c r="AL26" i="39" s="1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F24" i="39"/>
  <c r="AG24" i="39" s="1"/>
  <c r="AE24" i="39"/>
  <c r="AD24" i="39"/>
  <c r="Y24" i="39"/>
  <c r="V24" i="39"/>
  <c r="T24" i="39"/>
  <c r="AM23" i="39"/>
  <c r="AK23" i="39"/>
  <c r="AI23" i="39"/>
  <c r="AH23" i="39"/>
  <c r="AG23" i="39"/>
  <c r="AF23" i="39"/>
  <c r="AE23" i="39"/>
  <c r="AD23" i="39"/>
  <c r="Y23" i="39"/>
  <c r="V23" i="39"/>
  <c r="T23" i="39"/>
  <c r="AM22" i="39"/>
  <c r="AK22" i="39"/>
  <c r="AH22" i="39"/>
  <c r="AI22" i="39" s="1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H20" i="39"/>
  <c r="AI20" i="39" s="1"/>
  <c r="AF20" i="39"/>
  <c r="AG20" i="39" s="1"/>
  <c r="AL20" i="39" s="1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F18" i="39"/>
  <c r="AG18" i="39" s="1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F15" i="39"/>
  <c r="AG15" i="39" s="1"/>
  <c r="Y15" i="39"/>
  <c r="V15" i="39"/>
  <c r="T15" i="39"/>
  <c r="AE15" i="39" s="1"/>
  <c r="AM14" i="39"/>
  <c r="AK14" i="39"/>
  <c r="AH14" i="39"/>
  <c r="AI14" i="39" s="1"/>
  <c r="AF14" i="39"/>
  <c r="AG14" i="39" s="1"/>
  <c r="Y14" i="39"/>
  <c r="V14" i="39"/>
  <c r="T14" i="39"/>
  <c r="AD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K7" i="39"/>
  <c r="AF7" i="39"/>
  <c r="AG7" i="39" s="1"/>
  <c r="Y7" i="39"/>
  <c r="V7" i="39"/>
  <c r="T7" i="39"/>
  <c r="AH7" i="39" s="1"/>
  <c r="AI7" i="39" s="1"/>
  <c r="AK6" i="39"/>
  <c r="AF6" i="39"/>
  <c r="AG6" i="39" s="1"/>
  <c r="Y6" i="39"/>
  <c r="V6" i="39"/>
  <c r="T6" i="39"/>
  <c r="AH6" i="39" s="1"/>
  <c r="AI6" i="39" s="1"/>
  <c r="A6" i="39"/>
  <c r="AK5" i="39"/>
  <c r="AF5" i="39"/>
  <c r="AG5" i="39" s="1"/>
  <c r="Y5" i="39"/>
  <c r="V5" i="39"/>
  <c r="T5" i="39"/>
  <c r="AM5" i="39" s="1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K24" i="66"/>
  <c r="AF24" i="66"/>
  <c r="AG24" i="66" s="1"/>
  <c r="Y24" i="66"/>
  <c r="V24" i="66"/>
  <c r="T24" i="66"/>
  <c r="AD24" i="66" s="1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F22" i="38"/>
  <c r="AG22" i="38" s="1"/>
  <c r="AE22" i="38"/>
  <c r="AD22" i="38"/>
  <c r="Y22" i="38"/>
  <c r="V22" i="38"/>
  <c r="T22" i="38"/>
  <c r="AM21" i="38"/>
  <c r="AK21" i="38"/>
  <c r="AH21" i="38"/>
  <c r="AI21" i="38" s="1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Y20" i="38"/>
  <c r="V20" i="38"/>
  <c r="T20" i="38"/>
  <c r="AM19" i="38"/>
  <c r="AK19" i="38"/>
  <c r="AH19" i="38"/>
  <c r="AI19" i="38" s="1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H14" i="38"/>
  <c r="AI14" i="38" s="1"/>
  <c r="AF14" i="38"/>
  <c r="AG14" i="38" s="1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Y13" i="38"/>
  <c r="V13" i="38"/>
  <c r="T13" i="38"/>
  <c r="AM12" i="38"/>
  <c r="AK12" i="38"/>
  <c r="AH12" i="38"/>
  <c r="AI12" i="38" s="1"/>
  <c r="AF12" i="38"/>
  <c r="AG12" i="38" s="1"/>
  <c r="AL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H9" i="38"/>
  <c r="AI9" i="38" s="1"/>
  <c r="AF9" i="38"/>
  <c r="AG9" i="38" s="1"/>
  <c r="AE9" i="38"/>
  <c r="AD9" i="38"/>
  <c r="Y9" i="38"/>
  <c r="V9" i="38"/>
  <c r="T9" i="38"/>
  <c r="AM8" i="38"/>
  <c r="AK8" i="38"/>
  <c r="AH8" i="38"/>
  <c r="AI8" i="38" s="1"/>
  <c r="AF8" i="38"/>
  <c r="AG8" i="38" s="1"/>
  <c r="AJ8" i="38" s="1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T6" i="38"/>
  <c r="AD6" i="38" s="1"/>
  <c r="A6" i="38"/>
  <c r="AK5" i="38"/>
  <c r="AF5" i="38"/>
  <c r="AG5" i="38" s="1"/>
  <c r="Y5" i="38"/>
  <c r="A14" i="38" s="1"/>
  <c r="K50" i="68" s="1"/>
  <c r="V5" i="38"/>
  <c r="T5" i="38"/>
  <c r="AM5" i="38" s="1"/>
  <c r="F1" i="38"/>
  <c r="AM24" i="37"/>
  <c r="AK24" i="37"/>
  <c r="AH24" i="37"/>
  <c r="AI24" i="37" s="1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F7" i="37"/>
  <c r="AG7" i="37" s="1"/>
  <c r="AD7" i="37"/>
  <c r="Y7" i="37"/>
  <c r="V7" i="37"/>
  <c r="T7" i="37"/>
  <c r="AM6" i="37"/>
  <c r="AK6" i="37"/>
  <c r="AH6" i="37"/>
  <c r="AI6" i="37" s="1"/>
  <c r="AF6" i="37"/>
  <c r="AG6" i="37" s="1"/>
  <c r="AD6" i="37"/>
  <c r="AN6" i="37" s="1"/>
  <c r="Y6" i="37"/>
  <c r="V6" i="37"/>
  <c r="T6" i="37"/>
  <c r="A6" i="37"/>
  <c r="AM5" i="37"/>
  <c r="AK5" i="37"/>
  <c r="AF5" i="37"/>
  <c r="AG5" i="37" s="1"/>
  <c r="Y5" i="37"/>
  <c r="A14" i="37" s="1"/>
  <c r="K49" i="68" s="1"/>
  <c r="V5" i="37"/>
  <c r="T5" i="37"/>
  <c r="AH5" i="37" s="1"/>
  <c r="AI5" i="37" s="1"/>
  <c r="F1" i="37"/>
  <c r="AM24" i="36"/>
  <c r="AK24" i="36"/>
  <c r="AH24" i="36"/>
  <c r="AI24" i="36" s="1"/>
  <c r="AF24" i="36"/>
  <c r="AG24" i="36" s="1"/>
  <c r="AE24" i="36"/>
  <c r="AD24" i="36"/>
  <c r="Y24" i="36"/>
  <c r="V24" i="36"/>
  <c r="T24" i="36"/>
  <c r="AM23" i="36"/>
  <c r="AK23" i="36"/>
  <c r="AH23" i="36"/>
  <c r="AI23" i="36" s="1"/>
  <c r="AF23" i="36"/>
  <c r="AG23" i="36" s="1"/>
  <c r="AE23" i="36"/>
  <c r="AD23" i="36"/>
  <c r="Y23" i="36"/>
  <c r="V23" i="36"/>
  <c r="T23" i="36"/>
  <c r="AM22" i="36"/>
  <c r="AK22" i="36"/>
  <c r="AH22" i="36"/>
  <c r="AI22" i="36" s="1"/>
  <c r="AF22" i="36"/>
  <c r="AG22" i="36" s="1"/>
  <c r="AJ22" i="36" s="1"/>
  <c r="AE22" i="36"/>
  <c r="AD22" i="36"/>
  <c r="AN22" i="36" s="1"/>
  <c r="Y22" i="36"/>
  <c r="V22" i="36"/>
  <c r="T22" i="36"/>
  <c r="AM21" i="36"/>
  <c r="AK21" i="36"/>
  <c r="AH21" i="36"/>
  <c r="AI21" i="36" s="1"/>
  <c r="AF21" i="36"/>
  <c r="AG21" i="36" s="1"/>
  <c r="AE21" i="36"/>
  <c r="AD21" i="36"/>
  <c r="Y21" i="36"/>
  <c r="V21" i="36"/>
  <c r="T21" i="36"/>
  <c r="AM20" i="36"/>
  <c r="AK20" i="36"/>
  <c r="AH20" i="36"/>
  <c r="AI20" i="36" s="1"/>
  <c r="AF20" i="36"/>
  <c r="AG20" i="36" s="1"/>
  <c r="AE20" i="36"/>
  <c r="AD20" i="36"/>
  <c r="Y20" i="36"/>
  <c r="V20" i="36"/>
  <c r="T20" i="36"/>
  <c r="AM19" i="36"/>
  <c r="AK19" i="36"/>
  <c r="AH19" i="36"/>
  <c r="AI19" i="36" s="1"/>
  <c r="AF19" i="36"/>
  <c r="AG19" i="36" s="1"/>
  <c r="AE19" i="36"/>
  <c r="AD19" i="36"/>
  <c r="Y19" i="36"/>
  <c r="V19" i="36"/>
  <c r="T19" i="36"/>
  <c r="AM18" i="36"/>
  <c r="AK18" i="36"/>
  <c r="AH18" i="36"/>
  <c r="AI18" i="36" s="1"/>
  <c r="AF18" i="36"/>
  <c r="AG18" i="36" s="1"/>
  <c r="AE18" i="36"/>
  <c r="AD18" i="36"/>
  <c r="Y18" i="36"/>
  <c r="V18" i="36"/>
  <c r="T18" i="36"/>
  <c r="AM17" i="36"/>
  <c r="AK17" i="36"/>
  <c r="AH17" i="36"/>
  <c r="AI17" i="36" s="1"/>
  <c r="AF17" i="36"/>
  <c r="AG17" i="36" s="1"/>
  <c r="AE17" i="36"/>
  <c r="AD17" i="36"/>
  <c r="Y17" i="36"/>
  <c r="V17" i="36"/>
  <c r="T17" i="36"/>
  <c r="AM16" i="36"/>
  <c r="AK16" i="36"/>
  <c r="AH16" i="36"/>
  <c r="AI16" i="36" s="1"/>
  <c r="AF16" i="36"/>
  <c r="AG16" i="36" s="1"/>
  <c r="AE16" i="36"/>
  <c r="AD16" i="36"/>
  <c r="AN16" i="36" s="1"/>
  <c r="Y16" i="36"/>
  <c r="V16" i="36"/>
  <c r="T16" i="36"/>
  <c r="AM15" i="36"/>
  <c r="AK15" i="36"/>
  <c r="AH15" i="36"/>
  <c r="AI15" i="36" s="1"/>
  <c r="AG15" i="36"/>
  <c r="AF15" i="36"/>
  <c r="AE15" i="36"/>
  <c r="AD15" i="36"/>
  <c r="Y15" i="36"/>
  <c r="V15" i="36"/>
  <c r="T15" i="36"/>
  <c r="AM14" i="36"/>
  <c r="AK14" i="36"/>
  <c r="AH14" i="36"/>
  <c r="AI14" i="36" s="1"/>
  <c r="AF14" i="36"/>
  <c r="AG14" i="36" s="1"/>
  <c r="AE14" i="36"/>
  <c r="AD14" i="36"/>
  <c r="Y14" i="36"/>
  <c r="V14" i="36"/>
  <c r="T14" i="36"/>
  <c r="AM13" i="36"/>
  <c r="AK13" i="36"/>
  <c r="AH13" i="36"/>
  <c r="AI13" i="36" s="1"/>
  <c r="AF13" i="36"/>
  <c r="AG13" i="36" s="1"/>
  <c r="AE13" i="36"/>
  <c r="AD13" i="36"/>
  <c r="Y13" i="36"/>
  <c r="V13" i="36"/>
  <c r="T13" i="36"/>
  <c r="AM12" i="36"/>
  <c r="AK12" i="36"/>
  <c r="AH12" i="36"/>
  <c r="AI12" i="36" s="1"/>
  <c r="AF12" i="36"/>
  <c r="AG12" i="36" s="1"/>
  <c r="AE12" i="36"/>
  <c r="AD12" i="36"/>
  <c r="Y12" i="36"/>
  <c r="V12" i="36"/>
  <c r="T12" i="36"/>
  <c r="A12" i="36"/>
  <c r="AM11" i="36"/>
  <c r="AK11" i="36"/>
  <c r="AH11" i="36"/>
  <c r="AI11" i="36" s="1"/>
  <c r="AF11" i="36"/>
  <c r="AG11" i="36" s="1"/>
  <c r="AE11" i="36"/>
  <c r="AD11" i="36"/>
  <c r="Y11" i="36"/>
  <c r="V11" i="36"/>
  <c r="T11" i="36"/>
  <c r="AM10" i="36"/>
  <c r="AK10" i="36"/>
  <c r="AH10" i="36"/>
  <c r="AI10" i="36" s="1"/>
  <c r="AF10" i="36"/>
  <c r="AG10" i="36" s="1"/>
  <c r="AE10" i="36"/>
  <c r="AD10" i="36"/>
  <c r="Y10" i="36"/>
  <c r="V10" i="36"/>
  <c r="T10" i="36"/>
  <c r="A10" i="36"/>
  <c r="W23" i="36" s="1"/>
  <c r="AM9" i="36"/>
  <c r="AK9" i="36"/>
  <c r="AH9" i="36"/>
  <c r="AI9" i="36" s="1"/>
  <c r="AF9" i="36"/>
  <c r="AG9" i="36" s="1"/>
  <c r="AE9" i="36"/>
  <c r="AD9" i="36"/>
  <c r="Y9" i="36"/>
  <c r="V9" i="36"/>
  <c r="T9" i="36"/>
  <c r="AM8" i="36"/>
  <c r="AK8" i="36"/>
  <c r="AI8" i="36"/>
  <c r="AH8" i="36"/>
  <c r="AF8" i="36"/>
  <c r="AG8" i="36" s="1"/>
  <c r="AD8" i="36"/>
  <c r="Y8" i="36"/>
  <c r="V8" i="36"/>
  <c r="T8" i="36"/>
  <c r="AM7" i="36"/>
  <c r="AK7" i="36"/>
  <c r="AH7" i="36"/>
  <c r="AI7" i="36" s="1"/>
  <c r="AF7" i="36"/>
  <c r="AG7" i="36" s="1"/>
  <c r="AD7" i="36"/>
  <c r="Y7" i="36"/>
  <c r="V7" i="36"/>
  <c r="T7" i="36"/>
  <c r="AM6" i="36"/>
  <c r="AK6" i="36"/>
  <c r="AH6" i="36"/>
  <c r="AI6" i="36" s="1"/>
  <c r="AF6" i="36"/>
  <c r="AG6" i="36" s="1"/>
  <c r="AD6" i="36"/>
  <c r="Y6" i="36"/>
  <c r="V6" i="36"/>
  <c r="T6" i="36"/>
  <c r="A6" i="36"/>
  <c r="AM5" i="36"/>
  <c r="AK5" i="36"/>
  <c r="AH5" i="36"/>
  <c r="AI5" i="36" s="1"/>
  <c r="AF5" i="36"/>
  <c r="AG5" i="36" s="1"/>
  <c r="Y5" i="36"/>
  <c r="A14" i="36" s="1"/>
  <c r="V5" i="36"/>
  <c r="T5" i="36"/>
  <c r="AD5" i="36" s="1"/>
  <c r="F1" i="36"/>
  <c r="AM24" i="35"/>
  <c r="AK24" i="35"/>
  <c r="AH24" i="35"/>
  <c r="AI24" i="35" s="1"/>
  <c r="AF24" i="35"/>
  <c r="AG24" i="35" s="1"/>
  <c r="AE24" i="35"/>
  <c r="AD24" i="35"/>
  <c r="Y24" i="35"/>
  <c r="V24" i="35"/>
  <c r="T24" i="35"/>
  <c r="AM23" i="35"/>
  <c r="AK23" i="35"/>
  <c r="AH23" i="35"/>
  <c r="AI23" i="35" s="1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D21" i="35"/>
  <c r="Y21" i="35"/>
  <c r="V21" i="35"/>
  <c r="T21" i="35"/>
  <c r="AM20" i="35"/>
  <c r="AK20" i="35"/>
  <c r="AH20" i="35"/>
  <c r="AI20" i="35" s="1"/>
  <c r="AF20" i="35"/>
  <c r="AG20" i="35" s="1"/>
  <c r="AE20" i="35"/>
  <c r="AD20" i="35"/>
  <c r="Y20" i="35"/>
  <c r="V20" i="35"/>
  <c r="T20" i="35"/>
  <c r="AM19" i="35"/>
  <c r="AK19" i="35"/>
  <c r="AH19" i="35"/>
  <c r="AI19" i="35" s="1"/>
  <c r="AF19" i="35"/>
  <c r="AG19" i="35" s="1"/>
  <c r="AJ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V18" i="35"/>
  <c r="T18" i="35"/>
  <c r="AM17" i="35"/>
  <c r="AK17" i="35"/>
  <c r="AH17" i="35"/>
  <c r="AI17" i="35" s="1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Y15" i="35"/>
  <c r="V15" i="35"/>
  <c r="T15" i="35"/>
  <c r="AM14" i="35"/>
  <c r="AK14" i="35"/>
  <c r="AH14" i="35"/>
  <c r="AI14" i="35" s="1"/>
  <c r="AF14" i="35"/>
  <c r="AG14" i="35" s="1"/>
  <c r="AJ14" i="35" s="1"/>
  <c r="AE14" i="35"/>
  <c r="AD14" i="35"/>
  <c r="Y14" i="35"/>
  <c r="V14" i="35"/>
  <c r="T14" i="35"/>
  <c r="AM13" i="35"/>
  <c r="AK13" i="35"/>
  <c r="AH13" i="35"/>
  <c r="AI13" i="35" s="1"/>
  <c r="AF13" i="35"/>
  <c r="AG13" i="35" s="1"/>
  <c r="AE13" i="35"/>
  <c r="AD13" i="35"/>
  <c r="Y13" i="35"/>
  <c r="V13" i="35"/>
  <c r="T13" i="35"/>
  <c r="AM12" i="35"/>
  <c r="AK12" i="35"/>
  <c r="AH12" i="35"/>
  <c r="AI12" i="35" s="1"/>
  <c r="AF12" i="35"/>
  <c r="AG12" i="35" s="1"/>
  <c r="AE12" i="35"/>
  <c r="AD12" i="35"/>
  <c r="Y12" i="35"/>
  <c r="V12" i="35"/>
  <c r="T12" i="35"/>
  <c r="A12" i="35"/>
  <c r="AM11" i="35"/>
  <c r="AK11" i="35"/>
  <c r="AH11" i="35"/>
  <c r="AI11" i="35" s="1"/>
  <c r="AF11" i="35"/>
  <c r="AG11" i="35" s="1"/>
  <c r="AE11" i="35"/>
  <c r="AD11" i="35"/>
  <c r="Y11" i="35"/>
  <c r="V11" i="35"/>
  <c r="T11" i="35"/>
  <c r="AM10" i="35"/>
  <c r="AK10" i="35"/>
  <c r="AH10" i="35"/>
  <c r="AI10" i="35" s="1"/>
  <c r="AF10" i="35"/>
  <c r="AG10" i="35" s="1"/>
  <c r="AE10" i="35"/>
  <c r="AD10" i="35"/>
  <c r="AN10" i="35" s="1"/>
  <c r="Y10" i="35"/>
  <c r="V10" i="35"/>
  <c r="T10" i="35"/>
  <c r="A10" i="35"/>
  <c r="W23" i="35" s="1"/>
  <c r="AM9" i="35"/>
  <c r="AK9" i="35"/>
  <c r="AF9" i="35"/>
  <c r="AG9" i="35" s="1"/>
  <c r="Y9" i="35"/>
  <c r="V9" i="35"/>
  <c r="T9" i="35"/>
  <c r="AD9" i="35" s="1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H6" i="35"/>
  <c r="AI6" i="35" s="1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7" i="68" s="1"/>
  <c r="V5" i="35"/>
  <c r="T5" i="35"/>
  <c r="AH5" i="35" s="1"/>
  <c r="AI5" i="35" s="1"/>
  <c r="F1" i="35"/>
  <c r="AM23" i="34"/>
  <c r="AK23" i="34"/>
  <c r="AH23" i="34"/>
  <c r="AI23" i="34" s="1"/>
  <c r="AF23" i="34"/>
  <c r="AG23" i="34" s="1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H21" i="34"/>
  <c r="AI21" i="34" s="1"/>
  <c r="AF21" i="34"/>
  <c r="AG21" i="34" s="1"/>
  <c r="AJ21" i="34" s="1"/>
  <c r="AE21" i="34"/>
  <c r="AD21" i="34"/>
  <c r="Y21" i="34"/>
  <c r="V21" i="34"/>
  <c r="T21" i="34"/>
  <c r="AM20" i="34"/>
  <c r="AK20" i="34"/>
  <c r="AH20" i="34"/>
  <c r="AI20" i="34" s="1"/>
  <c r="AF20" i="34"/>
  <c r="AG20" i="34" s="1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V19" i="34"/>
  <c r="T19" i="34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H17" i="34"/>
  <c r="AI17" i="34" s="1"/>
  <c r="AF17" i="34"/>
  <c r="AG17" i="34" s="1"/>
  <c r="AE17" i="34"/>
  <c r="AD17" i="34"/>
  <c r="Y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H15" i="34"/>
  <c r="AI15" i="34" s="1"/>
  <c r="AF15" i="34"/>
  <c r="AG15" i="34" s="1"/>
  <c r="AE15" i="34"/>
  <c r="AD15" i="34"/>
  <c r="Y15" i="34"/>
  <c r="V15" i="34"/>
  <c r="T15" i="34"/>
  <c r="AM14" i="34"/>
  <c r="AK14" i="34"/>
  <c r="AI14" i="34"/>
  <c r="AH14" i="34"/>
  <c r="AF14" i="34"/>
  <c r="AG14" i="34" s="1"/>
  <c r="AE14" i="34"/>
  <c r="AD14" i="34"/>
  <c r="Y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V13" i="34"/>
  <c r="T13" i="34"/>
  <c r="AM12" i="34"/>
  <c r="AK12" i="34"/>
  <c r="AH12" i="34"/>
  <c r="AI12" i="34" s="1"/>
  <c r="AF12" i="34"/>
  <c r="AG12" i="34" s="1"/>
  <c r="AJ12" i="34" s="1"/>
  <c r="AE12" i="34"/>
  <c r="AD12" i="34"/>
  <c r="Y12" i="34"/>
  <c r="V12" i="34"/>
  <c r="T12" i="34"/>
  <c r="A12" i="34"/>
  <c r="AM11" i="34"/>
  <c r="AK11" i="34"/>
  <c r="AH11" i="34"/>
  <c r="AI11" i="34" s="1"/>
  <c r="AF11" i="34"/>
  <c r="AG11" i="34" s="1"/>
  <c r="AJ11" i="34" s="1"/>
  <c r="AE11" i="34"/>
  <c r="AD11" i="34"/>
  <c r="Y11" i="34"/>
  <c r="V11" i="34"/>
  <c r="T11" i="34"/>
  <c r="AM10" i="34"/>
  <c r="AK10" i="34"/>
  <c r="AH10" i="34"/>
  <c r="AI10" i="34" s="1"/>
  <c r="AF10" i="34"/>
  <c r="AG10" i="34" s="1"/>
  <c r="AE10" i="34"/>
  <c r="AD10" i="34"/>
  <c r="AN10" i="34" s="1"/>
  <c r="Y10" i="34"/>
  <c r="V10" i="34"/>
  <c r="T10" i="34"/>
  <c r="A10" i="34"/>
  <c r="U8" i="34" s="1"/>
  <c r="AM9" i="34"/>
  <c r="AK9" i="34"/>
  <c r="AH9" i="34"/>
  <c r="AI9" i="34" s="1"/>
  <c r="AF9" i="34"/>
  <c r="AG9" i="34" s="1"/>
  <c r="AE9" i="34"/>
  <c r="Y9" i="34"/>
  <c r="V9" i="34"/>
  <c r="T9" i="34"/>
  <c r="AD9" i="34" s="1"/>
  <c r="AM8" i="34"/>
  <c r="AK8" i="34"/>
  <c r="AH8" i="34"/>
  <c r="AI8" i="34" s="1"/>
  <c r="AF8" i="34"/>
  <c r="AG8" i="34" s="1"/>
  <c r="AE8" i="34"/>
  <c r="AD8" i="34"/>
  <c r="Y8" i="34"/>
  <c r="V8" i="34"/>
  <c r="T8" i="34"/>
  <c r="AK7" i="34"/>
  <c r="AF7" i="34"/>
  <c r="AG7" i="34" s="1"/>
  <c r="Y7" i="34"/>
  <c r="V7" i="34"/>
  <c r="T7" i="34"/>
  <c r="AM7" i="34" s="1"/>
  <c r="AM6" i="34"/>
  <c r="AK6" i="34"/>
  <c r="AH6" i="34"/>
  <c r="AI6" i="34" s="1"/>
  <c r="AF6" i="34"/>
  <c r="AG6" i="34" s="1"/>
  <c r="AD6" i="34"/>
  <c r="Y6" i="34"/>
  <c r="V6" i="34"/>
  <c r="T6" i="34"/>
  <c r="AM5" i="34"/>
  <c r="AK5" i="34"/>
  <c r="AH5" i="34"/>
  <c r="AI5" i="34" s="1"/>
  <c r="AF5" i="34"/>
  <c r="AG5" i="34" s="1"/>
  <c r="AD5" i="34"/>
  <c r="Y5" i="34"/>
  <c r="V5" i="34"/>
  <c r="T5" i="34"/>
  <c r="F1" i="34"/>
  <c r="AM24" i="33"/>
  <c r="AK24" i="33"/>
  <c r="AH24" i="33"/>
  <c r="AI24" i="33" s="1"/>
  <c r="AF24" i="33"/>
  <c r="AG24" i="33" s="1"/>
  <c r="AE24" i="33"/>
  <c r="AD24" i="33"/>
  <c r="AN24" i="33" s="1"/>
  <c r="Y24" i="33"/>
  <c r="V24" i="33"/>
  <c r="T24" i="33"/>
  <c r="AM23" i="33"/>
  <c r="AK23" i="33"/>
  <c r="AH23" i="33"/>
  <c r="AI23" i="33" s="1"/>
  <c r="AF23" i="33"/>
  <c r="AG23" i="33" s="1"/>
  <c r="AE23" i="33"/>
  <c r="AD23" i="33"/>
  <c r="Y23" i="33"/>
  <c r="V23" i="33"/>
  <c r="T23" i="33"/>
  <c r="AM22" i="33"/>
  <c r="AK22" i="33"/>
  <c r="AH22" i="33"/>
  <c r="AI22" i="33" s="1"/>
  <c r="AF22" i="33"/>
  <c r="AG22" i="33" s="1"/>
  <c r="AE22" i="33"/>
  <c r="AD22" i="33"/>
  <c r="Y22" i="33"/>
  <c r="V22" i="33"/>
  <c r="T22" i="33"/>
  <c r="AM21" i="33"/>
  <c r="AK21" i="33"/>
  <c r="AH21" i="33"/>
  <c r="AI21" i="33" s="1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H18" i="33"/>
  <c r="AI18" i="33" s="1"/>
  <c r="AF18" i="33"/>
  <c r="AG18" i="33" s="1"/>
  <c r="AE18" i="33"/>
  <c r="AD18" i="33"/>
  <c r="Y18" i="33"/>
  <c r="V18" i="33"/>
  <c r="T18" i="33"/>
  <c r="AM17" i="33"/>
  <c r="AK17" i="33"/>
  <c r="AH17" i="33"/>
  <c r="AI17" i="33" s="1"/>
  <c r="AF17" i="33"/>
  <c r="AG17" i="33" s="1"/>
  <c r="AE17" i="33"/>
  <c r="AD17" i="33"/>
  <c r="Y17" i="33"/>
  <c r="V17" i="33"/>
  <c r="T17" i="33"/>
  <c r="AM16" i="33"/>
  <c r="AK16" i="33"/>
  <c r="AH16" i="33"/>
  <c r="AI16" i="33" s="1"/>
  <c r="AJ16" i="33" s="1"/>
  <c r="AF16" i="33"/>
  <c r="AG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E13" i="33"/>
  <c r="AD13" i="33"/>
  <c r="Y13" i="33"/>
  <c r="V13" i="33"/>
  <c r="T13" i="33"/>
  <c r="AM12" i="33"/>
  <c r="AK12" i="33"/>
  <c r="AH12" i="33"/>
  <c r="AI12" i="33" s="1"/>
  <c r="AF12" i="33"/>
  <c r="AG12" i="33" s="1"/>
  <c r="AE12" i="33"/>
  <c r="AD12" i="33"/>
  <c r="Y12" i="33"/>
  <c r="V12" i="33"/>
  <c r="T12" i="33"/>
  <c r="A12" i="33"/>
  <c r="AM11" i="33"/>
  <c r="AK11" i="33"/>
  <c r="AH11" i="33"/>
  <c r="AI11" i="33" s="1"/>
  <c r="AF11" i="33"/>
  <c r="AG11" i="33" s="1"/>
  <c r="AE11" i="33"/>
  <c r="AD11" i="33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H9" i="33"/>
  <c r="AI9" i="33" s="1"/>
  <c r="AF9" i="33"/>
  <c r="AG9" i="33" s="1"/>
  <c r="AE9" i="33"/>
  <c r="AD9" i="33"/>
  <c r="Y9" i="33"/>
  <c r="V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V7" i="33"/>
  <c r="T7" i="33"/>
  <c r="AH7" i="33" s="1"/>
  <c r="AI7" i="33" s="1"/>
  <c r="AM6" i="33"/>
  <c r="AK6" i="33"/>
  <c r="AF6" i="33"/>
  <c r="AG6" i="33" s="1"/>
  <c r="Y6" i="33"/>
  <c r="V6" i="33"/>
  <c r="T6" i="33"/>
  <c r="AD6" i="33" s="1"/>
  <c r="A6" i="33"/>
  <c r="AK5" i="33"/>
  <c r="AF5" i="33"/>
  <c r="AG5" i="33" s="1"/>
  <c r="Y5" i="33"/>
  <c r="V5" i="33"/>
  <c r="T5" i="33"/>
  <c r="U5" i="33" s="1"/>
  <c r="F1" i="33"/>
  <c r="AM172" i="32"/>
  <c r="AK172" i="32"/>
  <c r="AH172" i="32"/>
  <c r="AI172" i="32" s="1"/>
  <c r="AF172" i="32"/>
  <c r="AG172" i="32" s="1"/>
  <c r="AE172" i="32"/>
  <c r="AD172" i="32"/>
  <c r="Y172" i="32"/>
  <c r="V172" i="32"/>
  <c r="T172" i="32"/>
  <c r="AM171" i="32"/>
  <c r="AK171" i="32"/>
  <c r="AH171" i="32"/>
  <c r="AI171" i="32" s="1"/>
  <c r="AF171" i="32"/>
  <c r="AG171" i="32" s="1"/>
  <c r="Y171" i="32"/>
  <c r="V171" i="32"/>
  <c r="T171" i="32"/>
  <c r="AE171" i="32" s="1"/>
  <c r="AM170" i="32"/>
  <c r="AK170" i="32"/>
  <c r="AH170" i="32"/>
  <c r="AI170" i="32" s="1"/>
  <c r="AF170" i="32"/>
  <c r="AG170" i="32" s="1"/>
  <c r="AE170" i="32"/>
  <c r="AD170" i="32"/>
  <c r="Y170" i="32"/>
  <c r="V170" i="32"/>
  <c r="T170" i="32"/>
  <c r="AK169" i="32"/>
  <c r="AF169" i="32"/>
  <c r="AG169" i="32" s="1"/>
  <c r="AD169" i="32"/>
  <c r="Y169" i="32"/>
  <c r="V169" i="32"/>
  <c r="T169" i="32"/>
  <c r="AM169" i="32" s="1"/>
  <c r="AK168" i="32"/>
  <c r="AF168" i="32"/>
  <c r="AG168" i="32" s="1"/>
  <c r="Y168" i="32"/>
  <c r="V168" i="32"/>
  <c r="T168" i="32"/>
  <c r="AM168" i="32" s="1"/>
  <c r="AM167" i="32"/>
  <c r="AK167" i="32"/>
  <c r="AF167" i="32"/>
  <c r="AG167" i="32" s="1"/>
  <c r="Y167" i="32"/>
  <c r="V167" i="32"/>
  <c r="T167" i="32"/>
  <c r="AH167" i="32" s="1"/>
  <c r="AI167" i="32" s="1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H165" i="32"/>
  <c r="AI165" i="32" s="1"/>
  <c r="AF165" i="32"/>
  <c r="AG165" i="32" s="1"/>
  <c r="AE165" i="32"/>
  <c r="AD165" i="32"/>
  <c r="Y165" i="32"/>
  <c r="V165" i="32"/>
  <c r="T165" i="32"/>
  <c r="AK164" i="32"/>
  <c r="AF164" i="32"/>
  <c r="AG164" i="32" s="1"/>
  <c r="AE164" i="32"/>
  <c r="Y164" i="32"/>
  <c r="V164" i="32"/>
  <c r="T164" i="32"/>
  <c r="AM164" i="32" s="1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Y162" i="32"/>
  <c r="V162" i="32"/>
  <c r="T162" i="32"/>
  <c r="AD162" i="32" s="1"/>
  <c r="AM161" i="32"/>
  <c r="AK161" i="32"/>
  <c r="AF161" i="32"/>
  <c r="AG161" i="32" s="1"/>
  <c r="AE161" i="32"/>
  <c r="AD161" i="32"/>
  <c r="Y161" i="32"/>
  <c r="V161" i="32"/>
  <c r="T161" i="32"/>
  <c r="AH161" i="32" s="1"/>
  <c r="AI161" i="32" s="1"/>
  <c r="AK160" i="32"/>
  <c r="AF160" i="32"/>
  <c r="AG160" i="32" s="1"/>
  <c r="AE160" i="32"/>
  <c r="Y160" i="32"/>
  <c r="V160" i="32"/>
  <c r="T160" i="32"/>
  <c r="AM160" i="32" s="1"/>
  <c r="AK159" i="32"/>
  <c r="AF159" i="32"/>
  <c r="AG159" i="32" s="1"/>
  <c r="Y159" i="32"/>
  <c r="V159" i="32"/>
  <c r="T159" i="32"/>
  <c r="AM159" i="32" s="1"/>
  <c r="AM158" i="32"/>
  <c r="AK158" i="32"/>
  <c r="AF158" i="32"/>
  <c r="AG158" i="32" s="1"/>
  <c r="Y158" i="32"/>
  <c r="V158" i="32"/>
  <c r="T158" i="32"/>
  <c r="AH158" i="32" s="1"/>
  <c r="AI158" i="32" s="1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Y156" i="32"/>
  <c r="V156" i="32"/>
  <c r="T156" i="32"/>
  <c r="AK155" i="32"/>
  <c r="AF155" i="32"/>
  <c r="AG155" i="32" s="1"/>
  <c r="Y155" i="32"/>
  <c r="V155" i="32"/>
  <c r="T155" i="32"/>
  <c r="AM155" i="32" s="1"/>
  <c r="AK154" i="32"/>
  <c r="AF154" i="32"/>
  <c r="AG154" i="32" s="1"/>
  <c r="AD154" i="32"/>
  <c r="Y154" i="32"/>
  <c r="V154" i="32"/>
  <c r="T154" i="32"/>
  <c r="AH154" i="32" s="1"/>
  <c r="AI154" i="32" s="1"/>
  <c r="AK153" i="32"/>
  <c r="AH153" i="32"/>
  <c r="AI153" i="32" s="1"/>
  <c r="AF153" i="32"/>
  <c r="AG153" i="32" s="1"/>
  <c r="AE153" i="32"/>
  <c r="Y153" i="32"/>
  <c r="V153" i="32"/>
  <c r="T153" i="32"/>
  <c r="AD153" i="32" s="1"/>
  <c r="AM152" i="32"/>
  <c r="AK152" i="32"/>
  <c r="AF152" i="32"/>
  <c r="AG152" i="32" s="1"/>
  <c r="AE152" i="32"/>
  <c r="AD152" i="32"/>
  <c r="Y152" i="32"/>
  <c r="V152" i="32"/>
  <c r="T152" i="32"/>
  <c r="AH152" i="32" s="1"/>
  <c r="AI152" i="32" s="1"/>
  <c r="AM151" i="32"/>
  <c r="AK151" i="32"/>
  <c r="AH151" i="32"/>
  <c r="AI151" i="32" s="1"/>
  <c r="AG151" i="32"/>
  <c r="AF151" i="32"/>
  <c r="AE151" i="32"/>
  <c r="AD151" i="32"/>
  <c r="Y151" i="32"/>
  <c r="V151" i="32"/>
  <c r="T151" i="32"/>
  <c r="AK150" i="32"/>
  <c r="AF150" i="32"/>
  <c r="AG150" i="32" s="1"/>
  <c r="AE150" i="32"/>
  <c r="Y150" i="32"/>
  <c r="V150" i="32"/>
  <c r="T150" i="32"/>
  <c r="AM150" i="32" s="1"/>
  <c r="AM149" i="32"/>
  <c r="AK149" i="32"/>
  <c r="AF149" i="32"/>
  <c r="AG149" i="32" s="1"/>
  <c r="AE149" i="32"/>
  <c r="AD149" i="32"/>
  <c r="Y149" i="32"/>
  <c r="V149" i="32"/>
  <c r="T149" i="32"/>
  <c r="AH149" i="32" s="1"/>
  <c r="AI149" i="32" s="1"/>
  <c r="AM148" i="32"/>
  <c r="AK148" i="32"/>
  <c r="AH148" i="32"/>
  <c r="AI148" i="32" s="1"/>
  <c r="AF148" i="32"/>
  <c r="AG148" i="32" s="1"/>
  <c r="AE148" i="32"/>
  <c r="Y148" i="32"/>
  <c r="V148" i="32"/>
  <c r="T148" i="32"/>
  <c r="AD148" i="32" s="1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K146" i="32"/>
  <c r="AG146" i="32"/>
  <c r="AF146" i="32"/>
  <c r="AD146" i="32"/>
  <c r="Y146" i="32"/>
  <c r="V146" i="32"/>
  <c r="T146" i="32"/>
  <c r="AM146" i="32" s="1"/>
  <c r="AK145" i="32"/>
  <c r="AF145" i="32"/>
  <c r="AG145" i="32" s="1"/>
  <c r="Y145" i="32"/>
  <c r="V145" i="32"/>
  <c r="T145" i="32"/>
  <c r="AM145" i="32" s="1"/>
  <c r="AM144" i="32"/>
  <c r="AK144" i="32"/>
  <c r="AH144" i="32"/>
  <c r="AI144" i="32" s="1"/>
  <c r="AF144" i="32"/>
  <c r="AG144" i="32" s="1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Y143" i="32"/>
  <c r="V143" i="32"/>
  <c r="T143" i="32"/>
  <c r="AD143" i="32" s="1"/>
  <c r="AM142" i="32"/>
  <c r="AK142" i="32"/>
  <c r="AF142" i="32"/>
  <c r="AG142" i="32" s="1"/>
  <c r="AE142" i="32"/>
  <c r="AD142" i="32"/>
  <c r="Y142" i="32"/>
  <c r="V142" i="32"/>
  <c r="T142" i="32"/>
  <c r="AH142" i="32" s="1"/>
  <c r="AI142" i="32" s="1"/>
  <c r="AM141" i="32"/>
  <c r="AK141" i="32"/>
  <c r="AI141" i="32"/>
  <c r="AH141" i="32"/>
  <c r="AF141" i="32"/>
  <c r="AG141" i="32" s="1"/>
  <c r="AE141" i="32"/>
  <c r="AD141" i="32"/>
  <c r="Y141" i="32"/>
  <c r="V141" i="32"/>
  <c r="T141" i="32"/>
  <c r="AK140" i="32"/>
  <c r="AF140" i="32"/>
  <c r="AG140" i="32" s="1"/>
  <c r="Y140" i="32"/>
  <c r="V140" i="32"/>
  <c r="T140" i="32"/>
  <c r="AM140" i="32" s="1"/>
  <c r="AK139" i="32"/>
  <c r="AF139" i="32"/>
  <c r="AG139" i="32" s="1"/>
  <c r="Y139" i="32"/>
  <c r="V139" i="32"/>
  <c r="T139" i="32"/>
  <c r="AH139" i="32" s="1"/>
  <c r="AI139" i="32" s="1"/>
  <c r="AM138" i="32"/>
  <c r="AK138" i="32"/>
  <c r="AH138" i="32"/>
  <c r="AI138" i="32" s="1"/>
  <c r="AF138" i="32"/>
  <c r="AG138" i="32" s="1"/>
  <c r="Y138" i="32"/>
  <c r="V138" i="32"/>
  <c r="T138" i="32"/>
  <c r="AE138" i="32" s="1"/>
  <c r="AM137" i="32"/>
  <c r="AK137" i="32"/>
  <c r="AH137" i="32"/>
  <c r="AI137" i="32" s="1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K135" i="32"/>
  <c r="AF135" i="32"/>
  <c r="AG135" i="32" s="1"/>
  <c r="Y135" i="32"/>
  <c r="V135" i="32"/>
  <c r="T135" i="32"/>
  <c r="AM135" i="32" s="1"/>
  <c r="AK134" i="32"/>
  <c r="AF134" i="32"/>
  <c r="AG134" i="32" s="1"/>
  <c r="AD134" i="32"/>
  <c r="Y134" i="32"/>
  <c r="V134" i="32"/>
  <c r="T134" i="32"/>
  <c r="AH134" i="32" s="1"/>
  <c r="AI134" i="32" s="1"/>
  <c r="AK133" i="32"/>
  <c r="AH133" i="32"/>
  <c r="AI133" i="32" s="1"/>
  <c r="AF133" i="32"/>
  <c r="AG133" i="32" s="1"/>
  <c r="AE133" i="32"/>
  <c r="Y133" i="32"/>
  <c r="V133" i="32"/>
  <c r="T133" i="32"/>
  <c r="AD133" i="32" s="1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K131" i="32"/>
  <c r="AF131" i="32"/>
  <c r="AG131" i="32" s="1"/>
  <c r="AD131" i="32"/>
  <c r="Y131" i="32"/>
  <c r="V131" i="32"/>
  <c r="T131" i="32"/>
  <c r="AM131" i="32" s="1"/>
  <c r="AK130" i="32"/>
  <c r="AF130" i="32"/>
  <c r="AG130" i="32" s="1"/>
  <c r="Y130" i="32"/>
  <c r="V130" i="32"/>
  <c r="T130" i="32"/>
  <c r="AM130" i="32" s="1"/>
  <c r="AM129" i="32"/>
  <c r="AK129" i="32"/>
  <c r="AH129" i="32"/>
  <c r="AI129" i="32" s="1"/>
  <c r="AF129" i="32"/>
  <c r="AG129" i="32" s="1"/>
  <c r="AE129" i="32"/>
  <c r="AD129" i="32"/>
  <c r="Y129" i="32"/>
  <c r="V129" i="32"/>
  <c r="T129" i="32"/>
  <c r="AM128" i="32"/>
  <c r="AK128" i="32"/>
  <c r="AH128" i="32"/>
  <c r="AI128" i="32" s="1"/>
  <c r="AF128" i="32"/>
  <c r="AG128" i="32" s="1"/>
  <c r="AJ128" i="32" s="1"/>
  <c r="Y128" i="32"/>
  <c r="V128" i="32"/>
  <c r="T128" i="32"/>
  <c r="AE128" i="32" s="1"/>
  <c r="AM127" i="32"/>
  <c r="AK127" i="32"/>
  <c r="AF127" i="32"/>
  <c r="AG127" i="32" s="1"/>
  <c r="AE127" i="32"/>
  <c r="AD127" i="32"/>
  <c r="Y127" i="32"/>
  <c r="V127" i="32"/>
  <c r="T127" i="32"/>
  <c r="AH127" i="32" s="1"/>
  <c r="AI127" i="32" s="1"/>
  <c r="AK126" i="32"/>
  <c r="AH126" i="32"/>
  <c r="AI126" i="32" s="1"/>
  <c r="AG126" i="32"/>
  <c r="AF126" i="32"/>
  <c r="AE126" i="32"/>
  <c r="AD126" i="32"/>
  <c r="Y126" i="32"/>
  <c r="V126" i="32"/>
  <c r="T126" i="32"/>
  <c r="AM126" i="32" s="1"/>
  <c r="AK125" i="32"/>
  <c r="AF125" i="32"/>
  <c r="AG125" i="32" s="1"/>
  <c r="AE125" i="32"/>
  <c r="Y125" i="32"/>
  <c r="V125" i="32"/>
  <c r="T125" i="32"/>
  <c r="AM125" i="32" s="1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H123" i="32"/>
  <c r="AI123" i="32" s="1"/>
  <c r="AF123" i="32"/>
  <c r="AG123" i="32" s="1"/>
  <c r="Y123" i="32"/>
  <c r="V123" i="32"/>
  <c r="T123" i="32"/>
  <c r="AE123" i="32" s="1"/>
  <c r="AM122" i="32"/>
  <c r="AK122" i="32"/>
  <c r="AF122" i="32"/>
  <c r="AG122" i="32" s="1"/>
  <c r="AE122" i="32"/>
  <c r="AD122" i="32"/>
  <c r="Y122" i="32"/>
  <c r="V122" i="32"/>
  <c r="T122" i="32"/>
  <c r="AH122" i="32" s="1"/>
  <c r="AI122" i="32" s="1"/>
  <c r="AK121" i="32"/>
  <c r="AF121" i="32"/>
  <c r="AG121" i="32" s="1"/>
  <c r="AE121" i="32"/>
  <c r="Y121" i="32"/>
  <c r="V121" i="32"/>
  <c r="T121" i="32"/>
  <c r="AM121" i="32" s="1"/>
  <c r="AM120" i="32"/>
  <c r="AK120" i="32"/>
  <c r="AH120" i="32"/>
  <c r="AI120" i="32" s="1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Y119" i="32"/>
  <c r="V119" i="32"/>
  <c r="T119" i="32"/>
  <c r="AE119" i="32" s="1"/>
  <c r="AM118" i="32"/>
  <c r="AK118" i="32"/>
  <c r="AF118" i="32"/>
  <c r="AG118" i="32" s="1"/>
  <c r="AE118" i="32"/>
  <c r="AD118" i="32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M115" i="32"/>
  <c r="AK115" i="32"/>
  <c r="AH115" i="32"/>
  <c r="AI115" i="32" s="1"/>
  <c r="AG115" i="32"/>
  <c r="AF115" i="32"/>
  <c r="AD115" i="32"/>
  <c r="Y115" i="32"/>
  <c r="V115" i="32"/>
  <c r="T115" i="32"/>
  <c r="AE115" i="32" s="1"/>
  <c r="AK114" i="32"/>
  <c r="AH114" i="32"/>
  <c r="AI114" i="32" s="1"/>
  <c r="AF114" i="32"/>
  <c r="AG114" i="32" s="1"/>
  <c r="AE114" i="32"/>
  <c r="Y114" i="32"/>
  <c r="V114" i="32"/>
  <c r="T114" i="32"/>
  <c r="AD114" i="32" s="1"/>
  <c r="AM113" i="32"/>
  <c r="AK113" i="32"/>
  <c r="AH113" i="32"/>
  <c r="AI113" i="32" s="1"/>
  <c r="AF113" i="32"/>
  <c r="AG113" i="32" s="1"/>
  <c r="AE113" i="32"/>
  <c r="AD113" i="32"/>
  <c r="Y113" i="32"/>
  <c r="V113" i="32"/>
  <c r="T113" i="32"/>
  <c r="AK112" i="32"/>
  <c r="AF112" i="32"/>
  <c r="AG112" i="32" s="1"/>
  <c r="Y112" i="32"/>
  <c r="V112" i="32"/>
  <c r="T112" i="32"/>
  <c r="AM112" i="32" s="1"/>
  <c r="AM111" i="32"/>
  <c r="AK111" i="32"/>
  <c r="AF111" i="32"/>
  <c r="AG111" i="32" s="1"/>
  <c r="AD111" i="32"/>
  <c r="Y111" i="32"/>
  <c r="V111" i="32"/>
  <c r="T111" i="32"/>
  <c r="AH111" i="32" s="1"/>
  <c r="AI111" i="32" s="1"/>
  <c r="AK110" i="32"/>
  <c r="AH110" i="32"/>
  <c r="AI110" i="32" s="1"/>
  <c r="AF110" i="32"/>
  <c r="AG110" i="32" s="1"/>
  <c r="AE110" i="32"/>
  <c r="Y110" i="32"/>
  <c r="V110" i="32"/>
  <c r="T110" i="32"/>
  <c r="AD110" i="32" s="1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K108" i="32"/>
  <c r="AF108" i="32"/>
  <c r="AG108" i="32" s="1"/>
  <c r="Y108" i="32"/>
  <c r="V108" i="32"/>
  <c r="T108" i="32"/>
  <c r="AM108" i="32" s="1"/>
  <c r="AM107" i="32"/>
  <c r="AK107" i="32"/>
  <c r="AF107" i="32"/>
  <c r="AG107" i="32" s="1"/>
  <c r="AE107" i="32"/>
  <c r="AD107" i="32"/>
  <c r="Y107" i="32"/>
  <c r="V107" i="32"/>
  <c r="T107" i="32"/>
  <c r="AH107" i="32" s="1"/>
  <c r="AI107" i="32" s="1"/>
  <c r="AM106" i="32"/>
  <c r="AK106" i="32"/>
  <c r="AH106" i="32"/>
  <c r="AI106" i="32" s="1"/>
  <c r="AF106" i="32"/>
  <c r="AG106" i="32" s="1"/>
  <c r="Y106" i="32"/>
  <c r="V106" i="32"/>
  <c r="T106" i="32"/>
  <c r="AE106" i="32" s="1"/>
  <c r="AM105" i="32"/>
  <c r="AK105" i="32"/>
  <c r="AF105" i="32"/>
  <c r="AG105" i="32" s="1"/>
  <c r="AE105" i="32"/>
  <c r="AD105" i="32"/>
  <c r="Y105" i="32"/>
  <c r="V105" i="32"/>
  <c r="T105" i="32"/>
  <c r="AH105" i="32" s="1"/>
  <c r="AI105" i="32" s="1"/>
  <c r="AK104" i="32"/>
  <c r="AF104" i="32"/>
  <c r="AG104" i="32" s="1"/>
  <c r="AD104" i="32"/>
  <c r="Y104" i="32"/>
  <c r="V104" i="32"/>
  <c r="T104" i="32"/>
  <c r="AM104" i="32" s="1"/>
  <c r="AK103" i="32"/>
  <c r="AF103" i="32"/>
  <c r="AG103" i="32" s="1"/>
  <c r="Y103" i="32"/>
  <c r="V103" i="32"/>
  <c r="T103" i="32"/>
  <c r="AM103" i="32" s="1"/>
  <c r="AM102" i="32"/>
  <c r="AK102" i="32"/>
  <c r="AF102" i="32"/>
  <c r="AG102" i="32" s="1"/>
  <c r="Y102" i="32"/>
  <c r="V102" i="32"/>
  <c r="T102" i="32"/>
  <c r="AH102" i="32" s="1"/>
  <c r="AI102" i="32" s="1"/>
  <c r="AM101" i="32"/>
  <c r="AK101" i="32"/>
  <c r="AH101" i="32"/>
  <c r="AI101" i="32" s="1"/>
  <c r="AF101" i="32"/>
  <c r="AG101" i="32" s="1"/>
  <c r="AE101" i="32"/>
  <c r="AD101" i="32"/>
  <c r="Y101" i="32"/>
  <c r="V101" i="32"/>
  <c r="T101" i="32"/>
  <c r="AK100" i="32"/>
  <c r="AF100" i="32"/>
  <c r="AG100" i="32" s="1"/>
  <c r="AD100" i="32"/>
  <c r="Y100" i="32"/>
  <c r="V100" i="32"/>
  <c r="T100" i="32"/>
  <c r="AM100" i="32" s="1"/>
  <c r="AK99" i="32"/>
  <c r="AF99" i="32"/>
  <c r="AG99" i="32" s="1"/>
  <c r="Y99" i="32"/>
  <c r="V99" i="32"/>
  <c r="T99" i="32"/>
  <c r="AM99" i="32" s="1"/>
  <c r="AM98" i="32"/>
  <c r="AK98" i="32"/>
  <c r="AF98" i="32"/>
  <c r="AG98" i="32" s="1"/>
  <c r="Y98" i="32"/>
  <c r="V98" i="32"/>
  <c r="T98" i="32"/>
  <c r="AH98" i="32" s="1"/>
  <c r="AI98" i="32" s="1"/>
  <c r="AK97" i="32"/>
  <c r="AH97" i="32"/>
  <c r="AI97" i="32" s="1"/>
  <c r="AF97" i="32"/>
  <c r="AG97" i="32" s="1"/>
  <c r="AE97" i="32"/>
  <c r="Y97" i="32"/>
  <c r="V97" i="32"/>
  <c r="T97" i="32"/>
  <c r="AD97" i="32" s="1"/>
  <c r="AK96" i="32"/>
  <c r="AF96" i="32"/>
  <c r="AG96" i="32" s="1"/>
  <c r="Y96" i="32"/>
  <c r="V96" i="32"/>
  <c r="T96" i="32"/>
  <c r="AE96" i="32" s="1"/>
  <c r="AM95" i="32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H94" i="32" s="1"/>
  <c r="AI94" i="32" s="1"/>
  <c r="AM93" i="32"/>
  <c r="AK93" i="32"/>
  <c r="AF93" i="32"/>
  <c r="AG93" i="32" s="1"/>
  <c r="Y93" i="32"/>
  <c r="V93" i="32"/>
  <c r="T93" i="32"/>
  <c r="AE93" i="32" s="1"/>
  <c r="AK92" i="32"/>
  <c r="AF92" i="32"/>
  <c r="AG92" i="32" s="1"/>
  <c r="Y92" i="32"/>
  <c r="V92" i="32"/>
  <c r="T92" i="32"/>
  <c r="AE92" i="32" s="1"/>
  <c r="AK91" i="32"/>
  <c r="AF91" i="32"/>
  <c r="AG91" i="32" s="1"/>
  <c r="Y91" i="32"/>
  <c r="V91" i="32"/>
  <c r="T91" i="32"/>
  <c r="AE91" i="32" s="1"/>
  <c r="AK90" i="32"/>
  <c r="AF90" i="32"/>
  <c r="AG90" i="32" s="1"/>
  <c r="Y90" i="32"/>
  <c r="V90" i="32"/>
  <c r="T90" i="32"/>
  <c r="AE90" i="32" s="1"/>
  <c r="AK89" i="32"/>
  <c r="AF89" i="32"/>
  <c r="AG89" i="32" s="1"/>
  <c r="Y89" i="32"/>
  <c r="V89" i="32"/>
  <c r="T89" i="32"/>
  <c r="AE89" i="32" s="1"/>
  <c r="AK88" i="32"/>
  <c r="AF88" i="32"/>
  <c r="AG88" i="32" s="1"/>
  <c r="Y88" i="32"/>
  <c r="V88" i="32"/>
  <c r="T88" i="32"/>
  <c r="AD88" i="32" s="1"/>
  <c r="AM87" i="32"/>
  <c r="AK87" i="32"/>
  <c r="AF87" i="32"/>
  <c r="AG87" i="32" s="1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K85" i="32"/>
  <c r="AF85" i="32"/>
  <c r="AG85" i="32" s="1"/>
  <c r="Y85" i="32"/>
  <c r="V85" i="32"/>
  <c r="T85" i="32"/>
  <c r="AH85" i="32" s="1"/>
  <c r="AI85" i="32" s="1"/>
  <c r="AK84" i="32"/>
  <c r="AF84" i="32"/>
  <c r="AG84" i="32" s="1"/>
  <c r="Y84" i="32"/>
  <c r="V84" i="32"/>
  <c r="T84" i="32"/>
  <c r="AM84" i="32" s="1"/>
  <c r="AK83" i="32"/>
  <c r="AF83" i="32"/>
  <c r="AG83" i="32" s="1"/>
  <c r="Y83" i="32"/>
  <c r="V83" i="32"/>
  <c r="T83" i="32"/>
  <c r="AM83" i="32" s="1"/>
  <c r="AM82" i="32"/>
  <c r="AK82" i="32"/>
  <c r="AF82" i="32"/>
  <c r="AG82" i="32" s="1"/>
  <c r="Y82" i="32"/>
  <c r="V82" i="32"/>
  <c r="T82" i="32"/>
  <c r="AH82" i="32" s="1"/>
  <c r="AI82" i="32" s="1"/>
  <c r="AK81" i="32"/>
  <c r="AF81" i="32"/>
  <c r="AG81" i="32" s="1"/>
  <c r="Y81" i="32"/>
  <c r="V81" i="32"/>
  <c r="T81" i="32"/>
  <c r="AM81" i="32" s="1"/>
  <c r="AM80" i="32"/>
  <c r="AK80" i="32"/>
  <c r="AF80" i="32"/>
  <c r="AG80" i="32" s="1"/>
  <c r="Y80" i="32"/>
  <c r="V80" i="32"/>
  <c r="T80" i="32"/>
  <c r="AM79" i="32"/>
  <c r="AK79" i="32"/>
  <c r="AF79" i="32"/>
  <c r="AG79" i="32" s="1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F76" i="32"/>
  <c r="AG76" i="32" s="1"/>
  <c r="Y76" i="32"/>
  <c r="V76" i="32"/>
  <c r="T76" i="32"/>
  <c r="AK75" i="32"/>
  <c r="AF75" i="32"/>
  <c r="AG75" i="32" s="1"/>
  <c r="Y75" i="32"/>
  <c r="V75" i="32"/>
  <c r="T75" i="32"/>
  <c r="AM75" i="32" s="1"/>
  <c r="AK74" i="32"/>
  <c r="AF74" i="32"/>
  <c r="AG74" i="32" s="1"/>
  <c r="Y74" i="32"/>
  <c r="V74" i="32"/>
  <c r="T74" i="32"/>
  <c r="AM74" i="32" s="1"/>
  <c r="AK73" i="32"/>
  <c r="AF73" i="32"/>
  <c r="AG73" i="32" s="1"/>
  <c r="Y73" i="32"/>
  <c r="V73" i="32"/>
  <c r="T73" i="32"/>
  <c r="AM73" i="32" s="1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F67" i="32"/>
  <c r="AG67" i="32" s="1"/>
  <c r="Y67" i="32"/>
  <c r="V67" i="32"/>
  <c r="T67" i="32"/>
  <c r="AM67" i="32" s="1"/>
  <c r="AK66" i="32"/>
  <c r="AF66" i="32"/>
  <c r="AG66" i="32" s="1"/>
  <c r="Y66" i="32"/>
  <c r="V66" i="32"/>
  <c r="T66" i="32"/>
  <c r="AM66" i="32" s="1"/>
  <c r="AM65" i="32"/>
  <c r="AK65" i="32"/>
  <c r="AF65" i="32"/>
  <c r="AG65" i="32" s="1"/>
  <c r="Y65" i="32"/>
  <c r="V65" i="32"/>
  <c r="T65" i="32"/>
  <c r="AK64" i="32"/>
  <c r="AF64" i="32"/>
  <c r="AG64" i="32" s="1"/>
  <c r="Y64" i="32"/>
  <c r="V64" i="32"/>
  <c r="T64" i="32"/>
  <c r="AM64" i="32" s="1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K59" i="32"/>
  <c r="AF59" i="32"/>
  <c r="AG59" i="32" s="1"/>
  <c r="Y59" i="32"/>
  <c r="V59" i="32"/>
  <c r="T59" i="32"/>
  <c r="AM59" i="32" s="1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F56" i="32"/>
  <c r="AG56" i="32" s="1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K50" i="32"/>
  <c r="AF50" i="32"/>
  <c r="AG50" i="32" s="1"/>
  <c r="Y50" i="32"/>
  <c r="V50" i="32"/>
  <c r="T50" i="32"/>
  <c r="AM50" i="32" s="1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V48" i="32"/>
  <c r="T48" i="32"/>
  <c r="AE48" i="32" s="1"/>
  <c r="AM47" i="32"/>
  <c r="AK47" i="32"/>
  <c r="AF47" i="32"/>
  <c r="AG47" i="32" s="1"/>
  <c r="Y47" i="32"/>
  <c r="V47" i="32"/>
  <c r="T47" i="32"/>
  <c r="AE47" i="32" s="1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Y42" i="32"/>
  <c r="V42" i="32"/>
  <c r="T42" i="32"/>
  <c r="AH42" i="32" s="1"/>
  <c r="AI42" i="32" s="1"/>
  <c r="AM41" i="32"/>
  <c r="AK41" i="32"/>
  <c r="AF41" i="32"/>
  <c r="AG41" i="32" s="1"/>
  <c r="Y41" i="32"/>
  <c r="V41" i="32"/>
  <c r="T41" i="32"/>
  <c r="AD41" i="32" s="1"/>
  <c r="AK40" i="32"/>
  <c r="AF40" i="32"/>
  <c r="AG40" i="32" s="1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K38" i="32"/>
  <c r="AF38" i="32"/>
  <c r="AG38" i="32" s="1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F34" i="32"/>
  <c r="AG34" i="32" s="1"/>
  <c r="Y34" i="32"/>
  <c r="V34" i="32"/>
  <c r="T34" i="32"/>
  <c r="AD34" i="32" s="1"/>
  <c r="AM33" i="32"/>
  <c r="AK33" i="32"/>
  <c r="AF33" i="32"/>
  <c r="AG33" i="32" s="1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K23" i="32"/>
  <c r="AF23" i="32"/>
  <c r="AG23" i="32" s="1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F20" i="32"/>
  <c r="AG20" i="32" s="1"/>
  <c r="Y20" i="32"/>
  <c r="V20" i="32"/>
  <c r="T20" i="32"/>
  <c r="AE20" i="32" s="1"/>
  <c r="AK19" i="32"/>
  <c r="AF19" i="32"/>
  <c r="AG19" i="32" s="1"/>
  <c r="Y19" i="32"/>
  <c r="V19" i="32"/>
  <c r="T19" i="32"/>
  <c r="AD19" i="32" s="1"/>
  <c r="AK18" i="32"/>
  <c r="AF18" i="32"/>
  <c r="AG18" i="32" s="1"/>
  <c r="Y18" i="32"/>
  <c r="V18" i="32"/>
  <c r="T18" i="32"/>
  <c r="AH18" i="32" s="1"/>
  <c r="AI18" i="32" s="1"/>
  <c r="AK17" i="32"/>
  <c r="AF17" i="32"/>
  <c r="AG17" i="32" s="1"/>
  <c r="Y17" i="32"/>
  <c r="V17" i="32"/>
  <c r="T17" i="32"/>
  <c r="AM17" i="32" s="1"/>
  <c r="AK16" i="32"/>
  <c r="AF16" i="32"/>
  <c r="AG16" i="32" s="1"/>
  <c r="Y16" i="32"/>
  <c r="V16" i="32"/>
  <c r="T16" i="32"/>
  <c r="AD16" i="32" s="1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K9" i="32"/>
  <c r="AF9" i="32"/>
  <c r="AG9" i="32" s="1"/>
  <c r="Y9" i="32"/>
  <c r="V9" i="32"/>
  <c r="T9" i="32"/>
  <c r="AD9" i="32" s="1"/>
  <c r="AM8" i="32"/>
  <c r="AK8" i="32"/>
  <c r="AF8" i="32"/>
  <c r="AG8" i="32" s="1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Y6" i="32"/>
  <c r="V6" i="32"/>
  <c r="T6" i="32"/>
  <c r="AH6" i="32" s="1"/>
  <c r="AI6" i="32" s="1"/>
  <c r="A6" i="32"/>
  <c r="AK5" i="32"/>
  <c r="AF5" i="32"/>
  <c r="AG5" i="32" s="1"/>
  <c r="Y5" i="32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Y56" i="31"/>
  <c r="V56" i="31"/>
  <c r="T56" i="31"/>
  <c r="AD56" i="31" s="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E53" i="31"/>
  <c r="AD53" i="31"/>
  <c r="Y53" i="31"/>
  <c r="V53" i="31"/>
  <c r="T53" i="31"/>
  <c r="AH53" i="31" s="1"/>
  <c r="AI53" i="31" s="1"/>
  <c r="AM52" i="31"/>
  <c r="AK52" i="31"/>
  <c r="AH52" i="31"/>
  <c r="AI52" i="31" s="1"/>
  <c r="AF52" i="31"/>
  <c r="AG52" i="31" s="1"/>
  <c r="AE52" i="31"/>
  <c r="Y52" i="31"/>
  <c r="V52" i="31"/>
  <c r="T52" i="31"/>
  <c r="AD52" i="31" s="1"/>
  <c r="AM51" i="31"/>
  <c r="AK51" i="31"/>
  <c r="AF51" i="31"/>
  <c r="AG51" i="31" s="1"/>
  <c r="AE51" i="31"/>
  <c r="AD51" i="31"/>
  <c r="Y51" i="31"/>
  <c r="V51" i="31"/>
  <c r="T51" i="31"/>
  <c r="AH51" i="31" s="1"/>
  <c r="AI51" i="31" s="1"/>
  <c r="AM50" i="31"/>
  <c r="AK50" i="31"/>
  <c r="AF50" i="31"/>
  <c r="AG50" i="31" s="1"/>
  <c r="Y50" i="31"/>
  <c r="V50" i="31"/>
  <c r="T50" i="31"/>
  <c r="AH50" i="31" s="1"/>
  <c r="AI50" i="31" s="1"/>
  <c r="AM49" i="31"/>
  <c r="AK49" i="31"/>
  <c r="AF49" i="31"/>
  <c r="AG49" i="31" s="1"/>
  <c r="AD49" i="31"/>
  <c r="Y49" i="31"/>
  <c r="V49" i="31"/>
  <c r="T49" i="31"/>
  <c r="AH49" i="31" s="1"/>
  <c r="AI49" i="31" s="1"/>
  <c r="AM48" i="31"/>
  <c r="AK48" i="31"/>
  <c r="AH48" i="31"/>
  <c r="AI48" i="31" s="1"/>
  <c r="AF48" i="31"/>
  <c r="AG48" i="31" s="1"/>
  <c r="AD48" i="31"/>
  <c r="Y48" i="31"/>
  <c r="V48" i="31"/>
  <c r="T48" i="31"/>
  <c r="AE48" i="31" s="1"/>
  <c r="AM47" i="31"/>
  <c r="AK47" i="31"/>
  <c r="AF47" i="31"/>
  <c r="AG47" i="31" s="1"/>
  <c r="AD47" i="31"/>
  <c r="Y47" i="31"/>
  <c r="V47" i="31"/>
  <c r="T47" i="31"/>
  <c r="AH47" i="31" s="1"/>
  <c r="AI47" i="31" s="1"/>
  <c r="AM46" i="31"/>
  <c r="AK46" i="31"/>
  <c r="AF46" i="31"/>
  <c r="AG46" i="31" s="1"/>
  <c r="Y46" i="31"/>
  <c r="V46" i="31"/>
  <c r="T46" i="31"/>
  <c r="AH46" i="31" s="1"/>
  <c r="AI46" i="31" s="1"/>
  <c r="AM45" i="31"/>
  <c r="AK45" i="31"/>
  <c r="AH45" i="31"/>
  <c r="AI45" i="31" s="1"/>
  <c r="AF45" i="31"/>
  <c r="AG45" i="31" s="1"/>
  <c r="AD45" i="31"/>
  <c r="Y45" i="31"/>
  <c r="V45" i="31"/>
  <c r="T45" i="31"/>
  <c r="AE45" i="31" s="1"/>
  <c r="AM44" i="31"/>
  <c r="AK44" i="31"/>
  <c r="AH44" i="31"/>
  <c r="AI44" i="31" s="1"/>
  <c r="AF44" i="31"/>
  <c r="AG44" i="31" s="1"/>
  <c r="AD44" i="31"/>
  <c r="Y44" i="31"/>
  <c r="V44" i="31"/>
  <c r="T44" i="31"/>
  <c r="AE44" i="31" s="1"/>
  <c r="AM43" i="31"/>
  <c r="AK43" i="31"/>
  <c r="AF43" i="31"/>
  <c r="AG43" i="31" s="1"/>
  <c r="AD43" i="31"/>
  <c r="Y43" i="31"/>
  <c r="V43" i="31"/>
  <c r="T43" i="31"/>
  <c r="AH43" i="31" s="1"/>
  <c r="AI43" i="31" s="1"/>
  <c r="AM42" i="31"/>
  <c r="AK42" i="31"/>
  <c r="AF42" i="31"/>
  <c r="AG42" i="31" s="1"/>
  <c r="Y42" i="31"/>
  <c r="V42" i="31"/>
  <c r="T42" i="31"/>
  <c r="AH42" i="31" s="1"/>
  <c r="AI42" i="31" s="1"/>
  <c r="AM41" i="31"/>
  <c r="AK41" i="31"/>
  <c r="AH41" i="31"/>
  <c r="AI41" i="31" s="1"/>
  <c r="AF41" i="31"/>
  <c r="AG41" i="31" s="1"/>
  <c r="AD41" i="31"/>
  <c r="Y41" i="31"/>
  <c r="V41" i="31"/>
  <c r="T41" i="31"/>
  <c r="AE41" i="31" s="1"/>
  <c r="AM40" i="31"/>
  <c r="AK40" i="31"/>
  <c r="AH40" i="31"/>
  <c r="AI40" i="31" s="1"/>
  <c r="AF40" i="31"/>
  <c r="AG40" i="31" s="1"/>
  <c r="AD40" i="31"/>
  <c r="Y40" i="31"/>
  <c r="V40" i="31"/>
  <c r="T40" i="31"/>
  <c r="AE40" i="31" s="1"/>
  <c r="AM39" i="31"/>
  <c r="AK39" i="31"/>
  <c r="AF39" i="31"/>
  <c r="AG39" i="31" s="1"/>
  <c r="AD39" i="31"/>
  <c r="Y39" i="31"/>
  <c r="V39" i="31"/>
  <c r="T39" i="31"/>
  <c r="AH39" i="31" s="1"/>
  <c r="AI39" i="31" s="1"/>
  <c r="AM38" i="31"/>
  <c r="AK38" i="31"/>
  <c r="AF38" i="31"/>
  <c r="AG38" i="31" s="1"/>
  <c r="Y38" i="31"/>
  <c r="V38" i="31"/>
  <c r="T38" i="31"/>
  <c r="AH38" i="31" s="1"/>
  <c r="AI38" i="31" s="1"/>
  <c r="AM37" i="31"/>
  <c r="AK37" i="31"/>
  <c r="AH37" i="31"/>
  <c r="AI37" i="31" s="1"/>
  <c r="AF37" i="31"/>
  <c r="AG37" i="31" s="1"/>
  <c r="Y37" i="31"/>
  <c r="V37" i="31"/>
  <c r="T37" i="31"/>
  <c r="AE37" i="31" s="1"/>
  <c r="AM36" i="31"/>
  <c r="AK36" i="31"/>
  <c r="AF36" i="31"/>
  <c r="AG36" i="31" s="1"/>
  <c r="AE36" i="31"/>
  <c r="AD36" i="31"/>
  <c r="Y36" i="31"/>
  <c r="V36" i="31"/>
  <c r="T36" i="31"/>
  <c r="AH36" i="31" s="1"/>
  <c r="AI36" i="31" s="1"/>
  <c r="AM35" i="31"/>
  <c r="AK35" i="31"/>
  <c r="AF35" i="31"/>
  <c r="AG35" i="31" s="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Y33" i="31"/>
  <c r="V33" i="31"/>
  <c r="T33" i="31"/>
  <c r="AM33" i="31" s="1"/>
  <c r="AM32" i="31"/>
  <c r="AK32" i="31"/>
  <c r="AF32" i="31"/>
  <c r="AG32" i="31" s="1"/>
  <c r="Y32" i="31"/>
  <c r="V32" i="31"/>
  <c r="T32" i="31"/>
  <c r="AH32" i="31" s="1"/>
  <c r="AI32" i="31" s="1"/>
  <c r="AK31" i="31"/>
  <c r="AF31" i="31"/>
  <c r="AG31" i="31" s="1"/>
  <c r="Y31" i="31"/>
  <c r="V31" i="31"/>
  <c r="T31" i="31"/>
  <c r="AE31" i="31" s="1"/>
  <c r="AK30" i="31"/>
  <c r="AF30" i="31"/>
  <c r="AG30" i="31" s="1"/>
  <c r="AE30" i="31"/>
  <c r="Y30" i="31"/>
  <c r="V30" i="31"/>
  <c r="T30" i="31"/>
  <c r="AM30" i="31" s="1"/>
  <c r="AM29" i="31"/>
  <c r="AK29" i="31"/>
  <c r="AF29" i="31"/>
  <c r="AG29" i="31" s="1"/>
  <c r="AE29" i="31"/>
  <c r="Y29" i="31"/>
  <c r="V29" i="31"/>
  <c r="T29" i="31"/>
  <c r="AD29" i="31" s="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F18" i="31"/>
  <c r="AG18" i="31" s="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AE12" i="31"/>
  <c r="Y12" i="31"/>
  <c r="V12" i="31"/>
  <c r="T12" i="31"/>
  <c r="AH12" i="31" s="1"/>
  <c r="AI12" i="31" s="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V6" i="31"/>
  <c r="T6" i="31"/>
  <c r="AH6" i="31" s="1"/>
  <c r="AI6" i="31" s="1"/>
  <c r="A6" i="31"/>
  <c r="AK5" i="31"/>
  <c r="AF5" i="31"/>
  <c r="AG5" i="31" s="1"/>
  <c r="Y5" i="31"/>
  <c r="V5" i="31"/>
  <c r="T5" i="31"/>
  <c r="AH5" i="31" s="1"/>
  <c r="AI5" i="31" s="1"/>
  <c r="F1" i="31"/>
  <c r="AM24" i="30"/>
  <c r="AK24" i="30"/>
  <c r="AH24" i="30"/>
  <c r="AI24" i="30" s="1"/>
  <c r="AF24" i="30"/>
  <c r="AG24" i="30" s="1"/>
  <c r="Y24" i="30"/>
  <c r="V24" i="30"/>
  <c r="T24" i="30"/>
  <c r="AE24" i="30" s="1"/>
  <c r="AK23" i="30"/>
  <c r="AF23" i="30"/>
  <c r="AG23" i="30" s="1"/>
  <c r="Y23" i="30"/>
  <c r="V23" i="30"/>
  <c r="T23" i="30"/>
  <c r="AE23" i="30" s="1"/>
  <c r="AK22" i="30"/>
  <c r="AF22" i="30"/>
  <c r="AG22" i="30" s="1"/>
  <c r="Y22" i="30"/>
  <c r="V22" i="30"/>
  <c r="T22" i="30"/>
  <c r="AD22" i="30" s="1"/>
  <c r="AK21" i="30"/>
  <c r="AF21" i="30"/>
  <c r="AG21" i="30" s="1"/>
  <c r="Y21" i="30"/>
  <c r="V21" i="30"/>
  <c r="T21" i="30"/>
  <c r="AM21" i="30" s="1"/>
  <c r="AK20" i="30"/>
  <c r="AF20" i="30"/>
  <c r="AG20" i="30" s="1"/>
  <c r="Y20" i="30"/>
  <c r="V20" i="30"/>
  <c r="T20" i="30"/>
  <c r="AH20" i="30" s="1"/>
  <c r="AI20" i="30" s="1"/>
  <c r="AK19" i="30"/>
  <c r="AF19" i="30"/>
  <c r="AG19" i="30" s="1"/>
  <c r="Y19" i="30"/>
  <c r="V19" i="30"/>
  <c r="T19" i="30"/>
  <c r="AE19" i="30" s="1"/>
  <c r="AK18" i="30"/>
  <c r="AF18" i="30"/>
  <c r="AG18" i="30" s="1"/>
  <c r="Y18" i="30"/>
  <c r="V18" i="30"/>
  <c r="T18" i="30"/>
  <c r="AH18" i="30" s="1"/>
  <c r="AI18" i="30" s="1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E14" i="30" s="1"/>
  <c r="AK13" i="30"/>
  <c r="AF13" i="30"/>
  <c r="AG13" i="30" s="1"/>
  <c r="Y13" i="30"/>
  <c r="V13" i="30"/>
  <c r="T13" i="30"/>
  <c r="AE13" i="30" s="1"/>
  <c r="AK12" i="30"/>
  <c r="AF12" i="30"/>
  <c r="AG12" i="30" s="1"/>
  <c r="Y12" i="30"/>
  <c r="V12" i="30"/>
  <c r="T12" i="30"/>
  <c r="AH12" i="30" s="1"/>
  <c r="AI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H10" i="30" s="1"/>
  <c r="AI10" i="30" s="1"/>
  <c r="A10" i="30"/>
  <c r="AK9" i="30"/>
  <c r="AF9" i="30"/>
  <c r="AG9" i="30" s="1"/>
  <c r="Y9" i="30"/>
  <c r="V9" i="30"/>
  <c r="T9" i="30"/>
  <c r="AH9" i="30" s="1"/>
  <c r="AI9" i="30" s="1"/>
  <c r="AK8" i="30"/>
  <c r="AF8" i="30"/>
  <c r="AG8" i="30" s="1"/>
  <c r="Y8" i="30"/>
  <c r="V8" i="30"/>
  <c r="T8" i="30"/>
  <c r="AD8" i="30" s="1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H6" i="30" s="1"/>
  <c r="AI6" i="30" s="1"/>
  <c r="A6" i="30"/>
  <c r="AK5" i="30"/>
  <c r="AF5" i="30"/>
  <c r="AG5" i="30" s="1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40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H46" i="28"/>
  <c r="AI46" i="28" s="1"/>
  <c r="AF46" i="28"/>
  <c r="AG46" i="28" s="1"/>
  <c r="AE46" i="28"/>
  <c r="AD46" i="28"/>
  <c r="Y46" i="28"/>
  <c r="V46" i="28"/>
  <c r="T46" i="28"/>
  <c r="AM45" i="28"/>
  <c r="AK45" i="28"/>
  <c r="AH45" i="28"/>
  <c r="AI45" i="28" s="1"/>
  <c r="AF45" i="28"/>
  <c r="AG45" i="28" s="1"/>
  <c r="AE45" i="28"/>
  <c r="AD45" i="28"/>
  <c r="Y45" i="28"/>
  <c r="V45" i="28"/>
  <c r="T45" i="28"/>
  <c r="AM44" i="28"/>
  <c r="AK44" i="28"/>
  <c r="AH44" i="28"/>
  <c r="AI44" i="28" s="1"/>
  <c r="AF44" i="28"/>
  <c r="AG44" i="28" s="1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H42" i="28"/>
  <c r="AI42" i="28" s="1"/>
  <c r="AF42" i="28"/>
  <c r="AG42" i="28" s="1"/>
  <c r="AL42" i="28" s="1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F40" i="28"/>
  <c r="AG40" i="28" s="1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F38" i="28"/>
  <c r="AG38" i="28" s="1"/>
  <c r="AE38" i="28"/>
  <c r="AD38" i="28"/>
  <c r="Y38" i="28"/>
  <c r="V38" i="28"/>
  <c r="T38" i="28"/>
  <c r="AM38" i="28" s="1"/>
  <c r="AM37" i="28"/>
  <c r="AK37" i="28"/>
  <c r="AF37" i="28"/>
  <c r="AG37" i="28" s="1"/>
  <c r="AD37" i="28"/>
  <c r="Y37" i="28"/>
  <c r="V37" i="28"/>
  <c r="T37" i="28"/>
  <c r="AH37" i="28" s="1"/>
  <c r="AI37" i="28" s="1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F29" i="28"/>
  <c r="AG29" i="28" s="1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F26" i="28"/>
  <c r="AG26" i="28" s="1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AK22" i="28"/>
  <c r="AF22" i="28"/>
  <c r="AG22" i="28" s="1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F14" i="28"/>
  <c r="AG14" i="28" s="1"/>
  <c r="Y14" i="28"/>
  <c r="V14" i="28"/>
  <c r="T14" i="28"/>
  <c r="AE14" i="28" s="1"/>
  <c r="AM13" i="28"/>
  <c r="AK13" i="28"/>
  <c r="AF13" i="28"/>
  <c r="AG13" i="28" s="1"/>
  <c r="AE13" i="28"/>
  <c r="AD13" i="28"/>
  <c r="Y13" i="28"/>
  <c r="V13" i="28"/>
  <c r="T13" i="28"/>
  <c r="AH13" i="28" s="1"/>
  <c r="AI13" i="28" s="1"/>
  <c r="AM12" i="28"/>
  <c r="AK12" i="28"/>
  <c r="AH12" i="28"/>
  <c r="AI12" i="28" s="1"/>
  <c r="AF12" i="28"/>
  <c r="AG12" i="28" s="1"/>
  <c r="Y12" i="28"/>
  <c r="V12" i="28"/>
  <c r="T12" i="28"/>
  <c r="AE12" i="28" s="1"/>
  <c r="A12" i="28"/>
  <c r="J39" i="68" s="1"/>
  <c r="AK11" i="28"/>
  <c r="AF11" i="28"/>
  <c r="AG11" i="28" s="1"/>
  <c r="Y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Y9" i="28"/>
  <c r="V9" i="28"/>
  <c r="T9" i="28"/>
  <c r="AH9" i="28" s="1"/>
  <c r="AI9" i="28" s="1"/>
  <c r="AK8" i="28"/>
  <c r="AF8" i="28"/>
  <c r="AG8" i="28" s="1"/>
  <c r="Y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F6" i="28"/>
  <c r="AG6" i="28" s="1"/>
  <c r="AD6" i="28"/>
  <c r="Y6" i="28"/>
  <c r="V6" i="28"/>
  <c r="T6" i="28"/>
  <c r="AH6" i="28" s="1"/>
  <c r="AI6" i="28" s="1"/>
  <c r="A6" i="28"/>
  <c r="AM5" i="28"/>
  <c r="AK5" i="28"/>
  <c r="AF5" i="28"/>
  <c r="AG5" i="28" s="1"/>
  <c r="Y5" i="28"/>
  <c r="V5" i="28"/>
  <c r="T5" i="28"/>
  <c r="AH5" i="28" s="1"/>
  <c r="AI5" i="28" s="1"/>
  <c r="F1" i="28"/>
  <c r="AM24" i="27"/>
  <c r="AK24" i="27"/>
  <c r="AH24" i="27"/>
  <c r="AI24" i="27" s="1"/>
  <c r="AF24" i="27"/>
  <c r="AG24" i="27" s="1"/>
  <c r="AE24" i="27"/>
  <c r="AD24" i="27"/>
  <c r="Y24" i="27"/>
  <c r="V24" i="27"/>
  <c r="T24" i="27"/>
  <c r="AM23" i="27"/>
  <c r="AK23" i="27"/>
  <c r="AH23" i="27"/>
  <c r="AI23" i="27" s="1"/>
  <c r="AF23" i="27"/>
  <c r="AG23" i="27" s="1"/>
  <c r="AE23" i="27"/>
  <c r="AD23" i="27"/>
  <c r="Y23" i="27"/>
  <c r="V23" i="27"/>
  <c r="T23" i="27"/>
  <c r="AM22" i="27"/>
  <c r="AK22" i="27"/>
  <c r="AH22" i="27"/>
  <c r="AI22" i="27" s="1"/>
  <c r="AF22" i="27"/>
  <c r="AG22" i="27" s="1"/>
  <c r="AE22" i="27"/>
  <c r="AD22" i="27"/>
  <c r="AN22" i="27" s="1"/>
  <c r="Y22" i="27"/>
  <c r="V22" i="27"/>
  <c r="T22" i="27"/>
  <c r="AM21" i="27"/>
  <c r="AK21" i="27"/>
  <c r="AH21" i="27"/>
  <c r="AI21" i="27" s="1"/>
  <c r="AF21" i="27"/>
  <c r="AG21" i="27" s="1"/>
  <c r="AE21" i="27"/>
  <c r="AD21" i="27"/>
  <c r="Y21" i="27"/>
  <c r="V21" i="27"/>
  <c r="T21" i="27"/>
  <c r="AM20" i="27"/>
  <c r="AK20" i="27"/>
  <c r="AH20" i="27"/>
  <c r="AI20" i="27" s="1"/>
  <c r="AF20" i="27"/>
  <c r="AG20" i="27" s="1"/>
  <c r="AE20" i="27"/>
  <c r="AD20" i="27"/>
  <c r="Y20" i="27"/>
  <c r="V20" i="27"/>
  <c r="T20" i="27"/>
  <c r="AM19" i="27"/>
  <c r="AK19" i="27"/>
  <c r="AF19" i="27"/>
  <c r="AG19" i="27" s="1"/>
  <c r="Y19" i="27"/>
  <c r="V19" i="27"/>
  <c r="T19" i="27"/>
  <c r="AH19" i="27" s="1"/>
  <c r="AI19" i="27" s="1"/>
  <c r="AJ19" i="27" s="1"/>
  <c r="AM18" i="27"/>
  <c r="AK18" i="27"/>
  <c r="AH18" i="27"/>
  <c r="AI18" i="27" s="1"/>
  <c r="AF18" i="27"/>
  <c r="AG18" i="27" s="1"/>
  <c r="AD18" i="27"/>
  <c r="Y18" i="27"/>
  <c r="V18" i="27"/>
  <c r="T18" i="27"/>
  <c r="AE18" i="27" s="1"/>
  <c r="AM17" i="27"/>
  <c r="AK17" i="27"/>
  <c r="AF17" i="27"/>
  <c r="AG17" i="27" s="1"/>
  <c r="AE17" i="27"/>
  <c r="Y17" i="27"/>
  <c r="V17" i="27"/>
  <c r="T17" i="27"/>
  <c r="AD17" i="27" s="1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Y15" i="27"/>
  <c r="V15" i="27"/>
  <c r="T15" i="27"/>
  <c r="AH15" i="27" s="1"/>
  <c r="AI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F13" i="27"/>
  <c r="AG13" i="27" s="1"/>
  <c r="Y13" i="27"/>
  <c r="V13" i="27"/>
  <c r="T13" i="27"/>
  <c r="AH13" i="27" s="1"/>
  <c r="AI13" i="27" s="1"/>
  <c r="AM12" i="27"/>
  <c r="AK12" i="27"/>
  <c r="AF12" i="27"/>
  <c r="AG12" i="27" s="1"/>
  <c r="Y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M7" i="27"/>
  <c r="AK7" i="27"/>
  <c r="AF7" i="27"/>
  <c r="AG7" i="27" s="1"/>
  <c r="AD7" i="27"/>
  <c r="Y7" i="27"/>
  <c r="V7" i="27"/>
  <c r="T7" i="27"/>
  <c r="AK6" i="27"/>
  <c r="AF6" i="27"/>
  <c r="AG6" i="27" s="1"/>
  <c r="Y6" i="27"/>
  <c r="W6" i="27"/>
  <c r="V6" i="27"/>
  <c r="T6" i="27"/>
  <c r="AD6" i="27" s="1"/>
  <c r="AK5" i="27"/>
  <c r="AF5" i="27"/>
  <c r="AG5" i="27" s="1"/>
  <c r="Y5" i="27"/>
  <c r="V5" i="27"/>
  <c r="T5" i="27"/>
  <c r="AH5" i="27" s="1"/>
  <c r="AI5" i="27" s="1"/>
  <c r="F1" i="27"/>
  <c r="AM24" i="26"/>
  <c r="AK24" i="26"/>
  <c r="AH24" i="26"/>
  <c r="AI24" i="26" s="1"/>
  <c r="AF24" i="26"/>
  <c r="AG24" i="26" s="1"/>
  <c r="AE24" i="26"/>
  <c r="AD24" i="26"/>
  <c r="Y24" i="26"/>
  <c r="V24" i="26"/>
  <c r="T24" i="26"/>
  <c r="AM23" i="26"/>
  <c r="AK23" i="26"/>
  <c r="AH23" i="26"/>
  <c r="AI23" i="26" s="1"/>
  <c r="AF23" i="26"/>
  <c r="AG23" i="26" s="1"/>
  <c r="AE23" i="26"/>
  <c r="AD23" i="26"/>
  <c r="Y23" i="26"/>
  <c r="V23" i="26"/>
  <c r="T23" i="26"/>
  <c r="AM22" i="26"/>
  <c r="AK22" i="26"/>
  <c r="AH22" i="26"/>
  <c r="AI22" i="26" s="1"/>
  <c r="AF22" i="26"/>
  <c r="AG22" i="26" s="1"/>
  <c r="AE22" i="26"/>
  <c r="AD22" i="26"/>
  <c r="Y22" i="26"/>
  <c r="V22" i="26"/>
  <c r="T22" i="26"/>
  <c r="AM21" i="26"/>
  <c r="AK21" i="26"/>
  <c r="AH21" i="26"/>
  <c r="AI21" i="26" s="1"/>
  <c r="AF21" i="26"/>
  <c r="AG21" i="26" s="1"/>
  <c r="AJ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H15" i="26"/>
  <c r="AI15" i="26" s="1"/>
  <c r="AF15" i="26"/>
  <c r="AG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T10" i="26"/>
  <c r="AE10" i="26" s="1"/>
  <c r="A10" i="26"/>
  <c r="W15" i="26" s="1"/>
  <c r="AM9" i="26"/>
  <c r="AK9" i="26"/>
  <c r="AF9" i="26"/>
  <c r="AG9" i="26" s="1"/>
  <c r="Y9" i="26"/>
  <c r="V9" i="26"/>
  <c r="T9" i="26"/>
  <c r="AD9" i="26" s="1"/>
  <c r="AM8" i="26"/>
  <c r="AK8" i="26"/>
  <c r="AF8" i="26"/>
  <c r="AG8" i="26" s="1"/>
  <c r="Y8" i="26"/>
  <c r="V8" i="26"/>
  <c r="T8" i="26"/>
  <c r="AH8" i="26" s="1"/>
  <c r="AI8" i="26" s="1"/>
  <c r="AK7" i="26"/>
  <c r="AF7" i="26"/>
  <c r="AG7" i="26" s="1"/>
  <c r="Y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Y5" i="26"/>
  <c r="V5" i="26"/>
  <c r="T5" i="26"/>
  <c r="AH5" i="26" s="1"/>
  <c r="AI5" i="26" s="1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H23" i="25"/>
  <c r="AI23" i="25" s="1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H21" i="25"/>
  <c r="AI21" i="25" s="1"/>
  <c r="AF21" i="25"/>
  <c r="AG21" i="25" s="1"/>
  <c r="AJ21" i="25" s="1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F19" i="25"/>
  <c r="AG19" i="25" s="1"/>
  <c r="AE19" i="25"/>
  <c r="AD19" i="25"/>
  <c r="Y19" i="25"/>
  <c r="V19" i="25"/>
  <c r="T19" i="25"/>
  <c r="AM18" i="25"/>
  <c r="AK18" i="25"/>
  <c r="AH18" i="25"/>
  <c r="AI18" i="25" s="1"/>
  <c r="AF18" i="25"/>
  <c r="AG18" i="25" s="1"/>
  <c r="AL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H15" i="25"/>
  <c r="AI15" i="25" s="1"/>
  <c r="AF15" i="25"/>
  <c r="AG15" i="25" s="1"/>
  <c r="AE15" i="25"/>
  <c r="AD15" i="25"/>
  <c r="Y15" i="25"/>
  <c r="V15" i="25"/>
  <c r="T15" i="25"/>
  <c r="AM14" i="25"/>
  <c r="AK14" i="25"/>
  <c r="AH14" i="25"/>
  <c r="AI14" i="25" s="1"/>
  <c r="AF14" i="25"/>
  <c r="AG14" i="25" s="1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F10" i="25"/>
  <c r="AG10" i="25" s="1"/>
  <c r="Y10" i="25"/>
  <c r="V10" i="25"/>
  <c r="T10" i="25"/>
  <c r="AH10" i="25" s="1"/>
  <c r="AI10" i="25" s="1"/>
  <c r="A10" i="25"/>
  <c r="U15" i="25" s="1"/>
  <c r="AK9" i="25"/>
  <c r="AF9" i="25"/>
  <c r="AG9" i="25" s="1"/>
  <c r="Y9" i="25"/>
  <c r="V9" i="25"/>
  <c r="T9" i="25"/>
  <c r="AM9" i="25" s="1"/>
  <c r="AM8" i="25"/>
  <c r="AK8" i="25"/>
  <c r="AF8" i="25"/>
  <c r="AG8" i="25" s="1"/>
  <c r="Y8" i="25"/>
  <c r="V8" i="25"/>
  <c r="T8" i="25"/>
  <c r="AD8" i="25" s="1"/>
  <c r="AK7" i="25"/>
  <c r="AF7" i="25"/>
  <c r="AG7" i="25" s="1"/>
  <c r="Y7" i="25"/>
  <c r="V7" i="25"/>
  <c r="T7" i="25"/>
  <c r="AH7" i="25" s="1"/>
  <c r="AI7" i="25" s="1"/>
  <c r="AK6" i="25"/>
  <c r="AF6" i="25"/>
  <c r="AG6" i="25" s="1"/>
  <c r="Y6" i="25"/>
  <c r="V6" i="25"/>
  <c r="T6" i="25"/>
  <c r="AD6" i="25" s="1"/>
  <c r="A6" i="25"/>
  <c r="AM5" i="25"/>
  <c r="AK5" i="25"/>
  <c r="AF5" i="25"/>
  <c r="AG5" i="25" s="1"/>
  <c r="Y5" i="25"/>
  <c r="V5" i="25"/>
  <c r="T5" i="25"/>
  <c r="AH5" i="25" s="1"/>
  <c r="AI5" i="25" s="1"/>
  <c r="F1" i="25"/>
  <c r="AM28" i="24"/>
  <c r="AK28" i="24"/>
  <c r="AH28" i="24"/>
  <c r="AI28" i="24" s="1"/>
  <c r="AF28" i="24"/>
  <c r="AG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H26" i="24"/>
  <c r="AI26" i="24" s="1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F23" i="24"/>
  <c r="AG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F21" i="24"/>
  <c r="AG21" i="24" s="1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H19" i="24"/>
  <c r="AI19" i="24" s="1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F12" i="24"/>
  <c r="AG12" i="24" s="1"/>
  <c r="Y12" i="24"/>
  <c r="V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F9" i="24"/>
  <c r="AG9" i="24" s="1"/>
  <c r="Y9" i="24"/>
  <c r="V9" i="24"/>
  <c r="T9" i="24"/>
  <c r="AD9" i="24" s="1"/>
  <c r="AM8" i="24"/>
  <c r="AK8" i="24"/>
  <c r="AF8" i="24"/>
  <c r="AG8" i="24" s="1"/>
  <c r="Y8" i="24"/>
  <c r="V8" i="24"/>
  <c r="T8" i="24"/>
  <c r="AH8" i="24" s="1"/>
  <c r="AI8" i="24" s="1"/>
  <c r="AK7" i="24"/>
  <c r="AF7" i="24"/>
  <c r="AG7" i="24" s="1"/>
  <c r="Y7" i="24"/>
  <c r="V7" i="24"/>
  <c r="T7" i="24"/>
  <c r="AH7" i="24" s="1"/>
  <c r="AI7" i="24" s="1"/>
  <c r="AM6" i="24"/>
  <c r="AK6" i="24"/>
  <c r="AF6" i="24"/>
  <c r="AG6" i="24" s="1"/>
  <c r="AD6" i="24"/>
  <c r="Y6" i="24"/>
  <c r="V6" i="24"/>
  <c r="T6" i="24"/>
  <c r="A6" i="24"/>
  <c r="AK5" i="24"/>
  <c r="AF5" i="24"/>
  <c r="AG5" i="24" s="1"/>
  <c r="Y5" i="24"/>
  <c r="V5" i="24"/>
  <c r="T5" i="24"/>
  <c r="AD5" i="24" s="1"/>
  <c r="F1" i="24"/>
  <c r="AM27" i="23"/>
  <c r="AK27" i="23"/>
  <c r="AH27" i="23"/>
  <c r="AI27" i="23" s="1"/>
  <c r="AF27" i="23"/>
  <c r="AG27" i="23" s="1"/>
  <c r="AE27" i="23"/>
  <c r="AD27" i="23"/>
  <c r="Y27" i="23"/>
  <c r="V27" i="23"/>
  <c r="T27" i="23"/>
  <c r="AM26" i="23"/>
  <c r="AK26" i="23"/>
  <c r="AH26" i="23"/>
  <c r="AI26" i="23" s="1"/>
  <c r="AF26" i="23"/>
  <c r="AG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Y15" i="23"/>
  <c r="V15" i="23"/>
  <c r="T15" i="23"/>
  <c r="AH15" i="23" s="1"/>
  <c r="AI15" i="23" s="1"/>
  <c r="AM14" i="23"/>
  <c r="AK14" i="23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F11" i="23"/>
  <c r="AG11" i="23" s="1"/>
  <c r="Y11" i="23"/>
  <c r="V11" i="23"/>
  <c r="T11" i="23"/>
  <c r="AD11" i="23" s="1"/>
  <c r="AK10" i="23"/>
  <c r="AF10" i="23"/>
  <c r="AG10" i="23" s="1"/>
  <c r="Y10" i="23"/>
  <c r="V10" i="23"/>
  <c r="T10" i="23"/>
  <c r="AE10" i="23" s="1"/>
  <c r="A10" i="23"/>
  <c r="U15" i="23" s="1"/>
  <c r="AM9" i="23"/>
  <c r="AK9" i="23"/>
  <c r="AF9" i="23"/>
  <c r="AG9" i="23" s="1"/>
  <c r="Y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F6" i="23"/>
  <c r="AG6" i="23" s="1"/>
  <c r="Y6" i="23"/>
  <c r="V6" i="23"/>
  <c r="T6" i="23"/>
  <c r="A6" i="23"/>
  <c r="AM5" i="23"/>
  <c r="AK5" i="23"/>
  <c r="AF5" i="23"/>
  <c r="AG5" i="23" s="1"/>
  <c r="Y5" i="23"/>
  <c r="A14" i="23" s="1"/>
  <c r="K33" i="68" s="1"/>
  <c r="V5" i="23"/>
  <c r="T5" i="23"/>
  <c r="AD5" i="23" s="1"/>
  <c r="F1" i="23"/>
  <c r="AM24" i="72"/>
  <c r="AK24" i="72"/>
  <c r="AH24" i="72"/>
  <c r="AI24" i="72" s="1"/>
  <c r="AF24" i="72"/>
  <c r="AG24" i="72" s="1"/>
  <c r="AE24" i="72"/>
  <c r="AD24" i="72"/>
  <c r="Y24" i="72"/>
  <c r="V24" i="72"/>
  <c r="T24" i="72"/>
  <c r="AM23" i="72"/>
  <c r="AK23" i="72"/>
  <c r="AH23" i="72"/>
  <c r="AI23" i="72" s="1"/>
  <c r="AF23" i="72"/>
  <c r="AG23" i="72" s="1"/>
  <c r="AE23" i="72"/>
  <c r="AD23" i="72"/>
  <c r="Y23" i="72"/>
  <c r="V23" i="72"/>
  <c r="T23" i="72"/>
  <c r="AM22" i="72"/>
  <c r="AK22" i="72"/>
  <c r="AH22" i="72"/>
  <c r="AI22" i="72" s="1"/>
  <c r="AF22" i="72"/>
  <c r="AG22" i="72" s="1"/>
  <c r="AL22" i="72" s="1"/>
  <c r="AE22" i="72"/>
  <c r="AD22" i="72"/>
  <c r="Y22" i="72"/>
  <c r="V22" i="72"/>
  <c r="T22" i="72"/>
  <c r="AM21" i="72"/>
  <c r="AK21" i="72"/>
  <c r="AH21" i="72"/>
  <c r="AI21" i="72" s="1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F18" i="72"/>
  <c r="AG18" i="72" s="1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H13" i="72"/>
  <c r="AI13" i="72" s="1"/>
  <c r="AF13" i="72"/>
  <c r="AG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30" i="68" s="1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Y10" i="72"/>
  <c r="V10" i="72"/>
  <c r="T10" i="72"/>
  <c r="A10" i="72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H8" i="72"/>
  <c r="AI8" i="72" s="1"/>
  <c r="AF8" i="72"/>
  <c r="AG8" i="72" s="1"/>
  <c r="AD8" i="72"/>
  <c r="Y8" i="72"/>
  <c r="V8" i="72"/>
  <c r="T8" i="72"/>
  <c r="AM7" i="72"/>
  <c r="AK7" i="72"/>
  <c r="AH7" i="72"/>
  <c r="AI7" i="72" s="1"/>
  <c r="AF7" i="72"/>
  <c r="AG7" i="72" s="1"/>
  <c r="AD7" i="72"/>
  <c r="Y7" i="72"/>
  <c r="V7" i="72"/>
  <c r="T7" i="72"/>
  <c r="AM6" i="72"/>
  <c r="AK6" i="72"/>
  <c r="AF6" i="72"/>
  <c r="AG6" i="72" s="1"/>
  <c r="Y6" i="72"/>
  <c r="V6" i="72"/>
  <c r="T6" i="72"/>
  <c r="AH6" i="72" s="1"/>
  <c r="AI6" i="72" s="1"/>
  <c r="A6" i="72"/>
  <c r="AM5" i="72"/>
  <c r="S30" i="68" s="1"/>
  <c r="AK5" i="72"/>
  <c r="AF5" i="72"/>
  <c r="AG5" i="72" s="1"/>
  <c r="Y5" i="72"/>
  <c r="A14" i="72" s="1"/>
  <c r="K30" i="68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Y23" i="70"/>
  <c r="V23" i="70"/>
  <c r="T23" i="70"/>
  <c r="AH23" i="70" s="1"/>
  <c r="AI23" i="70" s="1"/>
  <c r="AM22" i="70"/>
  <c r="AK22" i="70"/>
  <c r="AF22" i="70"/>
  <c r="AG22" i="70" s="1"/>
  <c r="Y22" i="70"/>
  <c r="V22" i="70"/>
  <c r="T22" i="70"/>
  <c r="AH22" i="70" s="1"/>
  <c r="AI22" i="70" s="1"/>
  <c r="AM21" i="70"/>
  <c r="AK21" i="70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E20" i="70"/>
  <c r="AD20" i="70"/>
  <c r="Y20" i="70"/>
  <c r="V20" i="70"/>
  <c r="T20" i="70"/>
  <c r="AH20" i="70" s="1"/>
  <c r="AI20" i="70" s="1"/>
  <c r="AM19" i="70"/>
  <c r="AK19" i="70"/>
  <c r="AH19" i="70"/>
  <c r="AI19" i="70" s="1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F15" i="70"/>
  <c r="AG15" i="70" s="1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F12" i="70"/>
  <c r="AG12" i="70" s="1"/>
  <c r="Y12" i="70"/>
  <c r="V12" i="70"/>
  <c r="T12" i="70"/>
  <c r="AE12" i="70" s="1"/>
  <c r="A12" i="70"/>
  <c r="J28" i="68" s="1"/>
  <c r="AM11" i="70"/>
  <c r="AK11" i="70"/>
  <c r="AF11" i="70"/>
  <c r="AG11" i="70" s="1"/>
  <c r="Y11" i="70"/>
  <c r="V11" i="70"/>
  <c r="T11" i="70"/>
  <c r="AE11" i="70" s="1"/>
  <c r="AM10" i="70"/>
  <c r="AK10" i="70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Y9" i="70"/>
  <c r="V9" i="70"/>
  <c r="T9" i="70"/>
  <c r="AD9" i="70" s="1"/>
  <c r="AK8" i="70"/>
  <c r="AF8" i="70"/>
  <c r="AG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F5" i="70"/>
  <c r="AG5" i="70" s="1"/>
  <c r="Y5" i="70"/>
  <c r="V5" i="70"/>
  <c r="T5" i="70"/>
  <c r="AM5" i="70" s="1"/>
  <c r="F1" i="70"/>
  <c r="AM67" i="69"/>
  <c r="AK67" i="69"/>
  <c r="AH67" i="69"/>
  <c r="AI67" i="69" s="1"/>
  <c r="AF67" i="69"/>
  <c r="AG67" i="69" s="1"/>
  <c r="AL67" i="69" s="1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H65" i="69"/>
  <c r="AI65" i="69" s="1"/>
  <c r="AF65" i="69"/>
  <c r="AG65" i="69" s="1"/>
  <c r="AE65" i="69"/>
  <c r="AD65" i="69"/>
  <c r="Y65" i="69"/>
  <c r="V65" i="69"/>
  <c r="T65" i="69"/>
  <c r="AM64" i="69"/>
  <c r="AK64" i="69"/>
  <c r="AH64" i="69"/>
  <c r="AI64" i="69" s="1"/>
  <c r="AF64" i="69"/>
  <c r="AG64" i="69" s="1"/>
  <c r="AE64" i="69"/>
  <c r="AD64" i="69"/>
  <c r="Y64" i="69"/>
  <c r="V64" i="69"/>
  <c r="T64" i="69"/>
  <c r="AM63" i="69"/>
  <c r="AK63" i="69"/>
  <c r="AH63" i="69"/>
  <c r="AI63" i="69" s="1"/>
  <c r="AF63" i="69"/>
  <c r="AG63" i="69" s="1"/>
  <c r="AE63" i="69"/>
  <c r="AD63" i="69"/>
  <c r="Y63" i="69"/>
  <c r="V63" i="69"/>
  <c r="T63" i="69"/>
  <c r="AM62" i="69"/>
  <c r="AK62" i="69"/>
  <c r="AH62" i="69"/>
  <c r="AI62" i="69" s="1"/>
  <c r="AF62" i="69"/>
  <c r="AG62" i="69" s="1"/>
  <c r="AE62" i="69"/>
  <c r="AD62" i="69"/>
  <c r="Y62" i="69"/>
  <c r="V62" i="69"/>
  <c r="T62" i="69"/>
  <c r="AM61" i="69"/>
  <c r="AK61" i="69"/>
  <c r="AH61" i="69"/>
  <c r="AI61" i="69" s="1"/>
  <c r="AF61" i="69"/>
  <c r="AG61" i="69" s="1"/>
  <c r="AE61" i="69"/>
  <c r="AD61" i="69"/>
  <c r="Y61" i="69"/>
  <c r="V61" i="69"/>
  <c r="T61" i="69"/>
  <c r="AM60" i="69"/>
  <c r="AK60" i="69"/>
  <c r="AH60" i="69"/>
  <c r="AI60" i="69" s="1"/>
  <c r="AF60" i="69"/>
  <c r="AG60" i="69" s="1"/>
  <c r="AE60" i="69"/>
  <c r="AD60" i="69"/>
  <c r="Y60" i="69"/>
  <c r="V60" i="69"/>
  <c r="T60" i="69"/>
  <c r="AM59" i="69"/>
  <c r="AK59" i="69"/>
  <c r="AH59" i="69"/>
  <c r="AI59" i="69" s="1"/>
  <c r="AF59" i="69"/>
  <c r="AG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Y58" i="69"/>
  <c r="V58" i="69"/>
  <c r="T58" i="69"/>
  <c r="AM57" i="69"/>
  <c r="AK57" i="69"/>
  <c r="AH57" i="69"/>
  <c r="AI57" i="69" s="1"/>
  <c r="AF57" i="69"/>
  <c r="AG57" i="69" s="1"/>
  <c r="AE57" i="69"/>
  <c r="AD57" i="69"/>
  <c r="AN57" i="69" s="1"/>
  <c r="Y57" i="69"/>
  <c r="V57" i="69"/>
  <c r="T57" i="69"/>
  <c r="AM56" i="69"/>
  <c r="AK56" i="69"/>
  <c r="AH56" i="69"/>
  <c r="AI56" i="69" s="1"/>
  <c r="AG56" i="69"/>
  <c r="AF56" i="69"/>
  <c r="AE56" i="69"/>
  <c r="AD56" i="69"/>
  <c r="Y56" i="69"/>
  <c r="V56" i="69"/>
  <c r="T56" i="69"/>
  <c r="AM55" i="69"/>
  <c r="AK55" i="69"/>
  <c r="AH55" i="69"/>
  <c r="AI55" i="69" s="1"/>
  <c r="AF55" i="69"/>
  <c r="AG55" i="69" s="1"/>
  <c r="AE55" i="69"/>
  <c r="AD55" i="69"/>
  <c r="Y55" i="69"/>
  <c r="V55" i="69"/>
  <c r="T55" i="69"/>
  <c r="AM54" i="69"/>
  <c r="AK54" i="69"/>
  <c r="AH54" i="69"/>
  <c r="AI54" i="69" s="1"/>
  <c r="AF54" i="69"/>
  <c r="AG54" i="69" s="1"/>
  <c r="AE54" i="69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T52" i="69"/>
  <c r="AM51" i="69"/>
  <c r="AK51" i="69"/>
  <c r="AH51" i="69"/>
  <c r="AI51" i="69" s="1"/>
  <c r="AF51" i="69"/>
  <c r="AG51" i="69" s="1"/>
  <c r="AE51" i="69"/>
  <c r="AD51" i="69"/>
  <c r="Y51" i="69"/>
  <c r="V51" i="69"/>
  <c r="T51" i="69"/>
  <c r="AM50" i="69"/>
  <c r="AK50" i="69"/>
  <c r="AH50" i="69"/>
  <c r="AI50" i="69" s="1"/>
  <c r="AF50" i="69"/>
  <c r="AG50" i="69" s="1"/>
  <c r="AE50" i="69"/>
  <c r="AD50" i="69"/>
  <c r="Y50" i="69"/>
  <c r="V50" i="69"/>
  <c r="T50" i="69"/>
  <c r="AM49" i="69"/>
  <c r="AK49" i="69"/>
  <c r="AH49" i="69"/>
  <c r="AI49" i="69" s="1"/>
  <c r="AF49" i="69"/>
  <c r="AG49" i="69" s="1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Y46" i="69"/>
  <c r="V46" i="69"/>
  <c r="T46" i="69"/>
  <c r="AM45" i="69"/>
  <c r="AK45" i="69"/>
  <c r="AH45" i="69"/>
  <c r="AI45" i="69" s="1"/>
  <c r="AF45" i="69"/>
  <c r="AG45" i="69" s="1"/>
  <c r="AE45" i="69"/>
  <c r="AD45" i="69"/>
  <c r="Y45" i="69"/>
  <c r="V45" i="69"/>
  <c r="T45" i="69"/>
  <c r="AM44" i="69"/>
  <c r="AK44" i="69"/>
  <c r="AH44" i="69"/>
  <c r="AI44" i="69" s="1"/>
  <c r="AF44" i="69"/>
  <c r="AG44" i="69" s="1"/>
  <c r="AE44" i="69"/>
  <c r="AD44" i="69"/>
  <c r="Y44" i="69"/>
  <c r="V44" i="69"/>
  <c r="T44" i="69"/>
  <c r="AM43" i="69"/>
  <c r="AK43" i="69"/>
  <c r="AH43" i="69"/>
  <c r="AI43" i="69" s="1"/>
  <c r="AF43" i="69"/>
  <c r="AG43" i="69" s="1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H40" i="69"/>
  <c r="AI40" i="69" s="1"/>
  <c r="AG40" i="69"/>
  <c r="AJ40" i="69" s="1"/>
  <c r="AF40" i="69"/>
  <c r="AE40" i="69"/>
  <c r="AD40" i="69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G38" i="69"/>
  <c r="AL38" i="69" s="1"/>
  <c r="AF38" i="69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F26" i="69"/>
  <c r="AG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Y10" i="69"/>
  <c r="V10" i="69"/>
  <c r="T10" i="69"/>
  <c r="AD10" i="69" s="1"/>
  <c r="A10" i="69"/>
  <c r="W14" i="69" s="1"/>
  <c r="AK9" i="69"/>
  <c r="AF9" i="69"/>
  <c r="AG9" i="69" s="1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T6" i="69"/>
  <c r="A6" i="69"/>
  <c r="AM5" i="69"/>
  <c r="AK5" i="69"/>
  <c r="AF5" i="69"/>
  <c r="AG5" i="69" s="1"/>
  <c r="Y5" i="69"/>
  <c r="A14" i="69" s="1"/>
  <c r="K27" i="68" s="1"/>
  <c r="V5" i="69"/>
  <c r="T5" i="69"/>
  <c r="F1" i="69"/>
  <c r="AM91" i="22"/>
  <c r="AK91" i="22"/>
  <c r="AH91" i="22"/>
  <c r="AI91" i="22" s="1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H86" i="22"/>
  <c r="AI86" i="22" s="1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F84" i="22"/>
  <c r="AG84" i="22" s="1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H81" i="22"/>
  <c r="AI81" i="22" s="1"/>
  <c r="AF81" i="22"/>
  <c r="AG81" i="22" s="1"/>
  <c r="AJ81" i="22" s="1"/>
  <c r="AE81" i="22"/>
  <c r="AD81" i="22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F78" i="22"/>
  <c r="AG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Y76" i="22"/>
  <c r="V76" i="22"/>
  <c r="T76" i="22"/>
  <c r="AM75" i="22"/>
  <c r="AK75" i="22"/>
  <c r="AH75" i="22"/>
  <c r="AI75" i="22" s="1"/>
  <c r="AF75" i="22"/>
  <c r="AG75" i="22" s="1"/>
  <c r="AE75" i="22"/>
  <c r="AD75" i="22"/>
  <c r="Y75" i="22"/>
  <c r="V75" i="22"/>
  <c r="T75" i="22"/>
  <c r="AM74" i="22"/>
  <c r="AK74" i="22"/>
  <c r="AH74" i="22"/>
  <c r="AI74" i="22" s="1"/>
  <c r="AF74" i="22"/>
  <c r="AG74" i="22" s="1"/>
  <c r="AJ74" i="22" s="1"/>
  <c r="AE74" i="22"/>
  <c r="AD74" i="22"/>
  <c r="Y74" i="22"/>
  <c r="V74" i="22"/>
  <c r="T74" i="22"/>
  <c r="AM73" i="22"/>
  <c r="AK73" i="22"/>
  <c r="AH73" i="22"/>
  <c r="AI73" i="22" s="1"/>
  <c r="AF73" i="22"/>
  <c r="AG73" i="22" s="1"/>
  <c r="AE73" i="22"/>
  <c r="AD73" i="22"/>
  <c r="Y73" i="22"/>
  <c r="V73" i="22"/>
  <c r="T73" i="22"/>
  <c r="AM72" i="22"/>
  <c r="AK72" i="22"/>
  <c r="AH72" i="22"/>
  <c r="AI72" i="22" s="1"/>
  <c r="AF72" i="22"/>
  <c r="AG72" i="22" s="1"/>
  <c r="AE72" i="22"/>
  <c r="AD72" i="22"/>
  <c r="Y72" i="22"/>
  <c r="V72" i="22"/>
  <c r="T72" i="22"/>
  <c r="AM71" i="22"/>
  <c r="AK71" i="22"/>
  <c r="AH71" i="22"/>
  <c r="AI71" i="22" s="1"/>
  <c r="AF71" i="22"/>
  <c r="AG71" i="22" s="1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E69" i="22"/>
  <c r="AD69" i="22"/>
  <c r="Y69" i="22"/>
  <c r="V69" i="22"/>
  <c r="T69" i="22"/>
  <c r="AM68" i="22"/>
  <c r="AK68" i="22"/>
  <c r="AH68" i="22"/>
  <c r="AI68" i="22" s="1"/>
  <c r="AF68" i="22"/>
  <c r="AG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F66" i="22"/>
  <c r="AG66" i="22" s="1"/>
  <c r="Y66" i="22"/>
  <c r="V66" i="22"/>
  <c r="T66" i="22"/>
  <c r="AE66" i="22" s="1"/>
  <c r="AM65" i="22"/>
  <c r="AK65" i="22"/>
  <c r="AF65" i="22"/>
  <c r="AG65" i="22" s="1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Y64" i="22"/>
  <c r="V64" i="22"/>
  <c r="T64" i="22"/>
  <c r="AD64" i="22" s="1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F62" i="22"/>
  <c r="AG62" i="22" s="1"/>
  <c r="Y62" i="22"/>
  <c r="V62" i="22"/>
  <c r="T62" i="22"/>
  <c r="AE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AD60" i="22"/>
  <c r="Y60" i="22"/>
  <c r="V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E55" i="22" s="1"/>
  <c r="AM54" i="22"/>
  <c r="AK54" i="22"/>
  <c r="AF54" i="22"/>
  <c r="AG54" i="22" s="1"/>
  <c r="Y54" i="22"/>
  <c r="V54" i="22"/>
  <c r="T54" i="22"/>
  <c r="AH54" i="22" s="1"/>
  <c r="AI54" i="22" s="1"/>
  <c r="AK53" i="22"/>
  <c r="AF53" i="22"/>
  <c r="AG53" i="22" s="1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F46" i="22"/>
  <c r="AG46" i="22" s="1"/>
  <c r="Y46" i="22"/>
  <c r="V46" i="22"/>
  <c r="T46" i="22"/>
  <c r="AE46" i="22" s="1"/>
  <c r="AM45" i="22"/>
  <c r="AK45" i="22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Y43" i="22"/>
  <c r="V43" i="22"/>
  <c r="T43" i="22"/>
  <c r="AE43" i="22" s="1"/>
  <c r="AM42" i="22"/>
  <c r="AK42" i="22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E33" i="22" s="1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F30" i="22"/>
  <c r="AG30" i="22" s="1"/>
  <c r="Y30" i="22"/>
  <c r="V30" i="22"/>
  <c r="T30" i="22"/>
  <c r="AE30" i="22" s="1"/>
  <c r="AM29" i="22"/>
  <c r="AK29" i="22"/>
  <c r="AF29" i="22"/>
  <c r="AG29" i="22" s="1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Y23" i="22"/>
  <c r="V23" i="22"/>
  <c r="T23" i="22"/>
  <c r="AH23" i="22" s="1"/>
  <c r="AI23" i="22" s="1"/>
  <c r="AM22" i="22"/>
  <c r="AK22" i="22"/>
  <c r="AF22" i="22"/>
  <c r="AG22" i="22" s="1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F20" i="22"/>
  <c r="AG20" i="22" s="1"/>
  <c r="AJ20" i="22" s="1"/>
  <c r="Y20" i="22"/>
  <c r="V20" i="22"/>
  <c r="T20" i="22"/>
  <c r="AH20" i="22" s="1"/>
  <c r="AI20" i="22" s="1"/>
  <c r="AK19" i="22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F15" i="22"/>
  <c r="AG15" i="22" s="1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V8" i="22"/>
  <c r="T8" i="22"/>
  <c r="AD8" i="22" s="1"/>
  <c r="AM7" i="22"/>
  <c r="AK7" i="22"/>
  <c r="AF7" i="22"/>
  <c r="AG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Y6" i="22"/>
  <c r="V6" i="22"/>
  <c r="T6" i="22"/>
  <c r="AD6" i="22" s="1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F23" i="21"/>
  <c r="AG23" i="21" s="1"/>
  <c r="AE23" i="21"/>
  <c r="AD23" i="21"/>
  <c r="Y23" i="21"/>
  <c r="V23" i="21"/>
  <c r="T23" i="21"/>
  <c r="AM22" i="21"/>
  <c r="AK22" i="21"/>
  <c r="AH22" i="21"/>
  <c r="AI22" i="21" s="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F21" i="21"/>
  <c r="AG21" i="21" s="1"/>
  <c r="AE21" i="21"/>
  <c r="AD21" i="21"/>
  <c r="Y21" i="21"/>
  <c r="V21" i="21"/>
  <c r="T21" i="21"/>
  <c r="AM20" i="21"/>
  <c r="AK20" i="21"/>
  <c r="AH20" i="21"/>
  <c r="AI20" i="21" s="1"/>
  <c r="AF20" i="21"/>
  <c r="AG20" i="21" s="1"/>
  <c r="AE20" i="21"/>
  <c r="AD20" i="2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H18" i="21"/>
  <c r="AI18" i="21" s="1"/>
  <c r="AF18" i="21"/>
  <c r="AG18" i="21" s="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V17" i="21"/>
  <c r="T17" i="21"/>
  <c r="AM16" i="21"/>
  <c r="AK16" i="21"/>
  <c r="AH16" i="21"/>
  <c r="AI16" i="21" s="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H13" i="21"/>
  <c r="AI13" i="21" s="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E12" i="21"/>
  <c r="AD12" i="21"/>
  <c r="Y12" i="21"/>
  <c r="V12" i="21"/>
  <c r="T12" i="21"/>
  <c r="A12" i="21"/>
  <c r="J22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AM8" i="21"/>
  <c r="AK8" i="21"/>
  <c r="AF8" i="21"/>
  <c r="AG8" i="21" s="1"/>
  <c r="Y8" i="21"/>
  <c r="V8" i="21"/>
  <c r="T8" i="21"/>
  <c r="AD8" i="21" s="1"/>
  <c r="AK7" i="21"/>
  <c r="AF7" i="21"/>
  <c r="AG7" i="21" s="1"/>
  <c r="Y7" i="21"/>
  <c r="V7" i="21"/>
  <c r="T7" i="21"/>
  <c r="AD7" i="21" s="1"/>
  <c r="AM6" i="21"/>
  <c r="AK6" i="21"/>
  <c r="AF6" i="21"/>
  <c r="AG6" i="21" s="1"/>
  <c r="Y6" i="21"/>
  <c r="V6" i="21"/>
  <c r="T6" i="21"/>
  <c r="AH6" i="21" s="1"/>
  <c r="AI6" i="21" s="1"/>
  <c r="A6" i="21"/>
  <c r="AK5" i="21"/>
  <c r="AF5" i="21"/>
  <c r="AG5" i="21" s="1"/>
  <c r="Y5" i="21"/>
  <c r="V5" i="21"/>
  <c r="T5" i="21"/>
  <c r="AD5" i="21" s="1"/>
  <c r="F1" i="21"/>
  <c r="AM80" i="20"/>
  <c r="AK80" i="20"/>
  <c r="AH80" i="20"/>
  <c r="AI80" i="20" s="1"/>
  <c r="AF80" i="20"/>
  <c r="AG80" i="20" s="1"/>
  <c r="AD80" i="20"/>
  <c r="Y80" i="20"/>
  <c r="V80" i="20"/>
  <c r="T80" i="20"/>
  <c r="AE80" i="20" s="1"/>
  <c r="AM79" i="20"/>
  <c r="AK79" i="20"/>
  <c r="AH79" i="20"/>
  <c r="AI79" i="20" s="1"/>
  <c r="AF79" i="20"/>
  <c r="AG79" i="20" s="1"/>
  <c r="AD79" i="20"/>
  <c r="Y79" i="20"/>
  <c r="V79" i="20"/>
  <c r="T79" i="20"/>
  <c r="AE79" i="20" s="1"/>
  <c r="AK78" i="20"/>
  <c r="AF78" i="20"/>
  <c r="AG78" i="20" s="1"/>
  <c r="Y78" i="20"/>
  <c r="V78" i="20"/>
  <c r="T78" i="20"/>
  <c r="AM78" i="20" s="1"/>
  <c r="AM77" i="20"/>
  <c r="AK77" i="20"/>
  <c r="AH77" i="20"/>
  <c r="AI77" i="20" s="1"/>
  <c r="AF77" i="20"/>
  <c r="AG77" i="20" s="1"/>
  <c r="AE77" i="20"/>
  <c r="AD77" i="20"/>
  <c r="Y77" i="20"/>
  <c r="V77" i="20"/>
  <c r="T77" i="20"/>
  <c r="AK76" i="20"/>
  <c r="AH76" i="20"/>
  <c r="AI76" i="20" s="1"/>
  <c r="AF76" i="20"/>
  <c r="AG76" i="20" s="1"/>
  <c r="Y76" i="20"/>
  <c r="V76" i="20"/>
  <c r="T76" i="20"/>
  <c r="AM76" i="20" s="1"/>
  <c r="AK75" i="20"/>
  <c r="AF75" i="20"/>
  <c r="AG75" i="20" s="1"/>
  <c r="AE75" i="20"/>
  <c r="Y75" i="20"/>
  <c r="V75" i="20"/>
  <c r="T75" i="20"/>
  <c r="AH75" i="20" s="1"/>
  <c r="AI75" i="20" s="1"/>
  <c r="AM74" i="20"/>
  <c r="AK74" i="20"/>
  <c r="AH74" i="20"/>
  <c r="AI74" i="20" s="1"/>
  <c r="AF74" i="20"/>
  <c r="AG74" i="20" s="1"/>
  <c r="AE74" i="20"/>
  <c r="AD74" i="20"/>
  <c r="Y74" i="20"/>
  <c r="V74" i="20"/>
  <c r="T74" i="20"/>
  <c r="AK73" i="20"/>
  <c r="AH73" i="20"/>
  <c r="AI73" i="20" s="1"/>
  <c r="AF73" i="20"/>
  <c r="AG73" i="20" s="1"/>
  <c r="AD73" i="20"/>
  <c r="Y73" i="20"/>
  <c r="V73" i="20"/>
  <c r="T73" i="20"/>
  <c r="AM73" i="20" s="1"/>
  <c r="AM72" i="20"/>
  <c r="AK72" i="20"/>
  <c r="AH72" i="20"/>
  <c r="AI72" i="20" s="1"/>
  <c r="AF72" i="20"/>
  <c r="AG72" i="20" s="1"/>
  <c r="AE72" i="20"/>
  <c r="AD72" i="20"/>
  <c r="Y72" i="20"/>
  <c r="V72" i="20"/>
  <c r="T72" i="20"/>
  <c r="AM71" i="20"/>
  <c r="AK71" i="20"/>
  <c r="AF71" i="20"/>
  <c r="AG71" i="20" s="1"/>
  <c r="AD71" i="20"/>
  <c r="Y71" i="20"/>
  <c r="V71" i="20"/>
  <c r="T71" i="20"/>
  <c r="AH71" i="20" s="1"/>
  <c r="AI71" i="20" s="1"/>
  <c r="AK70" i="20"/>
  <c r="AF70" i="20"/>
  <c r="AG70" i="20" s="1"/>
  <c r="Y70" i="20"/>
  <c r="V70" i="20"/>
  <c r="T70" i="20"/>
  <c r="AM70" i="20" s="1"/>
  <c r="AM69" i="20"/>
  <c r="AK69" i="20"/>
  <c r="AF69" i="20"/>
  <c r="AG69" i="20" s="1"/>
  <c r="AE69" i="20"/>
  <c r="Y69" i="20"/>
  <c r="V69" i="20"/>
  <c r="T69" i="20"/>
  <c r="AH69" i="20" s="1"/>
  <c r="AI69" i="20" s="1"/>
  <c r="AM68" i="20"/>
  <c r="AK68" i="20"/>
  <c r="AH68" i="20"/>
  <c r="AI68" i="20" s="1"/>
  <c r="AF68" i="20"/>
  <c r="AG68" i="20" s="1"/>
  <c r="AD68" i="20"/>
  <c r="Y68" i="20"/>
  <c r="V68" i="20"/>
  <c r="T68" i="20"/>
  <c r="AE68" i="20" s="1"/>
  <c r="AK67" i="20"/>
  <c r="AF67" i="20"/>
  <c r="AG67" i="20" s="1"/>
  <c r="Y67" i="20"/>
  <c r="V67" i="20"/>
  <c r="T67" i="20"/>
  <c r="AE67" i="20" s="1"/>
  <c r="AM66" i="20"/>
  <c r="AK66" i="20"/>
  <c r="AH66" i="20"/>
  <c r="AI66" i="20" s="1"/>
  <c r="AF66" i="20"/>
  <c r="AG66" i="20" s="1"/>
  <c r="AJ66" i="20" s="1"/>
  <c r="AE66" i="20"/>
  <c r="AD66" i="20"/>
  <c r="Y66" i="20"/>
  <c r="V66" i="20"/>
  <c r="T66" i="20"/>
  <c r="AM65" i="20"/>
  <c r="AK65" i="20"/>
  <c r="AF65" i="20"/>
  <c r="AG65" i="20" s="1"/>
  <c r="AD65" i="20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AE63" i="20"/>
  <c r="Y63" i="20"/>
  <c r="V63" i="20"/>
  <c r="T63" i="20"/>
  <c r="AH63" i="20" s="1"/>
  <c r="AI63" i="20" s="1"/>
  <c r="AM62" i="20"/>
  <c r="AK62" i="20"/>
  <c r="AH62" i="20"/>
  <c r="AI62" i="20" s="1"/>
  <c r="AF62" i="20"/>
  <c r="AG62" i="20" s="1"/>
  <c r="AE62" i="20"/>
  <c r="AD62" i="20"/>
  <c r="Y62" i="20"/>
  <c r="V62" i="20"/>
  <c r="T62" i="20"/>
  <c r="AK61" i="20"/>
  <c r="AF61" i="20"/>
  <c r="AG61" i="20" s="1"/>
  <c r="Y61" i="20"/>
  <c r="V61" i="20"/>
  <c r="T61" i="20"/>
  <c r="AE61" i="20" s="1"/>
  <c r="AK60" i="20"/>
  <c r="AF60" i="20"/>
  <c r="AG60" i="20" s="1"/>
  <c r="AE60" i="20"/>
  <c r="Y60" i="20"/>
  <c r="V60" i="20"/>
  <c r="T60" i="20"/>
  <c r="AM60" i="20" s="1"/>
  <c r="AK59" i="20"/>
  <c r="AF59" i="20"/>
  <c r="AG59" i="20" s="1"/>
  <c r="AD59" i="20"/>
  <c r="Y59" i="20"/>
  <c r="V59" i="20"/>
  <c r="T59" i="20"/>
  <c r="AM59" i="20" s="1"/>
  <c r="AK58" i="20"/>
  <c r="AF58" i="20"/>
  <c r="AG58" i="20" s="1"/>
  <c r="Y58" i="20"/>
  <c r="V58" i="20"/>
  <c r="T58" i="20"/>
  <c r="AM58" i="20" s="1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K55" i="20"/>
  <c r="AG55" i="20"/>
  <c r="AF55" i="20"/>
  <c r="Y55" i="20"/>
  <c r="V55" i="20"/>
  <c r="T55" i="20"/>
  <c r="AH55" i="20" s="1"/>
  <c r="AI55" i="20" s="1"/>
  <c r="AK54" i="20"/>
  <c r="AF54" i="20"/>
  <c r="AG54" i="20" s="1"/>
  <c r="Y54" i="20"/>
  <c r="V54" i="20"/>
  <c r="T54" i="20"/>
  <c r="AH54" i="20" s="1"/>
  <c r="AI54" i="20" s="1"/>
  <c r="AK53" i="20"/>
  <c r="AF53" i="20"/>
  <c r="AG53" i="20" s="1"/>
  <c r="Y53" i="20"/>
  <c r="V53" i="20"/>
  <c r="T53" i="20"/>
  <c r="AE53" i="20" s="1"/>
  <c r="AK52" i="20"/>
  <c r="AF52" i="20"/>
  <c r="AG52" i="20" s="1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K46" i="20"/>
  <c r="AF46" i="20"/>
  <c r="AG46" i="20" s="1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K41" i="20"/>
  <c r="AF41" i="20"/>
  <c r="AG41" i="20" s="1"/>
  <c r="Y41" i="20"/>
  <c r="V41" i="20"/>
  <c r="T41" i="20"/>
  <c r="AE41" i="20" s="1"/>
  <c r="AK40" i="20"/>
  <c r="AF40" i="20"/>
  <c r="AG40" i="20" s="1"/>
  <c r="Y40" i="20"/>
  <c r="V40" i="20"/>
  <c r="T40" i="20"/>
  <c r="AH40" i="20" s="1"/>
  <c r="AI40" i="20" s="1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K35" i="20"/>
  <c r="AF35" i="20"/>
  <c r="AG35" i="20" s="1"/>
  <c r="Y35" i="20"/>
  <c r="V35" i="20"/>
  <c r="T35" i="20"/>
  <c r="AE35" i="20" s="1"/>
  <c r="AK34" i="20"/>
  <c r="AF34" i="20"/>
  <c r="AG34" i="20" s="1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F30" i="20"/>
  <c r="AG30" i="20" s="1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F28" i="20"/>
  <c r="AG28" i="20" s="1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K18" i="20"/>
  <c r="AF18" i="20"/>
  <c r="AG18" i="20" s="1"/>
  <c r="Y18" i="20"/>
  <c r="V18" i="20"/>
  <c r="T18" i="20"/>
  <c r="AH18" i="20" s="1"/>
  <c r="AI18" i="20" s="1"/>
  <c r="AK17" i="20"/>
  <c r="AF17" i="20"/>
  <c r="AG17" i="20" s="1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K12" i="20"/>
  <c r="AF12" i="20"/>
  <c r="AG12" i="20" s="1"/>
  <c r="Y12" i="20"/>
  <c r="V12" i="20"/>
  <c r="T12" i="20"/>
  <c r="AH12" i="20" s="1"/>
  <c r="AI12" i="20" s="1"/>
  <c r="A12" i="20"/>
  <c r="AK11" i="20"/>
  <c r="AF11" i="20"/>
  <c r="AG11" i="20" s="1"/>
  <c r="Y11" i="20"/>
  <c r="V11" i="20"/>
  <c r="T11" i="20"/>
  <c r="AD11" i="20" s="1"/>
  <c r="AK10" i="20"/>
  <c r="AF10" i="20"/>
  <c r="AG10" i="20" s="1"/>
  <c r="AE10" i="20"/>
  <c r="Y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K8" i="20"/>
  <c r="AF8" i="20"/>
  <c r="AG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F5" i="20"/>
  <c r="AG5" i="20" s="1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Y24" i="19"/>
  <c r="V24" i="19"/>
  <c r="T24" i="19"/>
  <c r="AM23" i="19"/>
  <c r="AK23" i="19"/>
  <c r="AH23" i="19"/>
  <c r="AI23" i="19" s="1"/>
  <c r="AF23" i="19"/>
  <c r="AG23" i="19" s="1"/>
  <c r="AE23" i="19"/>
  <c r="AD23" i="19"/>
  <c r="Y23" i="19"/>
  <c r="V23" i="19"/>
  <c r="T23" i="19"/>
  <c r="AM22" i="19"/>
  <c r="AK22" i="19"/>
  <c r="AH22" i="19"/>
  <c r="AI22" i="19" s="1"/>
  <c r="AG22" i="19"/>
  <c r="AF22" i="19"/>
  <c r="AE22" i="19"/>
  <c r="AD22" i="19"/>
  <c r="Y22" i="19"/>
  <c r="V22" i="19"/>
  <c r="T22" i="19"/>
  <c r="AM21" i="19"/>
  <c r="AK21" i="19"/>
  <c r="AH21" i="19"/>
  <c r="AI21" i="19" s="1"/>
  <c r="AF21" i="19"/>
  <c r="AG21" i="19" s="1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Y20" i="19"/>
  <c r="V20" i="19"/>
  <c r="T20" i="19"/>
  <c r="AM19" i="19"/>
  <c r="AK19" i="19"/>
  <c r="AH19" i="19"/>
  <c r="AI19" i="19" s="1"/>
  <c r="AF19" i="19"/>
  <c r="AG19" i="19" s="1"/>
  <c r="AE19" i="19"/>
  <c r="AD19" i="19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H17" i="19"/>
  <c r="AI17" i="19" s="1"/>
  <c r="AF17" i="19"/>
  <c r="AG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F15" i="19"/>
  <c r="AG15" i="19" s="1"/>
  <c r="AE15" i="19"/>
  <c r="AD15" i="19"/>
  <c r="Y15" i="19"/>
  <c r="V15" i="19"/>
  <c r="T15" i="19"/>
  <c r="AM14" i="19"/>
  <c r="AK14" i="19"/>
  <c r="AF14" i="19"/>
  <c r="AG14" i="19" s="1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V8" i="19"/>
  <c r="T8" i="19"/>
  <c r="AH8" i="19" s="1"/>
  <c r="AI8" i="19" s="1"/>
  <c r="AM7" i="19"/>
  <c r="AK7" i="19"/>
  <c r="AF7" i="19"/>
  <c r="AG7" i="19" s="1"/>
  <c r="Y7" i="19"/>
  <c r="V7" i="19"/>
  <c r="T7" i="19"/>
  <c r="AH7" i="19" s="1"/>
  <c r="AI7" i="19" s="1"/>
  <c r="AK6" i="19"/>
  <c r="AF6" i="19"/>
  <c r="AG6" i="19" s="1"/>
  <c r="Y6" i="19"/>
  <c r="V6" i="19"/>
  <c r="T6" i="19"/>
  <c r="AD6" i="19" s="1"/>
  <c r="A6" i="19"/>
  <c r="AK5" i="19"/>
  <c r="AF5" i="19"/>
  <c r="AG5" i="19" s="1"/>
  <c r="Y5" i="19"/>
  <c r="V5" i="19"/>
  <c r="T5" i="19"/>
  <c r="AD5" i="19" s="1"/>
  <c r="F1" i="19"/>
  <c r="AM24" i="18"/>
  <c r="AK24" i="18"/>
  <c r="AH24" i="18"/>
  <c r="AI24" i="18" s="1"/>
  <c r="AF24" i="18"/>
  <c r="AG24" i="18" s="1"/>
  <c r="AE24" i="18"/>
  <c r="AD24" i="18"/>
  <c r="Y24" i="18"/>
  <c r="V24" i="18"/>
  <c r="T24" i="18"/>
  <c r="AM23" i="18"/>
  <c r="AK23" i="18"/>
  <c r="AH23" i="18"/>
  <c r="AI23" i="18" s="1"/>
  <c r="AF23" i="18"/>
  <c r="AG23" i="18" s="1"/>
  <c r="AE23" i="18"/>
  <c r="AD23" i="18"/>
  <c r="Y23" i="18"/>
  <c r="V23" i="18"/>
  <c r="T23" i="18"/>
  <c r="AM22" i="18"/>
  <c r="AK22" i="18"/>
  <c r="AH22" i="18"/>
  <c r="AI22" i="18" s="1"/>
  <c r="AF22" i="18"/>
  <c r="AG22" i="18" s="1"/>
  <c r="AE22" i="18"/>
  <c r="AD22" i="18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T21" i="18"/>
  <c r="AM20" i="18"/>
  <c r="AK20" i="18"/>
  <c r="AH20" i="18"/>
  <c r="AI20" i="18" s="1"/>
  <c r="AF20" i="18"/>
  <c r="AG20" i="18" s="1"/>
  <c r="AE20" i="18"/>
  <c r="AD20" i="18"/>
  <c r="Y20" i="18"/>
  <c r="V20" i="18"/>
  <c r="T20" i="18"/>
  <c r="AM19" i="18"/>
  <c r="AK19" i="18"/>
  <c r="AI19" i="18"/>
  <c r="AH19" i="18"/>
  <c r="AF19" i="18"/>
  <c r="AG19" i="18" s="1"/>
  <c r="AE19" i="18"/>
  <c r="AD19" i="18"/>
  <c r="Y19" i="18"/>
  <c r="V19" i="18"/>
  <c r="T19" i="18"/>
  <c r="AM18" i="18"/>
  <c r="AK18" i="18"/>
  <c r="AH18" i="18"/>
  <c r="AI18" i="18" s="1"/>
  <c r="AF18" i="18"/>
  <c r="AG18" i="18" s="1"/>
  <c r="AL18" i="18" s="1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F12" i="18"/>
  <c r="AG12" i="18" s="1"/>
  <c r="Y12" i="18"/>
  <c r="V12" i="18"/>
  <c r="T12" i="18"/>
  <c r="AH12" i="18" s="1"/>
  <c r="AI12" i="18" s="1"/>
  <c r="A12" i="18"/>
  <c r="AK11" i="18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AM8" i="18"/>
  <c r="AK8" i="18"/>
  <c r="AF8" i="18"/>
  <c r="AG8" i="18" s="1"/>
  <c r="Y8" i="18"/>
  <c r="V8" i="18"/>
  <c r="T8" i="18"/>
  <c r="AD8" i="18" s="1"/>
  <c r="AM7" i="18"/>
  <c r="AK7" i="18"/>
  <c r="AF7" i="18"/>
  <c r="AG7" i="18" s="1"/>
  <c r="Y7" i="18"/>
  <c r="V7" i="18"/>
  <c r="T7" i="18"/>
  <c r="AD7" i="18" s="1"/>
  <c r="AK6" i="18"/>
  <c r="AF6" i="18"/>
  <c r="AG6" i="18" s="1"/>
  <c r="Y6" i="18"/>
  <c r="V6" i="18"/>
  <c r="T6" i="18"/>
  <c r="A6" i="18"/>
  <c r="AM5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F24" i="74"/>
  <c r="AG24" i="74" s="1"/>
  <c r="AE24" i="74"/>
  <c r="AD24" i="74"/>
  <c r="Y24" i="74"/>
  <c r="W24" i="74"/>
  <c r="V24" i="74"/>
  <c r="U24" i="74"/>
  <c r="T24" i="74"/>
  <c r="AM23" i="74"/>
  <c r="AK23" i="74"/>
  <c r="AH23" i="74"/>
  <c r="AI23" i="74" s="1"/>
  <c r="AG23" i="74"/>
  <c r="AF23" i="74"/>
  <c r="AE23" i="74"/>
  <c r="AD23" i="74"/>
  <c r="Y23" i="74"/>
  <c r="W23" i="74"/>
  <c r="V23" i="74"/>
  <c r="U23" i="74"/>
  <c r="T23" i="74"/>
  <c r="AM22" i="74"/>
  <c r="AK22" i="74"/>
  <c r="AH22" i="74"/>
  <c r="AI22" i="74" s="1"/>
  <c r="AF22" i="74"/>
  <c r="AG22" i="74" s="1"/>
  <c r="AL22" i="74" s="1"/>
  <c r="AE22" i="74"/>
  <c r="AD22" i="74"/>
  <c r="Y22" i="74"/>
  <c r="W22" i="74"/>
  <c r="V22" i="74"/>
  <c r="U22" i="74"/>
  <c r="T22" i="74"/>
  <c r="AM21" i="74"/>
  <c r="AK21" i="74"/>
  <c r="AH21" i="74"/>
  <c r="AI21" i="74" s="1"/>
  <c r="AF21" i="74"/>
  <c r="AG21" i="74" s="1"/>
  <c r="AE21" i="74"/>
  <c r="AD21" i="74"/>
  <c r="Y21" i="74"/>
  <c r="W21" i="74"/>
  <c r="V21" i="74"/>
  <c r="U21" i="74"/>
  <c r="T21" i="74"/>
  <c r="AM20" i="74"/>
  <c r="AK20" i="74"/>
  <c r="AH20" i="74"/>
  <c r="AI20" i="74" s="1"/>
  <c r="AF20" i="74"/>
  <c r="AG20" i="74" s="1"/>
  <c r="AL20" i="74" s="1"/>
  <c r="AE20" i="74"/>
  <c r="AD20" i="74"/>
  <c r="Y20" i="74"/>
  <c r="W20" i="74"/>
  <c r="V20" i="74"/>
  <c r="U20" i="74"/>
  <c r="T20" i="74"/>
  <c r="AM19" i="74"/>
  <c r="AK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H18" i="74"/>
  <c r="AI18" i="74" s="1"/>
  <c r="AF18" i="74"/>
  <c r="AG18" i="74" s="1"/>
  <c r="AE18" i="74"/>
  <c r="AD18" i="74"/>
  <c r="Y18" i="74"/>
  <c r="W18" i="74"/>
  <c r="V18" i="74"/>
  <c r="U18" i="74"/>
  <c r="T18" i="74"/>
  <c r="AM17" i="74"/>
  <c r="AK17" i="74"/>
  <c r="AH17" i="74"/>
  <c r="AI17" i="74" s="1"/>
  <c r="AF17" i="74"/>
  <c r="AG17" i="74" s="1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Y14" i="74"/>
  <c r="W14" i="74"/>
  <c r="V14" i="74"/>
  <c r="U14" i="74"/>
  <c r="T14" i="74"/>
  <c r="A14" i="74"/>
  <c r="AM13" i="74"/>
  <c r="AK13" i="74"/>
  <c r="AH13" i="74"/>
  <c r="AI13" i="74" s="1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H12" i="74"/>
  <c r="AI12" i="74" s="1"/>
  <c r="AG12" i="74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F6" i="74"/>
  <c r="AG6" i="74" s="1"/>
  <c r="AD6" i="74"/>
  <c r="Y6" i="74"/>
  <c r="W6" i="74"/>
  <c r="V6" i="74"/>
  <c r="U6" i="74"/>
  <c r="T6" i="74"/>
  <c r="A6" i="74"/>
  <c r="AM5" i="74"/>
  <c r="S16" i="68" s="1"/>
  <c r="AK5" i="74"/>
  <c r="AH5" i="74"/>
  <c r="AI5" i="74" s="1"/>
  <c r="AF5" i="74"/>
  <c r="AG5" i="74" s="1"/>
  <c r="AJ5" i="74" s="1"/>
  <c r="AD5" i="74"/>
  <c r="Y5" i="74"/>
  <c r="W5" i="74"/>
  <c r="V5" i="74"/>
  <c r="U5" i="74"/>
  <c r="T5" i="74"/>
  <c r="F1" i="74"/>
  <c r="AM24" i="16"/>
  <c r="AK24" i="16"/>
  <c r="AH24" i="16"/>
  <c r="AI24" i="16" s="1"/>
  <c r="AF24" i="16"/>
  <c r="AG24" i="16" s="1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H20" i="16"/>
  <c r="AI20" i="16" s="1"/>
  <c r="AF20" i="16"/>
  <c r="AG20" i="16" s="1"/>
  <c r="AE20" i="16"/>
  <c r="AD20" i="16"/>
  <c r="Y20" i="16"/>
  <c r="V20" i="16"/>
  <c r="T20" i="16"/>
  <c r="AM19" i="16"/>
  <c r="AK19" i="16"/>
  <c r="AH19" i="16"/>
  <c r="AI19" i="16" s="1"/>
  <c r="AF19" i="16"/>
  <c r="AG19" i="16" s="1"/>
  <c r="AE19" i="16"/>
  <c r="AD19" i="16"/>
  <c r="Y19" i="16"/>
  <c r="V19" i="16"/>
  <c r="T19" i="16"/>
  <c r="AM18" i="16"/>
  <c r="S15" i="68" s="1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Y16" i="16"/>
  <c r="V16" i="16"/>
  <c r="T16" i="16"/>
  <c r="AM15" i="16"/>
  <c r="AK15" i="16"/>
  <c r="AH15" i="16"/>
  <c r="AI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Y13" i="16"/>
  <c r="V13" i="16"/>
  <c r="T13" i="16"/>
  <c r="AM12" i="16"/>
  <c r="AK12" i="16"/>
  <c r="AH12" i="16"/>
  <c r="AI12" i="16" s="1"/>
  <c r="AF12" i="16"/>
  <c r="AG12" i="16" s="1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F8" i="16"/>
  <c r="AG8" i="16" s="1"/>
  <c r="AL8" i="16" s="1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F5" i="16"/>
  <c r="AG5" i="16" s="1"/>
  <c r="Y5" i="16"/>
  <c r="A14" i="16" s="1"/>
  <c r="K15" i="68" s="1"/>
  <c r="V5" i="16"/>
  <c r="T5" i="16"/>
  <c r="AH5" i="16" s="1"/>
  <c r="AI5" i="16" s="1"/>
  <c r="F1" i="16"/>
  <c r="AM515" i="15"/>
  <c r="AK515" i="15"/>
  <c r="AH515" i="15"/>
  <c r="AI515" i="15" s="1"/>
  <c r="AF515" i="15"/>
  <c r="AG515" i="15" s="1"/>
  <c r="AL515" i="15" s="1"/>
  <c r="AE515" i="15"/>
  <c r="AD515" i="15"/>
  <c r="Y515" i="15"/>
  <c r="V515" i="15"/>
  <c r="T515" i="15"/>
  <c r="AM514" i="15"/>
  <c r="AK514" i="15"/>
  <c r="AH514" i="15"/>
  <c r="AI514" i="15" s="1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E513" i="15"/>
  <c r="AD513" i="15"/>
  <c r="Y513" i="15"/>
  <c r="V513" i="15"/>
  <c r="T513" i="15"/>
  <c r="AM512" i="15"/>
  <c r="AK512" i="15"/>
  <c r="AH512" i="15"/>
  <c r="AI512" i="15" s="1"/>
  <c r="AF512" i="15"/>
  <c r="AG512" i="15" s="1"/>
  <c r="AE512" i="15"/>
  <c r="AD512" i="15"/>
  <c r="Y512" i="15"/>
  <c r="V512" i="15"/>
  <c r="T512" i="15"/>
  <c r="AM511" i="15"/>
  <c r="AK511" i="15"/>
  <c r="AH511" i="15"/>
  <c r="AI511" i="15" s="1"/>
  <c r="AF511" i="15"/>
  <c r="AG511" i="15" s="1"/>
  <c r="AJ511" i="15" s="1"/>
  <c r="AE511" i="15"/>
  <c r="AD511" i="15"/>
  <c r="Y511" i="15"/>
  <c r="V511" i="15"/>
  <c r="T511" i="15"/>
  <c r="AM510" i="15"/>
  <c r="AK510" i="15"/>
  <c r="AH510" i="15"/>
  <c r="AI510" i="15" s="1"/>
  <c r="AF510" i="15"/>
  <c r="AG510" i="15" s="1"/>
  <c r="AL510" i="15" s="1"/>
  <c r="AE510" i="15"/>
  <c r="AD510" i="15"/>
  <c r="Y510" i="15"/>
  <c r="V510" i="15"/>
  <c r="T510" i="15"/>
  <c r="AM509" i="15"/>
  <c r="AK509" i="15"/>
  <c r="AH509" i="15"/>
  <c r="AI509" i="15" s="1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F508" i="15"/>
  <c r="AG508" i="15" s="1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Y507" i="15"/>
  <c r="V507" i="15"/>
  <c r="T507" i="15"/>
  <c r="AM506" i="15"/>
  <c r="AK506" i="15"/>
  <c r="AH506" i="15"/>
  <c r="AI506" i="15" s="1"/>
  <c r="AF506" i="15"/>
  <c r="AG506" i="15" s="1"/>
  <c r="AE506" i="15"/>
  <c r="AD506" i="15"/>
  <c r="Y506" i="15"/>
  <c r="V506" i="15"/>
  <c r="T506" i="15"/>
  <c r="AM505" i="15"/>
  <c r="AK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H504" i="15"/>
  <c r="AI504" i="15" s="1"/>
  <c r="AF504" i="15"/>
  <c r="AG504" i="15" s="1"/>
  <c r="AL504" i="15" s="1"/>
  <c r="AE504" i="15"/>
  <c r="AD504" i="15"/>
  <c r="Y504" i="15"/>
  <c r="V504" i="15"/>
  <c r="T504" i="15"/>
  <c r="AM503" i="15"/>
  <c r="AK503" i="15"/>
  <c r="AH503" i="15"/>
  <c r="AI503" i="15" s="1"/>
  <c r="AF503" i="15"/>
  <c r="AG503" i="15" s="1"/>
  <c r="AE503" i="15"/>
  <c r="AD503" i="15"/>
  <c r="Y503" i="15"/>
  <c r="V503" i="15"/>
  <c r="T503" i="15"/>
  <c r="AM502" i="15"/>
  <c r="AK502" i="15"/>
  <c r="AH502" i="15"/>
  <c r="AI502" i="15" s="1"/>
  <c r="AF502" i="15"/>
  <c r="AG502" i="15" s="1"/>
  <c r="AE502" i="15"/>
  <c r="AD502" i="15"/>
  <c r="Y502" i="15"/>
  <c r="V502" i="15"/>
  <c r="T502" i="15"/>
  <c r="AM501" i="15"/>
  <c r="AK501" i="15"/>
  <c r="AH501" i="15"/>
  <c r="AI501" i="15" s="1"/>
  <c r="AF501" i="15"/>
  <c r="AG501" i="15" s="1"/>
  <c r="AE501" i="15"/>
  <c r="AD501" i="15"/>
  <c r="Y501" i="15"/>
  <c r="V501" i="15"/>
  <c r="T501" i="15"/>
  <c r="AM500" i="15"/>
  <c r="AK500" i="15"/>
  <c r="AH500" i="15"/>
  <c r="AI500" i="15" s="1"/>
  <c r="AF500" i="15"/>
  <c r="AG500" i="15" s="1"/>
  <c r="AE500" i="15"/>
  <c r="AD500" i="15"/>
  <c r="Y500" i="15"/>
  <c r="V500" i="15"/>
  <c r="T500" i="15"/>
  <c r="AM499" i="15"/>
  <c r="AK499" i="15"/>
  <c r="AH499" i="15"/>
  <c r="AI499" i="15" s="1"/>
  <c r="AF499" i="15"/>
  <c r="AG499" i="15" s="1"/>
  <c r="AJ499" i="15" s="1"/>
  <c r="AE499" i="15"/>
  <c r="AD499" i="15"/>
  <c r="Y499" i="15"/>
  <c r="V499" i="15"/>
  <c r="T499" i="15"/>
  <c r="AM498" i="15"/>
  <c r="AK498" i="15"/>
  <c r="AH498" i="15"/>
  <c r="AI498" i="15" s="1"/>
  <c r="AF498" i="15"/>
  <c r="AG498" i="15" s="1"/>
  <c r="AE498" i="15"/>
  <c r="AD498" i="15"/>
  <c r="Y498" i="15"/>
  <c r="V498" i="15"/>
  <c r="T498" i="15"/>
  <c r="AM497" i="15"/>
  <c r="AK497" i="15"/>
  <c r="AH497" i="15"/>
  <c r="AI497" i="15" s="1"/>
  <c r="AF497" i="15"/>
  <c r="AG497" i="15" s="1"/>
  <c r="AE497" i="15"/>
  <c r="AD497" i="15"/>
  <c r="Y497" i="15"/>
  <c r="V497" i="15"/>
  <c r="T497" i="15"/>
  <c r="AM496" i="15"/>
  <c r="AK496" i="15"/>
  <c r="AH496" i="15"/>
  <c r="AI496" i="15" s="1"/>
  <c r="AF496" i="15"/>
  <c r="AG496" i="15" s="1"/>
  <c r="AE496" i="15"/>
  <c r="AD496" i="15"/>
  <c r="Y496" i="15"/>
  <c r="V496" i="15"/>
  <c r="T496" i="15"/>
  <c r="AM495" i="15"/>
  <c r="AK495" i="15"/>
  <c r="AH495" i="15"/>
  <c r="AI495" i="15" s="1"/>
  <c r="AF495" i="15"/>
  <c r="AG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H491" i="15"/>
  <c r="AI491" i="15" s="1"/>
  <c r="AF491" i="15"/>
  <c r="AG491" i="15" s="1"/>
  <c r="AL491" i="15" s="1"/>
  <c r="AE491" i="15"/>
  <c r="AD491" i="15"/>
  <c r="Y491" i="15"/>
  <c r="V491" i="15"/>
  <c r="T491" i="15"/>
  <c r="AM490" i="15"/>
  <c r="AK490" i="15"/>
  <c r="AH490" i="15"/>
  <c r="AI490" i="15" s="1"/>
  <c r="AG490" i="15"/>
  <c r="AF490" i="15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F488" i="15"/>
  <c r="AG488" i="15" s="1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H486" i="15"/>
  <c r="AI486" i="15" s="1"/>
  <c r="AF486" i="15"/>
  <c r="AG486" i="15" s="1"/>
  <c r="AL486" i="15" s="1"/>
  <c r="AE486" i="15"/>
  <c r="AD486" i="15"/>
  <c r="Y486" i="15"/>
  <c r="V486" i="15"/>
  <c r="T486" i="15"/>
  <c r="AM485" i="15"/>
  <c r="AK485" i="15"/>
  <c r="AH485" i="15"/>
  <c r="AI485" i="15" s="1"/>
  <c r="AF485" i="15"/>
  <c r="AG485" i="15" s="1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L484" i="15" s="1"/>
  <c r="AE484" i="15"/>
  <c r="AD484" i="15"/>
  <c r="Y484" i="15"/>
  <c r="V484" i="15"/>
  <c r="T484" i="15"/>
  <c r="AM483" i="15"/>
  <c r="AK483" i="15"/>
  <c r="AI483" i="15"/>
  <c r="AH483" i="15"/>
  <c r="AF483" i="15"/>
  <c r="AG483" i="15" s="1"/>
  <c r="AE483" i="15"/>
  <c r="AD483" i="15"/>
  <c r="Y483" i="15"/>
  <c r="V483" i="15"/>
  <c r="T483" i="15"/>
  <c r="AM482" i="15"/>
  <c r="AK482" i="15"/>
  <c r="AI482" i="15"/>
  <c r="AH482" i="15"/>
  <c r="AF482" i="15"/>
  <c r="AG482" i="15" s="1"/>
  <c r="AL482" i="15" s="1"/>
  <c r="AE482" i="15"/>
  <c r="AD482" i="15"/>
  <c r="Y482" i="15"/>
  <c r="V482" i="15"/>
  <c r="T482" i="15"/>
  <c r="AM481" i="15"/>
  <c r="AK481" i="15"/>
  <c r="AH481" i="15"/>
  <c r="AI481" i="15" s="1"/>
  <c r="AF481" i="15"/>
  <c r="AG481" i="15" s="1"/>
  <c r="AE481" i="15"/>
  <c r="AD481" i="15"/>
  <c r="Y481" i="15"/>
  <c r="V481" i="15"/>
  <c r="T481" i="15"/>
  <c r="AM480" i="15"/>
  <c r="AK480" i="15"/>
  <c r="AH480" i="15"/>
  <c r="AI480" i="15" s="1"/>
  <c r="AF480" i="15"/>
  <c r="AG480" i="15" s="1"/>
  <c r="AL480" i="15" s="1"/>
  <c r="AE480" i="15"/>
  <c r="AD480" i="15"/>
  <c r="Y480" i="15"/>
  <c r="V480" i="15"/>
  <c r="T480" i="15"/>
  <c r="AM479" i="15"/>
  <c r="AK479" i="15"/>
  <c r="AH479" i="15"/>
  <c r="AI479" i="15" s="1"/>
  <c r="AF479" i="15"/>
  <c r="AG479" i="15" s="1"/>
  <c r="AL479" i="15" s="1"/>
  <c r="AE479" i="15"/>
  <c r="AD479" i="15"/>
  <c r="Y479" i="15"/>
  <c r="V479" i="15"/>
  <c r="T479" i="15"/>
  <c r="AM478" i="15"/>
  <c r="AK478" i="15"/>
  <c r="AH478" i="15"/>
  <c r="AI478" i="15" s="1"/>
  <c r="AF478" i="15"/>
  <c r="AG478" i="15" s="1"/>
  <c r="AE478" i="15"/>
  <c r="AD478" i="15"/>
  <c r="Y478" i="15"/>
  <c r="V478" i="15"/>
  <c r="T478" i="15"/>
  <c r="AM477" i="15"/>
  <c r="AK477" i="15"/>
  <c r="AI477" i="15"/>
  <c r="AH477" i="15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F476" i="15"/>
  <c r="AG476" i="15" s="1"/>
  <c r="AE476" i="15"/>
  <c r="AD476" i="15"/>
  <c r="Y476" i="15"/>
  <c r="V476" i="15"/>
  <c r="T476" i="15"/>
  <c r="AM475" i="15"/>
  <c r="AK475" i="15"/>
  <c r="AH475" i="15"/>
  <c r="AI475" i="15" s="1"/>
  <c r="AF475" i="15"/>
  <c r="AG475" i="15" s="1"/>
  <c r="AE475" i="15"/>
  <c r="AD475" i="15"/>
  <c r="Y475" i="15"/>
  <c r="V475" i="15"/>
  <c r="T475" i="15"/>
  <c r="AM474" i="15"/>
  <c r="AK474" i="15"/>
  <c r="AH474" i="15"/>
  <c r="AI474" i="15" s="1"/>
  <c r="AF474" i="15"/>
  <c r="AG474" i="15" s="1"/>
  <c r="AL474" i="15" s="1"/>
  <c r="AE474" i="15"/>
  <c r="AD474" i="15"/>
  <c r="Y474" i="15"/>
  <c r="V474" i="15"/>
  <c r="T474" i="15"/>
  <c r="AM473" i="15"/>
  <c r="AK473" i="15"/>
  <c r="AH473" i="15"/>
  <c r="AI473" i="15" s="1"/>
  <c r="AF473" i="15"/>
  <c r="AG473" i="15" s="1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K471" i="15"/>
  <c r="AH471" i="15"/>
  <c r="AI471" i="15" s="1"/>
  <c r="AF471" i="15"/>
  <c r="AG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F469" i="15"/>
  <c r="AG469" i="15" s="1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H467" i="15"/>
  <c r="AI467" i="15" s="1"/>
  <c r="AF467" i="15"/>
  <c r="AG467" i="15" s="1"/>
  <c r="AE467" i="15"/>
  <c r="AD467" i="15"/>
  <c r="Y467" i="15"/>
  <c r="V467" i="15"/>
  <c r="T467" i="15"/>
  <c r="AM466" i="15"/>
  <c r="AK466" i="15"/>
  <c r="AH466" i="15"/>
  <c r="AI466" i="15" s="1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F464" i="15"/>
  <c r="AG464" i="15" s="1"/>
  <c r="AE464" i="15"/>
  <c r="AD464" i="15"/>
  <c r="Y464" i="15"/>
  <c r="V464" i="15"/>
  <c r="T464" i="15"/>
  <c r="AM463" i="15"/>
  <c r="AK463" i="15"/>
  <c r="AH463" i="15"/>
  <c r="AI463" i="15" s="1"/>
  <c r="AF463" i="15"/>
  <c r="AG463" i="15" s="1"/>
  <c r="AE463" i="15"/>
  <c r="AD463" i="15"/>
  <c r="Y463" i="15"/>
  <c r="V463" i="15"/>
  <c r="T463" i="15"/>
  <c r="AM462" i="15"/>
  <c r="AK462" i="15"/>
  <c r="AH462" i="15"/>
  <c r="AI462" i="15" s="1"/>
  <c r="AF462" i="15"/>
  <c r="AG462" i="15" s="1"/>
  <c r="AE462" i="15"/>
  <c r="AD462" i="15"/>
  <c r="Y462" i="15"/>
  <c r="V462" i="15"/>
  <c r="T462" i="15"/>
  <c r="AM461" i="15"/>
  <c r="AK461" i="15"/>
  <c r="AH461" i="15"/>
  <c r="AI461" i="15" s="1"/>
  <c r="AF461" i="15"/>
  <c r="AG461" i="15" s="1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K459" i="15"/>
  <c r="AH459" i="15"/>
  <c r="AI459" i="15" s="1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F457" i="15"/>
  <c r="AG457" i="15" s="1"/>
  <c r="AE457" i="15"/>
  <c r="AD457" i="15"/>
  <c r="Y457" i="15"/>
  <c r="V457" i="15"/>
  <c r="T457" i="15"/>
  <c r="AM456" i="15"/>
  <c r="AK456" i="15"/>
  <c r="AH456" i="15"/>
  <c r="AI456" i="15" s="1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F455" i="15"/>
  <c r="AG455" i="15" s="1"/>
  <c r="AE455" i="15"/>
  <c r="AD455" i="15"/>
  <c r="Y455" i="15"/>
  <c r="V455" i="15"/>
  <c r="T455" i="15"/>
  <c r="AM454" i="15"/>
  <c r="AK454" i="15"/>
  <c r="AH454" i="15"/>
  <c r="AI454" i="15" s="1"/>
  <c r="AF454" i="15"/>
  <c r="AG454" i="15" s="1"/>
  <c r="AE454" i="15"/>
  <c r="AD454" i="15"/>
  <c r="Y454" i="15"/>
  <c r="V454" i="15"/>
  <c r="T454" i="15"/>
  <c r="AM453" i="15"/>
  <c r="AK453" i="15"/>
  <c r="AH453" i="15"/>
  <c r="AI453" i="15" s="1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F451" i="15"/>
  <c r="AG451" i="15" s="1"/>
  <c r="AE451" i="15"/>
  <c r="AD451" i="15"/>
  <c r="Y451" i="15"/>
  <c r="V451" i="15"/>
  <c r="T451" i="15"/>
  <c r="AM450" i="15"/>
  <c r="AK450" i="15"/>
  <c r="AH450" i="15"/>
  <c r="AI450" i="15" s="1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F449" i="15"/>
  <c r="AG449" i="15" s="1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E448" i="15"/>
  <c r="AD448" i="15"/>
  <c r="Y448" i="15"/>
  <c r="V448" i="15"/>
  <c r="T448" i="15"/>
  <c r="AM447" i="15"/>
  <c r="AK447" i="15"/>
  <c r="AH447" i="15"/>
  <c r="AI447" i="15" s="1"/>
  <c r="AF447" i="15"/>
  <c r="AG447" i="15" s="1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F445" i="15"/>
  <c r="AG445" i="15" s="1"/>
  <c r="AE445" i="15"/>
  <c r="AD445" i="15"/>
  <c r="Y445" i="15"/>
  <c r="V445" i="15"/>
  <c r="T445" i="15"/>
  <c r="AM444" i="15"/>
  <c r="AK444" i="15"/>
  <c r="AH444" i="15"/>
  <c r="AI444" i="15" s="1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F443" i="15"/>
  <c r="AG443" i="15" s="1"/>
  <c r="AJ443" i="15" s="1"/>
  <c r="AE443" i="15"/>
  <c r="AD443" i="15"/>
  <c r="Y443" i="15"/>
  <c r="V443" i="15"/>
  <c r="T443" i="15"/>
  <c r="AM442" i="15"/>
  <c r="AK442" i="15"/>
  <c r="AH442" i="15"/>
  <c r="AI442" i="15" s="1"/>
  <c r="AF442" i="15"/>
  <c r="AG442" i="15" s="1"/>
  <c r="AE442" i="15"/>
  <c r="AD442" i="15"/>
  <c r="Y442" i="15"/>
  <c r="V442" i="15"/>
  <c r="T442" i="15"/>
  <c r="AM441" i="15"/>
  <c r="AK441" i="15"/>
  <c r="AH441" i="15"/>
  <c r="AI441" i="15" s="1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Y440" i="15"/>
  <c r="V440" i="15"/>
  <c r="T440" i="15"/>
  <c r="AM439" i="15"/>
  <c r="AK439" i="15"/>
  <c r="AH439" i="15"/>
  <c r="AI439" i="15" s="1"/>
  <c r="AG439" i="15"/>
  <c r="AL439" i="15" s="1"/>
  <c r="AF439" i="15"/>
  <c r="AE439" i="15"/>
  <c r="AD439" i="15"/>
  <c r="Y439" i="15"/>
  <c r="V439" i="15"/>
  <c r="T439" i="15"/>
  <c r="AM438" i="15"/>
  <c r="AK438" i="15"/>
  <c r="AH438" i="15"/>
  <c r="AI438" i="15" s="1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K435" i="15"/>
  <c r="AH435" i="15"/>
  <c r="AI435" i="15" s="1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H433" i="15"/>
  <c r="AI433" i="15" s="1"/>
  <c r="AF433" i="15"/>
  <c r="AG433" i="15" s="1"/>
  <c r="AL433" i="15" s="1"/>
  <c r="AE433" i="15"/>
  <c r="AD433" i="15"/>
  <c r="Y433" i="15"/>
  <c r="V433" i="15"/>
  <c r="T433" i="15"/>
  <c r="AM432" i="15"/>
  <c r="AK432" i="15"/>
  <c r="AH432" i="15"/>
  <c r="AI432" i="15" s="1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Y431" i="15"/>
  <c r="V431" i="15"/>
  <c r="T431" i="15"/>
  <c r="AM430" i="15"/>
  <c r="AK430" i="15"/>
  <c r="AH430" i="15"/>
  <c r="AI430" i="15" s="1"/>
  <c r="AF430" i="15"/>
  <c r="AG430" i="15" s="1"/>
  <c r="AE430" i="15"/>
  <c r="AD430" i="15"/>
  <c r="Y430" i="15"/>
  <c r="V430" i="15"/>
  <c r="T430" i="15"/>
  <c r="AM429" i="15"/>
  <c r="AK429" i="15"/>
  <c r="AH429" i="15"/>
  <c r="AI429" i="15" s="1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F427" i="15"/>
  <c r="AG427" i="15" s="1"/>
  <c r="AE427" i="15"/>
  <c r="AD427" i="15"/>
  <c r="Y427" i="15"/>
  <c r="V427" i="15"/>
  <c r="T427" i="15"/>
  <c r="AM426" i="15"/>
  <c r="AK426" i="15"/>
  <c r="AH426" i="15"/>
  <c r="AI426" i="15" s="1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F424" i="15"/>
  <c r="AG424" i="15" s="1"/>
  <c r="AE424" i="15"/>
  <c r="AD424" i="15"/>
  <c r="Y424" i="15"/>
  <c r="V424" i="15"/>
  <c r="T424" i="15"/>
  <c r="AM423" i="15"/>
  <c r="AK423" i="15"/>
  <c r="AH423" i="15"/>
  <c r="AI423" i="15" s="1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G421" i="15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Y419" i="15"/>
  <c r="V419" i="15"/>
  <c r="T419" i="15"/>
  <c r="AM418" i="15"/>
  <c r="AK418" i="15"/>
  <c r="AH418" i="15"/>
  <c r="AI418" i="15" s="1"/>
  <c r="AF418" i="15"/>
  <c r="AG418" i="15" s="1"/>
  <c r="AE418" i="15"/>
  <c r="AD418" i="15"/>
  <c r="Y418" i="15"/>
  <c r="V418" i="15"/>
  <c r="T418" i="15"/>
  <c r="AM417" i="15"/>
  <c r="AK417" i="15"/>
  <c r="AH417" i="15"/>
  <c r="AI417" i="15" s="1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Y416" i="15"/>
  <c r="V416" i="15"/>
  <c r="T416" i="15"/>
  <c r="AM415" i="15"/>
  <c r="AK415" i="15"/>
  <c r="AH415" i="15"/>
  <c r="AI415" i="15" s="1"/>
  <c r="AF415" i="15"/>
  <c r="AG415" i="15" s="1"/>
  <c r="AL415" i="15" s="1"/>
  <c r="AE415" i="15"/>
  <c r="AD415" i="15"/>
  <c r="Y415" i="15"/>
  <c r="V415" i="15"/>
  <c r="T415" i="15"/>
  <c r="AM414" i="15"/>
  <c r="AK414" i="15"/>
  <c r="AH414" i="15"/>
  <c r="AI414" i="15" s="1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F412" i="15"/>
  <c r="AG412" i="15" s="1"/>
  <c r="AE412" i="15"/>
  <c r="AD412" i="15"/>
  <c r="Y412" i="15"/>
  <c r="V412" i="15"/>
  <c r="T412" i="15"/>
  <c r="AM411" i="15"/>
  <c r="AK411" i="15"/>
  <c r="AH411" i="15"/>
  <c r="AI411" i="15" s="1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F409" i="15"/>
  <c r="AG409" i="15" s="1"/>
  <c r="AE409" i="15"/>
  <c r="AD409" i="15"/>
  <c r="Y409" i="15"/>
  <c r="V409" i="15"/>
  <c r="T409" i="15"/>
  <c r="AM408" i="15"/>
  <c r="AK408" i="15"/>
  <c r="AH408" i="15"/>
  <c r="AI408" i="15" s="1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F406" i="15"/>
  <c r="AG406" i="15" s="1"/>
  <c r="AE406" i="15"/>
  <c r="AD406" i="15"/>
  <c r="Y406" i="15"/>
  <c r="V406" i="15"/>
  <c r="T406" i="15"/>
  <c r="AM405" i="15"/>
  <c r="AK405" i="15"/>
  <c r="AH405" i="15"/>
  <c r="AI405" i="15" s="1"/>
  <c r="AF405" i="15"/>
  <c r="AG405" i="15" s="1"/>
  <c r="AE405" i="15"/>
  <c r="AD405" i="15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F403" i="15"/>
  <c r="AG403" i="15" s="1"/>
  <c r="AL403" i="15" s="1"/>
  <c r="AE403" i="15"/>
  <c r="AD403" i="15"/>
  <c r="Y403" i="15"/>
  <c r="V403" i="15"/>
  <c r="T403" i="15"/>
  <c r="AM402" i="15"/>
  <c r="AK402" i="15"/>
  <c r="AH402" i="15"/>
  <c r="AI402" i="15" s="1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H399" i="15"/>
  <c r="AI399" i="15" s="1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F397" i="15"/>
  <c r="AG397" i="15" s="1"/>
  <c r="AE397" i="15"/>
  <c r="AD397" i="15"/>
  <c r="Y397" i="15"/>
  <c r="V397" i="15"/>
  <c r="T397" i="15"/>
  <c r="AM396" i="15"/>
  <c r="AK396" i="15"/>
  <c r="AH396" i="15"/>
  <c r="AI396" i="15" s="1"/>
  <c r="AF396" i="15"/>
  <c r="AG396" i="15" s="1"/>
  <c r="AE396" i="15"/>
  <c r="AD396" i="15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H393" i="15"/>
  <c r="AI393" i="15" s="1"/>
  <c r="AF393" i="15"/>
  <c r="AG393" i="15" s="1"/>
  <c r="AE393" i="15"/>
  <c r="AD393" i="15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H390" i="15"/>
  <c r="AI390" i="15" s="1"/>
  <c r="AF390" i="15"/>
  <c r="AG390" i="15" s="1"/>
  <c r="AE390" i="15"/>
  <c r="AD390" i="15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F388" i="15"/>
  <c r="AG388" i="15" s="1"/>
  <c r="AE388" i="15"/>
  <c r="AD388" i="15"/>
  <c r="Y388" i="15"/>
  <c r="V388" i="15"/>
  <c r="T388" i="15"/>
  <c r="AM387" i="15"/>
  <c r="AK387" i="15"/>
  <c r="AH387" i="15"/>
  <c r="AI387" i="15" s="1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H385" i="15"/>
  <c r="AI385" i="15" s="1"/>
  <c r="AF385" i="15"/>
  <c r="AG385" i="15" s="1"/>
  <c r="AE385" i="15"/>
  <c r="AD385" i="15"/>
  <c r="Y385" i="15"/>
  <c r="V385" i="15"/>
  <c r="T385" i="15"/>
  <c r="AM384" i="15"/>
  <c r="AK384" i="15"/>
  <c r="AH384" i="15"/>
  <c r="AI384" i="15" s="1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F382" i="15"/>
  <c r="AG382" i="15" s="1"/>
  <c r="AE382" i="15"/>
  <c r="AD382" i="15"/>
  <c r="Y382" i="15"/>
  <c r="V382" i="15"/>
  <c r="T382" i="15"/>
  <c r="AM381" i="15"/>
  <c r="AK381" i="15"/>
  <c r="AH381" i="15"/>
  <c r="AI381" i="15" s="1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Y380" i="15"/>
  <c r="V380" i="15"/>
  <c r="T380" i="15"/>
  <c r="AM379" i="15"/>
  <c r="AK379" i="15"/>
  <c r="AH379" i="15"/>
  <c r="AI379" i="15" s="1"/>
  <c r="AF379" i="15"/>
  <c r="AG379" i="15" s="1"/>
  <c r="AE379" i="15"/>
  <c r="AD379" i="15"/>
  <c r="Y379" i="15"/>
  <c r="V379" i="15"/>
  <c r="T379" i="15"/>
  <c r="AM378" i="15"/>
  <c r="AK378" i="15"/>
  <c r="AH378" i="15"/>
  <c r="AI378" i="15" s="1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F376" i="15"/>
  <c r="AG376" i="15" s="1"/>
  <c r="AE376" i="15"/>
  <c r="AD376" i="15"/>
  <c r="Y376" i="15"/>
  <c r="V376" i="15"/>
  <c r="T376" i="15"/>
  <c r="AM375" i="15"/>
  <c r="AK375" i="15"/>
  <c r="AH375" i="15"/>
  <c r="AI375" i="15" s="1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F373" i="15"/>
  <c r="AG373" i="15" s="1"/>
  <c r="AE373" i="15"/>
  <c r="AD373" i="15"/>
  <c r="Y373" i="15"/>
  <c r="V373" i="15"/>
  <c r="T373" i="15"/>
  <c r="AM372" i="15"/>
  <c r="AK372" i="15"/>
  <c r="AH372" i="15"/>
  <c r="AI372" i="15" s="1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H369" i="15"/>
  <c r="AI369" i="15" s="1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F367" i="15"/>
  <c r="AG367" i="15" s="1"/>
  <c r="AE367" i="15"/>
  <c r="AD367" i="15"/>
  <c r="Y367" i="15"/>
  <c r="V367" i="15"/>
  <c r="T367" i="15"/>
  <c r="AM366" i="15"/>
  <c r="AK366" i="15"/>
  <c r="AH366" i="15"/>
  <c r="AI366" i="15" s="1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H363" i="15"/>
  <c r="AI363" i="15" s="1"/>
  <c r="AF363" i="15"/>
  <c r="AG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F361" i="15"/>
  <c r="AG361" i="15" s="1"/>
  <c r="AE361" i="15"/>
  <c r="AD361" i="15"/>
  <c r="Y361" i="15"/>
  <c r="V361" i="15"/>
  <c r="T361" i="15"/>
  <c r="AM360" i="15"/>
  <c r="AK360" i="15"/>
  <c r="AH360" i="15"/>
  <c r="AI360" i="15" s="1"/>
  <c r="AF360" i="15"/>
  <c r="AG360" i="15" s="1"/>
  <c r="AE360" i="15"/>
  <c r="AD360" i="15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Y359" i="15"/>
  <c r="V359" i="15"/>
  <c r="T359" i="15"/>
  <c r="AM358" i="15"/>
  <c r="AK358" i="15"/>
  <c r="AH358" i="15"/>
  <c r="AI358" i="15" s="1"/>
  <c r="AF358" i="15"/>
  <c r="AG358" i="15" s="1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F355" i="15"/>
  <c r="AG355" i="15" s="1"/>
  <c r="AE355" i="15"/>
  <c r="AD355" i="15"/>
  <c r="Y355" i="15"/>
  <c r="V355" i="15"/>
  <c r="T355" i="15"/>
  <c r="AM354" i="15"/>
  <c r="AK354" i="15"/>
  <c r="AH354" i="15"/>
  <c r="AI354" i="15" s="1"/>
  <c r="AF354" i="15"/>
  <c r="AG354" i="15" s="1"/>
  <c r="AE354" i="15"/>
  <c r="AD354" i="15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F352" i="15"/>
  <c r="AG352" i="15" s="1"/>
  <c r="AE352" i="15"/>
  <c r="AD352" i="15"/>
  <c r="Y352" i="15"/>
  <c r="V352" i="15"/>
  <c r="T352" i="15"/>
  <c r="AM351" i="15"/>
  <c r="AK351" i="15"/>
  <c r="AH351" i="15"/>
  <c r="AI351" i="15" s="1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F349" i="15"/>
  <c r="AG349" i="15" s="1"/>
  <c r="AE349" i="15"/>
  <c r="AD349" i="15"/>
  <c r="Y349" i="15"/>
  <c r="V349" i="15"/>
  <c r="T349" i="15"/>
  <c r="AM348" i="15"/>
  <c r="AK348" i="15"/>
  <c r="AH348" i="15"/>
  <c r="AI348" i="15" s="1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Y347" i="15"/>
  <c r="V347" i="15"/>
  <c r="T347" i="15"/>
  <c r="AM346" i="15"/>
  <c r="AK346" i="15"/>
  <c r="AH346" i="15"/>
  <c r="AI346" i="15" s="1"/>
  <c r="AF346" i="15"/>
  <c r="AG346" i="15" s="1"/>
  <c r="AE346" i="15"/>
  <c r="AD346" i="15"/>
  <c r="Y346" i="15"/>
  <c r="V346" i="15"/>
  <c r="T346" i="15"/>
  <c r="AM345" i="15"/>
  <c r="AK345" i="15"/>
  <c r="AH345" i="15"/>
  <c r="AI345" i="15" s="1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F343" i="15"/>
  <c r="AG343" i="15" s="1"/>
  <c r="AE343" i="15"/>
  <c r="AD343" i="15"/>
  <c r="Y343" i="15"/>
  <c r="V343" i="15"/>
  <c r="T343" i="15"/>
  <c r="AM342" i="15"/>
  <c r="AK342" i="15"/>
  <c r="AH342" i="15"/>
  <c r="AI342" i="15" s="1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K339" i="15"/>
  <c r="AH339" i="15"/>
  <c r="AI339" i="15" s="1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F337" i="15"/>
  <c r="AG337" i="15" s="1"/>
  <c r="AE337" i="15"/>
  <c r="AD337" i="15"/>
  <c r="Y337" i="15"/>
  <c r="V337" i="15"/>
  <c r="T337" i="15"/>
  <c r="AM336" i="15"/>
  <c r="AK336" i="15"/>
  <c r="AH336" i="15"/>
  <c r="AI336" i="15" s="1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F334" i="15"/>
  <c r="AG334" i="15" s="1"/>
  <c r="AE334" i="15"/>
  <c r="AD334" i="15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G331" i="15"/>
  <c r="AF331" i="15"/>
  <c r="AE331" i="15"/>
  <c r="AD331" i="15"/>
  <c r="Y331" i="15"/>
  <c r="V331" i="15"/>
  <c r="T331" i="15"/>
  <c r="AM330" i="15"/>
  <c r="AK330" i="15"/>
  <c r="AH330" i="15"/>
  <c r="AI330" i="15" s="1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F328" i="15"/>
  <c r="AG328" i="15" s="1"/>
  <c r="AE328" i="15"/>
  <c r="AD328" i="15"/>
  <c r="Y328" i="15"/>
  <c r="V328" i="15"/>
  <c r="T328" i="15"/>
  <c r="AM327" i="15"/>
  <c r="AK327" i="15"/>
  <c r="AH327" i="15"/>
  <c r="AI327" i="15" s="1"/>
  <c r="AF327" i="15"/>
  <c r="AG327" i="15" s="1"/>
  <c r="AE327" i="15"/>
  <c r="AD327" i="15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F325" i="15"/>
  <c r="AG325" i="15" s="1"/>
  <c r="AE325" i="15"/>
  <c r="AD325" i="15"/>
  <c r="Y325" i="15"/>
  <c r="V325" i="15"/>
  <c r="T325" i="15"/>
  <c r="AM324" i="15"/>
  <c r="AK324" i="15"/>
  <c r="AH324" i="15"/>
  <c r="AI324" i="15" s="1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Y323" i="15"/>
  <c r="V323" i="15"/>
  <c r="T323" i="15"/>
  <c r="AM322" i="15"/>
  <c r="AK322" i="15"/>
  <c r="AH322" i="15"/>
  <c r="AI322" i="15" s="1"/>
  <c r="AG322" i="15"/>
  <c r="AF322" i="15"/>
  <c r="AE322" i="15"/>
  <c r="AD322" i="15"/>
  <c r="Y322" i="15"/>
  <c r="V322" i="15"/>
  <c r="T322" i="15"/>
  <c r="AM321" i="15"/>
  <c r="AK321" i="15"/>
  <c r="AH321" i="15"/>
  <c r="AI321" i="15" s="1"/>
  <c r="AF321" i="15"/>
  <c r="AG321" i="15" s="1"/>
  <c r="AE321" i="15"/>
  <c r="AD321" i="15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F319" i="15"/>
  <c r="AG319" i="15" s="1"/>
  <c r="AL319" i="15" s="1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F317" i="15"/>
  <c r="AE317" i="15"/>
  <c r="AD317" i="15"/>
  <c r="Y317" i="15"/>
  <c r="V317" i="15"/>
  <c r="T317" i="15"/>
  <c r="AM316" i="15"/>
  <c r="AK316" i="15"/>
  <c r="AH316" i="15"/>
  <c r="AI316" i="15" s="1"/>
  <c r="AF316" i="15"/>
  <c r="AG316" i="15" s="1"/>
  <c r="AE316" i="15"/>
  <c r="AD316" i="15"/>
  <c r="Y316" i="15"/>
  <c r="V316" i="15"/>
  <c r="T316" i="15"/>
  <c r="AM315" i="15"/>
  <c r="AK315" i="15"/>
  <c r="AH315" i="15"/>
  <c r="AI315" i="15" s="1"/>
  <c r="AF315" i="15"/>
  <c r="AG315" i="15" s="1"/>
  <c r="AE315" i="15"/>
  <c r="AD315" i="15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F313" i="15"/>
  <c r="AG313" i="15" s="1"/>
  <c r="AE313" i="15"/>
  <c r="AD313" i="15"/>
  <c r="Y313" i="15"/>
  <c r="V313" i="15"/>
  <c r="T313" i="15"/>
  <c r="AM312" i="15"/>
  <c r="AK312" i="15"/>
  <c r="AH312" i="15"/>
  <c r="AI312" i="15" s="1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F311" i="15"/>
  <c r="AG311" i="15" s="1"/>
  <c r="AE311" i="15"/>
  <c r="AD311" i="15"/>
  <c r="Y311" i="15"/>
  <c r="V311" i="15"/>
  <c r="T311" i="15"/>
  <c r="AM310" i="15"/>
  <c r="AK310" i="15"/>
  <c r="AH310" i="15"/>
  <c r="AI310" i="15" s="1"/>
  <c r="AG310" i="15"/>
  <c r="AF310" i="15"/>
  <c r="AE310" i="15"/>
  <c r="AD310" i="15"/>
  <c r="Y310" i="15"/>
  <c r="V310" i="15"/>
  <c r="T310" i="15"/>
  <c r="AM309" i="15"/>
  <c r="AK309" i="15"/>
  <c r="AH309" i="15"/>
  <c r="AI309" i="15" s="1"/>
  <c r="AF309" i="15"/>
  <c r="AG309" i="15" s="1"/>
  <c r="AE309" i="15"/>
  <c r="AD309" i="15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H306" i="15"/>
  <c r="AI306" i="15" s="1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F305" i="15"/>
  <c r="AG305" i="15" s="1"/>
  <c r="AE305" i="15"/>
  <c r="AD305" i="15"/>
  <c r="Y305" i="15"/>
  <c r="V305" i="15"/>
  <c r="T305" i="15"/>
  <c r="AM304" i="15"/>
  <c r="AK304" i="15"/>
  <c r="AH304" i="15"/>
  <c r="AI304" i="15" s="1"/>
  <c r="AF304" i="15"/>
  <c r="AG304" i="15" s="1"/>
  <c r="AE304" i="15"/>
  <c r="AD304" i="15"/>
  <c r="Y304" i="15"/>
  <c r="V304" i="15"/>
  <c r="T304" i="15"/>
  <c r="AM303" i="15"/>
  <c r="AK303" i="15"/>
  <c r="AH303" i="15"/>
  <c r="AI303" i="15" s="1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F301" i="15"/>
  <c r="AG301" i="15" s="1"/>
  <c r="AE301" i="15"/>
  <c r="AD301" i="15"/>
  <c r="Y301" i="15"/>
  <c r="V301" i="15"/>
  <c r="T301" i="15"/>
  <c r="AM300" i="15"/>
  <c r="AK300" i="15"/>
  <c r="AH300" i="15"/>
  <c r="AI300" i="15" s="1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F299" i="15"/>
  <c r="AG299" i="15" s="1"/>
  <c r="AE299" i="15"/>
  <c r="AD299" i="15"/>
  <c r="Y299" i="15"/>
  <c r="V299" i="15"/>
  <c r="T299" i="15"/>
  <c r="AM298" i="15"/>
  <c r="AK298" i="15"/>
  <c r="AH298" i="15"/>
  <c r="AI298" i="15" s="1"/>
  <c r="AF298" i="15"/>
  <c r="AG298" i="15" s="1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E297" i="15"/>
  <c r="AD297" i="15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L295" i="15" s="1"/>
  <c r="AE295" i="15"/>
  <c r="AD295" i="15"/>
  <c r="Y295" i="15"/>
  <c r="V295" i="15"/>
  <c r="T295" i="15"/>
  <c r="AM294" i="15"/>
  <c r="AK294" i="15"/>
  <c r="AH294" i="15"/>
  <c r="AI294" i="15" s="1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F293" i="15"/>
  <c r="AG293" i="15" s="1"/>
  <c r="AE293" i="15"/>
  <c r="AD293" i="15"/>
  <c r="Y293" i="15"/>
  <c r="V293" i="15"/>
  <c r="T293" i="15"/>
  <c r="AM292" i="15"/>
  <c r="AK292" i="15"/>
  <c r="AH292" i="15"/>
  <c r="AI292" i="15" s="1"/>
  <c r="AG292" i="15"/>
  <c r="AF292" i="15"/>
  <c r="AE292" i="15"/>
  <c r="AD292" i="15"/>
  <c r="Y292" i="15"/>
  <c r="V292" i="15"/>
  <c r="T292" i="15"/>
  <c r="AM291" i="15"/>
  <c r="AK291" i="15"/>
  <c r="AH291" i="15"/>
  <c r="AI291" i="15" s="1"/>
  <c r="AF291" i="15"/>
  <c r="AG291" i="15" s="1"/>
  <c r="AE291" i="15"/>
  <c r="AD291" i="15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H289" i="15"/>
  <c r="AI289" i="15" s="1"/>
  <c r="AF289" i="15"/>
  <c r="AG289" i="15" s="1"/>
  <c r="AE289" i="15"/>
  <c r="AD289" i="15"/>
  <c r="Y289" i="15"/>
  <c r="V289" i="15"/>
  <c r="T289" i="15"/>
  <c r="AM288" i="15"/>
  <c r="AK288" i="15"/>
  <c r="AH288" i="15"/>
  <c r="AI288" i="15" s="1"/>
  <c r="AF288" i="15"/>
  <c r="AG288" i="15" s="1"/>
  <c r="AE288" i="15"/>
  <c r="AD288" i="15"/>
  <c r="Y288" i="15"/>
  <c r="V288" i="15"/>
  <c r="T288" i="15"/>
  <c r="AM287" i="15"/>
  <c r="AK287" i="15"/>
  <c r="AH287" i="15"/>
  <c r="AI287" i="15" s="1"/>
  <c r="AF287" i="15"/>
  <c r="AG287" i="15" s="1"/>
  <c r="AE287" i="15"/>
  <c r="AD287" i="15"/>
  <c r="Y287" i="15"/>
  <c r="V287" i="15"/>
  <c r="T287" i="15"/>
  <c r="AM286" i="15"/>
  <c r="AK286" i="15"/>
  <c r="AH286" i="15"/>
  <c r="AI286" i="15" s="1"/>
  <c r="AF286" i="15"/>
  <c r="AG286" i="15" s="1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E283" i="15"/>
  <c r="AD283" i="15"/>
  <c r="Y283" i="15"/>
  <c r="V283" i="15"/>
  <c r="T283" i="15"/>
  <c r="AM282" i="15"/>
  <c r="AK282" i="15"/>
  <c r="AH282" i="15"/>
  <c r="AI282" i="15" s="1"/>
  <c r="AF282" i="15"/>
  <c r="AG282" i="15" s="1"/>
  <c r="AE282" i="15"/>
  <c r="AD282" i="15"/>
  <c r="Y282" i="15"/>
  <c r="V282" i="15"/>
  <c r="T282" i="15"/>
  <c r="AM281" i="15"/>
  <c r="AK281" i="15"/>
  <c r="AH281" i="15"/>
  <c r="AI281" i="15" s="1"/>
  <c r="AF281" i="15"/>
  <c r="AG281" i="15" s="1"/>
  <c r="AE281" i="15"/>
  <c r="AD281" i="15"/>
  <c r="Y281" i="15"/>
  <c r="V281" i="15"/>
  <c r="T281" i="15"/>
  <c r="AM280" i="15"/>
  <c r="AK280" i="15"/>
  <c r="AH280" i="15"/>
  <c r="AI280" i="15" s="1"/>
  <c r="AF280" i="15"/>
  <c r="AG280" i="15" s="1"/>
  <c r="AE280" i="15"/>
  <c r="AD280" i="15"/>
  <c r="Y280" i="15"/>
  <c r="V280" i="15"/>
  <c r="T280" i="15"/>
  <c r="AM279" i="15"/>
  <c r="AK279" i="15"/>
  <c r="AH279" i="15"/>
  <c r="AI279" i="15" s="1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H277" i="15"/>
  <c r="AI277" i="15" s="1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F276" i="15"/>
  <c r="AG276" i="15" s="1"/>
  <c r="AE276" i="15"/>
  <c r="AD276" i="15"/>
  <c r="Y276" i="15"/>
  <c r="V276" i="15"/>
  <c r="T276" i="15"/>
  <c r="AM275" i="15"/>
  <c r="AK275" i="15"/>
  <c r="AH275" i="15"/>
  <c r="AI275" i="15" s="1"/>
  <c r="AF275" i="15"/>
  <c r="AG275" i="15" s="1"/>
  <c r="AE275" i="15"/>
  <c r="AD275" i="15"/>
  <c r="Y275" i="15"/>
  <c r="V275" i="15"/>
  <c r="T275" i="15"/>
  <c r="AM274" i="15"/>
  <c r="AK274" i="15"/>
  <c r="AH274" i="15"/>
  <c r="AI274" i="15" s="1"/>
  <c r="AG274" i="15"/>
  <c r="AF274" i="15"/>
  <c r="AE274" i="15"/>
  <c r="AD274" i="15"/>
  <c r="Y274" i="15"/>
  <c r="V274" i="15"/>
  <c r="T274" i="15"/>
  <c r="AM273" i="15"/>
  <c r="AK273" i="15"/>
  <c r="AH273" i="15"/>
  <c r="AI273" i="15" s="1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F271" i="15"/>
  <c r="AG271" i="15" s="1"/>
  <c r="AE271" i="15"/>
  <c r="AD271" i="15"/>
  <c r="Y271" i="15"/>
  <c r="V271" i="15"/>
  <c r="T271" i="15"/>
  <c r="AM270" i="15"/>
  <c r="AK270" i="15"/>
  <c r="AH270" i="15"/>
  <c r="AI270" i="15" s="1"/>
  <c r="AL270" i="15" s="1"/>
  <c r="AF270" i="15"/>
  <c r="AG270" i="15" s="1"/>
  <c r="AE270" i="15"/>
  <c r="AD270" i="15"/>
  <c r="AN270" i="15" s="1"/>
  <c r="Y270" i="15"/>
  <c r="V270" i="15"/>
  <c r="T270" i="15"/>
  <c r="AM269" i="15"/>
  <c r="AK269" i="15"/>
  <c r="AH269" i="15"/>
  <c r="AI269" i="15" s="1"/>
  <c r="AF269" i="15"/>
  <c r="AG269" i="15" s="1"/>
  <c r="AE269" i="15"/>
  <c r="AD269" i="15"/>
  <c r="Y269" i="15"/>
  <c r="V269" i="15"/>
  <c r="T269" i="15"/>
  <c r="AM268" i="15"/>
  <c r="AK268" i="15"/>
  <c r="AH268" i="15"/>
  <c r="AI268" i="15" s="1"/>
  <c r="AF268" i="15"/>
  <c r="AG268" i="15" s="1"/>
  <c r="AE268" i="15"/>
  <c r="AD268" i="15"/>
  <c r="Y268" i="15"/>
  <c r="V268" i="15"/>
  <c r="T268" i="15"/>
  <c r="AM267" i="15"/>
  <c r="AK267" i="15"/>
  <c r="AH267" i="15"/>
  <c r="AI267" i="15" s="1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E265" i="15"/>
  <c r="AD265" i="15"/>
  <c r="Y265" i="15"/>
  <c r="V265" i="15"/>
  <c r="T265" i="15"/>
  <c r="AM264" i="15"/>
  <c r="AK264" i="15"/>
  <c r="AH264" i="15"/>
  <c r="AI264" i="15" s="1"/>
  <c r="AF264" i="15"/>
  <c r="AG264" i="15" s="1"/>
  <c r="AE264" i="15"/>
  <c r="AD264" i="15"/>
  <c r="AN264" i="15" s="1"/>
  <c r="Y264" i="15"/>
  <c r="V264" i="15"/>
  <c r="T264" i="15"/>
  <c r="AM263" i="15"/>
  <c r="AK263" i="15"/>
  <c r="AH263" i="15"/>
  <c r="AI263" i="15" s="1"/>
  <c r="AF263" i="15"/>
  <c r="AG263" i="15" s="1"/>
  <c r="AE263" i="15"/>
  <c r="AD263" i="15"/>
  <c r="Y263" i="15"/>
  <c r="V263" i="15"/>
  <c r="T263" i="15"/>
  <c r="AM262" i="15"/>
  <c r="AK262" i="15"/>
  <c r="AH262" i="15"/>
  <c r="AI262" i="15" s="1"/>
  <c r="AG262" i="15"/>
  <c r="AF262" i="15"/>
  <c r="AE262" i="15"/>
  <c r="AD262" i="15"/>
  <c r="Y262" i="15"/>
  <c r="V262" i="15"/>
  <c r="T262" i="15"/>
  <c r="AM261" i="15"/>
  <c r="AK261" i="15"/>
  <c r="AH261" i="15"/>
  <c r="AI261" i="15" s="1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F259" i="15"/>
  <c r="AG259" i="15" s="1"/>
  <c r="AE259" i="15"/>
  <c r="AD259" i="15"/>
  <c r="Y259" i="15"/>
  <c r="V259" i="15"/>
  <c r="T259" i="15"/>
  <c r="AM258" i="15"/>
  <c r="AK258" i="15"/>
  <c r="AH258" i="15"/>
  <c r="AI258" i="15" s="1"/>
  <c r="AF258" i="15"/>
  <c r="AG258" i="15" s="1"/>
  <c r="AE258" i="15"/>
  <c r="AD258" i="15"/>
  <c r="Y258" i="15"/>
  <c r="V258" i="15"/>
  <c r="T258" i="15"/>
  <c r="AM257" i="15"/>
  <c r="AK257" i="15"/>
  <c r="AH257" i="15"/>
  <c r="AI257" i="15" s="1"/>
  <c r="AG257" i="15"/>
  <c r="AF257" i="15"/>
  <c r="AE257" i="15"/>
  <c r="AD257" i="15"/>
  <c r="Y257" i="15"/>
  <c r="V257" i="15"/>
  <c r="T257" i="15"/>
  <c r="AM256" i="15"/>
  <c r="AK256" i="15"/>
  <c r="AH256" i="15"/>
  <c r="AI256" i="15" s="1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G253" i="15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E252" i="15"/>
  <c r="AD252" i="15"/>
  <c r="Y252" i="15"/>
  <c r="V252" i="15"/>
  <c r="T252" i="15"/>
  <c r="AM251" i="15"/>
  <c r="AK251" i="15"/>
  <c r="AH251" i="15"/>
  <c r="AI251" i="15" s="1"/>
  <c r="AF251" i="15"/>
  <c r="AG251" i="15" s="1"/>
  <c r="AE251" i="15"/>
  <c r="AD251" i="15"/>
  <c r="Y251" i="15"/>
  <c r="V251" i="15"/>
  <c r="T251" i="15"/>
  <c r="AM250" i="15"/>
  <c r="AK250" i="15"/>
  <c r="AH250" i="15"/>
  <c r="AI250" i="15" s="1"/>
  <c r="AG250" i="15"/>
  <c r="AF250" i="15"/>
  <c r="AE250" i="15"/>
  <c r="AD250" i="15"/>
  <c r="Y250" i="15"/>
  <c r="V250" i="15"/>
  <c r="T250" i="15"/>
  <c r="AM249" i="15"/>
  <c r="AK249" i="15"/>
  <c r="AH249" i="15"/>
  <c r="AI249" i="15" s="1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F247" i="15"/>
  <c r="AG247" i="15" s="1"/>
  <c r="AE247" i="15"/>
  <c r="AD247" i="15"/>
  <c r="Y247" i="15"/>
  <c r="V247" i="15"/>
  <c r="T247" i="15"/>
  <c r="AM246" i="15"/>
  <c r="AK246" i="15"/>
  <c r="AH246" i="15"/>
  <c r="AI246" i="15" s="1"/>
  <c r="AF246" i="15"/>
  <c r="AG246" i="15" s="1"/>
  <c r="AE246" i="15"/>
  <c r="AD246" i="15"/>
  <c r="Y246" i="15"/>
  <c r="V246" i="15"/>
  <c r="T246" i="15"/>
  <c r="AM245" i="15"/>
  <c r="AK245" i="15"/>
  <c r="AH245" i="15"/>
  <c r="AI245" i="15" s="1"/>
  <c r="AF245" i="15"/>
  <c r="AG245" i="15" s="1"/>
  <c r="AE245" i="15"/>
  <c r="AD245" i="15"/>
  <c r="Y245" i="15"/>
  <c r="V245" i="15"/>
  <c r="T245" i="15"/>
  <c r="AM244" i="15"/>
  <c r="AK244" i="15"/>
  <c r="AH244" i="15"/>
  <c r="AI244" i="15" s="1"/>
  <c r="AF244" i="15"/>
  <c r="AG244" i="15" s="1"/>
  <c r="AE244" i="15"/>
  <c r="AD244" i="15"/>
  <c r="Y244" i="15"/>
  <c r="V244" i="15"/>
  <c r="T244" i="15"/>
  <c r="AM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E241" i="15"/>
  <c r="AD241" i="15"/>
  <c r="Y241" i="15"/>
  <c r="V241" i="15"/>
  <c r="T241" i="15"/>
  <c r="AM240" i="15"/>
  <c r="AK240" i="15"/>
  <c r="AH240" i="15"/>
  <c r="AI240" i="15" s="1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H238" i="15"/>
  <c r="AI238" i="15" s="1"/>
  <c r="AF238" i="15"/>
  <c r="AG238" i="15" s="1"/>
  <c r="AE238" i="15"/>
  <c r="AD238" i="15"/>
  <c r="Y238" i="15"/>
  <c r="V238" i="15"/>
  <c r="T238" i="15"/>
  <c r="AM237" i="15"/>
  <c r="AK237" i="15"/>
  <c r="AH237" i="15"/>
  <c r="AI237" i="15" s="1"/>
  <c r="AF237" i="15"/>
  <c r="AG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F235" i="15"/>
  <c r="AG235" i="15" s="1"/>
  <c r="AE235" i="15"/>
  <c r="AD235" i="15"/>
  <c r="Y235" i="15"/>
  <c r="V235" i="15"/>
  <c r="T235" i="15"/>
  <c r="AM234" i="15"/>
  <c r="AK234" i="15"/>
  <c r="AH234" i="15"/>
  <c r="AI234" i="15" s="1"/>
  <c r="AF234" i="15"/>
  <c r="AG234" i="15" s="1"/>
  <c r="AE234" i="15"/>
  <c r="AD234" i="15"/>
  <c r="Y234" i="15"/>
  <c r="V234" i="15"/>
  <c r="T234" i="15"/>
  <c r="AM233" i="15"/>
  <c r="AK233" i="15"/>
  <c r="AH233" i="15"/>
  <c r="AI233" i="15" s="1"/>
  <c r="AG233" i="15"/>
  <c r="AF233" i="15"/>
  <c r="AE233" i="15"/>
  <c r="AD233" i="15"/>
  <c r="Y233" i="15"/>
  <c r="V233" i="15"/>
  <c r="T233" i="15"/>
  <c r="AM232" i="15"/>
  <c r="AK232" i="15"/>
  <c r="AH232" i="15"/>
  <c r="AI232" i="15" s="1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F227" i="15"/>
  <c r="AG227" i="15" s="1"/>
  <c r="AE227" i="15"/>
  <c r="AD227" i="15"/>
  <c r="Y227" i="15"/>
  <c r="V227" i="15"/>
  <c r="T227" i="15"/>
  <c r="AM226" i="15"/>
  <c r="AK226" i="15"/>
  <c r="AH226" i="15"/>
  <c r="AI226" i="15" s="1"/>
  <c r="AF226" i="15"/>
  <c r="AG226" i="15" s="1"/>
  <c r="AE226" i="15"/>
  <c r="AD226" i="15"/>
  <c r="Y226" i="15"/>
  <c r="V226" i="15"/>
  <c r="T226" i="15"/>
  <c r="AM225" i="15"/>
  <c r="AK225" i="15"/>
  <c r="AH225" i="15"/>
  <c r="AI225" i="15" s="1"/>
  <c r="AF225" i="15"/>
  <c r="AG225" i="15" s="1"/>
  <c r="AE225" i="15"/>
  <c r="AD225" i="15"/>
  <c r="Y225" i="15"/>
  <c r="V225" i="15"/>
  <c r="T225" i="15"/>
  <c r="AM224" i="15"/>
  <c r="AK224" i="15"/>
  <c r="AH224" i="15"/>
  <c r="AI224" i="15" s="1"/>
  <c r="AF224" i="15"/>
  <c r="AG224" i="15" s="1"/>
  <c r="AJ224" i="15" s="1"/>
  <c r="AE224" i="15"/>
  <c r="AD224" i="15"/>
  <c r="Y224" i="15"/>
  <c r="V224" i="15"/>
  <c r="T224" i="15"/>
  <c r="AM223" i="15"/>
  <c r="AK223" i="15"/>
  <c r="AH223" i="15"/>
  <c r="AI223" i="15" s="1"/>
  <c r="AF223" i="15"/>
  <c r="AG223" i="15" s="1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E222" i="15"/>
  <c r="AD222" i="15"/>
  <c r="Y222" i="15"/>
  <c r="V222" i="15"/>
  <c r="T222" i="15"/>
  <c r="AM221" i="15"/>
  <c r="AK221" i="15"/>
  <c r="AH221" i="15"/>
  <c r="AI221" i="15" s="1"/>
  <c r="AF221" i="15"/>
  <c r="AG221" i="15" s="1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E219" i="15"/>
  <c r="AD219" i="15"/>
  <c r="Y219" i="15"/>
  <c r="V219" i="15"/>
  <c r="T219" i="15"/>
  <c r="AM218" i="15"/>
  <c r="AK218" i="15"/>
  <c r="AH218" i="15"/>
  <c r="AI218" i="15" s="1"/>
  <c r="AF218" i="15"/>
  <c r="AG218" i="15" s="1"/>
  <c r="AE218" i="15"/>
  <c r="AD218" i="15"/>
  <c r="Y218" i="15"/>
  <c r="V218" i="15"/>
  <c r="T218" i="15"/>
  <c r="AM217" i="15"/>
  <c r="AK217" i="15"/>
  <c r="AH217" i="15"/>
  <c r="AI217" i="15" s="1"/>
  <c r="AF217" i="15"/>
  <c r="AG217" i="15" s="1"/>
  <c r="AE217" i="15"/>
  <c r="AD217" i="15"/>
  <c r="Y217" i="15"/>
  <c r="V217" i="15"/>
  <c r="T217" i="15"/>
  <c r="AM216" i="15"/>
  <c r="AK216" i="15"/>
  <c r="AH216" i="15"/>
  <c r="AI216" i="15" s="1"/>
  <c r="AF216" i="15"/>
  <c r="AG216" i="15" s="1"/>
  <c r="AE216" i="15"/>
  <c r="AD216" i="15"/>
  <c r="Y216" i="15"/>
  <c r="V216" i="15"/>
  <c r="T216" i="15"/>
  <c r="AM215" i="15"/>
  <c r="AK215" i="15"/>
  <c r="AH215" i="15"/>
  <c r="AI215" i="15" s="1"/>
  <c r="AF215" i="15"/>
  <c r="AG215" i="15" s="1"/>
  <c r="AL215" i="15" s="1"/>
  <c r="AE215" i="15"/>
  <c r="AD215" i="15"/>
  <c r="Y215" i="15"/>
  <c r="V215" i="15"/>
  <c r="T215" i="15"/>
  <c r="AM214" i="15"/>
  <c r="AK214" i="15"/>
  <c r="AH214" i="15"/>
  <c r="AI214" i="15" s="1"/>
  <c r="AF214" i="15"/>
  <c r="AG214" i="15" s="1"/>
  <c r="AE214" i="15"/>
  <c r="AD214" i="15"/>
  <c r="Y214" i="15"/>
  <c r="V214" i="15"/>
  <c r="T214" i="15"/>
  <c r="AM213" i="15"/>
  <c r="AK213" i="15"/>
  <c r="AH213" i="15"/>
  <c r="AI213" i="15" s="1"/>
  <c r="AF213" i="15"/>
  <c r="AG213" i="15" s="1"/>
  <c r="AE213" i="15"/>
  <c r="AD213" i="15"/>
  <c r="Y213" i="15"/>
  <c r="V213" i="15"/>
  <c r="T213" i="15"/>
  <c r="AM212" i="15"/>
  <c r="AK212" i="15"/>
  <c r="AH212" i="15"/>
  <c r="AI212" i="15" s="1"/>
  <c r="AF212" i="15"/>
  <c r="AG212" i="15" s="1"/>
  <c r="AE212" i="15"/>
  <c r="AD212" i="15"/>
  <c r="Y212" i="15"/>
  <c r="V212" i="15"/>
  <c r="T212" i="15"/>
  <c r="AM211" i="15"/>
  <c r="AK211" i="15"/>
  <c r="AH211" i="15"/>
  <c r="AI211" i="15" s="1"/>
  <c r="AF211" i="15"/>
  <c r="AG211" i="15" s="1"/>
  <c r="AE211" i="15"/>
  <c r="AD211" i="15"/>
  <c r="Y211" i="15"/>
  <c r="V211" i="15"/>
  <c r="T211" i="15"/>
  <c r="AM210" i="15"/>
  <c r="AK210" i="15"/>
  <c r="AH210" i="15"/>
  <c r="AI210" i="15" s="1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E209" i="15"/>
  <c r="AD209" i="15"/>
  <c r="Y209" i="15"/>
  <c r="V209" i="15"/>
  <c r="T209" i="15"/>
  <c r="AM208" i="15"/>
  <c r="AK208" i="15"/>
  <c r="AH208" i="15"/>
  <c r="AI208" i="15" s="1"/>
  <c r="AF208" i="15"/>
  <c r="AG208" i="15" s="1"/>
  <c r="AE208" i="15"/>
  <c r="AD208" i="15"/>
  <c r="Y208" i="15"/>
  <c r="V208" i="15"/>
  <c r="T208" i="15"/>
  <c r="AM207" i="15"/>
  <c r="AK207" i="15"/>
  <c r="AH207" i="15"/>
  <c r="AI207" i="15" s="1"/>
  <c r="AF207" i="15"/>
  <c r="AG207" i="15" s="1"/>
  <c r="AE207" i="15"/>
  <c r="AD207" i="15"/>
  <c r="Y207" i="15"/>
  <c r="V207" i="15"/>
  <c r="T207" i="15"/>
  <c r="AM206" i="15"/>
  <c r="AK206" i="15"/>
  <c r="AH206" i="15"/>
  <c r="AI206" i="15" s="1"/>
  <c r="AF206" i="15"/>
  <c r="AG206" i="15" s="1"/>
  <c r="AE206" i="15"/>
  <c r="AD206" i="15"/>
  <c r="Y206" i="15"/>
  <c r="V206" i="15"/>
  <c r="T206" i="15"/>
  <c r="AM205" i="15"/>
  <c r="AK205" i="15"/>
  <c r="AH205" i="15"/>
  <c r="AI205" i="15" s="1"/>
  <c r="AG205" i="15"/>
  <c r="AL205" i="15" s="1"/>
  <c r="AF205" i="15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F203" i="15"/>
  <c r="AE203" i="15"/>
  <c r="AD203" i="15"/>
  <c r="Y203" i="15"/>
  <c r="V203" i="15"/>
  <c r="T203" i="15"/>
  <c r="AM202" i="15"/>
  <c r="AK202" i="15"/>
  <c r="AH202" i="15"/>
  <c r="AI202" i="15" s="1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F201" i="15"/>
  <c r="AG201" i="15" s="1"/>
  <c r="AE201" i="15"/>
  <c r="AD201" i="15"/>
  <c r="Y201" i="15"/>
  <c r="V201" i="15"/>
  <c r="T201" i="15"/>
  <c r="AM200" i="15"/>
  <c r="AK200" i="15"/>
  <c r="AH200" i="15"/>
  <c r="AI200" i="15" s="1"/>
  <c r="AF200" i="15"/>
  <c r="AG200" i="15" s="1"/>
  <c r="AL200" i="15" s="1"/>
  <c r="AE200" i="15"/>
  <c r="AD200" i="15"/>
  <c r="Y200" i="15"/>
  <c r="V200" i="15"/>
  <c r="T200" i="15"/>
  <c r="AM199" i="15"/>
  <c r="AK199" i="15"/>
  <c r="AH199" i="15"/>
  <c r="AI199" i="15" s="1"/>
  <c r="AF199" i="15"/>
  <c r="AG199" i="15" s="1"/>
  <c r="AE199" i="15"/>
  <c r="AD199" i="15"/>
  <c r="Y199" i="15"/>
  <c r="V199" i="15"/>
  <c r="T199" i="15"/>
  <c r="AM198" i="15"/>
  <c r="AK198" i="15"/>
  <c r="AH198" i="15"/>
  <c r="AI198" i="15" s="1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H196" i="15"/>
  <c r="AI196" i="15" s="1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F195" i="15"/>
  <c r="AG195" i="15" s="1"/>
  <c r="AE195" i="15"/>
  <c r="AD195" i="15"/>
  <c r="Y195" i="15"/>
  <c r="V195" i="15"/>
  <c r="T195" i="15"/>
  <c r="AM194" i="15"/>
  <c r="AK194" i="15"/>
  <c r="AH194" i="15"/>
  <c r="AI194" i="15" s="1"/>
  <c r="AF194" i="15"/>
  <c r="AG194" i="15" s="1"/>
  <c r="AE194" i="15"/>
  <c r="AD194" i="15"/>
  <c r="Y194" i="15"/>
  <c r="V194" i="15"/>
  <c r="T194" i="15"/>
  <c r="AM193" i="15"/>
  <c r="AK193" i="15"/>
  <c r="AH193" i="15"/>
  <c r="AI193" i="15" s="1"/>
  <c r="AG193" i="15"/>
  <c r="AL193" i="15" s="1"/>
  <c r="AF193" i="15"/>
  <c r="AE193" i="15"/>
  <c r="AD193" i="15"/>
  <c r="Y193" i="15"/>
  <c r="V193" i="15"/>
  <c r="T193" i="15"/>
  <c r="AM192" i="15"/>
  <c r="AK192" i="15"/>
  <c r="AH192" i="15"/>
  <c r="AI192" i="15" s="1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F191" i="15"/>
  <c r="AG191" i="15" s="1"/>
  <c r="AE191" i="15"/>
  <c r="AD191" i="15"/>
  <c r="Y191" i="15"/>
  <c r="V191" i="15"/>
  <c r="T191" i="15"/>
  <c r="AM190" i="15"/>
  <c r="AK190" i="15"/>
  <c r="AH190" i="15"/>
  <c r="AI190" i="15" s="1"/>
  <c r="AF190" i="15"/>
  <c r="AG190" i="15" s="1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L189" i="15" s="1"/>
  <c r="AE189" i="15"/>
  <c r="AD189" i="15"/>
  <c r="Y189" i="15"/>
  <c r="V189" i="15"/>
  <c r="T189" i="15"/>
  <c r="AM188" i="15"/>
  <c r="AK188" i="15"/>
  <c r="AH188" i="15"/>
  <c r="AI188" i="15" s="1"/>
  <c r="AF188" i="15"/>
  <c r="AG188" i="15" s="1"/>
  <c r="AE188" i="15"/>
  <c r="AD188" i="15"/>
  <c r="Y188" i="15"/>
  <c r="V188" i="15"/>
  <c r="T188" i="15"/>
  <c r="AM187" i="15"/>
  <c r="AK187" i="15"/>
  <c r="AH187" i="15"/>
  <c r="AI187" i="15" s="1"/>
  <c r="AF187" i="15"/>
  <c r="AG187" i="15" s="1"/>
  <c r="AE187" i="15"/>
  <c r="AD187" i="15"/>
  <c r="Y187" i="15"/>
  <c r="V187" i="15"/>
  <c r="T187" i="15"/>
  <c r="AM186" i="15"/>
  <c r="AK186" i="15"/>
  <c r="AH186" i="15"/>
  <c r="AI186" i="15" s="1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F185" i="15"/>
  <c r="AG185" i="15" s="1"/>
  <c r="AE185" i="15"/>
  <c r="AD185" i="15"/>
  <c r="Y185" i="15"/>
  <c r="V185" i="15"/>
  <c r="T185" i="15"/>
  <c r="AM184" i="15"/>
  <c r="AK184" i="15"/>
  <c r="AH184" i="15"/>
  <c r="AI184" i="15" s="1"/>
  <c r="AG184" i="15"/>
  <c r="AF184" i="15"/>
  <c r="AE184" i="15"/>
  <c r="AD184" i="15"/>
  <c r="Y184" i="15"/>
  <c r="V184" i="15"/>
  <c r="T184" i="15"/>
  <c r="AM183" i="15"/>
  <c r="AK183" i="15"/>
  <c r="AI183" i="15"/>
  <c r="AH183" i="15"/>
  <c r="AF183" i="15"/>
  <c r="AG183" i="15" s="1"/>
  <c r="AL183" i="15" s="1"/>
  <c r="AE183" i="15"/>
  <c r="AD183" i="15"/>
  <c r="Y183" i="15"/>
  <c r="V183" i="15"/>
  <c r="T183" i="15"/>
  <c r="AM182" i="15"/>
  <c r="AK182" i="15"/>
  <c r="AH182" i="15"/>
  <c r="AI182" i="15" s="1"/>
  <c r="AF182" i="15"/>
  <c r="AG182" i="15" s="1"/>
  <c r="AE182" i="15"/>
  <c r="AD182" i="15"/>
  <c r="Y182" i="15"/>
  <c r="V182" i="15"/>
  <c r="T182" i="15"/>
  <c r="AM181" i="15"/>
  <c r="AK181" i="15"/>
  <c r="AH181" i="15"/>
  <c r="AI181" i="15" s="1"/>
  <c r="AF181" i="15"/>
  <c r="AG181" i="15" s="1"/>
  <c r="AE181" i="15"/>
  <c r="AD181" i="15"/>
  <c r="Y181" i="15"/>
  <c r="V181" i="15"/>
  <c r="T181" i="15"/>
  <c r="AM180" i="15"/>
  <c r="AK180" i="15"/>
  <c r="AH180" i="15"/>
  <c r="AI180" i="15" s="1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F179" i="15"/>
  <c r="AG179" i="15" s="1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H177" i="15"/>
  <c r="AI177" i="15" s="1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F176" i="15"/>
  <c r="AG176" i="15" s="1"/>
  <c r="AE176" i="15"/>
  <c r="AD176" i="15"/>
  <c r="Y176" i="15"/>
  <c r="V176" i="15"/>
  <c r="T176" i="15"/>
  <c r="AM175" i="15"/>
  <c r="AK175" i="15"/>
  <c r="AH175" i="15"/>
  <c r="AI175" i="15" s="1"/>
  <c r="AG175" i="15"/>
  <c r="AF175" i="15"/>
  <c r="AE175" i="15"/>
  <c r="AD175" i="15"/>
  <c r="Y175" i="15"/>
  <c r="V175" i="15"/>
  <c r="T175" i="15"/>
  <c r="AM174" i="15"/>
  <c r="AK174" i="15"/>
  <c r="AH174" i="15"/>
  <c r="AI174" i="15" s="1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F173" i="15"/>
  <c r="AG173" i="15" s="1"/>
  <c r="Y173" i="15"/>
  <c r="V173" i="15"/>
  <c r="T173" i="15"/>
  <c r="AE173" i="15" s="1"/>
  <c r="AM172" i="15"/>
  <c r="AK172" i="15"/>
  <c r="AH172" i="15"/>
  <c r="AI172" i="15" s="1"/>
  <c r="AF172" i="15"/>
  <c r="AG172" i="15" s="1"/>
  <c r="AE172" i="15"/>
  <c r="Y172" i="15"/>
  <c r="V172" i="15"/>
  <c r="T172" i="15"/>
  <c r="AD172" i="15" s="1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F170" i="15"/>
  <c r="AG170" i="15" s="1"/>
  <c r="Y170" i="15"/>
  <c r="V170" i="15"/>
  <c r="T170" i="15"/>
  <c r="AD170" i="15" s="1"/>
  <c r="AM169" i="15"/>
  <c r="AK169" i="15"/>
  <c r="AH169" i="15"/>
  <c r="AI169" i="15" s="1"/>
  <c r="AF169" i="15"/>
  <c r="AG169" i="15" s="1"/>
  <c r="Y169" i="15"/>
  <c r="V169" i="15"/>
  <c r="T169" i="15"/>
  <c r="AE169" i="15" s="1"/>
  <c r="AM168" i="15"/>
  <c r="AK168" i="15"/>
  <c r="AH168" i="15"/>
  <c r="AI168" i="15" s="1"/>
  <c r="AF168" i="15"/>
  <c r="AG168" i="15" s="1"/>
  <c r="AD168" i="15"/>
  <c r="Y168" i="15"/>
  <c r="V168" i="15"/>
  <c r="T168" i="15"/>
  <c r="AE168" i="15" s="1"/>
  <c r="AK167" i="15"/>
  <c r="AF167" i="15"/>
  <c r="AG167" i="15" s="1"/>
  <c r="Y167" i="15"/>
  <c r="V167" i="15"/>
  <c r="T167" i="15"/>
  <c r="AM167" i="15" s="1"/>
  <c r="AM166" i="15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F163" i="15"/>
  <c r="AG163" i="15" s="1"/>
  <c r="Y163" i="15"/>
  <c r="V163" i="15"/>
  <c r="T163" i="15"/>
  <c r="AE163" i="15" s="1"/>
  <c r="AM162" i="15"/>
  <c r="AK162" i="15"/>
  <c r="AF162" i="15"/>
  <c r="AG162" i="15" s="1"/>
  <c r="Y162" i="15"/>
  <c r="V162" i="15"/>
  <c r="T162" i="15"/>
  <c r="AE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M160" i="15"/>
  <c r="AK160" i="15"/>
  <c r="AH160" i="15"/>
  <c r="AI160" i="15" s="1"/>
  <c r="AF160" i="15"/>
  <c r="AG160" i="15" s="1"/>
  <c r="AE160" i="15"/>
  <c r="Y160" i="15"/>
  <c r="V160" i="15"/>
  <c r="T160" i="15"/>
  <c r="AD160" i="15" s="1"/>
  <c r="AK159" i="15"/>
  <c r="AF159" i="15"/>
  <c r="AG159" i="15" s="1"/>
  <c r="Y159" i="15"/>
  <c r="V159" i="15"/>
  <c r="T159" i="15"/>
  <c r="AM159" i="15" s="1"/>
  <c r="AK158" i="15"/>
  <c r="AF158" i="15"/>
  <c r="AG158" i="15" s="1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F154" i="15"/>
  <c r="AG154" i="15" s="1"/>
  <c r="Y154" i="15"/>
  <c r="V154" i="15"/>
  <c r="T154" i="15"/>
  <c r="AH154" i="15" s="1"/>
  <c r="AI154" i="15" s="1"/>
  <c r="AM153" i="15"/>
  <c r="AK153" i="15"/>
  <c r="AH153" i="15"/>
  <c r="AI153" i="15" s="1"/>
  <c r="AF153" i="15"/>
  <c r="AG153" i="15" s="1"/>
  <c r="AE153" i="15"/>
  <c r="AD153" i="15"/>
  <c r="Y153" i="15"/>
  <c r="V153" i="15"/>
  <c r="T153" i="15"/>
  <c r="AM152" i="15"/>
  <c r="AK152" i="15"/>
  <c r="AH152" i="15"/>
  <c r="AI152" i="15" s="1"/>
  <c r="AF152" i="15"/>
  <c r="AG152" i="15" s="1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Y151" i="15"/>
  <c r="V151" i="15"/>
  <c r="T151" i="15"/>
  <c r="AD151" i="15" s="1"/>
  <c r="AM150" i="15"/>
  <c r="AK150" i="15"/>
  <c r="AF150" i="15"/>
  <c r="AG150" i="15" s="1"/>
  <c r="AE150" i="15"/>
  <c r="AD150" i="15"/>
  <c r="Y150" i="15"/>
  <c r="V150" i="15"/>
  <c r="T150" i="15"/>
  <c r="AH150" i="15" s="1"/>
  <c r="AI150" i="15" s="1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F145" i="15"/>
  <c r="AG145" i="15" s="1"/>
  <c r="Y145" i="15"/>
  <c r="V145" i="15"/>
  <c r="T145" i="15"/>
  <c r="AE145" i="15" s="1"/>
  <c r="AM144" i="15"/>
  <c r="AK144" i="15"/>
  <c r="AF144" i="15"/>
  <c r="AG144" i="15" s="1"/>
  <c r="Y144" i="15"/>
  <c r="V144" i="15"/>
  <c r="T144" i="15"/>
  <c r="AE144" i="15" s="1"/>
  <c r="AM143" i="15"/>
  <c r="AK143" i="15"/>
  <c r="AH143" i="15"/>
  <c r="AI143" i="15" s="1"/>
  <c r="AF143" i="15"/>
  <c r="AG143" i="15" s="1"/>
  <c r="AE143" i="15"/>
  <c r="Y143" i="15"/>
  <c r="V143" i="15"/>
  <c r="T143" i="15"/>
  <c r="AD143" i="15" s="1"/>
  <c r="AM142" i="15"/>
  <c r="AK142" i="15"/>
  <c r="AF142" i="15"/>
  <c r="AG142" i="15" s="1"/>
  <c r="AD142" i="15"/>
  <c r="Y142" i="15"/>
  <c r="V142" i="15"/>
  <c r="T142" i="15"/>
  <c r="AH142" i="15" s="1"/>
  <c r="AI142" i="15" s="1"/>
  <c r="AM141" i="15"/>
  <c r="AK141" i="15"/>
  <c r="AF141" i="15"/>
  <c r="AG141" i="15" s="1"/>
  <c r="Y141" i="15"/>
  <c r="V141" i="15"/>
  <c r="T141" i="15"/>
  <c r="AE141" i="15" s="1"/>
  <c r="AM140" i="15"/>
  <c r="AK140" i="15"/>
  <c r="AF140" i="15"/>
  <c r="AG140" i="15" s="1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F136" i="15"/>
  <c r="AG136" i="15" s="1"/>
  <c r="Y136" i="15"/>
  <c r="V136" i="15"/>
  <c r="T136" i="15"/>
  <c r="AH136" i="15" s="1"/>
  <c r="AI136" i="15" s="1"/>
  <c r="AM135" i="15"/>
  <c r="AK135" i="15"/>
  <c r="AF135" i="15"/>
  <c r="AG135" i="15" s="1"/>
  <c r="Y135" i="15"/>
  <c r="V135" i="15"/>
  <c r="T135" i="15"/>
  <c r="AH135" i="15" s="1"/>
  <c r="AI135" i="15" s="1"/>
  <c r="AM134" i="15"/>
  <c r="AK134" i="15"/>
  <c r="AF134" i="15"/>
  <c r="AG134" i="15" s="1"/>
  <c r="Y134" i="15"/>
  <c r="V134" i="15"/>
  <c r="T134" i="15"/>
  <c r="AD134" i="15" s="1"/>
  <c r="AK133" i="15"/>
  <c r="AH133" i="15"/>
  <c r="AI133" i="15" s="1"/>
  <c r="AG133" i="15"/>
  <c r="AF133" i="15"/>
  <c r="AE133" i="15"/>
  <c r="Y133" i="15"/>
  <c r="V133" i="15"/>
  <c r="T133" i="15"/>
  <c r="AM133" i="15" s="1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F130" i="15"/>
  <c r="AG130" i="15" s="1"/>
  <c r="Y130" i="15"/>
  <c r="V130" i="15"/>
  <c r="T130" i="15"/>
  <c r="AH130" i="15" s="1"/>
  <c r="AI130" i="15" s="1"/>
  <c r="AK129" i="15"/>
  <c r="AF129" i="15"/>
  <c r="AG129" i="15" s="1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F127" i="15"/>
  <c r="AG127" i="15" s="1"/>
  <c r="Y127" i="15"/>
  <c r="V127" i="15"/>
  <c r="T127" i="15"/>
  <c r="AE127" i="15" s="1"/>
  <c r="AM126" i="15"/>
  <c r="AK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Y125" i="15"/>
  <c r="V125" i="15"/>
  <c r="T125" i="15"/>
  <c r="AD125" i="15" s="1"/>
  <c r="AM124" i="15"/>
  <c r="AK124" i="15"/>
  <c r="AF124" i="15"/>
  <c r="AG124" i="15" s="1"/>
  <c r="AE124" i="15"/>
  <c r="AD124" i="15"/>
  <c r="Y124" i="15"/>
  <c r="V124" i="15"/>
  <c r="T124" i="15"/>
  <c r="AH124" i="15" s="1"/>
  <c r="AI124" i="15" s="1"/>
  <c r="AM123" i="15"/>
  <c r="AK123" i="15"/>
  <c r="AF123" i="15"/>
  <c r="AG123" i="15" s="1"/>
  <c r="Y123" i="15"/>
  <c r="V123" i="15"/>
  <c r="T123" i="15"/>
  <c r="AE123" i="15" s="1"/>
  <c r="AM122" i="15"/>
  <c r="AK122" i="15"/>
  <c r="AF122" i="15"/>
  <c r="AG122" i="15" s="1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F107" i="15"/>
  <c r="AG107" i="15" s="1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H96" i="15"/>
  <c r="AI96" i="15" s="1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Y93" i="15"/>
  <c r="V93" i="15"/>
  <c r="T93" i="15"/>
  <c r="AE93" i="15" s="1"/>
  <c r="AK92" i="15"/>
  <c r="AF92" i="15"/>
  <c r="AG92" i="15" s="1"/>
  <c r="Y92" i="15"/>
  <c r="V92" i="15"/>
  <c r="T92" i="15"/>
  <c r="AD92" i="15" s="1"/>
  <c r="AM91" i="15"/>
  <c r="AK91" i="15"/>
  <c r="AF91" i="15"/>
  <c r="AG91" i="15" s="1"/>
  <c r="Y91" i="15"/>
  <c r="V91" i="15"/>
  <c r="T91" i="15"/>
  <c r="AH91" i="15" s="1"/>
  <c r="AI91" i="15" s="1"/>
  <c r="AK90" i="15"/>
  <c r="AF90" i="15"/>
  <c r="AG90" i="15" s="1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K78" i="15"/>
  <c r="AF78" i="15"/>
  <c r="AG78" i="15" s="1"/>
  <c r="Y78" i="15"/>
  <c r="V78" i="15"/>
  <c r="T78" i="15"/>
  <c r="AH78" i="15" s="1"/>
  <c r="AI78" i="15" s="1"/>
  <c r="AM77" i="15"/>
  <c r="AK77" i="15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K75" i="15"/>
  <c r="AF75" i="15"/>
  <c r="AG75" i="15" s="1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K70" i="15"/>
  <c r="AF70" i="15"/>
  <c r="AG70" i="15" s="1"/>
  <c r="Y70" i="15"/>
  <c r="V70" i="15"/>
  <c r="T70" i="15"/>
  <c r="AH70" i="15" s="1"/>
  <c r="AI70" i="15" s="1"/>
  <c r="AM69" i="15"/>
  <c r="AK69" i="15"/>
  <c r="AF69" i="15"/>
  <c r="AG69" i="15" s="1"/>
  <c r="Y69" i="15"/>
  <c r="V69" i="15"/>
  <c r="T69" i="15"/>
  <c r="AH69" i="15" s="1"/>
  <c r="AI69" i="15" s="1"/>
  <c r="AK68" i="15"/>
  <c r="AF68" i="15"/>
  <c r="AG68" i="15" s="1"/>
  <c r="Y68" i="15"/>
  <c r="V68" i="15"/>
  <c r="T68" i="15"/>
  <c r="AE68" i="15" s="1"/>
  <c r="AK67" i="15"/>
  <c r="AF67" i="15"/>
  <c r="AG67" i="15" s="1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K63" i="15"/>
  <c r="AF63" i="15"/>
  <c r="AG63" i="15" s="1"/>
  <c r="Y63" i="15"/>
  <c r="V63" i="15"/>
  <c r="T63" i="15"/>
  <c r="AM63" i="15" s="1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F59" i="15"/>
  <c r="AG59" i="15" s="1"/>
  <c r="Y59" i="15"/>
  <c r="V59" i="15"/>
  <c r="T59" i="15"/>
  <c r="AH59" i="15" s="1"/>
  <c r="AI59" i="15" s="1"/>
  <c r="AK58" i="15"/>
  <c r="AF58" i="15"/>
  <c r="AG58" i="15" s="1"/>
  <c r="Y58" i="15"/>
  <c r="V58" i="15"/>
  <c r="T58" i="15"/>
  <c r="AM58" i="15" s="1"/>
  <c r="AK57" i="15"/>
  <c r="AF57" i="15"/>
  <c r="AG57" i="15" s="1"/>
  <c r="Y57" i="15"/>
  <c r="V57" i="15"/>
  <c r="T57" i="15"/>
  <c r="AD57" i="15" s="1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V55" i="15"/>
  <c r="T55" i="15"/>
  <c r="AM55" i="15" s="1"/>
  <c r="AK54" i="15"/>
  <c r="AF54" i="15"/>
  <c r="AG54" i="15" s="1"/>
  <c r="Y54" i="15"/>
  <c r="V54" i="15"/>
  <c r="T54" i="15"/>
  <c r="AD54" i="15" s="1"/>
  <c r="AM53" i="15"/>
  <c r="AK53" i="15"/>
  <c r="AF53" i="15"/>
  <c r="AG53" i="15" s="1"/>
  <c r="Y53" i="15"/>
  <c r="V53" i="15"/>
  <c r="T53" i="15"/>
  <c r="AH53" i="15" s="1"/>
  <c r="AI53" i="15" s="1"/>
  <c r="AK52" i="15"/>
  <c r="AF52" i="15"/>
  <c r="AG52" i="15" s="1"/>
  <c r="Y52" i="15"/>
  <c r="V52" i="15"/>
  <c r="T52" i="15"/>
  <c r="AM52" i="15" s="1"/>
  <c r="AK51" i="15"/>
  <c r="AF51" i="15"/>
  <c r="AG51" i="15" s="1"/>
  <c r="AD51" i="15"/>
  <c r="Y51" i="15"/>
  <c r="V51" i="15"/>
  <c r="T51" i="15"/>
  <c r="AM51" i="15" s="1"/>
  <c r="AM50" i="15"/>
  <c r="AK50" i="15"/>
  <c r="AF50" i="15"/>
  <c r="AG50" i="15" s="1"/>
  <c r="Y50" i="15"/>
  <c r="V50" i="15"/>
  <c r="T50" i="15"/>
  <c r="AH50" i="15" s="1"/>
  <c r="AI50" i="15" s="1"/>
  <c r="AK49" i="15"/>
  <c r="AF49" i="15"/>
  <c r="AG49" i="15" s="1"/>
  <c r="Y49" i="15"/>
  <c r="V49" i="15"/>
  <c r="T49" i="15"/>
  <c r="AE49" i="15" s="1"/>
  <c r="AK48" i="15"/>
  <c r="AF48" i="15"/>
  <c r="AG48" i="15" s="1"/>
  <c r="Y48" i="15"/>
  <c r="V48" i="15"/>
  <c r="T48" i="15"/>
  <c r="AM48" i="15" s="1"/>
  <c r="AK47" i="15"/>
  <c r="AF47" i="15"/>
  <c r="AG47" i="15" s="1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K43" i="15"/>
  <c r="AF43" i="15"/>
  <c r="AG43" i="15" s="1"/>
  <c r="Y43" i="15"/>
  <c r="V43" i="15"/>
  <c r="T43" i="15"/>
  <c r="AM43" i="15" s="1"/>
  <c r="AK42" i="15"/>
  <c r="AF42" i="15"/>
  <c r="AG42" i="15" s="1"/>
  <c r="Y42" i="15"/>
  <c r="V42" i="15"/>
  <c r="T42" i="15"/>
  <c r="AM42" i="15" s="1"/>
  <c r="AK41" i="15"/>
  <c r="AF41" i="15"/>
  <c r="AG41" i="15" s="1"/>
  <c r="Y41" i="15"/>
  <c r="V41" i="15"/>
  <c r="T41" i="15"/>
  <c r="AH41" i="15" s="1"/>
  <c r="AI41" i="15" s="1"/>
  <c r="AK40" i="15"/>
  <c r="AF40" i="15"/>
  <c r="AG40" i="15" s="1"/>
  <c r="Y40" i="15"/>
  <c r="V40" i="15"/>
  <c r="T40" i="15"/>
  <c r="AD40" i="15" s="1"/>
  <c r="AK39" i="15"/>
  <c r="AF39" i="15"/>
  <c r="AG39" i="15" s="1"/>
  <c r="Y39" i="15"/>
  <c r="V39" i="15"/>
  <c r="T39" i="15"/>
  <c r="AE39" i="15" s="1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F35" i="15"/>
  <c r="AG35" i="15" s="1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F32" i="15"/>
  <c r="AG32" i="15" s="1"/>
  <c r="Y32" i="15"/>
  <c r="V32" i="15"/>
  <c r="T32" i="15"/>
  <c r="AH32" i="15" s="1"/>
  <c r="AI32" i="15" s="1"/>
  <c r="AK31" i="15"/>
  <c r="AF31" i="15"/>
  <c r="AG31" i="15" s="1"/>
  <c r="Y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K28" i="15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F25" i="15"/>
  <c r="AG25" i="15" s="1"/>
  <c r="AE25" i="15"/>
  <c r="Y25" i="15"/>
  <c r="V25" i="15"/>
  <c r="T25" i="15"/>
  <c r="AH25" i="15" s="1"/>
  <c r="AI25" i="15" s="1"/>
  <c r="AK24" i="15"/>
  <c r="AF24" i="15"/>
  <c r="AG24" i="15" s="1"/>
  <c r="Y24" i="15"/>
  <c r="V24" i="15"/>
  <c r="T24" i="15"/>
  <c r="AE24" i="15" s="1"/>
  <c r="AK23" i="15"/>
  <c r="AF23" i="15"/>
  <c r="AG23" i="15" s="1"/>
  <c r="Y23" i="15"/>
  <c r="V23" i="15"/>
  <c r="T23" i="15"/>
  <c r="AH23" i="15" s="1"/>
  <c r="AI23" i="15" s="1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F19" i="15"/>
  <c r="AG19" i="15" s="1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F17" i="15"/>
  <c r="AG17" i="15" s="1"/>
  <c r="Y17" i="15"/>
  <c r="V17" i="15"/>
  <c r="T17" i="15"/>
  <c r="AH17" i="15" s="1"/>
  <c r="AI17" i="15" s="1"/>
  <c r="AK16" i="15"/>
  <c r="AF16" i="15"/>
  <c r="AG16" i="15" s="1"/>
  <c r="Y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F14" i="15"/>
  <c r="AG14" i="15" s="1"/>
  <c r="Y14" i="15"/>
  <c r="V14" i="15"/>
  <c r="T14" i="15"/>
  <c r="AH14" i="15" s="1"/>
  <c r="AI14" i="15" s="1"/>
  <c r="AM13" i="15"/>
  <c r="AK13" i="15"/>
  <c r="AF13" i="15"/>
  <c r="AG13" i="15" s="1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Y11" i="15"/>
  <c r="V11" i="15"/>
  <c r="T11" i="15"/>
  <c r="AH11" i="15" s="1"/>
  <c r="AI11" i="15" s="1"/>
  <c r="AK10" i="15"/>
  <c r="AF10" i="15"/>
  <c r="AG10" i="15" s="1"/>
  <c r="Y10" i="15"/>
  <c r="V10" i="15"/>
  <c r="T10" i="15"/>
  <c r="AD10" i="15" s="1"/>
  <c r="A10" i="15"/>
  <c r="U85" i="15" s="1"/>
  <c r="AK9" i="15"/>
  <c r="AF9" i="15"/>
  <c r="AG9" i="15" s="1"/>
  <c r="Y9" i="15"/>
  <c r="V9" i="15"/>
  <c r="T9" i="15"/>
  <c r="AH9" i="15" s="1"/>
  <c r="AI9" i="15" s="1"/>
  <c r="AK8" i="15"/>
  <c r="AF8" i="15"/>
  <c r="AG8" i="15" s="1"/>
  <c r="Y8" i="15"/>
  <c r="V8" i="15"/>
  <c r="T8" i="15"/>
  <c r="AM8" i="15" s="1"/>
  <c r="AK7" i="15"/>
  <c r="AF7" i="15"/>
  <c r="AG7" i="15" s="1"/>
  <c r="Y7" i="15"/>
  <c r="V7" i="15"/>
  <c r="T7" i="15"/>
  <c r="AH7" i="15" s="1"/>
  <c r="AI7" i="15" s="1"/>
  <c r="AK6" i="15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V5" i="15"/>
  <c r="T5" i="15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F23" i="14"/>
  <c r="AG23" i="14" s="1"/>
  <c r="AJ23" i="14" s="1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V8" i="14"/>
  <c r="T8" i="14"/>
  <c r="AH8" i="14" s="1"/>
  <c r="AI8" i="14" s="1"/>
  <c r="AM7" i="14"/>
  <c r="AK7" i="14"/>
  <c r="AF7" i="14"/>
  <c r="AG7" i="14" s="1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H49" i="12"/>
  <c r="AI49" i="12" s="1"/>
  <c r="AF49" i="12"/>
  <c r="AG49" i="12" s="1"/>
  <c r="AE49" i="12"/>
  <c r="AD49" i="12"/>
  <c r="Y49" i="12"/>
  <c r="V49" i="12"/>
  <c r="T49" i="12"/>
  <c r="AM48" i="12"/>
  <c r="AK48" i="12"/>
  <c r="AH48" i="12"/>
  <c r="AI48" i="12" s="1"/>
  <c r="AF48" i="12"/>
  <c r="AG48" i="12" s="1"/>
  <c r="AE48" i="12"/>
  <c r="AD48" i="12"/>
  <c r="Y48" i="12"/>
  <c r="V48" i="12"/>
  <c r="T48" i="12"/>
  <c r="AM47" i="12"/>
  <c r="AK47" i="12"/>
  <c r="AH47" i="12"/>
  <c r="AI47" i="12" s="1"/>
  <c r="AF47" i="12"/>
  <c r="AG47" i="12" s="1"/>
  <c r="AE47" i="12"/>
  <c r="AD47" i="12"/>
  <c r="Y47" i="12"/>
  <c r="V47" i="12"/>
  <c r="T47" i="12"/>
  <c r="AM46" i="12"/>
  <c r="AK46" i="12"/>
  <c r="AH46" i="12"/>
  <c r="AI46" i="12" s="1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Y45" i="12"/>
  <c r="V45" i="12"/>
  <c r="T45" i="12"/>
  <c r="AM44" i="12"/>
  <c r="AK44" i="12"/>
  <c r="AH44" i="12"/>
  <c r="AI44" i="12" s="1"/>
  <c r="AF44" i="12"/>
  <c r="AG44" i="12" s="1"/>
  <c r="AL44" i="12" s="1"/>
  <c r="AE44" i="12"/>
  <c r="AD44" i="12"/>
  <c r="Y44" i="12"/>
  <c r="V44" i="12"/>
  <c r="T44" i="12"/>
  <c r="AM43" i="12"/>
  <c r="AK43" i="12"/>
  <c r="AH43" i="12"/>
  <c r="AI43" i="12" s="1"/>
  <c r="AF43" i="12"/>
  <c r="AG43" i="12" s="1"/>
  <c r="AE43" i="12"/>
  <c r="AD43" i="12"/>
  <c r="Y43" i="12"/>
  <c r="V43" i="12"/>
  <c r="T43" i="12"/>
  <c r="AM42" i="12"/>
  <c r="AK42" i="12"/>
  <c r="AH42" i="12"/>
  <c r="AI42" i="12" s="1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Y40" i="12"/>
  <c r="V40" i="12"/>
  <c r="T40" i="12"/>
  <c r="AM39" i="12"/>
  <c r="AK39" i="12"/>
  <c r="AH39" i="12"/>
  <c r="AI39" i="12" s="1"/>
  <c r="AF39" i="12"/>
  <c r="AG39" i="12" s="1"/>
  <c r="AL39" i="12" s="1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H37" i="12"/>
  <c r="AI37" i="12" s="1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Y36" i="12"/>
  <c r="V36" i="12"/>
  <c r="T36" i="12"/>
  <c r="AM35" i="12"/>
  <c r="AK35" i="12"/>
  <c r="AH35" i="12"/>
  <c r="AI35" i="12" s="1"/>
  <c r="AF35" i="12"/>
  <c r="AG35" i="12" s="1"/>
  <c r="AE35" i="12"/>
  <c r="AD35" i="12"/>
  <c r="Y35" i="12"/>
  <c r="V35" i="12"/>
  <c r="T35" i="12"/>
  <c r="AM34" i="12"/>
  <c r="AK34" i="12"/>
  <c r="AH34" i="12"/>
  <c r="AI34" i="12" s="1"/>
  <c r="AG34" i="12"/>
  <c r="AF34" i="12"/>
  <c r="AE34" i="12"/>
  <c r="AD34" i="12"/>
  <c r="Y34" i="12"/>
  <c r="V34" i="12"/>
  <c r="T34" i="12"/>
  <c r="AM33" i="12"/>
  <c r="AK33" i="12"/>
  <c r="AH33" i="12"/>
  <c r="AI33" i="12" s="1"/>
  <c r="AF33" i="12"/>
  <c r="AG33" i="12" s="1"/>
  <c r="AE33" i="12"/>
  <c r="AD33" i="12"/>
  <c r="Y33" i="12"/>
  <c r="V33" i="12"/>
  <c r="T33" i="12"/>
  <c r="AM32" i="12"/>
  <c r="AK32" i="12"/>
  <c r="AH32" i="12"/>
  <c r="AI32" i="12" s="1"/>
  <c r="AF32" i="12"/>
  <c r="AG32" i="12" s="1"/>
  <c r="AJ32" i="12" s="1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H30" i="12"/>
  <c r="AI30" i="12" s="1"/>
  <c r="AF30" i="12"/>
  <c r="AG30" i="12" s="1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K14" i="12"/>
  <c r="AF14" i="12"/>
  <c r="AG14" i="12" s="1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K11" i="12"/>
  <c r="AF11" i="12"/>
  <c r="AG11" i="12" s="1"/>
  <c r="Y11" i="12"/>
  <c r="V11" i="12"/>
  <c r="T11" i="12"/>
  <c r="AD11" i="12" s="1"/>
  <c r="AK10" i="12"/>
  <c r="AF10" i="12"/>
  <c r="AG10" i="12" s="1"/>
  <c r="Y10" i="12"/>
  <c r="V10" i="12"/>
  <c r="T10" i="12"/>
  <c r="AH10" i="12" s="1"/>
  <c r="AI10" i="12" s="1"/>
  <c r="A10" i="12"/>
  <c r="W14" i="12" s="1"/>
  <c r="AK9" i="12"/>
  <c r="AF9" i="12"/>
  <c r="AG9" i="12" s="1"/>
  <c r="Y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K6" i="12"/>
  <c r="AF6" i="12"/>
  <c r="AG6" i="12" s="1"/>
  <c r="Y6" i="12"/>
  <c r="V6" i="12"/>
  <c r="T6" i="12"/>
  <c r="AH6" i="12" s="1"/>
  <c r="AI6" i="12" s="1"/>
  <c r="A6" i="12"/>
  <c r="AM5" i="12"/>
  <c r="AK5" i="12"/>
  <c r="AF5" i="12"/>
  <c r="AG5" i="12" s="1"/>
  <c r="Y5" i="12"/>
  <c r="V5" i="12"/>
  <c r="T5" i="12"/>
  <c r="AD5" i="12" s="1"/>
  <c r="F1" i="12"/>
  <c r="AM24" i="6"/>
  <c r="AK24" i="6"/>
  <c r="AH24" i="6"/>
  <c r="AI24" i="6" s="1"/>
  <c r="AF24" i="6"/>
  <c r="AG24" i="6" s="1"/>
  <c r="AE24" i="6"/>
  <c r="AD24" i="6"/>
  <c r="Y24" i="6"/>
  <c r="V24" i="6"/>
  <c r="T24" i="6"/>
  <c r="AM23" i="6"/>
  <c r="AK23" i="6"/>
  <c r="AH23" i="6"/>
  <c r="AI23" i="6" s="1"/>
  <c r="AF23" i="6"/>
  <c r="AG23" i="6" s="1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H20" i="6"/>
  <c r="AI20" i="6" s="1"/>
  <c r="AF20" i="6"/>
  <c r="AG20" i="6" s="1"/>
  <c r="AE20" i="6"/>
  <c r="AD20" i="6"/>
  <c r="Y20" i="6"/>
  <c r="V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Y17" i="6"/>
  <c r="V17" i="6"/>
  <c r="T17" i="6"/>
  <c r="AE17" i="6" s="1"/>
  <c r="AM16" i="6"/>
  <c r="AK16" i="6"/>
  <c r="AF16" i="6"/>
  <c r="AG16" i="6" s="1"/>
  <c r="Y16" i="6"/>
  <c r="V16" i="6"/>
  <c r="T16" i="6"/>
  <c r="AE16" i="6" s="1"/>
  <c r="AM15" i="6"/>
  <c r="AK15" i="6"/>
  <c r="AF15" i="6"/>
  <c r="AG15" i="6" s="1"/>
  <c r="Y15" i="6"/>
  <c r="V15" i="6"/>
  <c r="T15" i="6"/>
  <c r="AE15" i="6" s="1"/>
  <c r="AK14" i="6"/>
  <c r="AF14" i="6"/>
  <c r="AG14" i="6" s="1"/>
  <c r="Y14" i="6"/>
  <c r="V14" i="6"/>
  <c r="T14" i="6"/>
  <c r="AD14" i="6" s="1"/>
  <c r="AK13" i="6"/>
  <c r="AF13" i="6"/>
  <c r="AG13" i="6" s="1"/>
  <c r="Y13" i="6"/>
  <c r="V13" i="6"/>
  <c r="T13" i="6"/>
  <c r="AH13" i="6" s="1"/>
  <c r="AI13" i="6" s="1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AK9" i="6"/>
  <c r="AF9" i="6"/>
  <c r="AG9" i="6" s="1"/>
  <c r="Y9" i="6"/>
  <c r="V9" i="6"/>
  <c r="T9" i="6"/>
  <c r="AE9" i="6" s="1"/>
  <c r="AK8" i="6"/>
  <c r="AF8" i="6"/>
  <c r="AG8" i="6" s="1"/>
  <c r="Y8" i="6"/>
  <c r="V8" i="6"/>
  <c r="T8" i="6"/>
  <c r="AH8" i="6" s="1"/>
  <c r="AI8" i="6" s="1"/>
  <c r="AK7" i="6"/>
  <c r="AF7" i="6"/>
  <c r="AG7" i="6" s="1"/>
  <c r="Y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V5" i="6"/>
  <c r="T5" i="6"/>
  <c r="AM5" i="6" s="1"/>
  <c r="F1" i="6"/>
  <c r="AM52" i="5"/>
  <c r="AK52" i="5"/>
  <c r="AH52" i="5"/>
  <c r="AI52" i="5" s="1"/>
  <c r="AF52" i="5"/>
  <c r="AG52" i="5" s="1"/>
  <c r="AE52" i="5"/>
  <c r="AD52" i="5"/>
  <c r="Y52" i="5"/>
  <c r="V52" i="5"/>
  <c r="T52" i="5"/>
  <c r="AM51" i="5"/>
  <c r="AK51" i="5"/>
  <c r="AH51" i="5"/>
  <c r="AI51" i="5" s="1"/>
  <c r="AG51" i="5"/>
  <c r="AF51" i="5"/>
  <c r="AE51" i="5"/>
  <c r="AD51" i="5"/>
  <c r="Y51" i="5"/>
  <c r="V51" i="5"/>
  <c r="T51" i="5"/>
  <c r="AM50" i="5"/>
  <c r="AK50" i="5"/>
  <c r="AH50" i="5"/>
  <c r="AI50" i="5" s="1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F48" i="5"/>
  <c r="AG48" i="5" s="1"/>
  <c r="Y48" i="5"/>
  <c r="V48" i="5"/>
  <c r="T48" i="5"/>
  <c r="AE48" i="5" s="1"/>
  <c r="AM47" i="5"/>
  <c r="AK47" i="5"/>
  <c r="AH47" i="5"/>
  <c r="AI47" i="5" s="1"/>
  <c r="AF47" i="5"/>
  <c r="AG47" i="5" s="1"/>
  <c r="AE47" i="5"/>
  <c r="AD47" i="5"/>
  <c r="Y47" i="5"/>
  <c r="V47" i="5"/>
  <c r="T47" i="5"/>
  <c r="AM46" i="5"/>
  <c r="AK46" i="5"/>
  <c r="AF46" i="5"/>
  <c r="AG46" i="5" s="1"/>
  <c r="Y46" i="5"/>
  <c r="V46" i="5"/>
  <c r="T46" i="5"/>
  <c r="AE46" i="5" s="1"/>
  <c r="AK45" i="5"/>
  <c r="AF45" i="5"/>
  <c r="AG45" i="5" s="1"/>
  <c r="Y45" i="5"/>
  <c r="V45" i="5"/>
  <c r="T45" i="5"/>
  <c r="AD45" i="5" s="1"/>
  <c r="AM44" i="5"/>
  <c r="AK44" i="5"/>
  <c r="AF44" i="5"/>
  <c r="AG44" i="5" s="1"/>
  <c r="AE44" i="5"/>
  <c r="AD44" i="5"/>
  <c r="Y44" i="5"/>
  <c r="V44" i="5"/>
  <c r="T44" i="5"/>
  <c r="AH44" i="5" s="1"/>
  <c r="AI44" i="5" s="1"/>
  <c r="AK43" i="5"/>
  <c r="AF43" i="5"/>
  <c r="AG43" i="5" s="1"/>
  <c r="Y43" i="5"/>
  <c r="V43" i="5"/>
  <c r="T43" i="5"/>
  <c r="AH43" i="5" s="1"/>
  <c r="AI43" i="5" s="1"/>
  <c r="AK42" i="5"/>
  <c r="AH42" i="5"/>
  <c r="AI42" i="5" s="1"/>
  <c r="AF42" i="5"/>
  <c r="AG42" i="5" s="1"/>
  <c r="AE42" i="5"/>
  <c r="AD42" i="5"/>
  <c r="Y42" i="5"/>
  <c r="V42" i="5"/>
  <c r="T42" i="5"/>
  <c r="AM42" i="5" s="1"/>
  <c r="AK41" i="5"/>
  <c r="AH41" i="5"/>
  <c r="AI41" i="5" s="1"/>
  <c r="AF41" i="5"/>
  <c r="AG41" i="5" s="1"/>
  <c r="Y41" i="5"/>
  <c r="V41" i="5"/>
  <c r="T41" i="5"/>
  <c r="AE41" i="5" s="1"/>
  <c r="AM40" i="5"/>
  <c r="AK40" i="5"/>
  <c r="AF40" i="5"/>
  <c r="AG40" i="5" s="1"/>
  <c r="AE40" i="5"/>
  <c r="Y40" i="5"/>
  <c r="V40" i="5"/>
  <c r="T40" i="5"/>
  <c r="AH40" i="5" s="1"/>
  <c r="AI40" i="5" s="1"/>
  <c r="AM39" i="5"/>
  <c r="AK39" i="5"/>
  <c r="AH39" i="5"/>
  <c r="AI39" i="5" s="1"/>
  <c r="AF39" i="5"/>
  <c r="AG39" i="5" s="1"/>
  <c r="AD39" i="5"/>
  <c r="Y39" i="5"/>
  <c r="V39" i="5"/>
  <c r="T39" i="5"/>
  <c r="AE39" i="5" s="1"/>
  <c r="AK38" i="5"/>
  <c r="AF38" i="5"/>
  <c r="AG38" i="5" s="1"/>
  <c r="Y38" i="5"/>
  <c r="V38" i="5"/>
  <c r="T38" i="5"/>
  <c r="AM38" i="5" s="1"/>
  <c r="AK37" i="5"/>
  <c r="AH37" i="5"/>
  <c r="AI37" i="5" s="1"/>
  <c r="AF37" i="5"/>
  <c r="AG37" i="5" s="1"/>
  <c r="AE37" i="5"/>
  <c r="AD37" i="5"/>
  <c r="Y37" i="5"/>
  <c r="V37" i="5"/>
  <c r="T37" i="5"/>
  <c r="AM37" i="5" s="1"/>
  <c r="AK36" i="5"/>
  <c r="AF36" i="5"/>
  <c r="AG36" i="5" s="1"/>
  <c r="Y36" i="5"/>
  <c r="V36" i="5"/>
  <c r="T36" i="5"/>
  <c r="AE36" i="5" s="1"/>
  <c r="AK35" i="5"/>
  <c r="AF35" i="5"/>
  <c r="AG35" i="5" s="1"/>
  <c r="AE35" i="5"/>
  <c r="Y35" i="5"/>
  <c r="V35" i="5"/>
  <c r="T35" i="5"/>
  <c r="AM35" i="5" s="1"/>
  <c r="AM34" i="5"/>
  <c r="AK34" i="5"/>
  <c r="AH34" i="5"/>
  <c r="AI34" i="5" s="1"/>
  <c r="AF34" i="5"/>
  <c r="AG34" i="5" s="1"/>
  <c r="AD34" i="5"/>
  <c r="Y34" i="5"/>
  <c r="V34" i="5"/>
  <c r="T34" i="5"/>
  <c r="AE34" i="5" s="1"/>
  <c r="AM33" i="5"/>
  <c r="AK33" i="5"/>
  <c r="AF33" i="5"/>
  <c r="AG33" i="5" s="1"/>
  <c r="Y33" i="5"/>
  <c r="V33" i="5"/>
  <c r="T33" i="5"/>
  <c r="AH33" i="5" s="1"/>
  <c r="AI33" i="5" s="1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K30" i="5"/>
  <c r="AF30" i="5"/>
  <c r="AG30" i="5" s="1"/>
  <c r="Y30" i="5"/>
  <c r="V30" i="5"/>
  <c r="T30" i="5"/>
  <c r="AH30" i="5" s="1"/>
  <c r="AI30" i="5" s="1"/>
  <c r="AK29" i="5"/>
  <c r="AF29" i="5"/>
  <c r="AG29" i="5" s="1"/>
  <c r="Y29" i="5"/>
  <c r="V29" i="5"/>
  <c r="T29" i="5"/>
  <c r="AH29" i="5" s="1"/>
  <c r="AI29" i="5" s="1"/>
  <c r="AK28" i="5"/>
  <c r="AF28" i="5"/>
  <c r="AG28" i="5" s="1"/>
  <c r="Y28" i="5"/>
  <c r="V28" i="5"/>
  <c r="T28" i="5"/>
  <c r="AD28" i="5" s="1"/>
  <c r="AM27" i="5"/>
  <c r="AK27" i="5"/>
  <c r="AF27" i="5"/>
  <c r="AG27" i="5" s="1"/>
  <c r="Y27" i="5"/>
  <c r="V27" i="5"/>
  <c r="T27" i="5"/>
  <c r="AH27" i="5" s="1"/>
  <c r="AI27" i="5" s="1"/>
  <c r="AK26" i="5"/>
  <c r="AF26" i="5"/>
  <c r="AG26" i="5" s="1"/>
  <c r="Y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F11" i="5"/>
  <c r="AG11" i="5" s="1"/>
  <c r="Y11" i="5"/>
  <c r="V11" i="5"/>
  <c r="T11" i="5"/>
  <c r="AM11" i="5" s="1"/>
  <c r="AM10" i="5"/>
  <c r="AK10" i="5"/>
  <c r="AF10" i="5"/>
  <c r="AG10" i="5" s="1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K8" i="5"/>
  <c r="AF8" i="5"/>
  <c r="AG8" i="5" s="1"/>
  <c r="AD8" i="5"/>
  <c r="Y8" i="5"/>
  <c r="V8" i="5"/>
  <c r="T8" i="5"/>
  <c r="AH8" i="5" s="1"/>
  <c r="AI8" i="5" s="1"/>
  <c r="AK7" i="5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F22" i="3"/>
  <c r="AG22" i="3" s="1"/>
  <c r="AE22" i="3"/>
  <c r="AD22" i="3"/>
  <c r="Y22" i="3"/>
  <c r="V22" i="3"/>
  <c r="T22" i="3"/>
  <c r="AM21" i="3"/>
  <c r="AK21" i="3"/>
  <c r="AH21" i="3"/>
  <c r="AI21" i="3" s="1"/>
  <c r="AF21" i="3"/>
  <c r="AG21" i="3" s="1"/>
  <c r="AE21" i="3"/>
  <c r="AD21" i="3"/>
  <c r="Y21" i="3"/>
  <c r="V21" i="3"/>
  <c r="T21" i="3"/>
  <c r="AM20" i="3"/>
  <c r="AK20" i="3"/>
  <c r="AH20" i="3"/>
  <c r="AI20" i="3" s="1"/>
  <c r="AL20" i="3" s="1"/>
  <c r="AF20" i="3"/>
  <c r="AG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H16" i="3"/>
  <c r="AI16" i="3" s="1"/>
  <c r="AG16" i="3"/>
  <c r="AF16" i="3"/>
  <c r="AE16" i="3"/>
  <c r="AD16" i="3"/>
  <c r="Y16" i="3"/>
  <c r="V16" i="3"/>
  <c r="T16" i="3"/>
  <c r="AM15" i="3"/>
  <c r="AK15" i="3"/>
  <c r="AH15" i="3"/>
  <c r="AI15" i="3" s="1"/>
  <c r="AF15" i="3"/>
  <c r="AG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F11" i="3"/>
  <c r="AG11" i="3" s="1"/>
  <c r="Y11" i="3"/>
  <c r="V11" i="3"/>
  <c r="T11" i="3"/>
  <c r="AE11" i="3" s="1"/>
  <c r="AM10" i="3"/>
  <c r="AK10" i="3"/>
  <c r="AF10" i="3"/>
  <c r="AG10" i="3" s="1"/>
  <c r="Y10" i="3"/>
  <c r="V10" i="3"/>
  <c r="T10" i="3"/>
  <c r="AD10" i="3" s="1"/>
  <c r="A10" i="3"/>
  <c r="U14" i="3" s="1"/>
  <c r="AM9" i="3"/>
  <c r="AK9" i="3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F5" i="3"/>
  <c r="AG5" i="3" s="1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AH170" i="65"/>
  <c r="AI170" i="65" s="1"/>
  <c r="AK169" i="65"/>
  <c r="AF169" i="65"/>
  <c r="AG169" i="65" s="1"/>
  <c r="Y169" i="65"/>
  <c r="V169" i="65"/>
  <c r="AH169" i="65"/>
  <c r="AI169" i="65" s="1"/>
  <c r="AM168" i="65"/>
  <c r="AK168" i="65"/>
  <c r="AF168" i="65"/>
  <c r="AG168" i="65" s="1"/>
  <c r="Y168" i="65"/>
  <c r="V168" i="65"/>
  <c r="AH168" i="65"/>
  <c r="AI168" i="65" s="1"/>
  <c r="AK167" i="65"/>
  <c r="AF167" i="65"/>
  <c r="AG167" i="65" s="1"/>
  <c r="Y167" i="65"/>
  <c r="V167" i="65"/>
  <c r="AM167" i="65"/>
  <c r="AM166" i="65"/>
  <c r="AK166" i="65"/>
  <c r="AF166" i="65"/>
  <c r="AG166" i="65" s="1"/>
  <c r="Y166" i="65"/>
  <c r="V166" i="65"/>
  <c r="AH166" i="65"/>
  <c r="AI166" i="65" s="1"/>
  <c r="AK165" i="65"/>
  <c r="AF165" i="65"/>
  <c r="AG165" i="65" s="1"/>
  <c r="Y165" i="65"/>
  <c r="V165" i="65"/>
  <c r="AE165" i="65"/>
  <c r="AM164" i="65"/>
  <c r="AK164" i="65"/>
  <c r="AF164" i="65"/>
  <c r="AG164" i="65" s="1"/>
  <c r="Y164" i="65"/>
  <c r="V164" i="65"/>
  <c r="AH164" i="65"/>
  <c r="AI164" i="65" s="1"/>
  <c r="AM163" i="65"/>
  <c r="AK163" i="65"/>
  <c r="AF163" i="65"/>
  <c r="AG163" i="65" s="1"/>
  <c r="Y163" i="65"/>
  <c r="V163" i="65"/>
  <c r="AH163" i="65"/>
  <c r="AI163" i="65" s="1"/>
  <c r="AM162" i="65"/>
  <c r="AK162" i="65"/>
  <c r="AF162" i="65"/>
  <c r="AG162" i="65" s="1"/>
  <c r="Y162" i="65"/>
  <c r="V162" i="65"/>
  <c r="AH162" i="65"/>
  <c r="AI162" i="65" s="1"/>
  <c r="AK161" i="65"/>
  <c r="AF161" i="65"/>
  <c r="AG161" i="65" s="1"/>
  <c r="Y161" i="65"/>
  <c r="V161" i="65"/>
  <c r="AE161" i="65"/>
  <c r="AK160" i="65"/>
  <c r="AF160" i="65"/>
  <c r="AG160" i="65" s="1"/>
  <c r="Y160" i="65"/>
  <c r="V160" i="65"/>
  <c r="AM160" i="65"/>
  <c r="AK159" i="65"/>
  <c r="AF159" i="65"/>
  <c r="AG159" i="65" s="1"/>
  <c r="Y159" i="65"/>
  <c r="V159" i="65"/>
  <c r="AH159" i="65"/>
  <c r="AI159" i="65" s="1"/>
  <c r="AK158" i="65"/>
  <c r="AF158" i="65"/>
  <c r="AG158" i="65" s="1"/>
  <c r="Y158" i="65"/>
  <c r="V158" i="65"/>
  <c r="AH158" i="65"/>
  <c r="AI158" i="65" s="1"/>
  <c r="AK157" i="65"/>
  <c r="AF157" i="65"/>
  <c r="AG157" i="65" s="1"/>
  <c r="Y157" i="65"/>
  <c r="V157" i="65"/>
  <c r="AE157" i="65"/>
  <c r="AK156" i="65"/>
  <c r="AF156" i="65"/>
  <c r="AG156" i="65" s="1"/>
  <c r="Y156" i="65"/>
  <c r="V156" i="65"/>
  <c r="AM156" i="65"/>
  <c r="AK155" i="65"/>
  <c r="AF155" i="65"/>
  <c r="AG155" i="65" s="1"/>
  <c r="Y155" i="65"/>
  <c r="V155" i="65"/>
  <c r="AM155" i="65"/>
  <c r="AK154" i="65"/>
  <c r="AF154" i="65"/>
  <c r="AG154" i="65" s="1"/>
  <c r="Y154" i="65"/>
  <c r="V154" i="65"/>
  <c r="AH154" i="65"/>
  <c r="AI154" i="65" s="1"/>
  <c r="AK153" i="65"/>
  <c r="AF153" i="65"/>
  <c r="AG153" i="65" s="1"/>
  <c r="Y153" i="65"/>
  <c r="V153" i="65"/>
  <c r="AH153" i="65"/>
  <c r="AI153" i="65" s="1"/>
  <c r="AK152" i="65"/>
  <c r="AF152" i="65"/>
  <c r="AG152" i="65" s="1"/>
  <c r="Y152" i="65"/>
  <c r="V152" i="65"/>
  <c r="AH152" i="65"/>
  <c r="AI152" i="65" s="1"/>
  <c r="AM151" i="65"/>
  <c r="AK151" i="65"/>
  <c r="AF151" i="65"/>
  <c r="AG151" i="65" s="1"/>
  <c r="Y151" i="65"/>
  <c r="V151" i="65"/>
  <c r="AH151" i="65"/>
  <c r="AI151" i="65" s="1"/>
  <c r="AK150" i="65"/>
  <c r="AF150" i="65"/>
  <c r="AG150" i="65" s="1"/>
  <c r="Y150" i="65"/>
  <c r="V150" i="65"/>
  <c r="AH150" i="65"/>
  <c r="AI150" i="65" s="1"/>
  <c r="AM149" i="65"/>
  <c r="AK149" i="65"/>
  <c r="AF149" i="65"/>
  <c r="AG149" i="65" s="1"/>
  <c r="Y149" i="65"/>
  <c r="V149" i="65"/>
  <c r="AE149" i="65"/>
  <c r="AK148" i="65"/>
  <c r="AF148" i="65"/>
  <c r="AG148" i="65" s="1"/>
  <c r="Y148" i="65"/>
  <c r="V148" i="65"/>
  <c r="AH148" i="65"/>
  <c r="AI148" i="65" s="1"/>
  <c r="AM147" i="65"/>
  <c r="AK147" i="65"/>
  <c r="AF147" i="65"/>
  <c r="AG147" i="65" s="1"/>
  <c r="Y147" i="65"/>
  <c r="V147" i="65"/>
  <c r="AD147" i="65"/>
  <c r="AK146" i="65"/>
  <c r="AF146" i="65"/>
  <c r="AG146" i="65" s="1"/>
  <c r="Y146" i="65"/>
  <c r="V146" i="65"/>
  <c r="AM146" i="65"/>
  <c r="AK145" i="65"/>
  <c r="AF145" i="65"/>
  <c r="AG145" i="65" s="1"/>
  <c r="Y145" i="65"/>
  <c r="V145" i="65"/>
  <c r="AD145" i="65"/>
  <c r="AK144" i="65"/>
  <c r="AF144" i="65"/>
  <c r="AG144" i="65" s="1"/>
  <c r="Y144" i="65"/>
  <c r="V144" i="65"/>
  <c r="AE144" i="65"/>
  <c r="AK143" i="65"/>
  <c r="AF143" i="65"/>
  <c r="AG143" i="65" s="1"/>
  <c r="Y143" i="65"/>
  <c r="V143" i="65"/>
  <c r="AM143" i="65"/>
  <c r="AM142" i="65"/>
  <c r="AK142" i="65"/>
  <c r="AF142" i="65"/>
  <c r="AG142" i="65" s="1"/>
  <c r="Y142" i="65"/>
  <c r="V142" i="65"/>
  <c r="AH142" i="65"/>
  <c r="AI142" i="65" s="1"/>
  <c r="AK141" i="65"/>
  <c r="AF141" i="65"/>
  <c r="AG141" i="65" s="1"/>
  <c r="Y141" i="65"/>
  <c r="V141" i="65"/>
  <c r="AH141" i="65"/>
  <c r="AI141" i="65" s="1"/>
  <c r="AM140" i="65"/>
  <c r="AK140" i="65"/>
  <c r="AF140" i="65"/>
  <c r="AG140" i="65" s="1"/>
  <c r="Y140" i="65"/>
  <c r="V140" i="65"/>
  <c r="AH140" i="65"/>
  <c r="AI140" i="65" s="1"/>
  <c r="AM139" i="65"/>
  <c r="AK139" i="65"/>
  <c r="AF139" i="65"/>
  <c r="AG139" i="65" s="1"/>
  <c r="Y139" i="65"/>
  <c r="V139" i="65"/>
  <c r="AH139" i="65"/>
  <c r="AI139" i="65" s="1"/>
  <c r="AM138" i="65"/>
  <c r="AK138" i="65"/>
  <c r="AF138" i="65"/>
  <c r="AG138" i="65" s="1"/>
  <c r="Y138" i="65"/>
  <c r="V138" i="65"/>
  <c r="AH138" i="65"/>
  <c r="AI138" i="65" s="1"/>
  <c r="AK137" i="65"/>
  <c r="AF137" i="65"/>
  <c r="AG137" i="65" s="1"/>
  <c r="Y137" i="65"/>
  <c r="V137" i="65"/>
  <c r="AM137" i="65"/>
  <c r="AK136" i="65"/>
  <c r="AF136" i="65"/>
  <c r="AG136" i="65" s="1"/>
  <c r="Y136" i="65"/>
  <c r="V136" i="65"/>
  <c r="AH136" i="65"/>
  <c r="AI136" i="65" s="1"/>
  <c r="AK135" i="65"/>
  <c r="AF135" i="65"/>
  <c r="AG135" i="65" s="1"/>
  <c r="Y135" i="65"/>
  <c r="V135" i="65"/>
  <c r="AH135" i="65"/>
  <c r="AI135" i="65" s="1"/>
  <c r="AK134" i="65"/>
  <c r="AF134" i="65"/>
  <c r="AG134" i="65" s="1"/>
  <c r="Y134" i="65"/>
  <c r="V134" i="65"/>
  <c r="AM134" i="65"/>
  <c r="AM133" i="65"/>
  <c r="AK133" i="65"/>
  <c r="AF133" i="65"/>
  <c r="AG133" i="65" s="1"/>
  <c r="Y133" i="65"/>
  <c r="V133" i="65"/>
  <c r="AH133" i="65"/>
  <c r="AI133" i="65" s="1"/>
  <c r="AK132" i="65"/>
  <c r="AF132" i="65"/>
  <c r="AG132" i="65" s="1"/>
  <c r="Y132" i="65"/>
  <c r="V132" i="65"/>
  <c r="AM132" i="65"/>
  <c r="AM131" i="65"/>
  <c r="AK131" i="65"/>
  <c r="AF131" i="65"/>
  <c r="AG131" i="65" s="1"/>
  <c r="Y131" i="65"/>
  <c r="V131" i="65"/>
  <c r="AH131" i="65"/>
  <c r="AI131" i="65" s="1"/>
  <c r="AK130" i="65"/>
  <c r="AF130" i="65"/>
  <c r="AG130" i="65" s="1"/>
  <c r="Y130" i="65"/>
  <c r="V130" i="65"/>
  <c r="AH130" i="65"/>
  <c r="AI130" i="65" s="1"/>
  <c r="AK129" i="65"/>
  <c r="AF129" i="65"/>
  <c r="AG129" i="65" s="1"/>
  <c r="Y129" i="65"/>
  <c r="V129" i="65"/>
  <c r="AD129" i="65"/>
  <c r="AM128" i="65"/>
  <c r="AK128" i="65"/>
  <c r="AF128" i="65"/>
  <c r="AG128" i="65" s="1"/>
  <c r="Y128" i="65"/>
  <c r="V128" i="65"/>
  <c r="AH128" i="65"/>
  <c r="AI128" i="65" s="1"/>
  <c r="AK127" i="65"/>
  <c r="AF127" i="65"/>
  <c r="AG127" i="65" s="1"/>
  <c r="Y127" i="65"/>
  <c r="V127" i="65"/>
  <c r="AE127" i="65"/>
  <c r="AM126" i="65"/>
  <c r="AK126" i="65"/>
  <c r="AF126" i="65"/>
  <c r="AG126" i="65" s="1"/>
  <c r="Y126" i="65"/>
  <c r="V126" i="65"/>
  <c r="AE126" i="65"/>
  <c r="AK125" i="65"/>
  <c r="AF125" i="65"/>
  <c r="AG125" i="65" s="1"/>
  <c r="Y125" i="65"/>
  <c r="V125" i="65"/>
  <c r="AM125" i="65"/>
  <c r="AM124" i="65"/>
  <c r="AK124" i="65"/>
  <c r="AF124" i="65"/>
  <c r="AG124" i="65" s="1"/>
  <c r="Y124" i="65"/>
  <c r="V124" i="65"/>
  <c r="AD124" i="65"/>
  <c r="AK123" i="65"/>
  <c r="AF123" i="65"/>
  <c r="AG123" i="65" s="1"/>
  <c r="Y123" i="65"/>
  <c r="V123" i="65"/>
  <c r="AH123" i="65"/>
  <c r="AI123" i="65" s="1"/>
  <c r="AM122" i="65"/>
  <c r="AK122" i="65"/>
  <c r="AF122" i="65"/>
  <c r="AG122" i="65" s="1"/>
  <c r="Y122" i="65"/>
  <c r="V122" i="65"/>
  <c r="AH122" i="65"/>
  <c r="AI122" i="65" s="1"/>
  <c r="AM121" i="65"/>
  <c r="AK121" i="65"/>
  <c r="AF121" i="65"/>
  <c r="AG121" i="65" s="1"/>
  <c r="Y121" i="65"/>
  <c r="V121" i="65"/>
  <c r="AE121" i="65"/>
  <c r="AM120" i="65"/>
  <c r="AK120" i="65"/>
  <c r="AF120" i="65"/>
  <c r="AG120" i="65" s="1"/>
  <c r="Y120" i="65"/>
  <c r="V120" i="65"/>
  <c r="AE120" i="65"/>
  <c r="AM119" i="65"/>
  <c r="AK119" i="65"/>
  <c r="AF119" i="65"/>
  <c r="AG119" i="65" s="1"/>
  <c r="Y119" i="65"/>
  <c r="V119" i="65"/>
  <c r="AH119" i="65"/>
  <c r="AI119" i="65" s="1"/>
  <c r="AM118" i="65"/>
  <c r="AK118" i="65"/>
  <c r="AF118" i="65"/>
  <c r="AG118" i="65" s="1"/>
  <c r="Y118" i="65"/>
  <c r="V118" i="65"/>
  <c r="AH118" i="65"/>
  <c r="AI118" i="65" s="1"/>
  <c r="AK117" i="65"/>
  <c r="AF117" i="65"/>
  <c r="AG117" i="65" s="1"/>
  <c r="Y117" i="65"/>
  <c r="V117" i="65"/>
  <c r="AE117" i="65"/>
  <c r="AM116" i="65"/>
  <c r="AK116" i="65"/>
  <c r="AF116" i="65"/>
  <c r="AG116" i="65" s="1"/>
  <c r="Y116" i="65"/>
  <c r="V116" i="65"/>
  <c r="AE116" i="65"/>
  <c r="AK115" i="65"/>
  <c r="AF115" i="65"/>
  <c r="AG115" i="65" s="1"/>
  <c r="Y115" i="65"/>
  <c r="V115" i="65"/>
  <c r="AM115" i="65"/>
  <c r="AM114" i="65"/>
  <c r="AK114" i="65"/>
  <c r="AF114" i="65"/>
  <c r="AG114" i="65" s="1"/>
  <c r="Y114" i="65"/>
  <c r="V114" i="65"/>
  <c r="AH114" i="65"/>
  <c r="AI114" i="65" s="1"/>
  <c r="AK113" i="65"/>
  <c r="AF113" i="65"/>
  <c r="AG113" i="65" s="1"/>
  <c r="Y113" i="65"/>
  <c r="V113" i="65"/>
  <c r="AE113" i="65"/>
  <c r="AK112" i="65"/>
  <c r="AF112" i="65"/>
  <c r="AG112" i="65" s="1"/>
  <c r="Y112" i="65"/>
  <c r="V112" i="65"/>
  <c r="AE112" i="65"/>
  <c r="AK111" i="65"/>
  <c r="AF111" i="65"/>
  <c r="AG111" i="65" s="1"/>
  <c r="Y111" i="65"/>
  <c r="V111" i="65"/>
  <c r="AH111" i="65"/>
  <c r="AI111" i="65" s="1"/>
  <c r="AK110" i="65"/>
  <c r="AF110" i="65"/>
  <c r="AG110" i="65" s="1"/>
  <c r="Y110" i="65"/>
  <c r="V110" i="65"/>
  <c r="AH110" i="65"/>
  <c r="AI110" i="65" s="1"/>
  <c r="AM109" i="65"/>
  <c r="AK109" i="65"/>
  <c r="AF109" i="65"/>
  <c r="AG109" i="65" s="1"/>
  <c r="Y109" i="65"/>
  <c r="V109" i="65"/>
  <c r="AH109" i="65"/>
  <c r="AI109" i="65" s="1"/>
  <c r="AK108" i="65"/>
  <c r="AF108" i="65"/>
  <c r="AG108" i="65" s="1"/>
  <c r="Y108" i="65"/>
  <c r="V108" i="65"/>
  <c r="AE108" i="65"/>
  <c r="AK107" i="65"/>
  <c r="AF107" i="65"/>
  <c r="AG107" i="65" s="1"/>
  <c r="Y107" i="65"/>
  <c r="V107" i="65"/>
  <c r="AM107" i="65"/>
  <c r="AK106" i="65"/>
  <c r="AF106" i="65"/>
  <c r="AG106" i="65" s="1"/>
  <c r="Y106" i="65"/>
  <c r="V106" i="65"/>
  <c r="AM106" i="65"/>
  <c r="AK105" i="65"/>
  <c r="AF105" i="65"/>
  <c r="AG105" i="65" s="1"/>
  <c r="Y105" i="65"/>
  <c r="V105" i="65"/>
  <c r="AH105" i="65"/>
  <c r="AI105" i="65" s="1"/>
  <c r="AK104" i="65"/>
  <c r="AF104" i="65"/>
  <c r="AG104" i="65" s="1"/>
  <c r="Y104" i="65"/>
  <c r="V104" i="65"/>
  <c r="AH104" i="65"/>
  <c r="AI104" i="65" s="1"/>
  <c r="AM103" i="65"/>
  <c r="AK103" i="65"/>
  <c r="AF103" i="65"/>
  <c r="AG103" i="65" s="1"/>
  <c r="Y103" i="65"/>
  <c r="V103" i="65"/>
  <c r="AE103" i="65"/>
  <c r="AM102" i="65"/>
  <c r="AK102" i="65"/>
  <c r="AF102" i="65"/>
  <c r="AG102" i="65" s="1"/>
  <c r="Y102" i="65"/>
  <c r="V102" i="65"/>
  <c r="AD102" i="65"/>
  <c r="AM101" i="65"/>
  <c r="AK101" i="65"/>
  <c r="AF101" i="65"/>
  <c r="AG101" i="65" s="1"/>
  <c r="Y101" i="65"/>
  <c r="V101" i="65"/>
  <c r="AH101" i="65"/>
  <c r="AI101" i="65" s="1"/>
  <c r="AM100" i="65"/>
  <c r="AK100" i="65"/>
  <c r="AF100" i="65"/>
  <c r="AG100" i="65" s="1"/>
  <c r="Y100" i="65"/>
  <c r="V100" i="65"/>
  <c r="AH100" i="65"/>
  <c r="AI100" i="65" s="1"/>
  <c r="AM99" i="65"/>
  <c r="AK99" i="65"/>
  <c r="AF99" i="65"/>
  <c r="AG99" i="65" s="1"/>
  <c r="Y99" i="65"/>
  <c r="V99" i="65"/>
  <c r="AH99" i="65"/>
  <c r="AI99" i="65" s="1"/>
  <c r="AM98" i="65"/>
  <c r="AK98" i="65"/>
  <c r="AF98" i="65"/>
  <c r="AG98" i="65" s="1"/>
  <c r="Y98" i="65"/>
  <c r="V98" i="65"/>
  <c r="AH98" i="65"/>
  <c r="AI98" i="65" s="1"/>
  <c r="AM97" i="65"/>
  <c r="AK97" i="65"/>
  <c r="AF97" i="65"/>
  <c r="AG97" i="65" s="1"/>
  <c r="Y97" i="65"/>
  <c r="V97" i="65"/>
  <c r="AE97" i="65"/>
  <c r="AM96" i="65"/>
  <c r="AK96" i="65"/>
  <c r="AF96" i="65"/>
  <c r="AG96" i="65" s="1"/>
  <c r="Y96" i="65"/>
  <c r="V96" i="65"/>
  <c r="AE96" i="65"/>
  <c r="AM95" i="65"/>
  <c r="AK95" i="65"/>
  <c r="AF95" i="65"/>
  <c r="AG95" i="65" s="1"/>
  <c r="Y95" i="65"/>
  <c r="V95" i="65"/>
  <c r="AH95" i="65"/>
  <c r="AI95" i="65" s="1"/>
  <c r="AM94" i="65"/>
  <c r="AK94" i="65"/>
  <c r="AF94" i="65"/>
  <c r="AG94" i="65" s="1"/>
  <c r="Y94" i="65"/>
  <c r="V94" i="65"/>
  <c r="AD94" i="65"/>
  <c r="AM93" i="65"/>
  <c r="AK93" i="65"/>
  <c r="AF93" i="65"/>
  <c r="AG93" i="65" s="1"/>
  <c r="Y93" i="65"/>
  <c r="V93" i="65"/>
  <c r="AH93" i="65"/>
  <c r="AI93" i="65" s="1"/>
  <c r="AM92" i="65"/>
  <c r="AK92" i="65"/>
  <c r="AF92" i="65"/>
  <c r="AG92" i="65" s="1"/>
  <c r="Y92" i="65"/>
  <c r="V92" i="65"/>
  <c r="AH92" i="65"/>
  <c r="AI92" i="65" s="1"/>
  <c r="AM91" i="65"/>
  <c r="AK91" i="65"/>
  <c r="AF91" i="65"/>
  <c r="AG91" i="65" s="1"/>
  <c r="Y91" i="65"/>
  <c r="V91" i="65"/>
  <c r="AE91" i="65"/>
  <c r="AM90" i="65"/>
  <c r="AK90" i="65"/>
  <c r="AF90" i="65"/>
  <c r="AG90" i="65" s="1"/>
  <c r="Y90" i="65"/>
  <c r="V90" i="65"/>
  <c r="AH90" i="65"/>
  <c r="AI90" i="65" s="1"/>
  <c r="AM89" i="65"/>
  <c r="AK89" i="65"/>
  <c r="AF89" i="65"/>
  <c r="AG89" i="65" s="1"/>
  <c r="Y89" i="65"/>
  <c r="V89" i="65"/>
  <c r="AH89" i="65"/>
  <c r="AI89" i="65" s="1"/>
  <c r="AM88" i="65"/>
  <c r="AK88" i="65"/>
  <c r="AF88" i="65"/>
  <c r="AG88" i="65" s="1"/>
  <c r="Y88" i="65"/>
  <c r="V88" i="65"/>
  <c r="AH88" i="65"/>
  <c r="AI88" i="65" s="1"/>
  <c r="AM87" i="65"/>
  <c r="AK87" i="65"/>
  <c r="AF87" i="65"/>
  <c r="AG87" i="65" s="1"/>
  <c r="Y87" i="65"/>
  <c r="V87" i="65"/>
  <c r="AH87" i="65"/>
  <c r="AI87" i="65" s="1"/>
  <c r="AM86" i="65"/>
  <c r="AK86" i="65"/>
  <c r="AF86" i="65"/>
  <c r="AG86" i="65" s="1"/>
  <c r="Y86" i="65"/>
  <c r="V86" i="65"/>
  <c r="AH86" i="65"/>
  <c r="AI86" i="65" s="1"/>
  <c r="AM85" i="65"/>
  <c r="AK85" i="65"/>
  <c r="AF85" i="65"/>
  <c r="AG85" i="65" s="1"/>
  <c r="Y85" i="65"/>
  <c r="V85" i="65"/>
  <c r="AH85" i="65"/>
  <c r="AI85" i="65" s="1"/>
  <c r="AM84" i="65"/>
  <c r="AK84" i="65"/>
  <c r="AF84" i="65"/>
  <c r="AG84" i="65" s="1"/>
  <c r="Y84" i="65"/>
  <c r="V84" i="65"/>
  <c r="AH84" i="65"/>
  <c r="AI84" i="65" s="1"/>
  <c r="AM83" i="65"/>
  <c r="AK83" i="65"/>
  <c r="AF83" i="65"/>
  <c r="AG83" i="65" s="1"/>
  <c r="Y83" i="65"/>
  <c r="V83" i="65"/>
  <c r="AH83" i="65"/>
  <c r="AI83" i="65" s="1"/>
  <c r="AM82" i="65"/>
  <c r="AK82" i="65"/>
  <c r="AF82" i="65"/>
  <c r="AG82" i="65" s="1"/>
  <c r="Y82" i="65"/>
  <c r="V82" i="65"/>
  <c r="AH82" i="65"/>
  <c r="AI82" i="65" s="1"/>
  <c r="AM81" i="65"/>
  <c r="AK81" i="65"/>
  <c r="AF81" i="65"/>
  <c r="AG81" i="65" s="1"/>
  <c r="Y81" i="65"/>
  <c r="V81" i="65"/>
  <c r="AD81" i="65"/>
  <c r="AM80" i="65"/>
  <c r="AK80" i="65"/>
  <c r="AF80" i="65"/>
  <c r="AG80" i="65" s="1"/>
  <c r="Y80" i="65"/>
  <c r="V80" i="65"/>
  <c r="AM79" i="65"/>
  <c r="AK79" i="65"/>
  <c r="AF79" i="65"/>
  <c r="AG79" i="65" s="1"/>
  <c r="Y79" i="65"/>
  <c r="V79" i="65"/>
  <c r="AM78" i="65"/>
  <c r="AK78" i="65"/>
  <c r="AF78" i="65"/>
  <c r="AG78" i="65" s="1"/>
  <c r="Y78" i="65"/>
  <c r="V78" i="65"/>
  <c r="AM77" i="65"/>
  <c r="AK77" i="65"/>
  <c r="AF77" i="65"/>
  <c r="AG77" i="65" s="1"/>
  <c r="Y77" i="65"/>
  <c r="V77" i="65"/>
  <c r="AM76" i="65"/>
  <c r="AK76" i="65"/>
  <c r="AF76" i="65"/>
  <c r="AG76" i="65" s="1"/>
  <c r="Y76" i="65"/>
  <c r="V76" i="65"/>
  <c r="AM75" i="65"/>
  <c r="AK75" i="65"/>
  <c r="AF75" i="65"/>
  <c r="AG75" i="65" s="1"/>
  <c r="Y75" i="65"/>
  <c r="V75" i="65"/>
  <c r="AM74" i="65"/>
  <c r="AK74" i="65"/>
  <c r="AF74" i="65"/>
  <c r="AG74" i="65" s="1"/>
  <c r="Y74" i="65"/>
  <c r="V74" i="65"/>
  <c r="AM73" i="65"/>
  <c r="AK73" i="65"/>
  <c r="AF73" i="65"/>
  <c r="AG73" i="65" s="1"/>
  <c r="Y73" i="65"/>
  <c r="V73" i="65"/>
  <c r="AK72" i="65"/>
  <c r="AF72" i="65"/>
  <c r="AG72" i="65" s="1"/>
  <c r="Y72" i="65"/>
  <c r="V72" i="65"/>
  <c r="AM72" i="65"/>
  <c r="AM71" i="65"/>
  <c r="AK71" i="65"/>
  <c r="AF71" i="65"/>
  <c r="AG71" i="65" s="1"/>
  <c r="Y71" i="65"/>
  <c r="V71" i="65"/>
  <c r="AK70" i="65"/>
  <c r="AF70" i="65"/>
  <c r="AG70" i="65" s="1"/>
  <c r="Y70" i="65"/>
  <c r="V70" i="65"/>
  <c r="AM70" i="65"/>
  <c r="AK69" i="65"/>
  <c r="AF69" i="65"/>
  <c r="AG69" i="65" s="1"/>
  <c r="Y69" i="65"/>
  <c r="V69" i="65"/>
  <c r="AM69" i="65"/>
  <c r="AK68" i="65"/>
  <c r="AF68" i="65"/>
  <c r="AG68" i="65" s="1"/>
  <c r="Y68" i="65"/>
  <c r="V68" i="65"/>
  <c r="AM68" i="65"/>
  <c r="AK67" i="65"/>
  <c r="AF67" i="65"/>
  <c r="AG67" i="65" s="1"/>
  <c r="Y67" i="65"/>
  <c r="V67" i="65"/>
  <c r="AM67" i="65"/>
  <c r="AM66" i="65"/>
  <c r="AK66" i="65"/>
  <c r="AF66" i="65"/>
  <c r="AG66" i="65" s="1"/>
  <c r="Y66" i="65"/>
  <c r="V66" i="65"/>
  <c r="AM65" i="65"/>
  <c r="AK65" i="65"/>
  <c r="AF65" i="65"/>
  <c r="AG65" i="65" s="1"/>
  <c r="Y65" i="65"/>
  <c r="V65" i="65"/>
  <c r="AM64" i="65"/>
  <c r="AK64" i="65"/>
  <c r="AF64" i="65"/>
  <c r="AG64" i="65" s="1"/>
  <c r="Y64" i="65"/>
  <c r="V64" i="65"/>
  <c r="AM63" i="65"/>
  <c r="AK63" i="65"/>
  <c r="AF63" i="65"/>
  <c r="AG63" i="65" s="1"/>
  <c r="Y63" i="65"/>
  <c r="V63" i="65"/>
  <c r="AM62" i="65"/>
  <c r="AK62" i="65"/>
  <c r="AF62" i="65"/>
  <c r="AG62" i="65" s="1"/>
  <c r="Y62" i="65"/>
  <c r="V62" i="65"/>
  <c r="AM61" i="65"/>
  <c r="AK61" i="65"/>
  <c r="AF61" i="65"/>
  <c r="AG61" i="65" s="1"/>
  <c r="Y61" i="65"/>
  <c r="V61" i="65"/>
  <c r="AM60" i="65"/>
  <c r="AK60" i="65"/>
  <c r="AF60" i="65"/>
  <c r="AG60" i="65" s="1"/>
  <c r="Y60" i="65"/>
  <c r="V60" i="65"/>
  <c r="AM59" i="65"/>
  <c r="AK59" i="65"/>
  <c r="AF59" i="65"/>
  <c r="AG59" i="65" s="1"/>
  <c r="Y59" i="65"/>
  <c r="V59" i="65"/>
  <c r="AM58" i="65"/>
  <c r="AK58" i="65"/>
  <c r="AF58" i="65"/>
  <c r="AG58" i="65" s="1"/>
  <c r="Y58" i="65"/>
  <c r="V58" i="65"/>
  <c r="AK57" i="65"/>
  <c r="AF57" i="65"/>
  <c r="AG57" i="65" s="1"/>
  <c r="Y57" i="65"/>
  <c r="V57" i="65"/>
  <c r="AM57" i="65"/>
  <c r="AK56" i="65"/>
  <c r="AF56" i="65"/>
  <c r="AG56" i="65" s="1"/>
  <c r="Y56" i="65"/>
  <c r="V56" i="65"/>
  <c r="AM56" i="65"/>
  <c r="AK55" i="65"/>
  <c r="AF55" i="65"/>
  <c r="AG55" i="65" s="1"/>
  <c r="Y55" i="65"/>
  <c r="V55" i="65"/>
  <c r="AM55" i="65"/>
  <c r="AK54" i="65"/>
  <c r="AF54" i="65"/>
  <c r="AG54" i="65" s="1"/>
  <c r="Y54" i="65"/>
  <c r="V54" i="65"/>
  <c r="AM54" i="65"/>
  <c r="AM53" i="65"/>
  <c r="AK53" i="65"/>
  <c r="AF53" i="65"/>
  <c r="AG53" i="65" s="1"/>
  <c r="Y53" i="65"/>
  <c r="V53" i="65"/>
  <c r="AE53" i="65"/>
  <c r="AK52" i="65"/>
  <c r="AF52" i="65"/>
  <c r="AG52" i="65" s="1"/>
  <c r="Y52" i="65"/>
  <c r="V52" i="65"/>
  <c r="AM52" i="65"/>
  <c r="AM51" i="65"/>
  <c r="AK51" i="65"/>
  <c r="AF51" i="65"/>
  <c r="AG51" i="65" s="1"/>
  <c r="Y51" i="65"/>
  <c r="V51" i="65"/>
  <c r="AE51" i="65"/>
  <c r="AK50" i="65"/>
  <c r="AF50" i="65"/>
  <c r="AG50" i="65" s="1"/>
  <c r="Y50" i="65"/>
  <c r="V50" i="65"/>
  <c r="AM50" i="65"/>
  <c r="AM49" i="65"/>
  <c r="AK49" i="65"/>
  <c r="AF49" i="65"/>
  <c r="AG49" i="65" s="1"/>
  <c r="Y49" i="65"/>
  <c r="V49" i="65"/>
  <c r="AE49" i="65"/>
  <c r="AK48" i="65"/>
  <c r="AF48" i="65"/>
  <c r="AG48" i="65" s="1"/>
  <c r="Y48" i="65"/>
  <c r="V48" i="65"/>
  <c r="AD48" i="65"/>
  <c r="AK47" i="65"/>
  <c r="AF47" i="65"/>
  <c r="AG47" i="65" s="1"/>
  <c r="Y47" i="65"/>
  <c r="V47" i="65"/>
  <c r="AE47" i="65"/>
  <c r="AM46" i="65"/>
  <c r="AK46" i="65"/>
  <c r="AF46" i="65"/>
  <c r="AG46" i="65" s="1"/>
  <c r="Y46" i="65"/>
  <c r="V46" i="65"/>
  <c r="AD46" i="65"/>
  <c r="AK45" i="65"/>
  <c r="AF45" i="65"/>
  <c r="AG45" i="65" s="1"/>
  <c r="Y45" i="65"/>
  <c r="V45" i="65"/>
  <c r="AM45" i="65"/>
  <c r="AK44" i="65"/>
  <c r="AF44" i="65"/>
  <c r="AG44" i="65" s="1"/>
  <c r="Y44" i="65"/>
  <c r="V44" i="65"/>
  <c r="AE44" i="65"/>
  <c r="AK43" i="65"/>
  <c r="AF43" i="65"/>
  <c r="AG43" i="65" s="1"/>
  <c r="Y43" i="65"/>
  <c r="V43" i="65"/>
  <c r="AM43" i="65"/>
  <c r="AK42" i="65"/>
  <c r="AF42" i="65"/>
  <c r="AG42" i="65" s="1"/>
  <c r="Y42" i="65"/>
  <c r="V42" i="65"/>
  <c r="AE42" i="65"/>
  <c r="AK41" i="65"/>
  <c r="AF41" i="65"/>
  <c r="AG41" i="65" s="1"/>
  <c r="Y41" i="65"/>
  <c r="V41" i="65"/>
  <c r="AD41" i="65"/>
  <c r="AM40" i="65"/>
  <c r="AK40" i="65"/>
  <c r="AF40" i="65"/>
  <c r="AG40" i="65" s="1"/>
  <c r="Y40" i="65"/>
  <c r="V40" i="65"/>
  <c r="AK39" i="65"/>
  <c r="AF39" i="65"/>
  <c r="AG39" i="65" s="1"/>
  <c r="Y39" i="65"/>
  <c r="V39" i="65"/>
  <c r="AE39" i="65"/>
  <c r="AK38" i="65"/>
  <c r="AF38" i="65"/>
  <c r="AG38" i="65" s="1"/>
  <c r="Y38" i="65"/>
  <c r="V38" i="65"/>
  <c r="AM38" i="65"/>
  <c r="AK37" i="65"/>
  <c r="AF37" i="65"/>
  <c r="AG37" i="65" s="1"/>
  <c r="Y37" i="65"/>
  <c r="V37" i="65"/>
  <c r="AE37" i="65"/>
  <c r="AK36" i="65"/>
  <c r="AF36" i="65"/>
  <c r="AG36" i="65" s="1"/>
  <c r="Y36" i="65"/>
  <c r="V36" i="65"/>
  <c r="AD36" i="65"/>
  <c r="AM35" i="65"/>
  <c r="AK35" i="65"/>
  <c r="AF35" i="65"/>
  <c r="AG35" i="65" s="1"/>
  <c r="Y35" i="65"/>
  <c r="V35" i="65"/>
  <c r="AK34" i="65"/>
  <c r="AF34" i="65"/>
  <c r="AG34" i="65" s="1"/>
  <c r="Y34" i="65"/>
  <c r="V34" i="65"/>
  <c r="AD34" i="65"/>
  <c r="AM33" i="65"/>
  <c r="AK33" i="65"/>
  <c r="AF33" i="65"/>
  <c r="AG33" i="65" s="1"/>
  <c r="Y33" i="65"/>
  <c r="V33" i="65"/>
  <c r="AK32" i="65"/>
  <c r="AF32" i="65"/>
  <c r="AG32" i="65" s="1"/>
  <c r="Y32" i="65"/>
  <c r="V32" i="65"/>
  <c r="AE32" i="65"/>
  <c r="AM31" i="65"/>
  <c r="AK31" i="65"/>
  <c r="AF31" i="65"/>
  <c r="AG31" i="65" s="1"/>
  <c r="Y31" i="65"/>
  <c r="V31" i="65"/>
  <c r="AD31" i="65"/>
  <c r="AM30" i="65"/>
  <c r="AK30" i="65"/>
  <c r="AF30" i="65"/>
  <c r="AG30" i="65" s="1"/>
  <c r="Y30" i="65"/>
  <c r="V30" i="65"/>
  <c r="AM29" i="65"/>
  <c r="AK29" i="65"/>
  <c r="AF29" i="65"/>
  <c r="AG29" i="65" s="1"/>
  <c r="Y29" i="65"/>
  <c r="V29" i="65"/>
  <c r="AD29" i="65"/>
  <c r="AM28" i="65"/>
  <c r="AK28" i="65"/>
  <c r="AF28" i="65"/>
  <c r="AG28" i="65" s="1"/>
  <c r="Y28" i="65"/>
  <c r="V28" i="65"/>
  <c r="AM27" i="65"/>
  <c r="AK27" i="65"/>
  <c r="AF27" i="65"/>
  <c r="AG27" i="65" s="1"/>
  <c r="Y27" i="65"/>
  <c r="V27" i="65"/>
  <c r="AE27" i="65"/>
  <c r="AM26" i="65"/>
  <c r="AK26" i="65"/>
  <c r="AF26" i="65"/>
  <c r="AG26" i="65" s="1"/>
  <c r="Y26" i="65"/>
  <c r="V26" i="65"/>
  <c r="AD26" i="65"/>
  <c r="AK25" i="65"/>
  <c r="AF25" i="65"/>
  <c r="AG25" i="65" s="1"/>
  <c r="Y25" i="65"/>
  <c r="V25" i="65"/>
  <c r="AE25" i="65"/>
  <c r="AM24" i="65"/>
  <c r="AK24" i="65"/>
  <c r="AF24" i="65"/>
  <c r="AG24" i="65" s="1"/>
  <c r="Y24" i="65"/>
  <c r="V24" i="65"/>
  <c r="AD24" i="65"/>
  <c r="AK23" i="65"/>
  <c r="AF23" i="65"/>
  <c r="AG23" i="65" s="1"/>
  <c r="Y23" i="65"/>
  <c r="V23" i="65"/>
  <c r="AM23" i="65"/>
  <c r="AM22" i="65"/>
  <c r="AK22" i="65"/>
  <c r="AF22" i="65"/>
  <c r="AG22" i="65" s="1"/>
  <c r="Y22" i="65"/>
  <c r="V22" i="65"/>
  <c r="AK21" i="65"/>
  <c r="AF21" i="65"/>
  <c r="AG21" i="65" s="1"/>
  <c r="Y21" i="65"/>
  <c r="V21" i="65"/>
  <c r="AD21" i="65"/>
  <c r="AK20" i="65"/>
  <c r="AF20" i="65"/>
  <c r="AG20" i="65" s="1"/>
  <c r="Y20" i="65"/>
  <c r="V20" i="65"/>
  <c r="AM20" i="65"/>
  <c r="AK19" i="65"/>
  <c r="AF19" i="65"/>
  <c r="AG19" i="65" s="1"/>
  <c r="Y19" i="65"/>
  <c r="V19" i="65"/>
  <c r="AM19" i="65"/>
  <c r="AM18" i="65"/>
  <c r="AK18" i="65"/>
  <c r="AF18" i="65"/>
  <c r="AG18" i="65" s="1"/>
  <c r="Y18" i="65"/>
  <c r="V18" i="65"/>
  <c r="AD18" i="65"/>
  <c r="AK17" i="65"/>
  <c r="AF17" i="65"/>
  <c r="AG17" i="65" s="1"/>
  <c r="Y17" i="65"/>
  <c r="V17" i="65"/>
  <c r="AM17" i="65"/>
  <c r="AM16" i="65"/>
  <c r="AK16" i="65"/>
  <c r="AF16" i="65"/>
  <c r="AG16" i="65" s="1"/>
  <c r="Y16" i="65"/>
  <c r="V16" i="65"/>
  <c r="AD16" i="65"/>
  <c r="AM15" i="65"/>
  <c r="AK15" i="65"/>
  <c r="AF15" i="65"/>
  <c r="AG15" i="65" s="1"/>
  <c r="Y15" i="65"/>
  <c r="V15" i="65"/>
  <c r="AE15" i="65"/>
  <c r="AM14" i="65"/>
  <c r="AK14" i="65"/>
  <c r="AF14" i="65"/>
  <c r="AG14" i="65" s="1"/>
  <c r="Y14" i="65"/>
  <c r="V14" i="65"/>
  <c r="AE14" i="65"/>
  <c r="AM13" i="65"/>
  <c r="AK13" i="65"/>
  <c r="AF13" i="65"/>
  <c r="AG13" i="65" s="1"/>
  <c r="Y13" i="65"/>
  <c r="V13" i="65"/>
  <c r="AE13" i="65"/>
  <c r="AM12" i="65"/>
  <c r="AK12" i="65"/>
  <c r="AF12" i="65"/>
  <c r="AG12" i="65" s="1"/>
  <c r="Y12" i="65"/>
  <c r="V12" i="65"/>
  <c r="AH12" i="65"/>
  <c r="AI12" i="65" s="1"/>
  <c r="A12" i="65"/>
  <c r="J6" i="68" s="1"/>
  <c r="AM11" i="65"/>
  <c r="AK11" i="65"/>
  <c r="AF11" i="65"/>
  <c r="AG11" i="65" s="1"/>
  <c r="Y11" i="65"/>
  <c r="V11" i="65"/>
  <c r="AH11" i="65"/>
  <c r="AI11" i="65" s="1"/>
  <c r="AM10" i="65"/>
  <c r="AK10" i="65"/>
  <c r="AF10" i="65"/>
  <c r="AG10" i="65" s="1"/>
  <c r="Y10" i="65"/>
  <c r="V10" i="65"/>
  <c r="AE10" i="65"/>
  <c r="A10" i="65"/>
  <c r="AK9" i="65"/>
  <c r="AF9" i="65"/>
  <c r="AG9" i="65" s="1"/>
  <c r="Y9" i="65"/>
  <c r="V9" i="65"/>
  <c r="AM9" i="65"/>
  <c r="AM8" i="65"/>
  <c r="AK8" i="65"/>
  <c r="AF8" i="65"/>
  <c r="AG8" i="65" s="1"/>
  <c r="Y8" i="65"/>
  <c r="V8" i="65"/>
  <c r="AH8" i="65"/>
  <c r="AI8" i="65" s="1"/>
  <c r="AM7" i="65"/>
  <c r="AK7" i="65"/>
  <c r="AF7" i="65"/>
  <c r="AG7" i="65" s="1"/>
  <c r="Y7" i="65"/>
  <c r="V7" i="65"/>
  <c r="AH7" i="65"/>
  <c r="AI7" i="65" s="1"/>
  <c r="AM6" i="65"/>
  <c r="AK6" i="65"/>
  <c r="AF6" i="65"/>
  <c r="AG6" i="65" s="1"/>
  <c r="Y6" i="65"/>
  <c r="V6" i="65"/>
  <c r="AD6" i="65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1" i="67" s="1"/>
  <c r="A8" i="21"/>
  <c r="A8" i="77"/>
  <c r="A8" i="73"/>
  <c r="A8" i="47"/>
  <c r="A8" i="41"/>
  <c r="I56" i="68"/>
  <c r="O56" i="68" s="1"/>
  <c r="R56" i="68" s="1"/>
  <c r="A8" i="24"/>
  <c r="A8" i="59"/>
  <c r="A8" i="57"/>
  <c r="A8" i="29"/>
  <c r="A8" i="58"/>
  <c r="A8" i="78"/>
  <c r="A8" i="69"/>
  <c r="A8" i="76"/>
  <c r="I31" i="68" s="1"/>
  <c r="T69" i="67"/>
  <c r="S69" i="67"/>
  <c r="P69" i="67"/>
  <c r="M69" i="67"/>
  <c r="L69" i="67"/>
  <c r="K69" i="67"/>
  <c r="J69" i="67"/>
  <c r="I67" i="67"/>
  <c r="I69" i="67" s="1"/>
  <c r="H64" i="67"/>
  <c r="T63" i="67"/>
  <c r="S63" i="67"/>
  <c r="H63" i="67"/>
  <c r="T57" i="67"/>
  <c r="T64" i="67" s="1"/>
  <c r="S57" i="67"/>
  <c r="S64" i="67" s="1"/>
  <c r="P57" i="67"/>
  <c r="P64" i="67" s="1"/>
  <c r="M57" i="67"/>
  <c r="M64" i="67" s="1"/>
  <c r="L57" i="67"/>
  <c r="L64" i="67" s="1"/>
  <c r="K57" i="67"/>
  <c r="K64" i="67" s="1"/>
  <c r="J57" i="67"/>
  <c r="J64" i="67" s="1"/>
  <c r="H57" i="67"/>
  <c r="I49" i="67"/>
  <c r="I44" i="67"/>
  <c r="N44" i="67" s="1"/>
  <c r="M42" i="67"/>
  <c r="L42" i="67"/>
  <c r="K42" i="67"/>
  <c r="J42" i="67"/>
  <c r="S41" i="67"/>
  <c r="P41" i="67"/>
  <c r="H41" i="67"/>
  <c r="S40" i="67"/>
  <c r="P40" i="67"/>
  <c r="P42" i="67" s="1"/>
  <c r="I40" i="67"/>
  <c r="O40" i="67" s="1"/>
  <c r="R40" i="67" s="1"/>
  <c r="H40" i="67"/>
  <c r="H42" i="67" s="1"/>
  <c r="M39" i="67"/>
  <c r="P38" i="67"/>
  <c r="L38" i="67"/>
  <c r="K38" i="67"/>
  <c r="J38" i="67"/>
  <c r="H38" i="67"/>
  <c r="T37" i="67"/>
  <c r="P37" i="67"/>
  <c r="L37" i="67"/>
  <c r="L39" i="67" s="1"/>
  <c r="K37" i="67"/>
  <c r="K39" i="67" s="1"/>
  <c r="J37" i="67"/>
  <c r="J39" i="67" s="1"/>
  <c r="H37" i="67"/>
  <c r="P35" i="67"/>
  <c r="L35" i="67"/>
  <c r="J35" i="67"/>
  <c r="P34" i="67"/>
  <c r="L34" i="67"/>
  <c r="J34" i="67"/>
  <c r="H34" i="67"/>
  <c r="P33" i="67"/>
  <c r="L33" i="67"/>
  <c r="H33" i="67"/>
  <c r="P32" i="67"/>
  <c r="L32" i="67"/>
  <c r="H32" i="67"/>
  <c r="K31" i="2" s="1"/>
  <c r="P30" i="67"/>
  <c r="L30" i="67"/>
  <c r="H30" i="67"/>
  <c r="P29" i="67"/>
  <c r="L29" i="67"/>
  <c r="J29" i="67"/>
  <c r="H29" i="67"/>
  <c r="P28" i="67"/>
  <c r="L28" i="67"/>
  <c r="P27" i="67"/>
  <c r="L27" i="67"/>
  <c r="J27" i="67"/>
  <c r="H27" i="67"/>
  <c r="K27" i="2" s="1"/>
  <c r="P26" i="67"/>
  <c r="L26" i="67"/>
  <c r="J26" i="67"/>
  <c r="H26" i="67"/>
  <c r="K26" i="2" s="1"/>
  <c r="P25" i="67"/>
  <c r="L25" i="67"/>
  <c r="J25" i="67"/>
  <c r="H25" i="67"/>
  <c r="M24" i="67"/>
  <c r="M23" i="67"/>
  <c r="M65" i="67" s="1"/>
  <c r="S21" i="67"/>
  <c r="P21" i="67"/>
  <c r="L21" i="67"/>
  <c r="J21" i="67"/>
  <c r="H21" i="67"/>
  <c r="K21" i="2" s="1"/>
  <c r="P20" i="67"/>
  <c r="L20" i="67"/>
  <c r="J20" i="67"/>
  <c r="P19" i="67"/>
  <c r="L19" i="67"/>
  <c r="J19" i="67"/>
  <c r="H19" i="67"/>
  <c r="P18" i="67"/>
  <c r="L18" i="67"/>
  <c r="J18" i="67"/>
  <c r="H18" i="67"/>
  <c r="K18" i="2" s="1"/>
  <c r="P16" i="67"/>
  <c r="L16" i="67"/>
  <c r="K16" i="67"/>
  <c r="J16" i="67"/>
  <c r="H16" i="67"/>
  <c r="K16" i="2" s="1"/>
  <c r="F16" i="67"/>
  <c r="P15" i="67"/>
  <c r="L15" i="67"/>
  <c r="J15" i="67"/>
  <c r="H15" i="67"/>
  <c r="K15" i="2" s="1"/>
  <c r="P14" i="67"/>
  <c r="L14" i="67"/>
  <c r="J14" i="67"/>
  <c r="H14" i="67"/>
  <c r="P13" i="67"/>
  <c r="L13" i="67"/>
  <c r="H13" i="67"/>
  <c r="K13" i="2" s="1"/>
  <c r="P12" i="67"/>
  <c r="L12" i="67"/>
  <c r="J12" i="67"/>
  <c r="H12" i="67"/>
  <c r="K12" i="2" s="1"/>
  <c r="P11" i="67"/>
  <c r="N11" i="67"/>
  <c r="Q11" i="67" s="1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L7" i="67" s="1"/>
  <c r="J8" i="67"/>
  <c r="P6" i="67"/>
  <c r="L6" i="67"/>
  <c r="C2" i="67"/>
  <c r="T80" i="68"/>
  <c r="S80" i="68"/>
  <c r="P80" i="68"/>
  <c r="M80" i="68"/>
  <c r="L80" i="68"/>
  <c r="K80" i="68"/>
  <c r="H74" i="68"/>
  <c r="T67" i="68"/>
  <c r="S67" i="68"/>
  <c r="P67" i="68"/>
  <c r="M67" i="68"/>
  <c r="L67" i="68"/>
  <c r="K67" i="68"/>
  <c r="J67" i="68"/>
  <c r="H67" i="68"/>
  <c r="C52" i="2" s="1"/>
  <c r="M52" i="68"/>
  <c r="J51" i="68"/>
  <c r="H51" i="68"/>
  <c r="C49" i="2" s="1"/>
  <c r="P50" i="68"/>
  <c r="L50" i="68"/>
  <c r="J50" i="68"/>
  <c r="H50" i="68"/>
  <c r="C50" i="2" s="1"/>
  <c r="P49" i="68"/>
  <c r="E48" i="2" s="1"/>
  <c r="L49" i="68"/>
  <c r="J49" i="68"/>
  <c r="H49" i="68"/>
  <c r="C48" i="2" s="1"/>
  <c r="M48" i="68"/>
  <c r="P47" i="68"/>
  <c r="L47" i="68"/>
  <c r="J47" i="68"/>
  <c r="P46" i="68"/>
  <c r="L46" i="68"/>
  <c r="J46" i="68"/>
  <c r="H46" i="68"/>
  <c r="C45" i="2" s="1"/>
  <c r="M45" i="68"/>
  <c r="P44" i="68"/>
  <c r="L44" i="68"/>
  <c r="J44" i="68"/>
  <c r="H44" i="68"/>
  <c r="C43" i="2" s="1"/>
  <c r="P43" i="68"/>
  <c r="L43" i="68"/>
  <c r="J43" i="68"/>
  <c r="H43" i="68"/>
  <c r="C42" i="2" s="1"/>
  <c r="P42" i="68"/>
  <c r="L42" i="68"/>
  <c r="J42" i="68"/>
  <c r="H42" i="68"/>
  <c r="C41" i="2" s="1"/>
  <c r="P41" i="68"/>
  <c r="L41" i="68"/>
  <c r="J41" i="68"/>
  <c r="P40" i="68"/>
  <c r="L40" i="68"/>
  <c r="P39" i="68"/>
  <c r="L39" i="68"/>
  <c r="H39" i="68"/>
  <c r="C38" i="2" s="1"/>
  <c r="M38" i="68"/>
  <c r="P37" i="68"/>
  <c r="L37" i="68"/>
  <c r="J37" i="68"/>
  <c r="H37" i="68"/>
  <c r="C37" i="2" s="1"/>
  <c r="P36" i="68"/>
  <c r="L36" i="68"/>
  <c r="J36" i="68"/>
  <c r="H36" i="68"/>
  <c r="C36" i="2" s="1"/>
  <c r="P35" i="68"/>
  <c r="L35" i="68"/>
  <c r="J35" i="68"/>
  <c r="P34" i="68"/>
  <c r="L34" i="68"/>
  <c r="J34" i="68"/>
  <c r="P33" i="68"/>
  <c r="L33" i="68"/>
  <c r="J33" i="68"/>
  <c r="H33" i="68"/>
  <c r="C33" i="2" s="1"/>
  <c r="P28" i="68"/>
  <c r="L28" i="68"/>
  <c r="P27" i="68"/>
  <c r="L27" i="68"/>
  <c r="J27" i="68"/>
  <c r="H27" i="68"/>
  <c r="C28" i="2" s="1"/>
  <c r="P26" i="68"/>
  <c r="L26" i="68"/>
  <c r="J26" i="68"/>
  <c r="H26" i="68"/>
  <c r="C27" i="2" s="1"/>
  <c r="M23" i="68"/>
  <c r="M24" i="68" s="1"/>
  <c r="P22" i="68"/>
  <c r="L22" i="68"/>
  <c r="H22" i="68"/>
  <c r="C23" i="2" s="1"/>
  <c r="P21" i="68"/>
  <c r="L21" i="68"/>
  <c r="J21" i="68"/>
  <c r="H21" i="68"/>
  <c r="C22" i="2" s="1"/>
  <c r="P20" i="68"/>
  <c r="L20" i="68"/>
  <c r="J20" i="68"/>
  <c r="H20" i="68"/>
  <c r="C21" i="2" s="1"/>
  <c r="P19" i="68"/>
  <c r="L19" i="68"/>
  <c r="J19" i="68"/>
  <c r="H19" i="68"/>
  <c r="C20" i="2" s="1"/>
  <c r="P16" i="68"/>
  <c r="L16" i="68"/>
  <c r="K16" i="68"/>
  <c r="J16" i="68"/>
  <c r="H16" i="68"/>
  <c r="C17" i="2" s="1"/>
  <c r="F16" i="68"/>
  <c r="P15" i="68"/>
  <c r="L15" i="68"/>
  <c r="J15" i="68"/>
  <c r="P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C11" i="2" s="1"/>
  <c r="P9" i="68"/>
  <c r="L9" i="68"/>
  <c r="J9" i="68"/>
  <c r="P8" i="68"/>
  <c r="L8" i="68"/>
  <c r="P6" i="68"/>
  <c r="L6" i="68"/>
  <c r="C2" i="68"/>
  <c r="C57" i="2"/>
  <c r="C53" i="2"/>
  <c r="B50" i="2"/>
  <c r="K45" i="2"/>
  <c r="B48" i="2"/>
  <c r="M43" i="2"/>
  <c r="K43" i="2"/>
  <c r="M42" i="2"/>
  <c r="K42" i="2"/>
  <c r="B45" i="2"/>
  <c r="K40" i="2"/>
  <c r="O39" i="2"/>
  <c r="O41" i="2" s="1"/>
  <c r="N39" i="2"/>
  <c r="N41" i="2" s="1"/>
  <c r="M39" i="2"/>
  <c r="M41" i="2" s="1"/>
  <c r="K39" i="2"/>
  <c r="K37" i="2"/>
  <c r="K36" i="2"/>
  <c r="J34" i="2"/>
  <c r="K33" i="2"/>
  <c r="J33" i="2"/>
  <c r="K32" i="2"/>
  <c r="J32" i="2"/>
  <c r="J31" i="2"/>
  <c r="K30" i="2"/>
  <c r="K29" i="2"/>
  <c r="J28" i="2"/>
  <c r="K19" i="2"/>
  <c r="K14" i="2"/>
  <c r="L11" i="2"/>
  <c r="S42" i="67" l="1"/>
  <c r="W19" i="34"/>
  <c r="U9" i="34"/>
  <c r="W6" i="34"/>
  <c r="W5" i="34"/>
  <c r="J7" i="67"/>
  <c r="P7" i="67"/>
  <c r="AM24" i="51"/>
  <c r="AM20" i="51"/>
  <c r="AM5" i="51"/>
  <c r="AM7" i="51"/>
  <c r="U77" i="51"/>
  <c r="W79" i="51"/>
  <c r="X79" i="51" s="1"/>
  <c r="U89" i="51"/>
  <c r="W91" i="51"/>
  <c r="X91" i="51" s="1"/>
  <c r="U101" i="51"/>
  <c r="W103" i="51"/>
  <c r="X103" i="51" s="1"/>
  <c r="U113" i="51"/>
  <c r="W115" i="51"/>
  <c r="X115" i="51" s="1"/>
  <c r="U125" i="51"/>
  <c r="W127" i="51"/>
  <c r="X127" i="51" s="1"/>
  <c r="U76" i="51"/>
  <c r="W78" i="51"/>
  <c r="X78" i="51" s="1"/>
  <c r="U88" i="51"/>
  <c r="W90" i="51"/>
  <c r="X90" i="51" s="1"/>
  <c r="U100" i="51"/>
  <c r="W102" i="51"/>
  <c r="X102" i="51" s="1"/>
  <c r="U112" i="51"/>
  <c r="W114" i="51"/>
  <c r="X114" i="51" s="1"/>
  <c r="W77" i="51"/>
  <c r="X77" i="51" s="1"/>
  <c r="U87" i="51"/>
  <c r="W76" i="51"/>
  <c r="X76" i="51" s="1"/>
  <c r="U86" i="51"/>
  <c r="U85" i="51"/>
  <c r="W87" i="51"/>
  <c r="X87" i="51" s="1"/>
  <c r="U97" i="51"/>
  <c r="W99" i="51"/>
  <c r="X99" i="51" s="1"/>
  <c r="U109" i="51"/>
  <c r="W111" i="51"/>
  <c r="X111" i="51" s="1"/>
  <c r="U121" i="51"/>
  <c r="W123" i="51"/>
  <c r="X123" i="51" s="1"/>
  <c r="U133" i="51"/>
  <c r="U83" i="51"/>
  <c r="W85" i="51"/>
  <c r="X85" i="51" s="1"/>
  <c r="U95" i="51"/>
  <c r="W97" i="51"/>
  <c r="X97" i="51" s="1"/>
  <c r="U107" i="51"/>
  <c r="W109" i="51"/>
  <c r="X109" i="51" s="1"/>
  <c r="U119" i="51"/>
  <c r="W121" i="51"/>
  <c r="X121" i="51" s="1"/>
  <c r="U131" i="51"/>
  <c r="W133" i="51"/>
  <c r="X133" i="51" s="1"/>
  <c r="U82" i="51"/>
  <c r="W84" i="51"/>
  <c r="X84" i="51" s="1"/>
  <c r="U94" i="51"/>
  <c r="W96" i="51"/>
  <c r="X96" i="51" s="1"/>
  <c r="U106" i="51"/>
  <c r="W108" i="51"/>
  <c r="X108" i="51" s="1"/>
  <c r="U81" i="51"/>
  <c r="W83" i="51"/>
  <c r="X83" i="51" s="1"/>
  <c r="U80" i="51"/>
  <c r="W82" i="51"/>
  <c r="X82" i="51" s="1"/>
  <c r="U92" i="51"/>
  <c r="W94" i="51"/>
  <c r="X94" i="51" s="1"/>
  <c r="U104" i="51"/>
  <c r="W106" i="51"/>
  <c r="X106" i="51" s="1"/>
  <c r="U116" i="51"/>
  <c r="W118" i="51"/>
  <c r="X118" i="51" s="1"/>
  <c r="U128" i="51"/>
  <c r="W130" i="51"/>
  <c r="X130" i="51" s="1"/>
  <c r="U79" i="51"/>
  <c r="W81" i="51"/>
  <c r="X81" i="51" s="1"/>
  <c r="U91" i="51"/>
  <c r="W93" i="51"/>
  <c r="X93" i="51" s="1"/>
  <c r="U103" i="51"/>
  <c r="W105" i="51"/>
  <c r="X105" i="51" s="1"/>
  <c r="U115" i="51"/>
  <c r="W117" i="51"/>
  <c r="X117" i="51" s="1"/>
  <c r="U127" i="51"/>
  <c r="W129" i="51"/>
  <c r="X129" i="51" s="1"/>
  <c r="W86" i="51"/>
  <c r="X86" i="51" s="1"/>
  <c r="U137" i="51"/>
  <c r="W139" i="51"/>
  <c r="X139" i="51" s="1"/>
  <c r="U149" i="51"/>
  <c r="W151" i="51"/>
  <c r="X151" i="51" s="1"/>
  <c r="U161" i="51"/>
  <c r="W163" i="51"/>
  <c r="X163" i="51" s="1"/>
  <c r="U84" i="51"/>
  <c r="W112" i="51"/>
  <c r="X112" i="51" s="1"/>
  <c r="W119" i="51"/>
  <c r="X119" i="51" s="1"/>
  <c r="U122" i="51"/>
  <c r="W125" i="51"/>
  <c r="X125" i="51" s="1"/>
  <c r="U136" i="51"/>
  <c r="W138" i="51"/>
  <c r="X138" i="51" s="1"/>
  <c r="U148" i="51"/>
  <c r="W150" i="51"/>
  <c r="X150" i="51" s="1"/>
  <c r="W80" i="51"/>
  <c r="X80" i="51" s="1"/>
  <c r="W92" i="51"/>
  <c r="X92" i="51" s="1"/>
  <c r="U93" i="51"/>
  <c r="W100" i="51"/>
  <c r="X100" i="51" s="1"/>
  <c r="W116" i="51"/>
  <c r="X116" i="51" s="1"/>
  <c r="W137" i="51"/>
  <c r="X137" i="51" s="1"/>
  <c r="W107" i="51"/>
  <c r="X107" i="51" s="1"/>
  <c r="U117" i="51"/>
  <c r="W122" i="51"/>
  <c r="X122" i="51" s="1"/>
  <c r="W131" i="51"/>
  <c r="X131" i="51" s="1"/>
  <c r="U135" i="51"/>
  <c r="W136" i="51"/>
  <c r="X136" i="51" s="1"/>
  <c r="U146" i="51"/>
  <c r="W148" i="51"/>
  <c r="X148" i="51" s="1"/>
  <c r="U158" i="51"/>
  <c r="W160" i="51"/>
  <c r="X160" i="51" s="1"/>
  <c r="W101" i="51"/>
  <c r="X101" i="51" s="1"/>
  <c r="U108" i="51"/>
  <c r="W113" i="51"/>
  <c r="X113" i="51" s="1"/>
  <c r="U123" i="51"/>
  <c r="W128" i="51"/>
  <c r="X128" i="51" s="1"/>
  <c r="U145" i="51"/>
  <c r="W147" i="51"/>
  <c r="X147" i="51" s="1"/>
  <c r="U157" i="51"/>
  <c r="W159" i="51"/>
  <c r="X159" i="51" s="1"/>
  <c r="U78" i="51"/>
  <c r="U102" i="51"/>
  <c r="U120" i="51"/>
  <c r="U126" i="51"/>
  <c r="U129" i="51"/>
  <c r="W135" i="51"/>
  <c r="X135" i="51" s="1"/>
  <c r="U110" i="51"/>
  <c r="U143" i="51"/>
  <c r="W145" i="51"/>
  <c r="X145" i="51" s="1"/>
  <c r="U155" i="51"/>
  <c r="W157" i="51"/>
  <c r="X157" i="51" s="1"/>
  <c r="U167" i="51"/>
  <c r="W169" i="51"/>
  <c r="X169" i="51" s="1"/>
  <c r="U114" i="51"/>
  <c r="W120" i="51"/>
  <c r="X120" i="51" s="1"/>
  <c r="W126" i="51"/>
  <c r="X126" i="51" s="1"/>
  <c r="U132" i="51"/>
  <c r="U142" i="51"/>
  <c r="W144" i="51"/>
  <c r="X144" i="51" s="1"/>
  <c r="W95" i="51"/>
  <c r="X95" i="51" s="1"/>
  <c r="W110" i="51"/>
  <c r="X110" i="51" s="1"/>
  <c r="U111" i="51"/>
  <c r="U118" i="51"/>
  <c r="U124" i="51"/>
  <c r="U134" i="51"/>
  <c r="U141" i="51"/>
  <c r="W143" i="51"/>
  <c r="X143" i="51" s="1"/>
  <c r="U153" i="51"/>
  <c r="W155" i="51"/>
  <c r="X155" i="51" s="1"/>
  <c r="U96" i="51"/>
  <c r="U98" i="51"/>
  <c r="W104" i="51"/>
  <c r="X104" i="51" s="1"/>
  <c r="U105" i="51"/>
  <c r="W132" i="51"/>
  <c r="X132" i="51" s="1"/>
  <c r="U140" i="51"/>
  <c r="W142" i="51"/>
  <c r="X142" i="51" s="1"/>
  <c r="U152" i="51"/>
  <c r="W154" i="51"/>
  <c r="X154" i="51" s="1"/>
  <c r="U139" i="51"/>
  <c r="W165" i="51"/>
  <c r="X165" i="51" s="1"/>
  <c r="U175" i="51"/>
  <c r="W177" i="51"/>
  <c r="X177" i="51" s="1"/>
  <c r="U187" i="51"/>
  <c r="W189" i="51"/>
  <c r="X189" i="51" s="1"/>
  <c r="W140" i="51"/>
  <c r="X140" i="51" s="1"/>
  <c r="W141" i="51"/>
  <c r="X141" i="51" s="1"/>
  <c r="U144" i="51"/>
  <c r="U90" i="51"/>
  <c r="W98" i="51"/>
  <c r="X98" i="51" s="1"/>
  <c r="W134" i="51"/>
  <c r="X134" i="51" s="1"/>
  <c r="U147" i="51"/>
  <c r="U150" i="51"/>
  <c r="U162" i="51"/>
  <c r="U172" i="51"/>
  <c r="W174" i="51"/>
  <c r="X174" i="51" s="1"/>
  <c r="U184" i="51"/>
  <c r="W186" i="51"/>
  <c r="X186" i="51" s="1"/>
  <c r="W149" i="51"/>
  <c r="X149" i="51" s="1"/>
  <c r="W162" i="51"/>
  <c r="X162" i="51" s="1"/>
  <c r="U182" i="51"/>
  <c r="U138" i="51"/>
  <c r="W146" i="51"/>
  <c r="X146" i="51" s="1"/>
  <c r="W152" i="51"/>
  <c r="X152" i="51" s="1"/>
  <c r="U160" i="51"/>
  <c r="U164" i="51"/>
  <c r="U171" i="51"/>
  <c r="W173" i="51"/>
  <c r="X173" i="51" s="1"/>
  <c r="U183" i="51"/>
  <c r="W185" i="51"/>
  <c r="X185" i="51" s="1"/>
  <c r="W172" i="51"/>
  <c r="X172" i="51" s="1"/>
  <c r="W184" i="51"/>
  <c r="X184" i="51" s="1"/>
  <c r="W153" i="51"/>
  <c r="X153" i="51" s="1"/>
  <c r="U154" i="51"/>
  <c r="W164" i="51"/>
  <c r="X164" i="51" s="1"/>
  <c r="U166" i="51"/>
  <c r="W171" i="51"/>
  <c r="X171" i="51" s="1"/>
  <c r="U181" i="51"/>
  <c r="W183" i="51"/>
  <c r="X183" i="51" s="1"/>
  <c r="U193" i="51"/>
  <c r="U156" i="51"/>
  <c r="W166" i="51"/>
  <c r="X166" i="51" s="1"/>
  <c r="U179" i="51"/>
  <c r="W181" i="51"/>
  <c r="X181" i="51" s="1"/>
  <c r="U191" i="51"/>
  <c r="W193" i="51"/>
  <c r="X193" i="51" s="1"/>
  <c r="W156" i="51"/>
  <c r="X156" i="51" s="1"/>
  <c r="W161" i="51"/>
  <c r="X161" i="51" s="1"/>
  <c r="W88" i="51"/>
  <c r="X88" i="51" s="1"/>
  <c r="W89" i="51"/>
  <c r="X89" i="51" s="1"/>
  <c r="U130" i="51"/>
  <c r="U159" i="51"/>
  <c r="W168" i="51"/>
  <c r="X168" i="51" s="1"/>
  <c r="U170" i="51"/>
  <c r="U178" i="51"/>
  <c r="W180" i="51"/>
  <c r="X180" i="51" s="1"/>
  <c r="U190" i="51"/>
  <c r="W192" i="51"/>
  <c r="X192" i="51" s="1"/>
  <c r="U99" i="51"/>
  <c r="U165" i="51"/>
  <c r="W182" i="51"/>
  <c r="X182" i="51" s="1"/>
  <c r="U188" i="51"/>
  <c r="U192" i="51"/>
  <c r="U174" i="51"/>
  <c r="U151" i="51"/>
  <c r="W188" i="51"/>
  <c r="X188" i="51" s="1"/>
  <c r="U168" i="51"/>
  <c r="W175" i="51"/>
  <c r="X175" i="51" s="1"/>
  <c r="U189" i="51"/>
  <c r="W124" i="51"/>
  <c r="X124" i="51" s="1"/>
  <c r="W167" i="51"/>
  <c r="X167" i="51" s="1"/>
  <c r="U169" i="51"/>
  <c r="W176" i="51"/>
  <c r="X176" i="51" s="1"/>
  <c r="U177" i="51"/>
  <c r="W187" i="51"/>
  <c r="X187" i="51" s="1"/>
  <c r="U163" i="51"/>
  <c r="W170" i="51"/>
  <c r="X170" i="51" s="1"/>
  <c r="W178" i="51"/>
  <c r="X178" i="51" s="1"/>
  <c r="W179" i="51"/>
  <c r="X179" i="51" s="1"/>
  <c r="U180" i="51"/>
  <c r="U185" i="51"/>
  <c r="W190" i="51"/>
  <c r="X190" i="51" s="1"/>
  <c r="W191" i="51"/>
  <c r="X191" i="51" s="1"/>
  <c r="W158" i="51"/>
  <c r="X158" i="51" s="1"/>
  <c r="U176" i="51"/>
  <c r="U186" i="51"/>
  <c r="U173" i="51"/>
  <c r="AH24" i="51"/>
  <c r="AI24" i="51" s="1"/>
  <c r="AL24" i="51" s="1"/>
  <c r="J7" i="68"/>
  <c r="L7" i="68"/>
  <c r="P7" i="68"/>
  <c r="U6" i="38"/>
  <c r="K41" i="2"/>
  <c r="U12" i="36"/>
  <c r="U11" i="36"/>
  <c r="W17" i="36"/>
  <c r="W22" i="36"/>
  <c r="W21" i="36"/>
  <c r="W6" i="36"/>
  <c r="W15" i="36"/>
  <c r="U20" i="36"/>
  <c r="U19" i="36"/>
  <c r="W5" i="36"/>
  <c r="S49" i="68"/>
  <c r="A14" i="52"/>
  <c r="K21" i="67" s="1"/>
  <c r="AN7" i="50"/>
  <c r="U7" i="55"/>
  <c r="W5" i="55"/>
  <c r="U9" i="55"/>
  <c r="U6" i="71"/>
  <c r="U7" i="73"/>
  <c r="W16" i="73"/>
  <c r="U9" i="73"/>
  <c r="AD5" i="71"/>
  <c r="U5" i="21"/>
  <c r="U5" i="64"/>
  <c r="A16" i="64" s="1"/>
  <c r="F38" i="67" s="1"/>
  <c r="AD5" i="64"/>
  <c r="T38" i="67" s="1"/>
  <c r="U5" i="36"/>
  <c r="U18" i="36"/>
  <c r="W20" i="36"/>
  <c r="U15" i="36"/>
  <c r="U17" i="36"/>
  <c r="W19" i="36"/>
  <c r="U13" i="36"/>
  <c r="U14" i="36"/>
  <c r="U16" i="36"/>
  <c r="W18" i="36"/>
  <c r="S51" i="68"/>
  <c r="U51" i="68" s="1"/>
  <c r="U9" i="36"/>
  <c r="U10" i="36"/>
  <c r="W13" i="36"/>
  <c r="W14" i="36"/>
  <c r="W16" i="36"/>
  <c r="U8" i="36"/>
  <c r="W11" i="36"/>
  <c r="W12" i="36"/>
  <c r="W9" i="36"/>
  <c r="W10" i="36"/>
  <c r="U24" i="36"/>
  <c r="U7" i="36"/>
  <c r="W8" i="36"/>
  <c r="U23" i="36"/>
  <c r="U22" i="36"/>
  <c r="W24" i="36"/>
  <c r="U6" i="36"/>
  <c r="A16" i="36" s="1"/>
  <c r="F51" i="68" s="1"/>
  <c r="W7" i="36"/>
  <c r="U21" i="36"/>
  <c r="W5" i="27"/>
  <c r="W7" i="27"/>
  <c r="W12" i="27"/>
  <c r="U6" i="27"/>
  <c r="W7" i="26"/>
  <c r="U10" i="26"/>
  <c r="AD5" i="25"/>
  <c r="AL24" i="16"/>
  <c r="AJ7" i="36"/>
  <c r="AL507" i="15"/>
  <c r="AJ14" i="21"/>
  <c r="AN49" i="12"/>
  <c r="AJ185" i="15"/>
  <c r="AL18" i="16"/>
  <c r="AL23" i="19"/>
  <c r="AL84" i="22"/>
  <c r="AJ65" i="69"/>
  <c r="AL18" i="24"/>
  <c r="AN7" i="37"/>
  <c r="AJ37" i="31"/>
  <c r="AJ51" i="5"/>
  <c r="AL218" i="15"/>
  <c r="AL224" i="15"/>
  <c r="AJ233" i="15"/>
  <c r="AL307" i="15"/>
  <c r="AN434" i="15"/>
  <c r="AL70" i="22"/>
  <c r="AL75" i="22"/>
  <c r="AN12" i="35"/>
  <c r="AL17" i="19"/>
  <c r="S46" i="68"/>
  <c r="AJ20" i="6"/>
  <c r="AL24" i="6"/>
  <c r="AL207" i="15"/>
  <c r="AL212" i="15"/>
  <c r="AL217" i="15"/>
  <c r="AJ451" i="15"/>
  <c r="AL470" i="15"/>
  <c r="AL496" i="15"/>
  <c r="AL506" i="15"/>
  <c r="AL12" i="21"/>
  <c r="AJ114" i="32"/>
  <c r="S50" i="68"/>
  <c r="AL471" i="15"/>
  <c r="AJ48" i="12"/>
  <c r="AL142" i="15"/>
  <c r="AL187" i="15"/>
  <c r="AJ385" i="15"/>
  <c r="AL12" i="74"/>
  <c r="AL17" i="74"/>
  <c r="AL21" i="74"/>
  <c r="AL24" i="74"/>
  <c r="AJ68" i="22"/>
  <c r="AL69" i="22"/>
  <c r="AL21" i="12"/>
  <c r="AL489" i="15"/>
  <c r="AL495" i="15"/>
  <c r="AN62" i="69"/>
  <c r="AJ5" i="36"/>
  <c r="AL15" i="36"/>
  <c r="AJ421" i="15"/>
  <c r="AL22" i="3"/>
  <c r="AJ39" i="5"/>
  <c r="AN52" i="5"/>
  <c r="AN22" i="6"/>
  <c r="AJ29" i="12"/>
  <c r="AJ349" i="15"/>
  <c r="AL15" i="16"/>
  <c r="AL20" i="16"/>
  <c r="AL20" i="18"/>
  <c r="AL24" i="18"/>
  <c r="AL62" i="69"/>
  <c r="AN50" i="12"/>
  <c r="AL195" i="15"/>
  <c r="AJ235" i="15"/>
  <c r="AL264" i="15"/>
  <c r="AL494" i="15"/>
  <c r="AL16" i="21"/>
  <c r="AJ13" i="72"/>
  <c r="AJ18" i="6"/>
  <c r="AL176" i="15"/>
  <c r="AJ244" i="15"/>
  <c r="AN257" i="15"/>
  <c r="AJ445" i="15"/>
  <c r="AL19" i="18"/>
  <c r="AL68" i="22"/>
  <c r="AJ243" i="15"/>
  <c r="AL477" i="15"/>
  <c r="AL483" i="15"/>
  <c r="AL498" i="15"/>
  <c r="AL503" i="15"/>
  <c r="AL513" i="15"/>
  <c r="AL40" i="69"/>
  <c r="AJ49" i="31"/>
  <c r="AJ13" i="33"/>
  <c r="AJ11" i="38"/>
  <c r="W8" i="22"/>
  <c r="AD16" i="44"/>
  <c r="AH17" i="44"/>
  <c r="AI17" i="44" s="1"/>
  <c r="AM18" i="44"/>
  <c r="AE16" i="44"/>
  <c r="AD15" i="44"/>
  <c r="AD19" i="44"/>
  <c r="AM5" i="13"/>
  <c r="W7" i="13"/>
  <c r="U34" i="13"/>
  <c r="W36" i="13"/>
  <c r="U46" i="13"/>
  <c r="W48" i="13"/>
  <c r="U51" i="13"/>
  <c r="W52" i="13"/>
  <c r="U33" i="13"/>
  <c r="W35" i="13"/>
  <c r="U45" i="13"/>
  <c r="W47" i="13"/>
  <c r="U52" i="13"/>
  <c r="W34" i="13"/>
  <c r="U44" i="13"/>
  <c r="W46" i="13"/>
  <c r="W33" i="13"/>
  <c r="U43" i="13"/>
  <c r="W45" i="13"/>
  <c r="U42" i="13"/>
  <c r="W44" i="13"/>
  <c r="U41" i="13"/>
  <c r="W43" i="13"/>
  <c r="U38" i="13"/>
  <c r="W50" i="13"/>
  <c r="U40" i="13"/>
  <c r="W42" i="13"/>
  <c r="U35" i="13"/>
  <c r="W49" i="13"/>
  <c r="U39" i="13"/>
  <c r="W41" i="13"/>
  <c r="U47" i="13"/>
  <c r="W40" i="13"/>
  <c r="U50" i="13"/>
  <c r="U37" i="13"/>
  <c r="W39" i="13"/>
  <c r="U49" i="13"/>
  <c r="W51" i="13"/>
  <c r="U48" i="13"/>
  <c r="U36" i="13"/>
  <c r="W38" i="13"/>
  <c r="W37" i="13"/>
  <c r="A14" i="60"/>
  <c r="K35" i="67" s="1"/>
  <c r="AE15" i="60"/>
  <c r="AE19" i="60"/>
  <c r="AL21" i="60"/>
  <c r="AD23" i="60"/>
  <c r="U25" i="60"/>
  <c r="W27" i="60"/>
  <c r="U37" i="60"/>
  <c r="W39" i="60"/>
  <c r="U24" i="60"/>
  <c r="W26" i="60"/>
  <c r="U36" i="60"/>
  <c r="W38" i="60"/>
  <c r="U45" i="60"/>
  <c r="W25" i="60"/>
  <c r="U35" i="60"/>
  <c r="W37" i="60"/>
  <c r="U44" i="60"/>
  <c r="U38" i="60"/>
  <c r="W24" i="60"/>
  <c r="U34" i="60"/>
  <c r="W36" i="60"/>
  <c r="U46" i="60"/>
  <c r="W46" i="60"/>
  <c r="U33" i="60"/>
  <c r="W35" i="60"/>
  <c r="U26" i="60"/>
  <c r="U32" i="60"/>
  <c r="W34" i="60"/>
  <c r="U31" i="60"/>
  <c r="W33" i="60"/>
  <c r="U43" i="60"/>
  <c r="W45" i="60"/>
  <c r="W28" i="60"/>
  <c r="U30" i="60"/>
  <c r="W32" i="60"/>
  <c r="U42" i="60"/>
  <c r="W44" i="60"/>
  <c r="U39" i="60"/>
  <c r="U29" i="60"/>
  <c r="W31" i="60"/>
  <c r="U41" i="60"/>
  <c r="W43" i="60"/>
  <c r="W42" i="60"/>
  <c r="W40" i="60"/>
  <c r="U28" i="60"/>
  <c r="W30" i="60"/>
  <c r="U40" i="60"/>
  <c r="W41" i="60"/>
  <c r="U27" i="60"/>
  <c r="W29" i="60"/>
  <c r="AE10" i="60"/>
  <c r="AH16" i="60"/>
  <c r="AI16" i="60" s="1"/>
  <c r="AD18" i="60"/>
  <c r="AE23" i="60"/>
  <c r="AD9" i="60"/>
  <c r="AH10" i="60"/>
  <c r="AI10" i="60" s="1"/>
  <c r="AE9" i="60"/>
  <c r="AE12" i="60"/>
  <c r="AH15" i="60"/>
  <c r="AI15" i="60" s="1"/>
  <c r="AH20" i="60"/>
  <c r="AI20" i="60" s="1"/>
  <c r="AD14" i="60"/>
  <c r="AE14" i="60"/>
  <c r="AD19" i="60"/>
  <c r="AD8" i="60"/>
  <c r="AE18" i="60"/>
  <c r="AD22" i="60"/>
  <c r="AD13" i="60"/>
  <c r="AL18" i="60"/>
  <c r="AE22" i="60"/>
  <c r="AE13" i="60"/>
  <c r="AD17" i="60"/>
  <c r="AD21" i="60"/>
  <c r="U14" i="60"/>
  <c r="AD12" i="60"/>
  <c r="AE17" i="60"/>
  <c r="AE21" i="60"/>
  <c r="AD7" i="60"/>
  <c r="AN7" i="60" s="1"/>
  <c r="AD11" i="60"/>
  <c r="AD16" i="60"/>
  <c r="AD20" i="60"/>
  <c r="AJ11" i="60"/>
  <c r="AL126" i="32"/>
  <c r="AL152" i="32"/>
  <c r="AL110" i="32"/>
  <c r="AM134" i="32"/>
  <c r="AM139" i="32"/>
  <c r="AM154" i="32"/>
  <c r="AJ122" i="32"/>
  <c r="AL127" i="32"/>
  <c r="AJ161" i="32"/>
  <c r="AM18" i="32"/>
  <c r="AD38" i="32"/>
  <c r="AE40" i="32"/>
  <c r="AM97" i="32"/>
  <c r="AE100" i="32"/>
  <c r="AE104" i="32"/>
  <c r="AN104" i="32" s="1"/>
  <c r="AM110" i="32"/>
  <c r="AL113" i="32"/>
  <c r="AM114" i="32"/>
  <c r="AD117" i="32"/>
  <c r="AD121" i="32"/>
  <c r="AD125" i="32"/>
  <c r="AN125" i="32" s="1"/>
  <c r="AE131" i="32"/>
  <c r="AM133" i="32"/>
  <c r="AN133" i="32" s="1"/>
  <c r="AE146" i="32"/>
  <c r="AD150" i="32"/>
  <c r="AM153" i="32"/>
  <c r="AL156" i="32"/>
  <c r="AD160" i="32"/>
  <c r="AD164" i="32"/>
  <c r="AN164" i="32" s="1"/>
  <c r="AE169" i="32"/>
  <c r="AM5" i="32"/>
  <c r="AN5" i="32" s="1"/>
  <c r="AD17" i="32"/>
  <c r="AD42" i="32"/>
  <c r="AM85" i="32"/>
  <c r="AD99" i="32"/>
  <c r="AN99" i="32" s="1"/>
  <c r="AD108" i="32"/>
  <c r="AD112" i="32"/>
  <c r="AE117" i="32"/>
  <c r="AD130" i="32"/>
  <c r="AD135" i="32"/>
  <c r="AD140" i="32"/>
  <c r="AD145" i="32"/>
  <c r="AD155" i="32"/>
  <c r="AE17" i="32"/>
  <c r="AN17" i="32" s="1"/>
  <c r="AE99" i="32"/>
  <c r="AH100" i="32"/>
  <c r="AI100" i="32" s="1"/>
  <c r="AL100" i="32" s="1"/>
  <c r="AD103" i="32"/>
  <c r="AE108" i="32"/>
  <c r="AE112" i="32"/>
  <c r="AD116" i="32"/>
  <c r="AL121" i="32"/>
  <c r="AE130" i="32"/>
  <c r="AH131" i="32"/>
  <c r="AI131" i="32" s="1"/>
  <c r="AJ131" i="32" s="1"/>
  <c r="AE135" i="32"/>
  <c r="AD139" i="32"/>
  <c r="AN139" i="32" s="1"/>
  <c r="AE140" i="32"/>
  <c r="AE145" i="32"/>
  <c r="AE155" i="32"/>
  <c r="AD159" i="32"/>
  <c r="AD168" i="32"/>
  <c r="AH169" i="32"/>
  <c r="AI169" i="32" s="1"/>
  <c r="AM9" i="32"/>
  <c r="AM23" i="32"/>
  <c r="AM38" i="32"/>
  <c r="AM40" i="32"/>
  <c r="AM94" i="32"/>
  <c r="AM96" i="32"/>
  <c r="AE103" i="32"/>
  <c r="AH104" i="32"/>
  <c r="AI104" i="32" s="1"/>
  <c r="AL104" i="32" s="1"/>
  <c r="AE116" i="32"/>
  <c r="AH117" i="32"/>
  <c r="AI117" i="32" s="1"/>
  <c r="AH121" i="32"/>
  <c r="AI121" i="32" s="1"/>
  <c r="AH125" i="32"/>
  <c r="AI125" i="32" s="1"/>
  <c r="AE139" i="32"/>
  <c r="AH146" i="32"/>
  <c r="AI146" i="32" s="1"/>
  <c r="AJ146" i="32" s="1"/>
  <c r="AH150" i="32"/>
  <c r="AI150" i="32" s="1"/>
  <c r="AE159" i="32"/>
  <c r="AN159" i="32" s="1"/>
  <c r="AH160" i="32"/>
  <c r="AI160" i="32" s="1"/>
  <c r="AJ160" i="32" s="1"/>
  <c r="AH164" i="32"/>
  <c r="AI164" i="32" s="1"/>
  <c r="AE168" i="32"/>
  <c r="AM15" i="32"/>
  <c r="AH17" i="32"/>
  <c r="AI17" i="32" s="1"/>
  <c r="AM30" i="32"/>
  <c r="AD98" i="32"/>
  <c r="AH99" i="32"/>
  <c r="AI99" i="32" s="1"/>
  <c r="AH108" i="32"/>
  <c r="AI108" i="32" s="1"/>
  <c r="AH112" i="32"/>
  <c r="AI112" i="32" s="1"/>
  <c r="AH135" i="32"/>
  <c r="AI135" i="32" s="1"/>
  <c r="AJ135" i="32" s="1"/>
  <c r="AH140" i="32"/>
  <c r="AI140" i="32" s="1"/>
  <c r="AJ140" i="32" s="1"/>
  <c r="AH145" i="32"/>
  <c r="AI145" i="32" s="1"/>
  <c r="AL145" i="32" s="1"/>
  <c r="AH155" i="32"/>
  <c r="AI155" i="32" s="1"/>
  <c r="AE88" i="32"/>
  <c r="AE98" i="32"/>
  <c r="AD102" i="32"/>
  <c r="AH103" i="32"/>
  <c r="AI103" i="32" s="1"/>
  <c r="AE111" i="32"/>
  <c r="AH116" i="32"/>
  <c r="AI116" i="32" s="1"/>
  <c r="AL129" i="32"/>
  <c r="AH130" i="32"/>
  <c r="AI130" i="32" s="1"/>
  <c r="AE134" i="32"/>
  <c r="AD138" i="32"/>
  <c r="AN138" i="32" s="1"/>
  <c r="AE154" i="32"/>
  <c r="AD158" i="32"/>
  <c r="AD167" i="32"/>
  <c r="AH168" i="32"/>
  <c r="AI168" i="32" s="1"/>
  <c r="AL168" i="32" s="1"/>
  <c r="AD6" i="32"/>
  <c r="AE8" i="32"/>
  <c r="AM19" i="32"/>
  <c r="AE102" i="32"/>
  <c r="AD106" i="32"/>
  <c r="AD119" i="32"/>
  <c r="AD123" i="32"/>
  <c r="AD128" i="32"/>
  <c r="AN128" i="32" s="1"/>
  <c r="AL134" i="32"/>
  <c r="AE158" i="32"/>
  <c r="AH159" i="32"/>
  <c r="AI159" i="32" s="1"/>
  <c r="AE167" i="32"/>
  <c r="AD171" i="32"/>
  <c r="AN171" i="32" s="1"/>
  <c r="AD12" i="32"/>
  <c r="AE14" i="32"/>
  <c r="AL138" i="32"/>
  <c r="AL153" i="32"/>
  <c r="AN166" i="32"/>
  <c r="U8" i="18"/>
  <c r="W6" i="18"/>
  <c r="AM23" i="15"/>
  <c r="AM38" i="15"/>
  <c r="AM40" i="15"/>
  <c r="AE13" i="15"/>
  <c r="AM49" i="15"/>
  <c r="AH77" i="15"/>
  <c r="AI77" i="15" s="1"/>
  <c r="AM7" i="15"/>
  <c r="AM57" i="15"/>
  <c r="AM73" i="15"/>
  <c r="AM75" i="15"/>
  <c r="AE70" i="15"/>
  <c r="AM22" i="15"/>
  <c r="AM24" i="15"/>
  <c r="AM28" i="15"/>
  <c r="AM39" i="15"/>
  <c r="AM41" i="15"/>
  <c r="AH68" i="15"/>
  <c r="AI68" i="15" s="1"/>
  <c r="AE10" i="15"/>
  <c r="AE16" i="15"/>
  <c r="AE52" i="15"/>
  <c r="AE58" i="15"/>
  <c r="AM70" i="15"/>
  <c r="AH6" i="15"/>
  <c r="AI6" i="15" s="1"/>
  <c r="AE82" i="15"/>
  <c r="AH80" i="15"/>
  <c r="AI80" i="15" s="1"/>
  <c r="AL80" i="15" s="1"/>
  <c r="AM10" i="15"/>
  <c r="AM31" i="15"/>
  <c r="AM54" i="15"/>
  <c r="AM78" i="15"/>
  <c r="AM5" i="40"/>
  <c r="U14" i="6"/>
  <c r="AM13" i="6"/>
  <c r="AM8" i="6"/>
  <c r="AH14" i="6"/>
  <c r="AI14" i="6" s="1"/>
  <c r="AJ14" i="6" s="1"/>
  <c r="AM14" i="6"/>
  <c r="A14" i="6"/>
  <c r="K10" i="68" s="1"/>
  <c r="AE11" i="6"/>
  <c r="AE13" i="6"/>
  <c r="AM7" i="6"/>
  <c r="AM9" i="6"/>
  <c r="AE14" i="39"/>
  <c r="AD5" i="39"/>
  <c r="AD11" i="39"/>
  <c r="AH5" i="39"/>
  <c r="AI5" i="39" s="1"/>
  <c r="AM9" i="39"/>
  <c r="AM7" i="39"/>
  <c r="AH38" i="5"/>
  <c r="AI38" i="5" s="1"/>
  <c r="AE28" i="5"/>
  <c r="AD35" i="5"/>
  <c r="AH36" i="5"/>
  <c r="AI36" i="5" s="1"/>
  <c r="AD40" i="5"/>
  <c r="AE45" i="5"/>
  <c r="AH46" i="5"/>
  <c r="AI46" i="5" s="1"/>
  <c r="AM28" i="5"/>
  <c r="AM30" i="5"/>
  <c r="AH35" i="5"/>
  <c r="AI35" i="5" s="1"/>
  <c r="AM36" i="5"/>
  <c r="AN36" i="5" s="1"/>
  <c r="AM41" i="5"/>
  <c r="AN41" i="5" s="1"/>
  <c r="AH45" i="5"/>
  <c r="AI45" i="5" s="1"/>
  <c r="AJ45" i="5" s="1"/>
  <c r="AD48" i="5"/>
  <c r="AM32" i="5"/>
  <c r="AD38" i="5"/>
  <c r="AD43" i="5"/>
  <c r="AM8" i="5"/>
  <c r="AM14" i="5"/>
  <c r="AM22" i="5"/>
  <c r="AE38" i="5"/>
  <c r="AE43" i="5"/>
  <c r="AM45" i="5"/>
  <c r="AL43" i="5"/>
  <c r="AH7" i="5"/>
  <c r="AI7" i="5" s="1"/>
  <c r="AM29" i="5"/>
  <c r="AD36" i="5"/>
  <c r="AM43" i="5"/>
  <c r="AD46" i="5"/>
  <c r="AD41" i="5"/>
  <c r="W70" i="51"/>
  <c r="X70" i="51" s="1"/>
  <c r="W71" i="51"/>
  <c r="X71" i="51" s="1"/>
  <c r="W72" i="51"/>
  <c r="X72" i="51" s="1"/>
  <c r="U70" i="51"/>
  <c r="W73" i="51"/>
  <c r="X73" i="51" s="1"/>
  <c r="U71" i="51"/>
  <c r="U72" i="51"/>
  <c r="U74" i="51"/>
  <c r="W74" i="51"/>
  <c r="X74" i="51" s="1"/>
  <c r="U73" i="51"/>
  <c r="W75" i="51"/>
  <c r="X75" i="51" s="1"/>
  <c r="U75" i="51"/>
  <c r="AH11" i="51"/>
  <c r="AI11" i="51" s="1"/>
  <c r="AM16" i="51"/>
  <c r="AM10" i="51"/>
  <c r="AE17" i="51"/>
  <c r="AD19" i="51"/>
  <c r="AE19" i="51"/>
  <c r="AM15" i="51"/>
  <c r="AM17" i="51"/>
  <c r="AM19" i="51"/>
  <c r="W15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60" i="51"/>
  <c r="W62" i="51"/>
  <c r="X62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W50" i="51"/>
  <c r="X50" i="51" s="1"/>
  <c r="W26" i="51"/>
  <c r="X26" i="51" s="1"/>
  <c r="U36" i="51"/>
  <c r="W38" i="51"/>
  <c r="X38" i="51" s="1"/>
  <c r="U48" i="51"/>
  <c r="U59" i="51"/>
  <c r="W61" i="51"/>
  <c r="X61" i="51" s="1"/>
  <c r="W25" i="51"/>
  <c r="X25" i="51" s="1"/>
  <c r="U35" i="51"/>
  <c r="W37" i="51"/>
  <c r="X37" i="51" s="1"/>
  <c r="U47" i="51"/>
  <c r="W49" i="51"/>
  <c r="X49" i="51" s="1"/>
  <c r="W59" i="51"/>
  <c r="X59" i="51" s="1"/>
  <c r="U34" i="51"/>
  <c r="W36" i="51"/>
  <c r="X36" i="51" s="1"/>
  <c r="U46" i="51"/>
  <c r="W48" i="51"/>
  <c r="X48" i="51" s="1"/>
  <c r="U58" i="51"/>
  <c r="W60" i="51"/>
  <c r="X60" i="51" s="1"/>
  <c r="U45" i="51"/>
  <c r="U33" i="51"/>
  <c r="W35" i="51"/>
  <c r="X35" i="51" s="1"/>
  <c r="W47" i="51"/>
  <c r="X47" i="51" s="1"/>
  <c r="U57" i="51"/>
  <c r="U32" i="51"/>
  <c r="W34" i="51"/>
  <c r="X34" i="51" s="1"/>
  <c r="U44" i="51"/>
  <c r="W46" i="51"/>
  <c r="X46" i="51" s="1"/>
  <c r="U56" i="51"/>
  <c r="W58" i="51"/>
  <c r="X58" i="51" s="1"/>
  <c r="U68" i="51"/>
  <c r="W56" i="51"/>
  <c r="X56" i="51" s="1"/>
  <c r="W68" i="51"/>
  <c r="X68" i="51" s="1"/>
  <c r="W43" i="51"/>
  <c r="X43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66" i="51"/>
  <c r="U41" i="51"/>
  <c r="U30" i="51"/>
  <c r="W32" i="51"/>
  <c r="X32" i="51" s="1"/>
  <c r="U42" i="51"/>
  <c r="W44" i="51"/>
  <c r="X44" i="51" s="1"/>
  <c r="U54" i="51"/>
  <c r="U29" i="51"/>
  <c r="W31" i="51"/>
  <c r="X31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64" i="51"/>
  <c r="U28" i="51"/>
  <c r="W55" i="51"/>
  <c r="X55" i="51" s="1"/>
  <c r="U69" i="51"/>
  <c r="W67" i="51"/>
  <c r="X67" i="51" s="1"/>
  <c r="W54" i="51"/>
  <c r="X54" i="51" s="1"/>
  <c r="U40" i="51"/>
  <c r="U53" i="51"/>
  <c r="W30" i="51"/>
  <c r="X30" i="51" s="1"/>
  <c r="W66" i="51"/>
  <c r="X66" i="51" s="1"/>
  <c r="U65" i="51"/>
  <c r="U52" i="51"/>
  <c r="W42" i="51"/>
  <c r="X42" i="51" s="1"/>
  <c r="AE21" i="51"/>
  <c r="AD23" i="51"/>
  <c r="AE23" i="51"/>
  <c r="AD10" i="51"/>
  <c r="AE20" i="51"/>
  <c r="AH20" i="51"/>
  <c r="AI20" i="51" s="1"/>
  <c r="AL20" i="51" s="1"/>
  <c r="AD18" i="51"/>
  <c r="AD22" i="51"/>
  <c r="AH23" i="51"/>
  <c r="AI23" i="51" s="1"/>
  <c r="AE18" i="51"/>
  <c r="AE22" i="51"/>
  <c r="AN22" i="51" s="1"/>
  <c r="AD17" i="51"/>
  <c r="AH18" i="51"/>
  <c r="AI18" i="51" s="1"/>
  <c r="AD21" i="51"/>
  <c r="AH22" i="51"/>
  <c r="AI22" i="51" s="1"/>
  <c r="AJ22" i="51" s="1"/>
  <c r="AL21" i="51"/>
  <c r="AM11" i="51"/>
  <c r="AM13" i="51"/>
  <c r="AD24" i="51"/>
  <c r="AM53" i="20"/>
  <c r="AD60" i="20"/>
  <c r="AE73" i="20"/>
  <c r="AM75" i="20"/>
  <c r="AD78" i="20"/>
  <c r="AM55" i="20"/>
  <c r="AE78" i="20"/>
  <c r="AM8" i="20"/>
  <c r="AH61" i="20"/>
  <c r="AI61" i="20" s="1"/>
  <c r="AH67" i="20"/>
  <c r="AI67" i="20" s="1"/>
  <c r="AL67" i="20" s="1"/>
  <c r="AM41" i="20"/>
  <c r="AE59" i="20"/>
  <c r="AE65" i="20"/>
  <c r="AH78" i="20"/>
  <c r="AI78" i="20" s="1"/>
  <c r="AJ78" i="20" s="1"/>
  <c r="AM10" i="20"/>
  <c r="AH14" i="20"/>
  <c r="AI14" i="20" s="1"/>
  <c r="AM18" i="20"/>
  <c r="AM39" i="20"/>
  <c r="AL59" i="20"/>
  <c r="AH60" i="20"/>
  <c r="AI60" i="20" s="1"/>
  <c r="AM61" i="20"/>
  <c r="AE71" i="20"/>
  <c r="AD76" i="20"/>
  <c r="AM12" i="20"/>
  <c r="AD58" i="20"/>
  <c r="AH59" i="20"/>
  <c r="AI59" i="20" s="1"/>
  <c r="AD64" i="20"/>
  <c r="AL65" i="20"/>
  <c r="AM67" i="20"/>
  <c r="AD70" i="20"/>
  <c r="AL71" i="20"/>
  <c r="AE76" i="20"/>
  <c r="AM14" i="20"/>
  <c r="AM35" i="20"/>
  <c r="AM46" i="20"/>
  <c r="AM50" i="20"/>
  <c r="AM52" i="20"/>
  <c r="AM54" i="20"/>
  <c r="AE58" i="20"/>
  <c r="AD63" i="20"/>
  <c r="AE64" i="20"/>
  <c r="AD69" i="20"/>
  <c r="AE70" i="20"/>
  <c r="AD75" i="20"/>
  <c r="AL76" i="20"/>
  <c r="AH58" i="20"/>
  <c r="AI58" i="20" s="1"/>
  <c r="AL58" i="20" s="1"/>
  <c r="AH64" i="20"/>
  <c r="AI64" i="20" s="1"/>
  <c r="AL64" i="20" s="1"/>
  <c r="AH70" i="20"/>
  <c r="AI70" i="20" s="1"/>
  <c r="AL70" i="20" s="1"/>
  <c r="AM11" i="20"/>
  <c r="AM17" i="20"/>
  <c r="AD61" i="20"/>
  <c r="AL62" i="20"/>
  <c r="AD67" i="20"/>
  <c r="AL74" i="20"/>
  <c r="AM6" i="50"/>
  <c r="AM5" i="50"/>
  <c r="S19" i="67" s="1"/>
  <c r="U6" i="50"/>
  <c r="AD6" i="50"/>
  <c r="A14" i="50"/>
  <c r="K19" i="67" s="1"/>
  <c r="W7" i="19"/>
  <c r="AM33" i="66"/>
  <c r="AM24" i="66"/>
  <c r="AM29" i="66"/>
  <c r="AM8" i="66"/>
  <c r="AM23" i="66"/>
  <c r="W5" i="33"/>
  <c r="AJ12" i="28"/>
  <c r="AM22" i="28"/>
  <c r="U5" i="28"/>
  <c r="A14" i="34"/>
  <c r="K46" i="68" s="1"/>
  <c r="AD5" i="16"/>
  <c r="AM11" i="12"/>
  <c r="AM6" i="12"/>
  <c r="AD13" i="59"/>
  <c r="AH13" i="59"/>
  <c r="AI13" i="59" s="1"/>
  <c r="AD15" i="59"/>
  <c r="AN15" i="59" s="1"/>
  <c r="AE39" i="31"/>
  <c r="AE43" i="31"/>
  <c r="AN43" i="31" s="1"/>
  <c r="AE47" i="31"/>
  <c r="AD15" i="31"/>
  <c r="AD33" i="31"/>
  <c r="AD38" i="31"/>
  <c r="AD42" i="31"/>
  <c r="AD46" i="31"/>
  <c r="AH31" i="31"/>
  <c r="AI31" i="31" s="1"/>
  <c r="AE38" i="31"/>
  <c r="AE42" i="31"/>
  <c r="AN42" i="31" s="1"/>
  <c r="AE46" i="31"/>
  <c r="AD50" i="31"/>
  <c r="AD54" i="31"/>
  <c r="AD37" i="31"/>
  <c r="AE50" i="31"/>
  <c r="AE54" i="31"/>
  <c r="AJ55" i="31"/>
  <c r="AE49" i="31"/>
  <c r="AD12" i="31"/>
  <c r="AD30" i="31"/>
  <c r="AH23" i="30"/>
  <c r="AI23" i="30" s="1"/>
  <c r="AE12" i="30"/>
  <c r="AM12" i="30"/>
  <c r="AM15" i="58"/>
  <c r="AM19" i="58"/>
  <c r="AD13" i="58"/>
  <c r="AD17" i="58"/>
  <c r="AD21" i="58"/>
  <c r="AE13" i="58"/>
  <c r="AE17" i="58"/>
  <c r="AE21" i="58"/>
  <c r="AD12" i="58"/>
  <c r="AH13" i="58"/>
  <c r="AI13" i="58" s="1"/>
  <c r="AD16" i="58"/>
  <c r="AN16" i="58" s="1"/>
  <c r="AH17" i="58"/>
  <c r="AI17" i="58" s="1"/>
  <c r="AL17" i="58" s="1"/>
  <c r="AD20" i="58"/>
  <c r="AH21" i="58"/>
  <c r="AI21" i="58" s="1"/>
  <c r="AD5" i="58"/>
  <c r="AE12" i="58"/>
  <c r="AE16" i="58"/>
  <c r="AE20" i="58"/>
  <c r="AD11" i="58"/>
  <c r="AE11" i="58"/>
  <c r="AH12" i="58"/>
  <c r="AI12" i="58" s="1"/>
  <c r="AD15" i="58"/>
  <c r="AN15" i="58" s="1"/>
  <c r="AH16" i="58"/>
  <c r="AI16" i="58" s="1"/>
  <c r="AL16" i="58" s="1"/>
  <c r="AD19" i="58"/>
  <c r="AH20" i="58"/>
  <c r="AI20" i="58" s="1"/>
  <c r="AD23" i="58"/>
  <c r="AM11" i="30"/>
  <c r="AD20" i="30"/>
  <c r="AM23" i="30"/>
  <c r="AM20" i="30"/>
  <c r="AM22" i="30"/>
  <c r="AD12" i="30"/>
  <c r="AM10" i="30"/>
  <c r="AD23" i="30"/>
  <c r="AH21" i="30"/>
  <c r="AI21" i="30" s="1"/>
  <c r="AM7" i="30"/>
  <c r="AM9" i="30"/>
  <c r="AM17" i="30"/>
  <c r="AM19" i="30"/>
  <c r="AE22" i="30"/>
  <c r="AD21" i="30"/>
  <c r="AE21" i="30"/>
  <c r="AH22" i="30"/>
  <c r="AI22" i="30" s="1"/>
  <c r="AD6" i="30"/>
  <c r="AE20" i="30"/>
  <c r="AN20" i="30" s="1"/>
  <c r="AD24" i="30"/>
  <c r="AN24" i="30" s="1"/>
  <c r="AM8" i="30"/>
  <c r="AM18" i="30"/>
  <c r="AD5" i="30"/>
  <c r="W23" i="30"/>
  <c r="U26" i="30"/>
  <c r="W28" i="30"/>
  <c r="W37" i="30"/>
  <c r="U46" i="30"/>
  <c r="W48" i="30"/>
  <c r="U58" i="30"/>
  <c r="W60" i="30"/>
  <c r="U70" i="30"/>
  <c r="W72" i="30"/>
  <c r="U25" i="30"/>
  <c r="W27" i="30"/>
  <c r="U45" i="30"/>
  <c r="W47" i="30"/>
  <c r="U57" i="30"/>
  <c r="W59" i="30"/>
  <c r="U69" i="30"/>
  <c r="W71" i="30"/>
  <c r="W26" i="30"/>
  <c r="U36" i="30"/>
  <c r="U44" i="30"/>
  <c r="W46" i="30"/>
  <c r="U56" i="30"/>
  <c r="W58" i="30"/>
  <c r="W25" i="30"/>
  <c r="U35" i="30"/>
  <c r="U43" i="30"/>
  <c r="W45" i="30"/>
  <c r="U55" i="30"/>
  <c r="W57" i="30"/>
  <c r="U67" i="30"/>
  <c r="W69" i="30"/>
  <c r="U34" i="30"/>
  <c r="W36" i="30"/>
  <c r="U42" i="30"/>
  <c r="W44" i="30"/>
  <c r="U54" i="30"/>
  <c r="W56" i="30"/>
  <c r="U66" i="30"/>
  <c r="W68" i="30"/>
  <c r="U33" i="30"/>
  <c r="W35" i="30"/>
  <c r="U41" i="30"/>
  <c r="W43" i="30"/>
  <c r="U53" i="30"/>
  <c r="W55" i="30"/>
  <c r="U32" i="30"/>
  <c r="W34" i="30"/>
  <c r="U40" i="30"/>
  <c r="W42" i="30"/>
  <c r="U52" i="30"/>
  <c r="W54" i="30"/>
  <c r="U64" i="30"/>
  <c r="W66" i="30"/>
  <c r="U76" i="30"/>
  <c r="W78" i="30"/>
  <c r="U31" i="30"/>
  <c r="W33" i="30"/>
  <c r="U39" i="30"/>
  <c r="W41" i="30"/>
  <c r="U51" i="30"/>
  <c r="W53" i="30"/>
  <c r="U63" i="30"/>
  <c r="U30" i="30"/>
  <c r="W32" i="30"/>
  <c r="U38" i="30"/>
  <c r="W40" i="30"/>
  <c r="U50" i="30"/>
  <c r="W52" i="30"/>
  <c r="U62" i="30"/>
  <c r="W64" i="30"/>
  <c r="U74" i="30"/>
  <c r="U29" i="30"/>
  <c r="W31" i="30"/>
  <c r="W39" i="30"/>
  <c r="U49" i="30"/>
  <c r="W51" i="30"/>
  <c r="U61" i="30"/>
  <c r="W63" i="30"/>
  <c r="U28" i="30"/>
  <c r="W30" i="30"/>
  <c r="U37" i="30"/>
  <c r="W38" i="30"/>
  <c r="U48" i="30"/>
  <c r="W50" i="30"/>
  <c r="U60" i="30"/>
  <c r="U27" i="30"/>
  <c r="W29" i="30"/>
  <c r="U47" i="30"/>
  <c r="W49" i="30"/>
  <c r="U59" i="30"/>
  <c r="W61" i="30"/>
  <c r="W65" i="30"/>
  <c r="U71" i="30"/>
  <c r="U79" i="30"/>
  <c r="U87" i="30"/>
  <c r="W89" i="30"/>
  <c r="U99" i="30"/>
  <c r="W101" i="30"/>
  <c r="U111" i="30"/>
  <c r="U77" i="30"/>
  <c r="W77" i="30"/>
  <c r="U86" i="30"/>
  <c r="W88" i="30"/>
  <c r="U98" i="30"/>
  <c r="W100" i="30"/>
  <c r="U110" i="30"/>
  <c r="U109" i="30"/>
  <c r="W62" i="30"/>
  <c r="W79" i="30"/>
  <c r="U85" i="30"/>
  <c r="W87" i="30"/>
  <c r="U97" i="30"/>
  <c r="W99" i="30"/>
  <c r="W111" i="30"/>
  <c r="U88" i="30"/>
  <c r="U68" i="30"/>
  <c r="U84" i="30"/>
  <c r="W86" i="30"/>
  <c r="U96" i="30"/>
  <c r="W98" i="30"/>
  <c r="U108" i="30"/>
  <c r="W110" i="30"/>
  <c r="W75" i="30"/>
  <c r="W67" i="30"/>
  <c r="U72" i="30"/>
  <c r="W74" i="30"/>
  <c r="U83" i="30"/>
  <c r="W85" i="30"/>
  <c r="U95" i="30"/>
  <c r="W97" i="30"/>
  <c r="U107" i="30"/>
  <c r="W109" i="30"/>
  <c r="U78" i="30"/>
  <c r="U82" i="30"/>
  <c r="W84" i="30"/>
  <c r="U94" i="30"/>
  <c r="W96" i="30"/>
  <c r="U106" i="30"/>
  <c r="W108" i="30"/>
  <c r="W76" i="30"/>
  <c r="U81" i="30"/>
  <c r="W83" i="30"/>
  <c r="U93" i="30"/>
  <c r="W95" i="30"/>
  <c r="U105" i="30"/>
  <c r="W107" i="30"/>
  <c r="U100" i="30"/>
  <c r="U80" i="30"/>
  <c r="W82" i="30"/>
  <c r="U92" i="30"/>
  <c r="W94" i="30"/>
  <c r="U104" i="30"/>
  <c r="W106" i="30"/>
  <c r="U73" i="30"/>
  <c r="W81" i="30"/>
  <c r="U91" i="30"/>
  <c r="W93" i="30"/>
  <c r="U103" i="30"/>
  <c r="W105" i="30"/>
  <c r="W90" i="30"/>
  <c r="W102" i="30"/>
  <c r="U75" i="30"/>
  <c r="W80" i="30"/>
  <c r="U90" i="30"/>
  <c r="W92" i="30"/>
  <c r="U102" i="30"/>
  <c r="W104" i="30"/>
  <c r="U65" i="30"/>
  <c r="W70" i="30"/>
  <c r="W73" i="30"/>
  <c r="U89" i="30"/>
  <c r="W91" i="30"/>
  <c r="U101" i="30"/>
  <c r="W103" i="30"/>
  <c r="W8" i="58"/>
  <c r="W10" i="58"/>
  <c r="U26" i="58"/>
  <c r="W28" i="58"/>
  <c r="X28" i="58" s="1"/>
  <c r="U38" i="58"/>
  <c r="W40" i="58"/>
  <c r="X40" i="58" s="1"/>
  <c r="U50" i="58"/>
  <c r="W52" i="58"/>
  <c r="X52" i="58" s="1"/>
  <c r="U62" i="58"/>
  <c r="W64" i="58"/>
  <c r="X64" i="58" s="1"/>
  <c r="U74" i="58"/>
  <c r="W76" i="58"/>
  <c r="X76" i="58" s="1"/>
  <c r="U25" i="58"/>
  <c r="W27" i="58"/>
  <c r="X27" i="58" s="1"/>
  <c r="U37" i="58"/>
  <c r="W39" i="58"/>
  <c r="X39" i="58" s="1"/>
  <c r="U49" i="58"/>
  <c r="W51" i="58"/>
  <c r="X51" i="58" s="1"/>
  <c r="U61" i="58"/>
  <c r="W63" i="58"/>
  <c r="X63" i="58" s="1"/>
  <c r="U73" i="58"/>
  <c r="W75" i="58"/>
  <c r="X75" i="58" s="1"/>
  <c r="W26" i="58"/>
  <c r="X26" i="58" s="1"/>
  <c r="U36" i="58"/>
  <c r="W38" i="58"/>
  <c r="X38" i="58" s="1"/>
  <c r="U48" i="58"/>
  <c r="W50" i="58"/>
  <c r="X50" i="58" s="1"/>
  <c r="U60" i="58"/>
  <c r="W62" i="58"/>
  <c r="X62" i="58" s="1"/>
  <c r="U72" i="58"/>
  <c r="W74" i="58"/>
  <c r="X74" i="58" s="1"/>
  <c r="W25" i="58"/>
  <c r="X25" i="58" s="1"/>
  <c r="U35" i="58"/>
  <c r="W37" i="58"/>
  <c r="X37" i="58" s="1"/>
  <c r="U47" i="58"/>
  <c r="W49" i="58"/>
  <c r="X49" i="58" s="1"/>
  <c r="U59" i="58"/>
  <c r="W61" i="58"/>
  <c r="X61" i="58" s="1"/>
  <c r="U71" i="58"/>
  <c r="W73" i="58"/>
  <c r="X73" i="58" s="1"/>
  <c r="U34" i="58"/>
  <c r="W36" i="58"/>
  <c r="X36" i="58" s="1"/>
  <c r="U46" i="58"/>
  <c r="W48" i="58"/>
  <c r="X48" i="58" s="1"/>
  <c r="U58" i="58"/>
  <c r="W60" i="58"/>
  <c r="X60" i="58" s="1"/>
  <c r="U70" i="58"/>
  <c r="U33" i="58"/>
  <c r="W35" i="58"/>
  <c r="X35" i="58" s="1"/>
  <c r="U45" i="58"/>
  <c r="W47" i="58"/>
  <c r="X47" i="58" s="1"/>
  <c r="U57" i="58"/>
  <c r="W59" i="58"/>
  <c r="X59" i="58" s="1"/>
  <c r="U32" i="58"/>
  <c r="W34" i="58"/>
  <c r="X34" i="58" s="1"/>
  <c r="U44" i="58"/>
  <c r="W46" i="58"/>
  <c r="X46" i="58" s="1"/>
  <c r="U56" i="58"/>
  <c r="W58" i="58"/>
  <c r="X58" i="58" s="1"/>
  <c r="U68" i="58"/>
  <c r="W70" i="58"/>
  <c r="X70" i="58" s="1"/>
  <c r="U80" i="58"/>
  <c r="W82" i="58"/>
  <c r="X82" i="58" s="1"/>
  <c r="U31" i="58"/>
  <c r="W33" i="58"/>
  <c r="X33" i="58" s="1"/>
  <c r="U43" i="58"/>
  <c r="W45" i="58"/>
  <c r="X45" i="58" s="1"/>
  <c r="U55" i="58"/>
  <c r="W57" i="58"/>
  <c r="X57" i="58" s="1"/>
  <c r="U67" i="58"/>
  <c r="W69" i="58"/>
  <c r="X69" i="58" s="1"/>
  <c r="U79" i="58"/>
  <c r="W81" i="58"/>
  <c r="X81" i="58" s="1"/>
  <c r="U30" i="58"/>
  <c r="W32" i="58"/>
  <c r="X32" i="58" s="1"/>
  <c r="U42" i="58"/>
  <c r="W44" i="58"/>
  <c r="X44" i="58" s="1"/>
  <c r="U54" i="58"/>
  <c r="W56" i="58"/>
  <c r="X56" i="58" s="1"/>
  <c r="U66" i="58"/>
  <c r="W68" i="58"/>
  <c r="X68" i="58" s="1"/>
  <c r="U29" i="58"/>
  <c r="W31" i="58"/>
  <c r="X31" i="58" s="1"/>
  <c r="U41" i="58"/>
  <c r="W43" i="58"/>
  <c r="X43" i="58" s="1"/>
  <c r="U53" i="58"/>
  <c r="W55" i="58"/>
  <c r="X55" i="58" s="1"/>
  <c r="U28" i="58"/>
  <c r="W30" i="58"/>
  <c r="X30" i="58" s="1"/>
  <c r="U40" i="58"/>
  <c r="W42" i="58"/>
  <c r="X42" i="58" s="1"/>
  <c r="U52" i="58"/>
  <c r="W54" i="58"/>
  <c r="X54" i="58" s="1"/>
  <c r="U64" i="58"/>
  <c r="U84" i="58"/>
  <c r="W85" i="58"/>
  <c r="X85" i="58" s="1"/>
  <c r="U95" i="58"/>
  <c r="W97" i="58"/>
  <c r="X97" i="58" s="1"/>
  <c r="U107" i="58"/>
  <c r="W109" i="58"/>
  <c r="X109" i="58" s="1"/>
  <c r="U119" i="58"/>
  <c r="W121" i="58"/>
  <c r="X121" i="58" s="1"/>
  <c r="U94" i="58"/>
  <c r="W96" i="58"/>
  <c r="X96" i="58" s="1"/>
  <c r="U106" i="58"/>
  <c r="W108" i="58"/>
  <c r="X108" i="58" s="1"/>
  <c r="U118" i="58"/>
  <c r="W120" i="58"/>
  <c r="X120" i="58" s="1"/>
  <c r="U65" i="58"/>
  <c r="U82" i="58"/>
  <c r="W84" i="58"/>
  <c r="X84" i="58" s="1"/>
  <c r="U93" i="58"/>
  <c r="W95" i="58"/>
  <c r="X95" i="58" s="1"/>
  <c r="U92" i="58"/>
  <c r="W94" i="58"/>
  <c r="X94" i="58" s="1"/>
  <c r="U104" i="58"/>
  <c r="W106" i="58"/>
  <c r="X106" i="58" s="1"/>
  <c r="U116" i="58"/>
  <c r="W118" i="58"/>
  <c r="X118" i="58" s="1"/>
  <c r="U27" i="58"/>
  <c r="W41" i="58"/>
  <c r="X41" i="58" s="1"/>
  <c r="W65" i="58"/>
  <c r="X65" i="58" s="1"/>
  <c r="W66" i="58"/>
  <c r="X66" i="58" s="1"/>
  <c r="U75" i="58"/>
  <c r="U76" i="58"/>
  <c r="U77" i="58"/>
  <c r="W79" i="58"/>
  <c r="X79" i="58" s="1"/>
  <c r="U51" i="58"/>
  <c r="U69" i="58"/>
  <c r="U90" i="58"/>
  <c r="W92" i="58"/>
  <c r="X92" i="58" s="1"/>
  <c r="U102" i="58"/>
  <c r="W104" i="58"/>
  <c r="X104" i="58" s="1"/>
  <c r="U114" i="58"/>
  <c r="W116" i="58"/>
  <c r="X116" i="58" s="1"/>
  <c r="U63" i="58"/>
  <c r="W67" i="58"/>
  <c r="X67" i="58" s="1"/>
  <c r="W77" i="58"/>
  <c r="X77" i="58" s="1"/>
  <c r="U83" i="58"/>
  <c r="U89" i="58"/>
  <c r="W91" i="58"/>
  <c r="X91" i="58" s="1"/>
  <c r="U101" i="58"/>
  <c r="W103" i="58"/>
  <c r="X103" i="58" s="1"/>
  <c r="W71" i="58"/>
  <c r="X71" i="58" s="1"/>
  <c r="U88" i="58"/>
  <c r="W90" i="58"/>
  <c r="X90" i="58" s="1"/>
  <c r="U100" i="58"/>
  <c r="W102" i="58"/>
  <c r="X102" i="58" s="1"/>
  <c r="U112" i="58"/>
  <c r="W114" i="58"/>
  <c r="X114" i="58" s="1"/>
  <c r="W83" i="58"/>
  <c r="X83" i="58" s="1"/>
  <c r="U87" i="58"/>
  <c r="W89" i="58"/>
  <c r="X89" i="58" s="1"/>
  <c r="U99" i="58"/>
  <c r="W101" i="58"/>
  <c r="X101" i="58" s="1"/>
  <c r="U111" i="58"/>
  <c r="W113" i="58"/>
  <c r="X113" i="58" s="1"/>
  <c r="W29" i="58"/>
  <c r="X29" i="58" s="1"/>
  <c r="W72" i="58"/>
  <c r="X72" i="58" s="1"/>
  <c r="U78" i="58"/>
  <c r="W80" i="58"/>
  <c r="X80" i="58" s="1"/>
  <c r="U86" i="58"/>
  <c r="W88" i="58"/>
  <c r="X88" i="58" s="1"/>
  <c r="U98" i="58"/>
  <c r="W100" i="58"/>
  <c r="X100" i="58" s="1"/>
  <c r="W86" i="58"/>
  <c r="X86" i="58" s="1"/>
  <c r="W107" i="58"/>
  <c r="X107" i="58" s="1"/>
  <c r="W112" i="58"/>
  <c r="X112" i="58" s="1"/>
  <c r="U121" i="58"/>
  <c r="U129" i="58"/>
  <c r="W131" i="58"/>
  <c r="X131" i="58" s="1"/>
  <c r="U141" i="58"/>
  <c r="U39" i="58"/>
  <c r="U85" i="58"/>
  <c r="U97" i="58"/>
  <c r="U127" i="58"/>
  <c r="U122" i="58"/>
  <c r="U126" i="58"/>
  <c r="U96" i="58"/>
  <c r="U137" i="58"/>
  <c r="U136" i="58"/>
  <c r="U81" i="58"/>
  <c r="W98" i="58"/>
  <c r="X98" i="58" s="1"/>
  <c r="U109" i="58"/>
  <c r="U110" i="58"/>
  <c r="U113" i="58"/>
  <c r="U117" i="58"/>
  <c r="W123" i="58"/>
  <c r="X123" i="58" s="1"/>
  <c r="U128" i="58"/>
  <c r="W130" i="58"/>
  <c r="X130" i="58" s="1"/>
  <c r="U140" i="58"/>
  <c r="W129" i="58"/>
  <c r="X129" i="58" s="1"/>
  <c r="W110" i="58"/>
  <c r="X110" i="58" s="1"/>
  <c r="W128" i="58"/>
  <c r="X128" i="58" s="1"/>
  <c r="W140" i="58"/>
  <c r="X140" i="58" s="1"/>
  <c r="W138" i="58"/>
  <c r="X138" i="58" s="1"/>
  <c r="W127" i="58"/>
  <c r="X127" i="58" s="1"/>
  <c r="W53" i="58"/>
  <c r="X53" i="58" s="1"/>
  <c r="U115" i="58"/>
  <c r="W115" i="58"/>
  <c r="X115" i="58" s="1"/>
  <c r="U120" i="58"/>
  <c r="U135" i="58"/>
  <c r="W137" i="58"/>
  <c r="X137" i="58" s="1"/>
  <c r="U130" i="58"/>
  <c r="W132" i="58"/>
  <c r="X132" i="58" s="1"/>
  <c r="W99" i="58"/>
  <c r="X99" i="58" s="1"/>
  <c r="U91" i="58"/>
  <c r="W93" i="58"/>
  <c r="X93" i="58" s="1"/>
  <c r="W111" i="58"/>
  <c r="X111" i="58" s="1"/>
  <c r="W125" i="58"/>
  <c r="X125" i="58" s="1"/>
  <c r="U134" i="58"/>
  <c r="W136" i="58"/>
  <c r="X136" i="58" s="1"/>
  <c r="U105" i="58"/>
  <c r="W139" i="58"/>
  <c r="X139" i="58" s="1"/>
  <c r="W105" i="58"/>
  <c r="X105" i="58" s="1"/>
  <c r="W122" i="58"/>
  <c r="X122" i="58" s="1"/>
  <c r="W126" i="58"/>
  <c r="X126" i="58" s="1"/>
  <c r="W78" i="58"/>
  <c r="X78" i="58" s="1"/>
  <c r="U124" i="58"/>
  <c r="U133" i="58"/>
  <c r="W135" i="58"/>
  <c r="X135" i="58" s="1"/>
  <c r="W141" i="58"/>
  <c r="X141" i="58" s="1"/>
  <c r="W117" i="58"/>
  <c r="X117" i="58" s="1"/>
  <c r="U125" i="58"/>
  <c r="U132" i="58"/>
  <c r="W134" i="58"/>
  <c r="X134" i="58" s="1"/>
  <c r="W87" i="58"/>
  <c r="X87" i="58" s="1"/>
  <c r="U103" i="58"/>
  <c r="U108" i="58"/>
  <c r="W124" i="58"/>
  <c r="X124" i="58" s="1"/>
  <c r="U131" i="58"/>
  <c r="W133" i="58"/>
  <c r="X133" i="58" s="1"/>
  <c r="U123" i="58"/>
  <c r="U139" i="58"/>
  <c r="W119" i="58"/>
  <c r="X119" i="58" s="1"/>
  <c r="U138" i="58"/>
  <c r="W6" i="58"/>
  <c r="W6" i="23"/>
  <c r="W9" i="23"/>
  <c r="U6" i="23"/>
  <c r="U6" i="52"/>
  <c r="U5" i="52"/>
  <c r="W5" i="52"/>
  <c r="W11" i="52"/>
  <c r="U9" i="52"/>
  <c r="U7" i="47"/>
  <c r="W6" i="44"/>
  <c r="W8" i="44"/>
  <c r="W5" i="44"/>
  <c r="W7" i="44"/>
  <c r="U6" i="44"/>
  <c r="AN46" i="69"/>
  <c r="AN54" i="69"/>
  <c r="AN15" i="60"/>
  <c r="AN45" i="12"/>
  <c r="AN219" i="15"/>
  <c r="AN20" i="19"/>
  <c r="AN81" i="22"/>
  <c r="AN22" i="26"/>
  <c r="AN124" i="32"/>
  <c r="AN129" i="32"/>
  <c r="AN24" i="3"/>
  <c r="AN40" i="12"/>
  <c r="AN19" i="19"/>
  <c r="AN71" i="22"/>
  <c r="AN76" i="22"/>
  <c r="AN212" i="15"/>
  <c r="AN22" i="18"/>
  <c r="AN446" i="15"/>
  <c r="AN20" i="25"/>
  <c r="P39" i="67"/>
  <c r="U9" i="21"/>
  <c r="W7" i="21"/>
  <c r="W6" i="21"/>
  <c r="W6" i="19"/>
  <c r="W8" i="19"/>
  <c r="W5" i="19"/>
  <c r="U7" i="19"/>
  <c r="W5" i="18"/>
  <c r="W7" i="18"/>
  <c r="U6" i="18"/>
  <c r="W8" i="18"/>
  <c r="AN393" i="15"/>
  <c r="AN419" i="15"/>
  <c r="AN16" i="16"/>
  <c r="AN135" i="32"/>
  <c r="AN22" i="59"/>
  <c r="AN16" i="41"/>
  <c r="AN56" i="47"/>
  <c r="AN20" i="51"/>
  <c r="AN58" i="69"/>
  <c r="AN9" i="75"/>
  <c r="AN263" i="15"/>
  <c r="AN449" i="15"/>
  <c r="AN20" i="21"/>
  <c r="AN115" i="32"/>
  <c r="AN141" i="32"/>
  <c r="AN20" i="38"/>
  <c r="AN405" i="15"/>
  <c r="AN458" i="15"/>
  <c r="AN31" i="47"/>
  <c r="AN347" i="15"/>
  <c r="AN48" i="69"/>
  <c r="AN16" i="71"/>
  <c r="AN14" i="58"/>
  <c r="AN36" i="12"/>
  <c r="AN14" i="21"/>
  <c r="AN27" i="24"/>
  <c r="AN35" i="47"/>
  <c r="AN20" i="71"/>
  <c r="AN8" i="60"/>
  <c r="AN30" i="47"/>
  <c r="AN40" i="47"/>
  <c r="AN443" i="15"/>
  <c r="AN16" i="18"/>
  <c r="AN25" i="75"/>
  <c r="AN222" i="15"/>
  <c r="AN40" i="5"/>
  <c r="AN16" i="25"/>
  <c r="AN39" i="47"/>
  <c r="AN150" i="32"/>
  <c r="AN16" i="59"/>
  <c r="U5" i="15"/>
  <c r="W7" i="6"/>
  <c r="U9" i="6"/>
  <c r="W5" i="69"/>
  <c r="AL32" i="53"/>
  <c r="AJ32" i="53"/>
  <c r="AL37" i="39"/>
  <c r="AJ47" i="47"/>
  <c r="AL9" i="52"/>
  <c r="AJ9" i="52"/>
  <c r="AL18" i="71"/>
  <c r="AJ18" i="71"/>
  <c r="AL24" i="73"/>
  <c r="AJ24" i="73"/>
  <c r="AL12" i="56"/>
  <c r="AJ12" i="56"/>
  <c r="AJ14" i="75"/>
  <c r="AL14" i="75"/>
  <c r="AJ17" i="50"/>
  <c r="AL17" i="50"/>
  <c r="AL66" i="75"/>
  <c r="AJ66" i="75"/>
  <c r="AL63" i="75"/>
  <c r="AJ63" i="75"/>
  <c r="AL24" i="54"/>
  <c r="AJ20" i="50"/>
  <c r="AL20" i="50"/>
  <c r="AJ55" i="53"/>
  <c r="AL55" i="53"/>
  <c r="AL12" i="73"/>
  <c r="AJ12" i="52"/>
  <c r="AL12" i="52"/>
  <c r="AL46" i="53"/>
  <c r="AJ46" i="53"/>
  <c r="AJ21" i="52"/>
  <c r="AL21" i="52"/>
  <c r="AL50" i="39"/>
  <c r="AL15" i="47"/>
  <c r="AL44" i="47"/>
  <c r="AJ44" i="47"/>
  <c r="AL62" i="47"/>
  <c r="AJ62" i="47"/>
  <c r="AL57" i="75"/>
  <c r="AJ57" i="75"/>
  <c r="AL37" i="53"/>
  <c r="AJ37" i="53"/>
  <c r="AJ17" i="56"/>
  <c r="AL17" i="56"/>
  <c r="AL53" i="47"/>
  <c r="AJ53" i="47"/>
  <c r="AJ58" i="47"/>
  <c r="AJ23" i="50"/>
  <c r="AL23" i="50"/>
  <c r="AJ11" i="52"/>
  <c r="AL23" i="71"/>
  <c r="AN72" i="46"/>
  <c r="AN18" i="47"/>
  <c r="AJ54" i="75"/>
  <c r="AN10" i="71"/>
  <c r="AN23" i="73"/>
  <c r="AN17" i="55"/>
  <c r="AN10" i="56"/>
  <c r="AN14" i="59"/>
  <c r="AJ21" i="59"/>
  <c r="AJ23" i="39"/>
  <c r="AL47" i="39"/>
  <c r="AN20" i="45"/>
  <c r="AJ49" i="47"/>
  <c r="AN16" i="49"/>
  <c r="AN6" i="50"/>
  <c r="AN21" i="71"/>
  <c r="S30" i="67"/>
  <c r="AN8" i="75"/>
  <c r="AJ60" i="75"/>
  <c r="AN34" i="53"/>
  <c r="AJ52" i="53"/>
  <c r="AN15" i="71"/>
  <c r="AJ23" i="71"/>
  <c r="AN23" i="59"/>
  <c r="AN22" i="60"/>
  <c r="AN9" i="63"/>
  <c r="AN11" i="63"/>
  <c r="AJ24" i="63"/>
  <c r="AL11" i="47"/>
  <c r="AL17" i="47"/>
  <c r="AL29" i="47"/>
  <c r="AL67" i="47"/>
  <c r="AL7" i="75"/>
  <c r="AJ47" i="53"/>
  <c r="AN20" i="55"/>
  <c r="AJ10" i="56"/>
  <c r="AJ22" i="58"/>
  <c r="AJ18" i="60"/>
  <c r="AN7" i="62"/>
  <c r="AJ21" i="63"/>
  <c r="AJ47" i="39"/>
  <c r="AJ5" i="41"/>
  <c r="AN23" i="43"/>
  <c r="AJ35" i="47"/>
  <c r="AN58" i="47"/>
  <c r="AN13" i="75"/>
  <c r="AL16" i="49"/>
  <c r="AJ12" i="50"/>
  <c r="AL9" i="71"/>
  <c r="AL9" i="56"/>
  <c r="AJ23" i="56"/>
  <c r="AJ13" i="58"/>
  <c r="AJ18" i="63"/>
  <c r="AL18" i="73"/>
  <c r="AL36" i="39"/>
  <c r="AJ19" i="40"/>
  <c r="AN15" i="42"/>
  <c r="AN17" i="42"/>
  <c r="AN20" i="42"/>
  <c r="AN23" i="42"/>
  <c r="AL24" i="43"/>
  <c r="AN14" i="45"/>
  <c r="AL34" i="46"/>
  <c r="AN38" i="47"/>
  <c r="AN51" i="47"/>
  <c r="AN22" i="75"/>
  <c r="AN38" i="75"/>
  <c r="AN17" i="59"/>
  <c r="AJ12" i="60"/>
  <c r="AN16" i="60"/>
  <c r="AN22" i="61"/>
  <c r="AN6" i="62"/>
  <c r="AN16" i="64"/>
  <c r="AN17" i="64"/>
  <c r="AJ130" i="66"/>
  <c r="AL7" i="42"/>
  <c r="AL9" i="42"/>
  <c r="AN74" i="46"/>
  <c r="AJ17" i="47"/>
  <c r="AN19" i="75"/>
  <c r="AN20" i="75"/>
  <c r="AJ24" i="75"/>
  <c r="AN8" i="49"/>
  <c r="AJ9" i="49"/>
  <c r="AL10" i="52"/>
  <c r="AL21" i="73"/>
  <c r="AL10" i="60"/>
  <c r="AN20" i="61"/>
  <c r="AJ7" i="62"/>
  <c r="AL12" i="62"/>
  <c r="AN10" i="64"/>
  <c r="AN5" i="42"/>
  <c r="AJ12" i="42"/>
  <c r="AN64" i="47"/>
  <c r="AN18" i="75"/>
  <c r="AN35" i="75"/>
  <c r="AL10" i="51"/>
  <c r="AN31" i="53"/>
  <c r="AN49" i="53"/>
  <c r="AJ20" i="55"/>
  <c r="AN8" i="64"/>
  <c r="AL19" i="44"/>
  <c r="AN37" i="47"/>
  <c r="AN48" i="75"/>
  <c r="AL23" i="56"/>
  <c r="AJ21" i="60"/>
  <c r="AJ18" i="62"/>
  <c r="AJ21" i="62"/>
  <c r="AJ24" i="62"/>
  <c r="AL19" i="64"/>
  <c r="AL42" i="39"/>
  <c r="AJ18" i="42"/>
  <c r="AJ21" i="42"/>
  <c r="AJ24" i="42"/>
  <c r="AJ19" i="75"/>
  <c r="AJ21" i="75"/>
  <c r="AJ19" i="49"/>
  <c r="AL9" i="50"/>
  <c r="AN14" i="50"/>
  <c r="AJ21" i="73"/>
  <c r="AJ15" i="55"/>
  <c r="AJ7" i="56"/>
  <c r="AJ20" i="56"/>
  <c r="AJ17" i="59"/>
  <c r="AL9" i="61"/>
  <c r="AL16" i="64"/>
  <c r="AL22" i="64"/>
  <c r="AL22" i="40"/>
  <c r="S15" i="67"/>
  <c r="AN19" i="47"/>
  <c r="AL20" i="47"/>
  <c r="AL38" i="47"/>
  <c r="AN21" i="50"/>
  <c r="AL18" i="52"/>
  <c r="AN23" i="52"/>
  <c r="AN30" i="53"/>
  <c r="AN22" i="71"/>
  <c r="AJ12" i="73"/>
  <c r="AN24" i="73"/>
  <c r="AL20" i="54"/>
  <c r="AN6" i="56"/>
  <c r="AJ15" i="60"/>
  <c r="AJ9" i="61"/>
  <c r="AL182" i="15"/>
  <c r="AL21" i="3"/>
  <c r="AJ21" i="3"/>
  <c r="AL42" i="5"/>
  <c r="AJ42" i="5"/>
  <c r="AL36" i="5"/>
  <c r="AJ36" i="5"/>
  <c r="AL35" i="12"/>
  <c r="AJ35" i="12"/>
  <c r="AL188" i="15"/>
  <c r="AL40" i="5"/>
  <c r="AJ47" i="5"/>
  <c r="AJ48" i="5"/>
  <c r="AJ24" i="6"/>
  <c r="AL32" i="12"/>
  <c r="AJ43" i="12"/>
  <c r="AL201" i="15"/>
  <c r="AJ212" i="15"/>
  <c r="AL226" i="15"/>
  <c r="AL265" i="15"/>
  <c r="AJ265" i="15"/>
  <c r="AN29" i="12"/>
  <c r="AL190" i="15"/>
  <c r="AL464" i="15"/>
  <c r="AL485" i="15"/>
  <c r="AL500" i="15"/>
  <c r="AJ117" i="32"/>
  <c r="AL117" i="32"/>
  <c r="AJ221" i="15"/>
  <c r="AL221" i="15"/>
  <c r="AL30" i="12"/>
  <c r="AL9" i="33"/>
  <c r="AL8" i="38"/>
  <c r="AL181" i="15"/>
  <c r="AL45" i="5"/>
  <c r="AL51" i="5"/>
  <c r="AL23" i="14"/>
  <c r="AL194" i="15"/>
  <c r="AL220" i="15"/>
  <c r="AJ234" i="15"/>
  <c r="AL445" i="15"/>
  <c r="AL14" i="72"/>
  <c r="AJ14" i="72"/>
  <c r="AL23" i="72"/>
  <c r="AJ23" i="72"/>
  <c r="AL26" i="23"/>
  <c r="AJ26" i="23"/>
  <c r="AL24" i="27"/>
  <c r="AJ24" i="27"/>
  <c r="AJ116" i="32"/>
  <c r="AL116" i="32"/>
  <c r="AL27" i="23"/>
  <c r="AJ27" i="23"/>
  <c r="AJ30" i="12"/>
  <c r="AJ14" i="25"/>
  <c r="AL14" i="25"/>
  <c r="AL16" i="3"/>
  <c r="AJ35" i="5"/>
  <c r="AL199" i="15"/>
  <c r="AL214" i="15"/>
  <c r="AJ252" i="15"/>
  <c r="AL252" i="15"/>
  <c r="AJ277" i="15"/>
  <c r="AL488" i="15"/>
  <c r="AL509" i="15"/>
  <c r="AL68" i="20"/>
  <c r="AL18" i="35"/>
  <c r="AJ15" i="3"/>
  <c r="AL20" i="6"/>
  <c r="AL177" i="15"/>
  <c r="AL23" i="27"/>
  <c r="AJ23" i="27"/>
  <c r="AL39" i="5"/>
  <c r="AJ34" i="12"/>
  <c r="AL208" i="15"/>
  <c r="AL223" i="15"/>
  <c r="AJ223" i="15"/>
  <c r="AJ237" i="15"/>
  <c r="AL276" i="15"/>
  <c r="AL73" i="20"/>
  <c r="AL7" i="37"/>
  <c r="AJ16" i="3"/>
  <c r="AJ20" i="3"/>
  <c r="AJ41" i="5"/>
  <c r="AL175" i="15"/>
  <c r="AL289" i="15"/>
  <c r="AJ289" i="15"/>
  <c r="AJ487" i="15"/>
  <c r="AL508" i="15"/>
  <c r="AL97" i="32"/>
  <c r="AJ97" i="32"/>
  <c r="AJ5" i="34"/>
  <c r="AL5" i="34"/>
  <c r="AJ39" i="12"/>
  <c r="AJ44" i="12"/>
  <c r="AL184" i="15"/>
  <c r="AJ246" i="15"/>
  <c r="AL476" i="15"/>
  <c r="AL497" i="15"/>
  <c r="AL512" i="15"/>
  <c r="AL79" i="22"/>
  <c r="AJ79" i="22"/>
  <c r="AL465" i="15"/>
  <c r="AL501" i="15"/>
  <c r="AL15" i="19"/>
  <c r="AL21" i="19"/>
  <c r="AL79" i="20"/>
  <c r="AJ7" i="72"/>
  <c r="AJ18" i="72"/>
  <c r="AN15" i="35"/>
  <c r="AN13" i="36"/>
  <c r="AJ227" i="15"/>
  <c r="AJ282" i="15"/>
  <c r="AJ331" i="15"/>
  <c r="AN360" i="15"/>
  <c r="AJ367" i="15"/>
  <c r="AN386" i="15"/>
  <c r="AN396" i="15"/>
  <c r="AJ403" i="15"/>
  <c r="AJ439" i="15"/>
  <c r="AJ54" i="69"/>
  <c r="AN10" i="72"/>
  <c r="AL21" i="25"/>
  <c r="AN24" i="26"/>
  <c r="AN43" i="28"/>
  <c r="AN117" i="32"/>
  <c r="AL123" i="32"/>
  <c r="AN156" i="32"/>
  <c r="AN11" i="33"/>
  <c r="AN21" i="34"/>
  <c r="AN8" i="36"/>
  <c r="AL225" i="15"/>
  <c r="AL231" i="15"/>
  <c r="AJ283" i="15"/>
  <c r="AJ288" i="15"/>
  <c r="AL455" i="15"/>
  <c r="AJ10" i="19"/>
  <c r="AL77" i="20"/>
  <c r="AN21" i="21"/>
  <c r="AJ22" i="72"/>
  <c r="AL7" i="36"/>
  <c r="AL243" i="15"/>
  <c r="AJ295" i="15"/>
  <c r="AJ301" i="15"/>
  <c r="AJ307" i="15"/>
  <c r="AJ313" i="15"/>
  <c r="AJ319" i="15"/>
  <c r="AN323" i="15"/>
  <c r="AJ325" i="15"/>
  <c r="AN354" i="15"/>
  <c r="AJ361" i="15"/>
  <c r="AN380" i="15"/>
  <c r="AN390" i="15"/>
  <c r="AJ397" i="15"/>
  <c r="AN416" i="15"/>
  <c r="AJ433" i="15"/>
  <c r="AJ44" i="69"/>
  <c r="AJ118" i="32"/>
  <c r="AL141" i="32"/>
  <c r="AN162" i="32"/>
  <c r="AL16" i="33"/>
  <c r="AL20" i="35"/>
  <c r="AJ8" i="36"/>
  <c r="AL10" i="36"/>
  <c r="AL216" i="15"/>
  <c r="AN221" i="15"/>
  <c r="AL230" i="15"/>
  <c r="AN359" i="15"/>
  <c r="AN395" i="15"/>
  <c r="AL427" i="15"/>
  <c r="AN431" i="15"/>
  <c r="AL443" i="15"/>
  <c r="AL449" i="15"/>
  <c r="AN8" i="74"/>
  <c r="AL23" i="74"/>
  <c r="AL63" i="20"/>
  <c r="AL75" i="20"/>
  <c r="AL15" i="21"/>
  <c r="AJ22" i="21"/>
  <c r="AJ71" i="22"/>
  <c r="AJ59" i="69"/>
  <c r="AL60" i="69"/>
  <c r="AL15" i="25"/>
  <c r="AN17" i="26"/>
  <c r="AJ22" i="27"/>
  <c r="AL95" i="32"/>
  <c r="AL14" i="34"/>
  <c r="AL14" i="35"/>
  <c r="AL222" i="15"/>
  <c r="AN234" i="15"/>
  <c r="AL282" i="15"/>
  <c r="AJ355" i="15"/>
  <c r="AJ391" i="15"/>
  <c r="AJ427" i="15"/>
  <c r="AN13" i="16"/>
  <c r="AJ38" i="69"/>
  <c r="AJ43" i="69"/>
  <c r="AL54" i="69"/>
  <c r="AN64" i="69"/>
  <c r="AJ23" i="24"/>
  <c r="AL23" i="26"/>
  <c r="AL9" i="30"/>
  <c r="AN51" i="31"/>
  <c r="AJ115" i="32"/>
  <c r="AL133" i="32"/>
  <c r="AL147" i="32"/>
  <c r="AL24" i="35"/>
  <c r="AL14" i="36"/>
  <c r="AL206" i="15"/>
  <c r="AN258" i="15"/>
  <c r="AN291" i="15"/>
  <c r="AN297" i="15"/>
  <c r="AN303" i="15"/>
  <c r="AL305" i="15"/>
  <c r="AN309" i="15"/>
  <c r="AN315" i="15"/>
  <c r="AL317" i="15"/>
  <c r="AN321" i="15"/>
  <c r="AN327" i="15"/>
  <c r="AN363" i="15"/>
  <c r="AL421" i="15"/>
  <c r="AJ481" i="15"/>
  <c r="AJ493" i="15"/>
  <c r="AJ505" i="15"/>
  <c r="AL19" i="16"/>
  <c r="AL8" i="74"/>
  <c r="AN23" i="18"/>
  <c r="AN24" i="19"/>
  <c r="AL61" i="20"/>
  <c r="AL14" i="21"/>
  <c r="AJ20" i="21"/>
  <c r="AN89" i="22"/>
  <c r="AJ43" i="31"/>
  <c r="AJ15" i="36"/>
  <c r="AN440" i="15"/>
  <c r="AN23" i="16"/>
  <c r="AN14" i="74"/>
  <c r="AJ60" i="20"/>
  <c r="AJ72" i="20"/>
  <c r="AL13" i="21"/>
  <c r="AJ64" i="69"/>
  <c r="AL65" i="69"/>
  <c r="AJ28" i="24"/>
  <c r="AJ15" i="25"/>
  <c r="AJ14" i="34"/>
  <c r="AJ253" i="15"/>
  <c r="AJ258" i="15"/>
  <c r="AJ259" i="15"/>
  <c r="AJ264" i="15"/>
  <c r="AN40" i="69"/>
  <c r="AJ19" i="25"/>
  <c r="AJ22" i="26"/>
  <c r="AL22" i="27"/>
  <c r="AL46" i="28"/>
  <c r="AJ121" i="32"/>
  <c r="AL161" i="32"/>
  <c r="AL167" i="32"/>
  <c r="AL13" i="35"/>
  <c r="AL213" i="15"/>
  <c r="AJ219" i="15"/>
  <c r="AN227" i="15"/>
  <c r="AJ228" i="15"/>
  <c r="AN276" i="15"/>
  <c r="AJ343" i="15"/>
  <c r="AJ379" i="15"/>
  <c r="AJ415" i="15"/>
  <c r="AL478" i="15"/>
  <c r="AL490" i="15"/>
  <c r="AL502" i="15"/>
  <c r="AL514" i="15"/>
  <c r="AL12" i="16"/>
  <c r="AL16" i="74"/>
  <c r="AL74" i="22"/>
  <c r="AJ126" i="32"/>
  <c r="AL132" i="32"/>
  <c r="AL146" i="32"/>
  <c r="AN158" i="32"/>
  <c r="AJ270" i="15"/>
  <c r="AL69" i="20"/>
  <c r="AJ73" i="22"/>
  <c r="AN26" i="24"/>
  <c r="AJ18" i="25"/>
  <c r="AL144" i="32"/>
  <c r="AJ152" i="32"/>
  <c r="AL159" i="32"/>
  <c r="AL166" i="32"/>
  <c r="AJ18" i="34"/>
  <c r="AL11" i="35"/>
  <c r="AJ203" i="15"/>
  <c r="AL211" i="15"/>
  <c r="AL232" i="15"/>
  <c r="AL238" i="15"/>
  <c r="AL250" i="15"/>
  <c r="AJ271" i="15"/>
  <c r="AJ276" i="15"/>
  <c r="AL277" i="15"/>
  <c r="AJ337" i="15"/>
  <c r="AJ373" i="15"/>
  <c r="AJ409" i="15"/>
  <c r="AL451" i="15"/>
  <c r="AJ457" i="15"/>
  <c r="AL18" i="74"/>
  <c r="AL16" i="19"/>
  <c r="AL22" i="19"/>
  <c r="AL80" i="20"/>
  <c r="AJ78" i="22"/>
  <c r="AJ84" i="22"/>
  <c r="AL14" i="27"/>
  <c r="AJ46" i="28"/>
  <c r="AN53" i="31"/>
  <c r="AJ153" i="32"/>
  <c r="AL11" i="34"/>
  <c r="AN21" i="35"/>
  <c r="AH9" i="59"/>
  <c r="AI9" i="59" s="1"/>
  <c r="W6" i="59"/>
  <c r="W10" i="59"/>
  <c r="U5" i="58"/>
  <c r="AD10" i="58"/>
  <c r="U7" i="58"/>
  <c r="AE10" i="58"/>
  <c r="AE45" i="57"/>
  <c r="AD10" i="57"/>
  <c r="AD36" i="57"/>
  <c r="AD46" i="57"/>
  <c r="U9" i="56"/>
  <c r="U10" i="56"/>
  <c r="W9" i="56"/>
  <c r="U8" i="56"/>
  <c r="U7" i="56"/>
  <c r="AJ9" i="55"/>
  <c r="AD11" i="55"/>
  <c r="U13" i="55"/>
  <c r="U5" i="55"/>
  <c r="AH11" i="55"/>
  <c r="AI11" i="55" s="1"/>
  <c r="W20" i="55"/>
  <c r="AE13" i="55"/>
  <c r="AJ13" i="55"/>
  <c r="AD7" i="54"/>
  <c r="AE9" i="54"/>
  <c r="AH9" i="54"/>
  <c r="AI9" i="54" s="1"/>
  <c r="AJ9" i="54" s="1"/>
  <c r="AH11" i="54"/>
  <c r="AI11" i="54" s="1"/>
  <c r="A14" i="73"/>
  <c r="K27" i="67" s="1"/>
  <c r="W8" i="73"/>
  <c r="W10" i="73"/>
  <c r="W11" i="73"/>
  <c r="W13" i="73"/>
  <c r="W14" i="73"/>
  <c r="W15" i="73"/>
  <c r="W7" i="73"/>
  <c r="AD7" i="73"/>
  <c r="AN7" i="73" s="1"/>
  <c r="U21" i="73"/>
  <c r="W6" i="73"/>
  <c r="U20" i="73"/>
  <c r="W18" i="73"/>
  <c r="U16" i="73"/>
  <c r="W17" i="73"/>
  <c r="W19" i="73"/>
  <c r="U8" i="73"/>
  <c r="W9" i="73"/>
  <c r="U10" i="73"/>
  <c r="U11" i="73"/>
  <c r="U12" i="73"/>
  <c r="U14" i="73"/>
  <c r="U15" i="73"/>
  <c r="AD7" i="71"/>
  <c r="A14" i="71"/>
  <c r="K26" i="67" s="1"/>
  <c r="W7" i="71"/>
  <c r="U6" i="53"/>
  <c r="AH12" i="53"/>
  <c r="AI12" i="53" s="1"/>
  <c r="AJ14" i="53"/>
  <c r="W31" i="53"/>
  <c r="W37" i="53"/>
  <c r="W10" i="53"/>
  <c r="AD15" i="53"/>
  <c r="AD10" i="53"/>
  <c r="AH15" i="53"/>
  <c r="AI15" i="53" s="1"/>
  <c r="K25" i="2"/>
  <c r="H24" i="67"/>
  <c r="U22" i="52"/>
  <c r="U14" i="52"/>
  <c r="W15" i="52"/>
  <c r="W6" i="52"/>
  <c r="AD6" i="52"/>
  <c r="W8" i="52"/>
  <c r="AH13" i="51"/>
  <c r="AI13" i="51" s="1"/>
  <c r="AE10" i="51"/>
  <c r="U5" i="50"/>
  <c r="U16" i="50"/>
  <c r="U17" i="50"/>
  <c r="U20" i="50"/>
  <c r="U19" i="50"/>
  <c r="W5" i="50"/>
  <c r="U14" i="50"/>
  <c r="W15" i="50"/>
  <c r="W16" i="50"/>
  <c r="W17" i="50"/>
  <c r="U18" i="50"/>
  <c r="W13" i="50"/>
  <c r="AD5" i="50"/>
  <c r="T19" i="67" s="1"/>
  <c r="M19" i="2" s="1"/>
  <c r="W12" i="50"/>
  <c r="W14" i="50"/>
  <c r="W11" i="50"/>
  <c r="W10" i="50"/>
  <c r="W8" i="50"/>
  <c r="AH7" i="49"/>
  <c r="AI7" i="49" s="1"/>
  <c r="W15" i="49"/>
  <c r="AH8" i="49"/>
  <c r="AI8" i="49" s="1"/>
  <c r="AD7" i="49"/>
  <c r="U13" i="47"/>
  <c r="U32" i="47"/>
  <c r="W33" i="47"/>
  <c r="W63" i="47"/>
  <c r="U38" i="47"/>
  <c r="U59" i="47"/>
  <c r="W60" i="47"/>
  <c r="W18" i="47"/>
  <c r="U23" i="47"/>
  <c r="W24" i="47"/>
  <c r="U50" i="47"/>
  <c r="W51" i="47"/>
  <c r="X51" i="47" s="1"/>
  <c r="U47" i="47"/>
  <c r="AL64" i="46"/>
  <c r="U6" i="46"/>
  <c r="AE47" i="46"/>
  <c r="AE56" i="46"/>
  <c r="AD63" i="46"/>
  <c r="AE18" i="46"/>
  <c r="AL22" i="46"/>
  <c r="AE24" i="46"/>
  <c r="AE63" i="46"/>
  <c r="AH71" i="46"/>
  <c r="AI71" i="46" s="1"/>
  <c r="AH56" i="46"/>
  <c r="AI56" i="46" s="1"/>
  <c r="AD6" i="46"/>
  <c r="AD55" i="46"/>
  <c r="AE60" i="46"/>
  <c r="AD15" i="46"/>
  <c r="AD45" i="46"/>
  <c r="AH60" i="46"/>
  <c r="AI60" i="46" s="1"/>
  <c r="AD65" i="46"/>
  <c r="AD10" i="46"/>
  <c r="AN10" i="46" s="1"/>
  <c r="AE45" i="46"/>
  <c r="AH46" i="46"/>
  <c r="AI46" i="46" s="1"/>
  <c r="AE65" i="46"/>
  <c r="AE10" i="46"/>
  <c r="AH15" i="46"/>
  <c r="AI15" i="46" s="1"/>
  <c r="AD50" i="46"/>
  <c r="AD59" i="46"/>
  <c r="AD64" i="46"/>
  <c r="AD67" i="46"/>
  <c r="AD54" i="46"/>
  <c r="AE59" i="46"/>
  <c r="AE64" i="46"/>
  <c r="AD69" i="46"/>
  <c r="AH50" i="46"/>
  <c r="AI50" i="46" s="1"/>
  <c r="AH69" i="46"/>
  <c r="AI69" i="46" s="1"/>
  <c r="AD71" i="46"/>
  <c r="AN71" i="46" s="1"/>
  <c r="AD7" i="46"/>
  <c r="AD8" i="44"/>
  <c r="AH6" i="40"/>
  <c r="AI6" i="40" s="1"/>
  <c r="AD7" i="39"/>
  <c r="AE13" i="39"/>
  <c r="AD15" i="39"/>
  <c r="AH15" i="39"/>
  <c r="AI15" i="39" s="1"/>
  <c r="AL15" i="39" s="1"/>
  <c r="AH11" i="66"/>
  <c r="AI11" i="66" s="1"/>
  <c r="AE97" i="66"/>
  <c r="U6" i="37"/>
  <c r="AE9" i="35"/>
  <c r="AN9" i="35" s="1"/>
  <c r="AH9" i="35"/>
  <c r="AI9" i="35" s="1"/>
  <c r="AL9" i="35" s="1"/>
  <c r="W17" i="34"/>
  <c r="U5" i="34"/>
  <c r="U6" i="34"/>
  <c r="W7" i="34"/>
  <c r="W14" i="34"/>
  <c r="W15" i="34"/>
  <c r="W13" i="34"/>
  <c r="W22" i="34"/>
  <c r="W9" i="34"/>
  <c r="U10" i="34"/>
  <c r="W12" i="34"/>
  <c r="W21" i="34"/>
  <c r="W8" i="34"/>
  <c r="W7" i="33"/>
  <c r="U6" i="33"/>
  <c r="A14" i="33"/>
  <c r="K44" i="68" s="1"/>
  <c r="AD5" i="33"/>
  <c r="U9" i="33"/>
  <c r="AD18" i="32"/>
  <c r="AD93" i="32"/>
  <c r="AE9" i="32"/>
  <c r="AH40" i="32"/>
  <c r="AI40" i="32" s="1"/>
  <c r="AL40" i="32" s="1"/>
  <c r="AH89" i="32"/>
  <c r="AI89" i="32" s="1"/>
  <c r="AL89" i="32" s="1"/>
  <c r="AH91" i="32"/>
  <c r="AI91" i="32" s="1"/>
  <c r="AH96" i="32"/>
  <c r="AI96" i="32" s="1"/>
  <c r="AJ96" i="32" s="1"/>
  <c r="AH34" i="32"/>
  <c r="AI34" i="32" s="1"/>
  <c r="AL34" i="32" s="1"/>
  <c r="W48" i="32"/>
  <c r="AH93" i="32"/>
  <c r="AI93" i="32" s="1"/>
  <c r="AH20" i="32"/>
  <c r="AI20" i="32" s="1"/>
  <c r="AL20" i="32" s="1"/>
  <c r="W27" i="32"/>
  <c r="AD33" i="32"/>
  <c r="A14" i="32"/>
  <c r="K43" i="68" s="1"/>
  <c r="AH8" i="32"/>
  <c r="AI8" i="32" s="1"/>
  <c r="AJ8" i="32" s="1"/>
  <c r="AE19" i="32"/>
  <c r="AN19" i="32" s="1"/>
  <c r="AD23" i="32"/>
  <c r="AE41" i="32"/>
  <c r="AH90" i="32"/>
  <c r="AI90" i="32" s="1"/>
  <c r="AH92" i="32"/>
  <c r="AI92" i="32" s="1"/>
  <c r="AL92" i="32" s="1"/>
  <c r="AE94" i="32"/>
  <c r="U18" i="32"/>
  <c r="AH19" i="32"/>
  <c r="AI19" i="32" s="1"/>
  <c r="AL19" i="32" s="1"/>
  <c r="AH23" i="32"/>
  <c r="AI23" i="32" s="1"/>
  <c r="AH41" i="32"/>
  <c r="AI41" i="32" s="1"/>
  <c r="AD96" i="32"/>
  <c r="AH5" i="32"/>
  <c r="AI5" i="32" s="1"/>
  <c r="AJ5" i="32" s="1"/>
  <c r="AE87" i="32"/>
  <c r="AN87" i="32" s="1"/>
  <c r="U5" i="31"/>
  <c r="AH29" i="31"/>
  <c r="AI29" i="31" s="1"/>
  <c r="AE20" i="31"/>
  <c r="AD35" i="31"/>
  <c r="AJ31" i="31"/>
  <c r="U6" i="31"/>
  <c r="W6" i="31"/>
  <c r="AH15" i="31"/>
  <c r="AI15" i="31" s="1"/>
  <c r="W10" i="31"/>
  <c r="AH30" i="31"/>
  <c r="AI30" i="31" s="1"/>
  <c r="AL30" i="31" s="1"/>
  <c r="AD32" i="31"/>
  <c r="AD14" i="30"/>
  <c r="AE11" i="30"/>
  <c r="AJ6" i="30"/>
  <c r="AD10" i="30"/>
  <c r="AH13" i="30"/>
  <c r="AI13" i="30" s="1"/>
  <c r="AL13" i="30" s="1"/>
  <c r="W8" i="28"/>
  <c r="AD5" i="28"/>
  <c r="AD19" i="28"/>
  <c r="U23" i="28"/>
  <c r="AL8" i="28"/>
  <c r="AD12" i="28"/>
  <c r="U35" i="28"/>
  <c r="AH21" i="28"/>
  <c r="AI21" i="28" s="1"/>
  <c r="W11" i="28"/>
  <c r="AE37" i="28"/>
  <c r="AH38" i="28"/>
  <c r="AI38" i="28" s="1"/>
  <c r="U6" i="28"/>
  <c r="AJ9" i="28"/>
  <c r="AD16" i="28"/>
  <c r="AE40" i="28"/>
  <c r="AH14" i="28"/>
  <c r="AI14" i="28" s="1"/>
  <c r="AH40" i="28"/>
  <c r="AI40" i="28" s="1"/>
  <c r="AL19" i="27"/>
  <c r="AH17" i="27"/>
  <c r="AI17" i="27" s="1"/>
  <c r="AL17" i="27" s="1"/>
  <c r="AH12" i="27"/>
  <c r="AI12" i="27" s="1"/>
  <c r="AL12" i="27" s="1"/>
  <c r="AE14" i="27"/>
  <c r="AD19" i="27"/>
  <c r="W8" i="27"/>
  <c r="U10" i="27"/>
  <c r="AE19" i="27"/>
  <c r="AN18" i="27"/>
  <c r="U7" i="27"/>
  <c r="AE13" i="27"/>
  <c r="AL15" i="27"/>
  <c r="AJ18" i="27"/>
  <c r="AE9" i="26"/>
  <c r="AD8" i="26"/>
  <c r="W5" i="26"/>
  <c r="AD5" i="26"/>
  <c r="AN5" i="26" s="1"/>
  <c r="AH8" i="25"/>
  <c r="AI8" i="25" s="1"/>
  <c r="AD10" i="25"/>
  <c r="AE10" i="25"/>
  <c r="AE12" i="25"/>
  <c r="H34" i="68"/>
  <c r="C34" i="2" s="1"/>
  <c r="W5" i="24"/>
  <c r="AD15" i="24"/>
  <c r="U7" i="24"/>
  <c r="U12" i="24"/>
  <c r="W7" i="24"/>
  <c r="U6" i="24"/>
  <c r="AE12" i="24"/>
  <c r="W6" i="24"/>
  <c r="AH9" i="24"/>
  <c r="AI9" i="24" s="1"/>
  <c r="AL9" i="24" s="1"/>
  <c r="AH12" i="24"/>
  <c r="AI12" i="24" s="1"/>
  <c r="W8" i="24"/>
  <c r="X8" i="24" s="1"/>
  <c r="AD10" i="23"/>
  <c r="AH14" i="23"/>
  <c r="AI14" i="23" s="1"/>
  <c r="AE9" i="23"/>
  <c r="AD6" i="23"/>
  <c r="AH11" i="23"/>
  <c r="AI11" i="23" s="1"/>
  <c r="AJ11" i="23" s="1"/>
  <c r="AD15" i="23"/>
  <c r="AH6" i="23"/>
  <c r="AI6" i="23" s="1"/>
  <c r="AE17" i="23"/>
  <c r="AH5" i="72"/>
  <c r="AI5" i="72" s="1"/>
  <c r="W14" i="72"/>
  <c r="H30" i="68"/>
  <c r="C30" i="2" s="1"/>
  <c r="U6" i="72"/>
  <c r="A14" i="70"/>
  <c r="K28" i="68" s="1"/>
  <c r="AH10" i="70"/>
  <c r="AI10" i="70" s="1"/>
  <c r="AL20" i="70"/>
  <c r="AE9" i="70"/>
  <c r="AH12" i="70"/>
  <c r="AI12" i="70" s="1"/>
  <c r="AJ12" i="70" s="1"/>
  <c r="AD22" i="70"/>
  <c r="AD18" i="70"/>
  <c r="AD6" i="70"/>
  <c r="AD15" i="70"/>
  <c r="AE15" i="70"/>
  <c r="AH21" i="70"/>
  <c r="AI21" i="70" s="1"/>
  <c r="AJ8" i="70"/>
  <c r="AD23" i="70"/>
  <c r="U6" i="69"/>
  <c r="AH26" i="69"/>
  <c r="AI26" i="69" s="1"/>
  <c r="AL26" i="69" s="1"/>
  <c r="AH9" i="69"/>
  <c r="AI9" i="69" s="1"/>
  <c r="AL17" i="69"/>
  <c r="U52" i="69"/>
  <c r="AE10" i="69"/>
  <c r="AH12" i="69"/>
  <c r="AI12" i="69" s="1"/>
  <c r="AE9" i="69"/>
  <c r="AH33" i="22"/>
  <c r="AI33" i="22" s="1"/>
  <c r="AJ33" i="22" s="1"/>
  <c r="AD35" i="22"/>
  <c r="AD54" i="22"/>
  <c r="AH66" i="22"/>
  <c r="AI66" i="22" s="1"/>
  <c r="AH52" i="22"/>
  <c r="AI52" i="22" s="1"/>
  <c r="AE54" i="22"/>
  <c r="AH55" i="22"/>
  <c r="AI55" i="22" s="1"/>
  <c r="AL55" i="22" s="1"/>
  <c r="AJ7" i="22"/>
  <c r="AD15" i="22"/>
  <c r="AD61" i="22"/>
  <c r="AH62" i="22"/>
  <c r="AI62" i="22" s="1"/>
  <c r="AE65" i="22"/>
  <c r="AH43" i="22"/>
  <c r="AI43" i="22" s="1"/>
  <c r="AL43" i="22" s="1"/>
  <c r="AH45" i="22"/>
  <c r="AI45" i="22" s="1"/>
  <c r="AE61" i="22"/>
  <c r="AH15" i="22"/>
  <c r="AI15" i="22" s="1"/>
  <c r="AJ15" i="22" s="1"/>
  <c r="AH19" i="22"/>
  <c r="AI19" i="22" s="1"/>
  <c r="AH30" i="22"/>
  <c r="AI30" i="22" s="1"/>
  <c r="AD32" i="22"/>
  <c r="U60" i="22"/>
  <c r="AH65" i="22"/>
  <c r="AI65" i="22" s="1"/>
  <c r="AL65" i="22" s="1"/>
  <c r="AD23" i="22"/>
  <c r="AJ32" i="22"/>
  <c r="AH42" i="22"/>
  <c r="AI42" i="22" s="1"/>
  <c r="AJ10" i="22"/>
  <c r="AJ12" i="22"/>
  <c r="AD20" i="22"/>
  <c r="AH46" i="22"/>
  <c r="AI46" i="22" s="1"/>
  <c r="AD55" i="22"/>
  <c r="AD62" i="22"/>
  <c r="AD22" i="22"/>
  <c r="AH48" i="22"/>
  <c r="AI48" i="22" s="1"/>
  <c r="AH7" i="21"/>
  <c r="AI7" i="21" s="1"/>
  <c r="W17" i="21"/>
  <c r="AH11" i="20"/>
  <c r="AI11" i="20" s="1"/>
  <c r="AE17" i="20"/>
  <c r="AJ8" i="20"/>
  <c r="W10" i="20"/>
  <c r="AD14" i="20"/>
  <c r="AH6" i="19"/>
  <c r="AI6" i="19" s="1"/>
  <c r="AH11" i="19"/>
  <c r="AI11" i="19" s="1"/>
  <c r="A14" i="19"/>
  <c r="K20" i="68" s="1"/>
  <c r="AD7" i="19"/>
  <c r="U24" i="18"/>
  <c r="AH11" i="18"/>
  <c r="AI11" i="18" s="1"/>
  <c r="AH8" i="18"/>
  <c r="AI8" i="18" s="1"/>
  <c r="AD12" i="18"/>
  <c r="AE12" i="18"/>
  <c r="U21" i="18"/>
  <c r="AH7" i="18"/>
  <c r="AI7" i="18" s="1"/>
  <c r="U9" i="18"/>
  <c r="AL124" i="15"/>
  <c r="AD13" i="15"/>
  <c r="AD25" i="15"/>
  <c r="AH28" i="15"/>
  <c r="AI28" i="15" s="1"/>
  <c r="AL28" i="15" s="1"/>
  <c r="AH40" i="15"/>
  <c r="AI40" i="15" s="1"/>
  <c r="AE67" i="15"/>
  <c r="AD69" i="15"/>
  <c r="AD78" i="15"/>
  <c r="AD122" i="15"/>
  <c r="AH123" i="15"/>
  <c r="AI123" i="15" s="1"/>
  <c r="AL123" i="15" s="1"/>
  <c r="AH127" i="15"/>
  <c r="AI127" i="15" s="1"/>
  <c r="AD135" i="15"/>
  <c r="AD138" i="15"/>
  <c r="AD140" i="15"/>
  <c r="AH141" i="15"/>
  <c r="AI141" i="15" s="1"/>
  <c r="AL141" i="15" s="1"/>
  <c r="AH145" i="15"/>
  <c r="AI145" i="15" s="1"/>
  <c r="AL145" i="15" s="1"/>
  <c r="AD147" i="15"/>
  <c r="AH159" i="15"/>
  <c r="AI159" i="15" s="1"/>
  <c r="AL159" i="15" s="1"/>
  <c r="AD167" i="15"/>
  <c r="AE122" i="15"/>
  <c r="AE135" i="15"/>
  <c r="AE140" i="15"/>
  <c r="W52" i="15"/>
  <c r="AE134" i="15"/>
  <c r="AL135" i="15"/>
  <c r="AE170" i="15"/>
  <c r="AL153" i="15"/>
  <c r="AH162" i="15"/>
  <c r="AI162" i="15" s="1"/>
  <c r="AL162" i="15" s="1"/>
  <c r="W31" i="15"/>
  <c r="AD75" i="15"/>
  <c r="AE91" i="15"/>
  <c r="AH126" i="15"/>
  <c r="AI126" i="15" s="1"/>
  <c r="AH144" i="15"/>
  <c r="AI144" i="15" s="1"/>
  <c r="AL144" i="15" s="1"/>
  <c r="AD161" i="15"/>
  <c r="AD166" i="15"/>
  <c r="AD169" i="15"/>
  <c r="AH170" i="15"/>
  <c r="AI170" i="15" s="1"/>
  <c r="AL170" i="15" s="1"/>
  <c r="AD173" i="15"/>
  <c r="W5" i="15"/>
  <c r="AH10" i="15"/>
  <c r="AI10" i="15" s="1"/>
  <c r="AE47" i="15"/>
  <c r="AL91" i="15"/>
  <c r="AD93" i="15"/>
  <c r="W117" i="15"/>
  <c r="AE130" i="15"/>
  <c r="AD133" i="15"/>
  <c r="AH134" i="15"/>
  <c r="AI134" i="15" s="1"/>
  <c r="AE166" i="15"/>
  <c r="W16" i="15"/>
  <c r="AE142" i="15"/>
  <c r="W40" i="15"/>
  <c r="AL160" i="15"/>
  <c r="AL172" i="15"/>
  <c r="AD28" i="15"/>
  <c r="AN28" i="15" s="1"/>
  <c r="AD123" i="15"/>
  <c r="AD141" i="15"/>
  <c r="AD159" i="15"/>
  <c r="AN159" i="15" s="1"/>
  <c r="AE40" i="15"/>
  <c r="AE88" i="15"/>
  <c r="AD90" i="15"/>
  <c r="AE159" i="15"/>
  <c r="AD165" i="15"/>
  <c r="AD11" i="15"/>
  <c r="AD48" i="15"/>
  <c r="W55" i="15"/>
  <c r="AE92" i="15"/>
  <c r="AL127" i="15"/>
  <c r="AD129" i="15"/>
  <c r="AH163" i="15"/>
  <c r="AI163" i="15" s="1"/>
  <c r="W8" i="14"/>
  <c r="AD7" i="14"/>
  <c r="W19" i="14"/>
  <c r="AH24" i="13"/>
  <c r="AI24" i="13" s="1"/>
  <c r="AL24" i="13" s="1"/>
  <c r="AD10" i="12"/>
  <c r="AD14" i="12"/>
  <c r="AL18" i="12"/>
  <c r="AH14" i="12"/>
  <c r="AI14" i="12" s="1"/>
  <c r="W9" i="12"/>
  <c r="AH5" i="12"/>
  <c r="AI5" i="12" s="1"/>
  <c r="AL9" i="12"/>
  <c r="AE11" i="12"/>
  <c r="AJ15" i="12"/>
  <c r="AH7" i="6"/>
  <c r="AI7" i="6" s="1"/>
  <c r="AE14" i="6"/>
  <c r="AH15" i="6"/>
  <c r="AI15" i="6" s="1"/>
  <c r="AL15" i="6" s="1"/>
  <c r="U20" i="6"/>
  <c r="AD13" i="6"/>
  <c r="AH17" i="6"/>
  <c r="AI17" i="6" s="1"/>
  <c r="AH16" i="6"/>
  <c r="AI16" i="6" s="1"/>
  <c r="AD15" i="6"/>
  <c r="AD10" i="5"/>
  <c r="W26" i="5"/>
  <c r="AD11" i="5"/>
  <c r="AE11" i="5"/>
  <c r="AH11" i="5"/>
  <c r="AI11" i="5" s="1"/>
  <c r="AE10" i="3"/>
  <c r="AH9" i="3"/>
  <c r="AI9" i="3" s="1"/>
  <c r="AJ9" i="3" s="1"/>
  <c r="AH11" i="3"/>
  <c r="AI11" i="3" s="1"/>
  <c r="W7" i="37"/>
  <c r="AH6" i="16"/>
  <c r="AI6" i="16" s="1"/>
  <c r="K38" i="2"/>
  <c r="J25" i="68"/>
  <c r="L25" i="68"/>
  <c r="P25" i="68"/>
  <c r="AN261" i="15"/>
  <c r="AN282" i="15"/>
  <c r="AN330" i="15"/>
  <c r="AN356" i="15"/>
  <c r="AN72" i="22"/>
  <c r="AN106" i="32"/>
  <c r="T16" i="67"/>
  <c r="M16" i="2" s="1"/>
  <c r="T40" i="67"/>
  <c r="M36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I26" i="67" s="1"/>
  <c r="A8" i="79"/>
  <c r="A20" i="78"/>
  <c r="O29" i="68" s="1"/>
  <c r="R29" i="68" s="1"/>
  <c r="V29" i="68" s="1"/>
  <c r="X10" i="78"/>
  <c r="A18" i="78"/>
  <c r="N29" i="68" s="1"/>
  <c r="I29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1" i="67"/>
  <c r="M37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9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40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5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X23" i="59" s="1"/>
  <c r="W13" i="59"/>
  <c r="U20" i="59"/>
  <c r="W22" i="59"/>
  <c r="AH6" i="59"/>
  <c r="AI6" i="59" s="1"/>
  <c r="AE9" i="59"/>
  <c r="AL10" i="59"/>
  <c r="U12" i="59"/>
  <c r="W20" i="59"/>
  <c r="A14" i="59"/>
  <c r="K34" i="67" s="1"/>
  <c r="AM10" i="59"/>
  <c r="AE12" i="59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AL7" i="58" s="1"/>
  <c r="J31" i="67"/>
  <c r="AH9" i="58"/>
  <c r="AI9" i="58" s="1"/>
  <c r="W13" i="58"/>
  <c r="U22" i="58"/>
  <c r="A14" i="58"/>
  <c r="K33" i="67" s="1"/>
  <c r="AM9" i="58"/>
  <c r="AM6" i="58"/>
  <c r="U16" i="58"/>
  <c r="AD5" i="57"/>
  <c r="AN5" i="57" s="1"/>
  <c r="AM8" i="57"/>
  <c r="AD12" i="57"/>
  <c r="AM15" i="57"/>
  <c r="AM25" i="57"/>
  <c r="AH45" i="57"/>
  <c r="AI45" i="57" s="1"/>
  <c r="AE12" i="57"/>
  <c r="AM23" i="57"/>
  <c r="AH36" i="57"/>
  <c r="AI36" i="57" s="1"/>
  <c r="AD38" i="57"/>
  <c r="AD44" i="57"/>
  <c r="AH7" i="57"/>
  <c r="AI7" i="57" s="1"/>
  <c r="AL7" i="57" s="1"/>
  <c r="AH12" i="57"/>
  <c r="AI12" i="57" s="1"/>
  <c r="AM36" i="57"/>
  <c r="AN36" i="57" s="1"/>
  <c r="AM47" i="57"/>
  <c r="AH44" i="57"/>
  <c r="AI44" i="57" s="1"/>
  <c r="AJ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D39" i="57"/>
  <c r="AE39" i="57"/>
  <c r="AJ8" i="57"/>
  <c r="AJ12" i="57"/>
  <c r="AD43" i="57"/>
  <c r="AN43" i="57" s="1"/>
  <c r="AH6" i="57"/>
  <c r="AI6" i="57" s="1"/>
  <c r="AL6" i="57" s="1"/>
  <c r="AE11" i="57"/>
  <c r="AD8" i="57"/>
  <c r="W24" i="57"/>
  <c r="AH46" i="57"/>
  <c r="AI46" i="57" s="1"/>
  <c r="AE40" i="57"/>
  <c r="AN40" i="57" s="1"/>
  <c r="AJ47" i="57"/>
  <c r="AL43" i="57"/>
  <c r="A14" i="57"/>
  <c r="K32" i="67" s="1"/>
  <c r="AL27" i="57"/>
  <c r="W33" i="57"/>
  <c r="X33" i="57" s="1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X30" i="57" s="1"/>
  <c r="W48" i="57"/>
  <c r="X48" i="57" s="1"/>
  <c r="AM9" i="57"/>
  <c r="W21" i="57"/>
  <c r="AD37" i="57"/>
  <c r="AD42" i="57"/>
  <c r="U7" i="57"/>
  <c r="AM24" i="57"/>
  <c r="AM26" i="57"/>
  <c r="W36" i="57"/>
  <c r="X36" i="57" s="1"/>
  <c r="AE37" i="57"/>
  <c r="AD41" i="57"/>
  <c r="AE42" i="57"/>
  <c r="AD47" i="57"/>
  <c r="AD48" i="57"/>
  <c r="AN48" i="57" s="1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X27" i="57" s="1"/>
  <c r="AM34" i="57"/>
  <c r="W45" i="57"/>
  <c r="X45" i="57" s="1"/>
  <c r="AD11" i="57"/>
  <c r="AN11" i="57" s="1"/>
  <c r="W39" i="57"/>
  <c r="U5" i="56"/>
  <c r="U6" i="56"/>
  <c r="W10" i="56"/>
  <c r="X10" i="56" s="1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X16" i="56" s="1"/>
  <c r="W20" i="56"/>
  <c r="X20" i="56" s="1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9" i="67" s="1"/>
  <c r="AL9" i="54"/>
  <c r="AM6" i="54"/>
  <c r="U8" i="54"/>
  <c r="AD11" i="54"/>
  <c r="AN11" i="54" s="1"/>
  <c r="U17" i="54"/>
  <c r="AM5" i="54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8" i="67"/>
  <c r="K28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7" i="67" s="1"/>
  <c r="M27" i="2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4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5" i="67" s="1"/>
  <c r="W8" i="53"/>
  <c r="AM9" i="53"/>
  <c r="AE13" i="53"/>
  <c r="AM19" i="53"/>
  <c r="AM21" i="53"/>
  <c r="W34" i="53"/>
  <c r="AM6" i="53"/>
  <c r="W40" i="53"/>
  <c r="W46" i="53"/>
  <c r="AE9" i="51"/>
  <c r="AD12" i="51"/>
  <c r="AM9" i="51"/>
  <c r="AE12" i="51"/>
  <c r="AD6" i="51"/>
  <c r="AN6" i="51" s="1"/>
  <c r="AD8" i="51"/>
  <c r="AE11" i="51"/>
  <c r="AH12" i="51"/>
  <c r="AI12" i="51" s="1"/>
  <c r="AJ12" i="51" s="1"/>
  <c r="A14" i="51"/>
  <c r="K20" i="67" s="1"/>
  <c r="AM8" i="51"/>
  <c r="AH14" i="51"/>
  <c r="AI14" i="51" s="1"/>
  <c r="AL14" i="51" s="1"/>
  <c r="AM14" i="51"/>
  <c r="AH5" i="51"/>
  <c r="AI5" i="51" s="1"/>
  <c r="AJ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X6" i="51" s="1"/>
  <c r="U9" i="51"/>
  <c r="W10" i="51"/>
  <c r="W21" i="51"/>
  <c r="X21" i="51" s="1"/>
  <c r="W5" i="51"/>
  <c r="X5" i="51" s="1"/>
  <c r="W9" i="51"/>
  <c r="X9" i="51" s="1"/>
  <c r="U8" i="51"/>
  <c r="W8" i="51"/>
  <c r="H20" i="67"/>
  <c r="K20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9" i="67" s="1"/>
  <c r="U8" i="50"/>
  <c r="U10" i="50"/>
  <c r="U11" i="50"/>
  <c r="U12" i="50"/>
  <c r="U13" i="50"/>
  <c r="W9" i="50"/>
  <c r="AM5" i="49"/>
  <c r="S18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X54" i="47" s="1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X27" i="47" s="1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D70" i="46"/>
  <c r="AD5" i="46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N21" i="46" s="1"/>
  <c r="AE30" i="46"/>
  <c r="AM33" i="46"/>
  <c r="AE39" i="46"/>
  <c r="AN39" i="46" s="1"/>
  <c r="AM5" i="46"/>
  <c r="AM23" i="46"/>
  <c r="AN46" i="46"/>
  <c r="AH52" i="46"/>
  <c r="AI52" i="46" s="1"/>
  <c r="A14" i="46"/>
  <c r="K14" i="67" s="1"/>
  <c r="AH8" i="46"/>
  <c r="AI8" i="46" s="1"/>
  <c r="AJ8" i="46" s="1"/>
  <c r="AE27" i="46"/>
  <c r="AN27" i="46" s="1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M5" i="43"/>
  <c r="AM7" i="43"/>
  <c r="AM9" i="43"/>
  <c r="AM9" i="40"/>
  <c r="AM13" i="40"/>
  <c r="AD12" i="40"/>
  <c r="AE12" i="40"/>
  <c r="AH12" i="40"/>
  <c r="AI12" i="40" s="1"/>
  <c r="AL12" i="40" s="1"/>
  <c r="AE17" i="40"/>
  <c r="AE13" i="40"/>
  <c r="AD18" i="40"/>
  <c r="AN18" i="40" s="1"/>
  <c r="AH13" i="40"/>
  <c r="AI13" i="40" s="1"/>
  <c r="AD15" i="40"/>
  <c r="AH18" i="40"/>
  <c r="AI18" i="40" s="1"/>
  <c r="AE15" i="40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N7" i="40" s="1"/>
  <c r="AM8" i="40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K7" i="67" s="1"/>
  <c r="AM6" i="39"/>
  <c r="AD8" i="39"/>
  <c r="AE11" i="39"/>
  <c r="AN11" i="39" s="1"/>
  <c r="AH12" i="39"/>
  <c r="AI12" i="39" s="1"/>
  <c r="AM13" i="39"/>
  <c r="AD10" i="39"/>
  <c r="AH11" i="39"/>
  <c r="AI11" i="39" s="1"/>
  <c r="AL11" i="39" s="1"/>
  <c r="AD16" i="39"/>
  <c r="AM8" i="39"/>
  <c r="AN8" i="39" s="1"/>
  <c r="AE10" i="39"/>
  <c r="AM12" i="39"/>
  <c r="AE16" i="39"/>
  <c r="AH10" i="39"/>
  <c r="AI10" i="39" s="1"/>
  <c r="AH16" i="39"/>
  <c r="AI16" i="39" s="1"/>
  <c r="AD13" i="39"/>
  <c r="AL14" i="39"/>
  <c r="AH13" i="66"/>
  <c r="AI13" i="66" s="1"/>
  <c r="AL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N86" i="66" s="1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H127" i="66"/>
  <c r="AI127" i="66" s="1"/>
  <c r="AM10" i="66"/>
  <c r="AE98" i="66"/>
  <c r="AE106" i="66"/>
  <c r="AE61" i="66"/>
  <c r="AH129" i="66"/>
  <c r="AI129" i="66" s="1"/>
  <c r="AL129" i="66" s="1"/>
  <c r="AE116" i="66"/>
  <c r="AN116" i="66" s="1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D101" i="66"/>
  <c r="AH18" i="66"/>
  <c r="AI18" i="66" s="1"/>
  <c r="AD22" i="66"/>
  <c r="AD56" i="66"/>
  <c r="AN56" i="66" s="1"/>
  <c r="AM77" i="66"/>
  <c r="AH79" i="66"/>
  <c r="AI79" i="66" s="1"/>
  <c r="AL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N50" i="66" s="1"/>
  <c r="AE55" i="66"/>
  <c r="AH107" i="66"/>
  <c r="AI107" i="66" s="1"/>
  <c r="AL107" i="66" s="1"/>
  <c r="AL91" i="66"/>
  <c r="AE49" i="66"/>
  <c r="AN49" i="66" s="1"/>
  <c r="AD55" i="66"/>
  <c r="AH56" i="66"/>
  <c r="AI56" i="66" s="1"/>
  <c r="AD93" i="66"/>
  <c r="AN93" i="66" s="1"/>
  <c r="AH120" i="66"/>
  <c r="AI120" i="66" s="1"/>
  <c r="AE127" i="66"/>
  <c r="AN127" i="66" s="1"/>
  <c r="AH128" i="66"/>
  <c r="AI128" i="66" s="1"/>
  <c r="AE43" i="66"/>
  <c r="AN43" i="66" s="1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L60" i="66" s="1"/>
  <c r="AD63" i="66"/>
  <c r="AH68" i="66"/>
  <c r="AI68" i="66" s="1"/>
  <c r="AL68" i="66" s="1"/>
  <c r="AD83" i="66"/>
  <c r="AD91" i="66"/>
  <c r="AH114" i="66"/>
  <c r="AI114" i="66" s="1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D69" i="66"/>
  <c r="AE74" i="66"/>
  <c r="AE115" i="66"/>
  <c r="AN115" i="66" s="1"/>
  <c r="W52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U62" i="66"/>
  <c r="AD70" i="66"/>
  <c r="AD71" i="66"/>
  <c r="W76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6" i="67"/>
  <c r="AN6" i="71"/>
  <c r="U5" i="71"/>
  <c r="U19" i="71"/>
  <c r="U9" i="71"/>
  <c r="U16" i="71"/>
  <c r="U22" i="71"/>
  <c r="T26" i="67"/>
  <c r="M26" i="2" s="1"/>
  <c r="U7" i="71"/>
  <c r="W13" i="71"/>
  <c r="U7" i="34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AJ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U5" i="38"/>
  <c r="U11" i="38"/>
  <c r="W5" i="38"/>
  <c r="U9" i="38"/>
  <c r="U8" i="38"/>
  <c r="AD5" i="38"/>
  <c r="AN5" i="38" s="1"/>
  <c r="AH5" i="38"/>
  <c r="AI5" i="38" s="1"/>
  <c r="U7" i="38"/>
  <c r="AD5" i="37"/>
  <c r="T49" i="68" s="1"/>
  <c r="P52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187" i="15"/>
  <c r="AN205" i="15"/>
  <c r="AN317" i="15"/>
  <c r="AN77" i="22"/>
  <c r="AN16" i="26"/>
  <c r="AN50" i="31"/>
  <c r="AN19" i="33"/>
  <c r="AN9" i="34"/>
  <c r="AN24" i="36"/>
  <c r="AN20" i="73"/>
  <c r="AN21" i="73"/>
  <c r="AN11" i="58"/>
  <c r="AN23" i="14"/>
  <c r="AN280" i="15"/>
  <c r="AN422" i="15"/>
  <c r="AN70" i="20"/>
  <c r="AN49" i="31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9" i="61"/>
  <c r="AN11" i="62"/>
  <c r="AN22" i="62"/>
  <c r="J52" i="68"/>
  <c r="H52" i="68"/>
  <c r="J48" i="68"/>
  <c r="L48" i="68"/>
  <c r="P48" i="68"/>
  <c r="K48" i="68"/>
  <c r="A20" i="76"/>
  <c r="O31" i="68" s="1"/>
  <c r="R31" i="68" s="1"/>
  <c r="V31" i="68" s="1"/>
  <c r="G31" i="2" s="1"/>
  <c r="A18" i="76"/>
  <c r="N31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50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10" i="58"/>
  <c r="AN10" i="62"/>
  <c r="AN16" i="63"/>
  <c r="AN18" i="63"/>
  <c r="AN19" i="63"/>
  <c r="AN21" i="63"/>
  <c r="AN22" i="63"/>
  <c r="AN24" i="63"/>
  <c r="AN5" i="64"/>
  <c r="AN24" i="25"/>
  <c r="AN36" i="31"/>
  <c r="AN48" i="31"/>
  <c r="AN54" i="31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D8" i="33"/>
  <c r="AN8" i="33" s="1"/>
  <c r="AM5" i="33"/>
  <c r="S44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L35" i="32" s="1"/>
  <c r="AE38" i="32"/>
  <c r="AM39" i="32"/>
  <c r="AE45" i="32"/>
  <c r="AM49" i="32"/>
  <c r="AH88" i="32"/>
  <c r="AI88" i="32" s="1"/>
  <c r="AL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J31" i="32" s="1"/>
  <c r="AN40" i="32"/>
  <c r="AM92" i="32"/>
  <c r="AD26" i="32"/>
  <c r="W30" i="32"/>
  <c r="U33" i="32"/>
  <c r="AM35" i="32"/>
  <c r="AE37" i="32"/>
  <c r="AM42" i="32"/>
  <c r="AD44" i="32"/>
  <c r="W47" i="32"/>
  <c r="AM89" i="32"/>
  <c r="AD95" i="32"/>
  <c r="AN9" i="32"/>
  <c r="AH11" i="32"/>
  <c r="AI11" i="32" s="1"/>
  <c r="U21" i="32"/>
  <c r="AE22" i="32"/>
  <c r="AE26" i="32"/>
  <c r="AE44" i="32"/>
  <c r="AM88" i="32"/>
  <c r="AN88" i="32" s="1"/>
  <c r="AM90" i="32"/>
  <c r="AM91" i="32"/>
  <c r="AD94" i="32"/>
  <c r="AE95" i="32"/>
  <c r="W121" i="32"/>
  <c r="AH37" i="32"/>
  <c r="AI37" i="32" s="1"/>
  <c r="W56" i="32"/>
  <c r="W136" i="32"/>
  <c r="W157" i="32"/>
  <c r="AM11" i="32"/>
  <c r="W16" i="32"/>
  <c r="W21" i="32"/>
  <c r="AH22" i="32"/>
  <c r="AI22" i="32" s="1"/>
  <c r="AE25" i="32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D21" i="32"/>
  <c r="AM22" i="32"/>
  <c r="AD32" i="32"/>
  <c r="AD36" i="32"/>
  <c r="AM37" i="32"/>
  <c r="W49" i="32"/>
  <c r="AD89" i="32"/>
  <c r="AD90" i="32"/>
  <c r="AD91" i="32"/>
  <c r="AD92" i="32"/>
  <c r="AM7" i="32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L28" i="32" s="1"/>
  <c r="AM36" i="32"/>
  <c r="AM43" i="32"/>
  <c r="AN43" i="32" s="1"/>
  <c r="W45" i="32"/>
  <c r="AL18" i="31"/>
  <c r="AJ12" i="31"/>
  <c r="AM18" i="31"/>
  <c r="AE35" i="31"/>
  <c r="AN35" i="31" s="1"/>
  <c r="A14" i="31"/>
  <c r="K42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L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M5" i="30"/>
  <c r="AD13" i="30"/>
  <c r="AH14" i="30"/>
  <c r="AI14" i="30" s="1"/>
  <c r="AJ14" i="30" s="1"/>
  <c r="A14" i="30"/>
  <c r="K41" i="68" s="1"/>
  <c r="AD7" i="30"/>
  <c r="AN7" i="30" s="1"/>
  <c r="AM14" i="30"/>
  <c r="AD8" i="29"/>
  <c r="AH49" i="29"/>
  <c r="AI49" i="29" s="1"/>
  <c r="AL49" i="29" s="1"/>
  <c r="AE8" i="29"/>
  <c r="AM49" i="29"/>
  <c r="A14" i="29"/>
  <c r="K40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9" i="68" s="1"/>
  <c r="AM27" i="28"/>
  <c r="AM5" i="27"/>
  <c r="S37" i="68" s="1"/>
  <c r="AH8" i="27"/>
  <c r="AI8" i="27" s="1"/>
  <c r="AD15" i="27"/>
  <c r="AD16" i="27"/>
  <c r="A14" i="27"/>
  <c r="K37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6" i="68" s="1"/>
  <c r="AD6" i="26"/>
  <c r="W24" i="26"/>
  <c r="W8" i="26"/>
  <c r="AH9" i="26"/>
  <c r="AI9" i="26" s="1"/>
  <c r="AL9" i="26" s="1"/>
  <c r="AD12" i="26"/>
  <c r="AM6" i="26"/>
  <c r="AM10" i="26"/>
  <c r="AE12" i="26"/>
  <c r="W21" i="26"/>
  <c r="AL13" i="25"/>
  <c r="H35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5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4" i="68" s="1"/>
  <c r="AM7" i="24"/>
  <c r="W9" i="24"/>
  <c r="W10" i="24"/>
  <c r="X10" i="24" s="1"/>
  <c r="AH13" i="24"/>
  <c r="AI13" i="24" s="1"/>
  <c r="W18" i="24"/>
  <c r="X18" i="24" s="1"/>
  <c r="AN6" i="24"/>
  <c r="U8" i="24"/>
  <c r="AE9" i="24"/>
  <c r="AN9" i="24" s="1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30" i="68" s="1"/>
  <c r="E30" i="2" s="1"/>
  <c r="U12" i="72"/>
  <c r="W20" i="72"/>
  <c r="U9" i="72"/>
  <c r="W9" i="72"/>
  <c r="W17" i="72"/>
  <c r="U7" i="72"/>
  <c r="AJ15" i="70"/>
  <c r="AJ20" i="70"/>
  <c r="U17" i="70"/>
  <c r="H28" i="68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AN8" i="69" s="1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W13" i="69"/>
  <c r="U58" i="69"/>
  <c r="W7" i="69"/>
  <c r="AM11" i="69"/>
  <c r="W15" i="69"/>
  <c r="AE16" i="69"/>
  <c r="AM17" i="69"/>
  <c r="AE19" i="69"/>
  <c r="AM20" i="69"/>
  <c r="AE22" i="69"/>
  <c r="AM23" i="69"/>
  <c r="AE25" i="69"/>
  <c r="AN25" i="69" s="1"/>
  <c r="AM26" i="69"/>
  <c r="AE28" i="69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H18" i="22"/>
  <c r="AI18" i="22" s="1"/>
  <c r="U20" i="22"/>
  <c r="AL23" i="22"/>
  <c r="AM25" i="22"/>
  <c r="AN25" i="22" s="1"/>
  <c r="U30" i="22"/>
  <c r="AH31" i="22"/>
  <c r="AI31" i="22" s="1"/>
  <c r="AD37" i="22"/>
  <c r="AM38" i="22"/>
  <c r="AD40" i="22"/>
  <c r="AN40" i="22" s="1"/>
  <c r="AM44" i="22"/>
  <c r="AM50" i="22"/>
  <c r="AM53" i="22"/>
  <c r="A14" i="22"/>
  <c r="K26" i="68" s="1"/>
  <c r="K25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65" i="22"/>
  <c r="AM8" i="22"/>
  <c r="U32" i="22"/>
  <c r="AM37" i="22"/>
  <c r="U72" i="22"/>
  <c r="AL11" i="21"/>
  <c r="W5" i="21"/>
  <c r="AM7" i="21"/>
  <c r="AN7" i="21" s="1"/>
  <c r="W9" i="21"/>
  <c r="A14" i="21"/>
  <c r="K22" i="68" s="1"/>
  <c r="U12" i="21"/>
  <c r="U8" i="21"/>
  <c r="W23" i="21"/>
  <c r="AH5" i="21"/>
  <c r="AI5" i="21" s="1"/>
  <c r="U7" i="21"/>
  <c r="AD11" i="21"/>
  <c r="W8" i="21"/>
  <c r="AM9" i="21"/>
  <c r="AE11" i="21"/>
  <c r="AM5" i="2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D12" i="20"/>
  <c r="AN17" i="20"/>
  <c r="AM38" i="20"/>
  <c r="A14" i="20"/>
  <c r="K21" i="68" s="1"/>
  <c r="W6" i="20"/>
  <c r="AE12" i="20"/>
  <c r="AD15" i="20"/>
  <c r="AL33" i="20"/>
  <c r="AM40" i="20"/>
  <c r="AD5" i="20"/>
  <c r="AN5" i="20" s="1"/>
  <c r="AM20" i="20"/>
  <c r="AM42" i="20"/>
  <c r="AD6" i="20"/>
  <c r="AN6" i="20" s="1"/>
  <c r="AE11" i="20"/>
  <c r="AN11" i="20" s="1"/>
  <c r="AH15" i="20"/>
  <c r="AI15" i="20" s="1"/>
  <c r="AM44" i="20"/>
  <c r="AL5" i="20"/>
  <c r="U10" i="20"/>
  <c r="AM15" i="20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L9" i="19" s="1"/>
  <c r="AM13" i="19"/>
  <c r="W24" i="19"/>
  <c r="AD12" i="19"/>
  <c r="AN12" i="19" s="1"/>
  <c r="AM5" i="19"/>
  <c r="AN5" i="19" s="1"/>
  <c r="W21" i="19"/>
  <c r="AH12" i="19"/>
  <c r="AI12" i="19" s="1"/>
  <c r="U6" i="19"/>
  <c r="U10" i="19"/>
  <c r="AM11" i="18"/>
  <c r="U5" i="18"/>
  <c r="AM10" i="18"/>
  <c r="A14" i="18"/>
  <c r="K19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J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L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L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L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J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L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H15" i="15"/>
  <c r="AI15" i="15" s="1"/>
  <c r="AL15" i="15" s="1"/>
  <c r="AM18" i="15"/>
  <c r="W22" i="15"/>
  <c r="AH34" i="15"/>
  <c r="AI34" i="15" s="1"/>
  <c r="AL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L8" i="15" s="1"/>
  <c r="AN10" i="15"/>
  <c r="AM12" i="15"/>
  <c r="AL25" i="15"/>
  <c r="W53" i="15"/>
  <c r="AM66" i="15"/>
  <c r="AL136" i="15"/>
  <c r="AL154" i="15"/>
  <c r="AN166" i="15"/>
  <c r="U6" i="15"/>
  <c r="AE11" i="15"/>
  <c r="AN11" i="15" s="1"/>
  <c r="AM15" i="15"/>
  <c r="AE22" i="15"/>
  <c r="W50" i="15"/>
  <c r="AH83" i="15"/>
  <c r="AI83" i="15" s="1"/>
  <c r="AL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N6" i="14" s="1"/>
  <c r="AL5" i="14"/>
  <c r="W22" i="14"/>
  <c r="U7" i="14"/>
  <c r="W16" i="14"/>
  <c r="AM5" i="14"/>
  <c r="AM13" i="13"/>
  <c r="AD17" i="13"/>
  <c r="AE19" i="13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 s="1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E20" i="13"/>
  <c r="AM6" i="13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AD12" i="12"/>
  <c r="W44" i="12"/>
  <c r="AM9" i="12"/>
  <c r="AE12" i="12"/>
  <c r="W26" i="12"/>
  <c r="W17" i="12"/>
  <c r="AM20" i="12"/>
  <c r="W35" i="12"/>
  <c r="W50" i="12"/>
  <c r="A14" i="12"/>
  <c r="K11" i="68" s="1"/>
  <c r="AH12" i="12"/>
  <c r="AI12" i="12" s="1"/>
  <c r="AJ12" i="12" s="1"/>
  <c r="AM8" i="12"/>
  <c r="W41" i="12"/>
  <c r="W23" i="12"/>
  <c r="W32" i="12"/>
  <c r="U5" i="6"/>
  <c r="AH10" i="6"/>
  <c r="AI10" i="6" s="1"/>
  <c r="AL10" i="6" s="1"/>
  <c r="AN15" i="6"/>
  <c r="W9" i="6"/>
  <c r="U17" i="6"/>
  <c r="W18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AJ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S8" i="68" s="1"/>
  <c r="U17" i="3"/>
  <c r="W7" i="3"/>
  <c r="AN10" i="3"/>
  <c r="U6" i="3"/>
  <c r="U10" i="3"/>
  <c r="U5" i="3"/>
  <c r="W6" i="3"/>
  <c r="U9" i="3"/>
  <c r="U23" i="3"/>
  <c r="W5" i="3"/>
  <c r="AD6" i="3"/>
  <c r="AM7" i="3"/>
  <c r="AN7" i="3" s="1"/>
  <c r="A14" i="3"/>
  <c r="K8" i="68" s="1"/>
  <c r="K7" i="68" s="1"/>
  <c r="AE9" i="3"/>
  <c r="AH10" i="3"/>
  <c r="AI10" i="3" s="1"/>
  <c r="U20" i="3"/>
  <c r="H8" i="68"/>
  <c r="W8" i="3"/>
  <c r="A8" i="36"/>
  <c r="X12" i="36" s="1"/>
  <c r="I47" i="67"/>
  <c r="N47" i="67" s="1"/>
  <c r="Q47" i="67" s="1"/>
  <c r="A8" i="26"/>
  <c r="A8" i="30"/>
  <c r="X12" i="30" s="1"/>
  <c r="A8" i="63"/>
  <c r="A20" i="63" s="1"/>
  <c r="A8" i="55"/>
  <c r="A18" i="55" s="1"/>
  <c r="N29" i="67" s="1"/>
  <c r="Q68" i="67"/>
  <c r="I78" i="68"/>
  <c r="O78" i="68" s="1"/>
  <c r="R78" i="68" s="1"/>
  <c r="A8" i="34"/>
  <c r="X22" i="34" s="1"/>
  <c r="A8" i="32"/>
  <c r="I43" i="68" s="1"/>
  <c r="A8" i="74"/>
  <c r="X8" i="74" s="1"/>
  <c r="Z8" i="74" s="1"/>
  <c r="AB8" i="74" s="1"/>
  <c r="AO8" i="74" s="1"/>
  <c r="A8" i="40"/>
  <c r="A8" i="66"/>
  <c r="A8" i="16"/>
  <c r="X24" i="16" s="1"/>
  <c r="A8" i="53"/>
  <c r="X43" i="53" s="1"/>
  <c r="A8" i="38"/>
  <c r="X13" i="38" s="1"/>
  <c r="I58" i="68"/>
  <c r="O58" i="68" s="1"/>
  <c r="R58" i="68" s="1"/>
  <c r="A8" i="72"/>
  <c r="A8" i="75"/>
  <c r="I16" i="67" s="1"/>
  <c r="A8" i="13"/>
  <c r="A20" i="13" s="1"/>
  <c r="O12" i="68" s="1"/>
  <c r="R12" i="68" s="1"/>
  <c r="I48" i="67"/>
  <c r="O48" i="67" s="1"/>
  <c r="R48" i="67" s="1"/>
  <c r="A8" i="27"/>
  <c r="X11" i="27" s="1"/>
  <c r="A8" i="33"/>
  <c r="X10" i="33" s="1"/>
  <c r="A8" i="5"/>
  <c r="A8" i="12"/>
  <c r="A8" i="65"/>
  <c r="A20" i="65" s="1"/>
  <c r="O6" i="68" s="1"/>
  <c r="R6" i="68" s="1"/>
  <c r="A8" i="20"/>
  <c r="X10" i="20" s="1"/>
  <c r="Z10" i="20" s="1"/>
  <c r="AB10" i="20" s="1"/>
  <c r="AO10" i="20" s="1"/>
  <c r="A8" i="6"/>
  <c r="X9" i="6" s="1"/>
  <c r="A8" i="23"/>
  <c r="A20" i="23" s="1"/>
  <c r="O33" i="68" s="1"/>
  <c r="R33" i="68" s="1"/>
  <c r="A8" i="15"/>
  <c r="X281" i="15" s="1"/>
  <c r="A8" i="19"/>
  <c r="I20" i="68" s="1"/>
  <c r="A8" i="3"/>
  <c r="A18" i="3" s="1"/>
  <c r="N8" i="68" s="1"/>
  <c r="A8" i="46"/>
  <c r="A8" i="70"/>
  <c r="A8" i="37"/>
  <c r="A8" i="14"/>
  <c r="A8" i="25"/>
  <c r="X12" i="25" s="1"/>
  <c r="A8" i="18"/>
  <c r="I71" i="68"/>
  <c r="O71" i="68" s="1"/>
  <c r="R71" i="68" s="1"/>
  <c r="I54" i="68"/>
  <c r="I65" i="68"/>
  <c r="O65" i="68" s="1"/>
  <c r="R65" i="68" s="1"/>
  <c r="I53" i="67"/>
  <c r="O53" i="67" s="1"/>
  <c r="R53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51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9" i="15"/>
  <c r="AJ135" i="15"/>
  <c r="AJ141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41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13" i="25"/>
  <c r="AJ17" i="25"/>
  <c r="AL17" i="25"/>
  <c r="AL19" i="25"/>
  <c r="AL14" i="26"/>
  <c r="AJ14" i="26"/>
  <c r="AJ16" i="26"/>
  <c r="AL40" i="28"/>
  <c r="AJ40" i="28"/>
  <c r="AL32" i="29"/>
  <c r="AJ32" i="29"/>
  <c r="AL31" i="31"/>
  <c r="AL37" i="31"/>
  <c r="AL43" i="31"/>
  <c r="AL49" i="31"/>
  <c r="AL55" i="31"/>
  <c r="AL109" i="32"/>
  <c r="AJ109" i="32"/>
  <c r="AL119" i="32"/>
  <c r="AJ119" i="32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L15" i="23"/>
  <c r="AL21" i="26"/>
  <c r="AJ39" i="28"/>
  <c r="AL22" i="30"/>
  <c r="AJ22" i="30"/>
  <c r="AJ29" i="31"/>
  <c r="AL29" i="31"/>
  <c r="AJ108" i="32"/>
  <c r="AL108" i="32"/>
  <c r="AJ41" i="22"/>
  <c r="AJ20" i="69"/>
  <c r="S28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11" i="32"/>
  <c r="AJ111" i="32"/>
  <c r="AL12" i="23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8" i="32"/>
  <c r="AL124" i="32"/>
  <c r="AJ124" i="32"/>
  <c r="AJ129" i="32"/>
  <c r="AJ133" i="32"/>
  <c r="AJ18" i="33"/>
  <c r="AL18" i="33"/>
  <c r="AL14" i="37"/>
  <c r="AJ14" i="37"/>
  <c r="AJ23" i="37"/>
  <c r="AL23" i="37"/>
  <c r="AL18" i="38"/>
  <c r="AJ18" i="38"/>
  <c r="AJ110" i="32"/>
  <c r="AJ132" i="32"/>
  <c r="AJ143" i="32"/>
  <c r="AL143" i="32"/>
  <c r="AJ147" i="32"/>
  <c r="AL157" i="32"/>
  <c r="AJ157" i="32"/>
  <c r="AL160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J88" i="32"/>
  <c r="AJ94" i="32"/>
  <c r="AL122" i="32"/>
  <c r="AL142" i="32"/>
  <c r="AJ142" i="32"/>
  <c r="AJ23" i="33"/>
  <c r="AL23" i="33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7" i="68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61" i="66"/>
  <c r="AJ70" i="66"/>
  <c r="AJ79" i="66"/>
  <c r="AJ97" i="66"/>
  <c r="AJ106" i="66"/>
  <c r="AJ124" i="66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5" i="67"/>
  <c r="W5" i="60"/>
  <c r="W14" i="60"/>
  <c r="W9" i="60"/>
  <c r="U12" i="60"/>
  <c r="W17" i="60"/>
  <c r="W20" i="60"/>
  <c r="W23" i="60"/>
  <c r="W6" i="60"/>
  <c r="U10" i="60"/>
  <c r="W15" i="60"/>
  <c r="U18" i="60"/>
  <c r="S35" i="67"/>
  <c r="U7" i="60"/>
  <c r="AJ8" i="60"/>
  <c r="U13" i="60"/>
  <c r="W18" i="60"/>
  <c r="W21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X11" i="59" s="1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X12" i="59" s="1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9" i="58"/>
  <c r="AJ9" i="58"/>
  <c r="AJ5" i="58"/>
  <c r="AL5" i="58"/>
  <c r="U8" i="58"/>
  <c r="U11" i="58"/>
  <c r="L31" i="67"/>
  <c r="AH6" i="58"/>
  <c r="AI6" i="58" s="1"/>
  <c r="AL6" i="58" s="1"/>
  <c r="W16" i="58"/>
  <c r="W19" i="58"/>
  <c r="W22" i="58"/>
  <c r="P31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X20" i="58" s="1"/>
  <c r="W23" i="58"/>
  <c r="X23" i="58" s="1"/>
  <c r="U6" i="58"/>
  <c r="U15" i="58"/>
  <c r="AD9" i="58"/>
  <c r="AN9" i="58" s="1"/>
  <c r="W12" i="58"/>
  <c r="U18" i="58"/>
  <c r="U21" i="58"/>
  <c r="U24" i="58"/>
  <c r="U10" i="58"/>
  <c r="W15" i="58"/>
  <c r="U13" i="58"/>
  <c r="W18" i="58"/>
  <c r="X18" i="58" s="1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X13" i="57" s="1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X22" i="57" s="1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6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6" i="67"/>
  <c r="W9" i="71"/>
  <c r="U12" i="71"/>
  <c r="W17" i="71"/>
  <c r="W20" i="71"/>
  <c r="W23" i="71"/>
  <c r="P24" i="67"/>
  <c r="U15" i="71"/>
  <c r="W12" i="71"/>
  <c r="U18" i="71"/>
  <c r="U21" i="71"/>
  <c r="U24" i="71"/>
  <c r="W6" i="71"/>
  <c r="U10" i="71"/>
  <c r="W15" i="71"/>
  <c r="U13" i="71"/>
  <c r="W18" i="71"/>
  <c r="W21" i="71"/>
  <c r="W24" i="71"/>
  <c r="AL22" i="53"/>
  <c r="AJ22" i="53"/>
  <c r="AJ6" i="53"/>
  <c r="K24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6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4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4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H9" i="51"/>
  <c r="AI9" i="51" s="1"/>
  <c r="AJ9" i="51" s="1"/>
  <c r="W13" i="51"/>
  <c r="X13" i="51" s="1"/>
  <c r="AE15" i="51"/>
  <c r="U16" i="51"/>
  <c r="U19" i="51"/>
  <c r="U22" i="51"/>
  <c r="AJ14" i="51"/>
  <c r="AH6" i="51"/>
  <c r="AI6" i="51" s="1"/>
  <c r="AL6" i="51" s="1"/>
  <c r="AD7" i="51"/>
  <c r="AD13" i="5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X12" i="51" s="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8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X40" i="47" s="1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X41" i="47" s="1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X12" i="47" s="1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H7" i="67" s="1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2" i="67"/>
  <c r="L23" i="67" s="1"/>
  <c r="AD6" i="39"/>
  <c r="W10" i="39"/>
  <c r="P22" i="67"/>
  <c r="P23" i="67" s="1"/>
  <c r="J22" i="67"/>
  <c r="J23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W45" i="66"/>
  <c r="W48" i="66"/>
  <c r="W51" i="66"/>
  <c r="W54" i="66"/>
  <c r="W57" i="66"/>
  <c r="W60" i="66"/>
  <c r="W63" i="66"/>
  <c r="W66" i="66"/>
  <c r="W69" i="66"/>
  <c r="W72" i="66"/>
  <c r="W75" i="66"/>
  <c r="W78" i="66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J5" i="38"/>
  <c r="AL5" i="38"/>
  <c r="AN6" i="38"/>
  <c r="AH6" i="38"/>
  <c r="AI6" i="38" s="1"/>
  <c r="AL6" i="38" s="1"/>
  <c r="W16" i="38"/>
  <c r="W19" i="38"/>
  <c r="W22" i="38"/>
  <c r="W8" i="38"/>
  <c r="W11" i="38"/>
  <c r="U14" i="38"/>
  <c r="U17" i="38"/>
  <c r="U20" i="38"/>
  <c r="U23" i="38"/>
  <c r="L52" i="68"/>
  <c r="W14" i="38"/>
  <c r="W9" i="38"/>
  <c r="U12" i="38"/>
  <c r="W17" i="38"/>
  <c r="W20" i="38"/>
  <c r="W23" i="38"/>
  <c r="U15" i="38"/>
  <c r="C51" i="2"/>
  <c r="W12" i="38"/>
  <c r="U18" i="38"/>
  <c r="U21" i="38"/>
  <c r="U24" i="38"/>
  <c r="W6" i="38"/>
  <c r="U10" i="38"/>
  <c r="W15" i="38"/>
  <c r="K52" i="68"/>
  <c r="U13" i="38"/>
  <c r="W18" i="38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7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6" i="32"/>
  <c r="AJ42" i="32"/>
  <c r="AL42" i="32"/>
  <c r="AJ21" i="32"/>
  <c r="AL21" i="32"/>
  <c r="AL38" i="32"/>
  <c r="AJ38" i="32"/>
  <c r="AL16" i="32"/>
  <c r="AJ16" i="32"/>
  <c r="AJ30" i="32"/>
  <c r="AL30" i="32"/>
  <c r="AL37" i="32"/>
  <c r="AJ37" i="32"/>
  <c r="AL41" i="32"/>
  <c r="AJ41" i="32"/>
  <c r="AL11" i="32"/>
  <c r="AL29" i="32"/>
  <c r="AJ29" i="32"/>
  <c r="AH77" i="32"/>
  <c r="AI77" i="32" s="1"/>
  <c r="AJ77" i="32" s="1"/>
  <c r="AE77" i="32"/>
  <c r="AD77" i="32"/>
  <c r="AH67" i="32"/>
  <c r="AI67" i="32" s="1"/>
  <c r="AL67" i="32" s="1"/>
  <c r="AE67" i="32"/>
  <c r="AD67" i="32"/>
  <c r="U13" i="32"/>
  <c r="AJ19" i="32"/>
  <c r="AJ22" i="32"/>
  <c r="AJ25" i="32"/>
  <c r="W33" i="32"/>
  <c r="AJ34" i="32"/>
  <c r="W36" i="32"/>
  <c r="W39" i="32"/>
  <c r="W42" i="32"/>
  <c r="W85" i="32"/>
  <c r="W106" i="32"/>
  <c r="W142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L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E42" i="32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W88" i="32"/>
  <c r="W124" i="32"/>
  <c r="W160" i="32"/>
  <c r="AD11" i="32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J15" i="31"/>
  <c r="AL27" i="31"/>
  <c r="AJ27" i="31"/>
  <c r="U7" i="3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AL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N14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8" i="68"/>
  <c r="U7" i="30"/>
  <c r="U13" i="30"/>
  <c r="W18" i="30"/>
  <c r="W21" i="30"/>
  <c r="W24" i="30"/>
  <c r="W10" i="30"/>
  <c r="W7" i="30"/>
  <c r="W13" i="30"/>
  <c r="AE15" i="30"/>
  <c r="U16" i="30"/>
  <c r="AD18" i="30"/>
  <c r="U19" i="30"/>
  <c r="U22" i="30"/>
  <c r="U8" i="30"/>
  <c r="U11" i="30"/>
  <c r="AE18" i="30"/>
  <c r="H41" i="68"/>
  <c r="AJ9" i="30"/>
  <c r="W16" i="30"/>
  <c r="AJ17" i="30"/>
  <c r="W19" i="30"/>
  <c r="W22" i="30"/>
  <c r="U5" i="30"/>
  <c r="W8" i="30"/>
  <c r="W11" i="30"/>
  <c r="U14" i="30"/>
  <c r="U9" i="30"/>
  <c r="AD16" i="30"/>
  <c r="U17" i="30"/>
  <c r="AD19" i="30"/>
  <c r="AN19" i="30" s="1"/>
  <c r="U20" i="30"/>
  <c r="U23" i="30"/>
  <c r="U15" i="30"/>
  <c r="W5" i="30"/>
  <c r="W14" i="30"/>
  <c r="W9" i="30"/>
  <c r="U12" i="30"/>
  <c r="W17" i="30"/>
  <c r="W20" i="30"/>
  <c r="AL17" i="29"/>
  <c r="AL11" i="29"/>
  <c r="AL22" i="29"/>
  <c r="AL15" i="29"/>
  <c r="AL24" i="29"/>
  <c r="AL8" i="29"/>
  <c r="AJ8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8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8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W9" i="28"/>
  <c r="U12" i="28"/>
  <c r="AL12" i="28"/>
  <c r="W17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J8" i="28"/>
  <c r="U13" i="28"/>
  <c r="AJ16" i="28"/>
  <c r="W18" i="28"/>
  <c r="AJ19" i="28"/>
  <c r="W21" i="28"/>
  <c r="AJ22" i="28"/>
  <c r="W24" i="28"/>
  <c r="W27" i="28"/>
  <c r="W30" i="28"/>
  <c r="W33" i="28"/>
  <c r="W36" i="28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X13" i="24" s="1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X22" i="24" s="1"/>
  <c r="W25" i="24"/>
  <c r="W28" i="24"/>
  <c r="X28" i="24" s="1"/>
  <c r="S34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X17" i="24" s="1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U13" i="72"/>
  <c r="W18" i="72"/>
  <c r="W21" i="72"/>
  <c r="W24" i="72"/>
  <c r="W10" i="72"/>
  <c r="W7" i="72"/>
  <c r="W13" i="72"/>
  <c r="U16" i="72"/>
  <c r="U19" i="72"/>
  <c r="U22" i="72"/>
  <c r="U8" i="72"/>
  <c r="U11" i="72"/>
  <c r="W16" i="72"/>
  <c r="W19" i="72"/>
  <c r="W22" i="72"/>
  <c r="W8" i="72"/>
  <c r="W11" i="72"/>
  <c r="U14" i="72"/>
  <c r="U17" i="72"/>
  <c r="U20" i="72"/>
  <c r="U23" i="72"/>
  <c r="W5" i="72"/>
  <c r="AL6" i="70"/>
  <c r="AJ6" i="70"/>
  <c r="AJ9" i="70"/>
  <c r="AL9" i="70"/>
  <c r="AN10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5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X35" i="69" s="1"/>
  <c r="W38" i="69"/>
  <c r="W41" i="69"/>
  <c r="W44" i="69"/>
  <c r="W47" i="69"/>
  <c r="X47" i="69" s="1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X12" i="69" s="1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5" i="68"/>
  <c r="AH5" i="69"/>
  <c r="AI5" i="69" s="1"/>
  <c r="AL5" i="69" s="1"/>
  <c r="U7" i="69"/>
  <c r="AD12" i="69"/>
  <c r="AN12" i="69" s="1"/>
  <c r="U13" i="69"/>
  <c r="W18" i="69"/>
  <c r="X18" i="69" s="1"/>
  <c r="W21" i="69"/>
  <c r="W24" i="69"/>
  <c r="W27" i="69"/>
  <c r="W30" i="69"/>
  <c r="X30" i="69" s="1"/>
  <c r="W33" i="69"/>
  <c r="W36" i="69"/>
  <c r="W39" i="69"/>
  <c r="W42" i="69"/>
  <c r="W45" i="69"/>
  <c r="W48" i="69"/>
  <c r="X48" i="69" s="1"/>
  <c r="W51" i="69"/>
  <c r="X51" i="69" s="1"/>
  <c r="W54" i="69"/>
  <c r="X54" i="69" s="1"/>
  <c r="W57" i="69"/>
  <c r="W60" i="69"/>
  <c r="W63" i="69"/>
  <c r="W66" i="69"/>
  <c r="X66" i="69" s="1"/>
  <c r="P45" i="68"/>
  <c r="W10" i="69"/>
  <c r="U8" i="69"/>
  <c r="U11" i="69"/>
  <c r="AE18" i="69"/>
  <c r="AE21" i="69"/>
  <c r="AN21" i="69" s="1"/>
  <c r="AE24" i="69"/>
  <c r="AE27" i="69"/>
  <c r="AE30" i="69"/>
  <c r="AE33" i="69"/>
  <c r="AN33" i="69" s="1"/>
  <c r="AE36" i="69"/>
  <c r="AN36" i="69" s="1"/>
  <c r="AD7" i="69"/>
  <c r="AN7" i="69" s="1"/>
  <c r="AD13" i="69"/>
  <c r="W16" i="69"/>
  <c r="W19" i="69"/>
  <c r="W22" i="69"/>
  <c r="W25" i="69"/>
  <c r="X25" i="69" s="1"/>
  <c r="W28" i="69"/>
  <c r="X28" i="69" s="1"/>
  <c r="W31" i="69"/>
  <c r="W34" i="69"/>
  <c r="X34" i="69" s="1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X8" i="69" s="1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E41" i="22"/>
  <c r="AE44" i="22"/>
  <c r="AE47" i="22"/>
  <c r="AN47" i="22" s="1"/>
  <c r="AE50" i="22"/>
  <c r="AN50" i="22" s="1"/>
  <c r="AE53" i="22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W22" i="20"/>
  <c r="W25" i="20"/>
  <c r="W28" i="20"/>
  <c r="W31" i="20"/>
  <c r="W34" i="20"/>
  <c r="W37" i="20"/>
  <c r="W40" i="20"/>
  <c r="W43" i="20"/>
  <c r="W46" i="20"/>
  <c r="W49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J13" i="19"/>
  <c r="AL13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W14" i="15"/>
  <c r="AJ15" i="15"/>
  <c r="AL50" i="15"/>
  <c r="AL53" i="15"/>
  <c r="AL56" i="15"/>
  <c r="U79" i="15"/>
  <c r="U82" i="15"/>
  <c r="AL93" i="15"/>
  <c r="AJ93" i="15"/>
  <c r="AL94" i="15"/>
  <c r="AH116" i="15"/>
  <c r="AI116" i="15" s="1"/>
  <c r="AJ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W481" i="15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W442" i="15"/>
  <c r="W439" i="15"/>
  <c r="W436" i="15"/>
  <c r="W433" i="15"/>
  <c r="W430" i="15"/>
  <c r="W427" i="15"/>
  <c r="W424" i="15"/>
  <c r="W421" i="15"/>
  <c r="W418" i="15"/>
  <c r="W415" i="15"/>
  <c r="W412" i="15"/>
  <c r="W409" i="15"/>
  <c r="W406" i="15"/>
  <c r="W403" i="15"/>
  <c r="W400" i="15"/>
  <c r="W397" i="15"/>
  <c r="W394" i="15"/>
  <c r="W391" i="15"/>
  <c r="W388" i="15"/>
  <c r="W385" i="15"/>
  <c r="W382" i="15"/>
  <c r="W379" i="15"/>
  <c r="W376" i="15"/>
  <c r="W373" i="15"/>
  <c r="W370" i="15"/>
  <c r="W367" i="15"/>
  <c r="W364" i="15"/>
  <c r="W361" i="15"/>
  <c r="W358" i="15"/>
  <c r="W355" i="15"/>
  <c r="W352" i="15"/>
  <c r="W349" i="15"/>
  <c r="W346" i="15"/>
  <c r="W343" i="15"/>
  <c r="W340" i="15"/>
  <c r="W337" i="15"/>
  <c r="W334" i="15"/>
  <c r="W331" i="15"/>
  <c r="W328" i="15"/>
  <c r="W325" i="15"/>
  <c r="W322" i="15"/>
  <c r="W319" i="15"/>
  <c r="W316" i="15"/>
  <c r="W313" i="15"/>
  <c r="W310" i="15"/>
  <c r="W307" i="15"/>
  <c r="W304" i="15"/>
  <c r="W301" i="15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W504" i="15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W429" i="15"/>
  <c r="W426" i="15"/>
  <c r="W423" i="15"/>
  <c r="W420" i="15"/>
  <c r="W417" i="15"/>
  <c r="W414" i="15"/>
  <c r="W411" i="15"/>
  <c r="W408" i="15"/>
  <c r="W405" i="15"/>
  <c r="W402" i="15"/>
  <c r="W399" i="15"/>
  <c r="W396" i="15"/>
  <c r="W393" i="15"/>
  <c r="W390" i="15"/>
  <c r="W387" i="15"/>
  <c r="W384" i="15"/>
  <c r="W381" i="15"/>
  <c r="W378" i="15"/>
  <c r="W375" i="15"/>
  <c r="W372" i="15"/>
  <c r="W369" i="15"/>
  <c r="W366" i="15"/>
  <c r="W363" i="15"/>
  <c r="W360" i="15"/>
  <c r="W357" i="15"/>
  <c r="W354" i="15"/>
  <c r="W351" i="15"/>
  <c r="W348" i="15"/>
  <c r="W345" i="15"/>
  <c r="W342" i="15"/>
  <c r="W339" i="15"/>
  <c r="W336" i="15"/>
  <c r="W333" i="15"/>
  <c r="W330" i="15"/>
  <c r="W327" i="15"/>
  <c r="W324" i="15"/>
  <c r="W321" i="15"/>
  <c r="W318" i="15"/>
  <c r="W315" i="15"/>
  <c r="W312" i="15"/>
  <c r="W309" i="15"/>
  <c r="W306" i="15"/>
  <c r="W303" i="15"/>
  <c r="W300" i="15"/>
  <c r="W297" i="15"/>
  <c r="W294" i="15"/>
  <c r="W291" i="15"/>
  <c r="W288" i="15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W512" i="15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W437" i="15"/>
  <c r="W434" i="15"/>
  <c r="W431" i="15"/>
  <c r="W428" i="15"/>
  <c r="W425" i="15"/>
  <c r="W422" i="15"/>
  <c r="W419" i="15"/>
  <c r="W416" i="15"/>
  <c r="W413" i="15"/>
  <c r="W410" i="15"/>
  <c r="W407" i="15"/>
  <c r="W404" i="15"/>
  <c r="W401" i="15"/>
  <c r="W398" i="15"/>
  <c r="W395" i="15"/>
  <c r="W392" i="15"/>
  <c r="W389" i="15"/>
  <c r="W386" i="15"/>
  <c r="W383" i="15"/>
  <c r="W380" i="15"/>
  <c r="W377" i="15"/>
  <c r="W374" i="15"/>
  <c r="W371" i="15"/>
  <c r="W368" i="15"/>
  <c r="W365" i="15"/>
  <c r="W362" i="15"/>
  <c r="W359" i="15"/>
  <c r="W356" i="15"/>
  <c r="W353" i="15"/>
  <c r="W350" i="15"/>
  <c r="W347" i="15"/>
  <c r="W344" i="15"/>
  <c r="W341" i="15"/>
  <c r="W338" i="15"/>
  <c r="W335" i="15"/>
  <c r="W332" i="15"/>
  <c r="W329" i="15"/>
  <c r="W326" i="15"/>
  <c r="W323" i="15"/>
  <c r="W320" i="15"/>
  <c r="W317" i="15"/>
  <c r="W314" i="15"/>
  <c r="W311" i="15"/>
  <c r="W308" i="15"/>
  <c r="W305" i="15"/>
  <c r="W302" i="15"/>
  <c r="W299" i="15"/>
  <c r="W296" i="15"/>
  <c r="W293" i="15"/>
  <c r="W290" i="15"/>
  <c r="W287" i="15"/>
  <c r="W284" i="15"/>
  <c r="W281" i="15"/>
  <c r="W278" i="15"/>
  <c r="W275" i="15"/>
  <c r="W272" i="15"/>
  <c r="W269" i="15"/>
  <c r="W266" i="15"/>
  <c r="W263" i="15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W238" i="15"/>
  <c r="W235" i="15"/>
  <c r="W232" i="15"/>
  <c r="W229" i="15"/>
  <c r="W226" i="15"/>
  <c r="W223" i="15"/>
  <c r="W220" i="15"/>
  <c r="W217" i="15"/>
  <c r="W214" i="15"/>
  <c r="W211" i="15"/>
  <c r="W208" i="15"/>
  <c r="W205" i="15"/>
  <c r="W202" i="15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W163" i="15"/>
  <c r="W160" i="15"/>
  <c r="W157" i="15"/>
  <c r="W154" i="15"/>
  <c r="W151" i="15"/>
  <c r="W148" i="15"/>
  <c r="W145" i="15"/>
  <c r="W142" i="15"/>
  <c r="W139" i="15"/>
  <c r="W136" i="15"/>
  <c r="W133" i="15"/>
  <c r="W130" i="15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W234" i="15"/>
  <c r="W231" i="15"/>
  <c r="W228" i="15"/>
  <c r="W225" i="15"/>
  <c r="W222" i="15"/>
  <c r="W219" i="15"/>
  <c r="W216" i="15"/>
  <c r="W213" i="15"/>
  <c r="W210" i="15"/>
  <c r="W207" i="15"/>
  <c r="W204" i="15"/>
  <c r="W201" i="15"/>
  <c r="W198" i="15"/>
  <c r="W195" i="15"/>
  <c r="W192" i="15"/>
  <c r="W189" i="15"/>
  <c r="W186" i="15"/>
  <c r="W183" i="15"/>
  <c r="W180" i="15"/>
  <c r="W177" i="15"/>
  <c r="W174" i="15"/>
  <c r="W171" i="15"/>
  <c r="W168" i="15"/>
  <c r="W165" i="15"/>
  <c r="W162" i="15"/>
  <c r="W159" i="15"/>
  <c r="W156" i="15"/>
  <c r="W153" i="15"/>
  <c r="W150" i="15"/>
  <c r="W147" i="15"/>
  <c r="W144" i="15"/>
  <c r="W141" i="15"/>
  <c r="W138" i="15"/>
  <c r="W135" i="15"/>
  <c r="W132" i="15"/>
  <c r="W129" i="15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W260" i="15"/>
  <c r="W257" i="15"/>
  <c r="W254" i="15"/>
  <c r="W251" i="15"/>
  <c r="W248" i="15"/>
  <c r="W245" i="15"/>
  <c r="W242" i="15"/>
  <c r="W239" i="15"/>
  <c r="W236" i="15"/>
  <c r="W233" i="15"/>
  <c r="W230" i="15"/>
  <c r="W227" i="15"/>
  <c r="W224" i="15"/>
  <c r="W221" i="15"/>
  <c r="W218" i="15"/>
  <c r="W215" i="15"/>
  <c r="W212" i="15"/>
  <c r="W209" i="15"/>
  <c r="W206" i="15"/>
  <c r="W203" i="15"/>
  <c r="W200" i="15"/>
  <c r="W197" i="15"/>
  <c r="W194" i="15"/>
  <c r="W191" i="15"/>
  <c r="W188" i="15"/>
  <c r="W185" i="15"/>
  <c r="W182" i="15"/>
  <c r="W179" i="15"/>
  <c r="W176" i="15"/>
  <c r="W173" i="15"/>
  <c r="W170" i="15"/>
  <c r="W167" i="15"/>
  <c r="W164" i="15"/>
  <c r="W161" i="15"/>
  <c r="W158" i="15"/>
  <c r="W155" i="15"/>
  <c r="W152" i="15"/>
  <c r="W149" i="15"/>
  <c r="W146" i="15"/>
  <c r="W143" i="15"/>
  <c r="W140" i="15"/>
  <c r="W137" i="15"/>
  <c r="W134" i="15"/>
  <c r="W131" i="15"/>
  <c r="W128" i="15"/>
  <c r="W125" i="15"/>
  <c r="W122" i="15"/>
  <c r="W118" i="15"/>
  <c r="W109" i="15"/>
  <c r="W119" i="15"/>
  <c r="W110" i="15"/>
  <c r="W96" i="15"/>
  <c r="W93" i="15"/>
  <c r="W90" i="15"/>
  <c r="W87" i="15"/>
  <c r="W84" i="15"/>
  <c r="W81" i="15"/>
  <c r="W78" i="15"/>
  <c r="W75" i="15"/>
  <c r="W72" i="15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W98" i="15"/>
  <c r="W95" i="15"/>
  <c r="W92" i="15"/>
  <c r="W89" i="15"/>
  <c r="W86" i="15"/>
  <c r="W83" i="15"/>
  <c r="W80" i="15"/>
  <c r="W77" i="15"/>
  <c r="W74" i="15"/>
  <c r="W71" i="15"/>
  <c r="W68" i="15"/>
  <c r="W65" i="15"/>
  <c r="W62" i="15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W85" i="15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D62" i="15"/>
  <c r="AL63" i="15"/>
  <c r="AJ63" i="15"/>
  <c r="U88" i="15"/>
  <c r="AL89" i="15"/>
  <c r="AJ89" i="15"/>
  <c r="AL96" i="15"/>
  <c r="AJ96" i="15"/>
  <c r="AL97" i="15"/>
  <c r="U14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87" i="15"/>
  <c r="AJ87" i="15"/>
  <c r="AH5" i="15"/>
  <c r="AI5" i="15" s="1"/>
  <c r="AJ5" i="15" s="1"/>
  <c r="U7" i="15"/>
  <c r="AJ8" i="15"/>
  <c r="AD12" i="15"/>
  <c r="U13" i="15"/>
  <c r="AJ16" i="15"/>
  <c r="W18" i="15"/>
  <c r="AJ19" i="15"/>
  <c r="W21" i="15"/>
  <c r="AJ22" i="15"/>
  <c r="W24" i="15"/>
  <c r="AJ25" i="15"/>
  <c r="W27" i="15"/>
  <c r="W30" i="15"/>
  <c r="AJ31" i="15"/>
  <c r="W33" i="15"/>
  <c r="AJ34" i="15"/>
  <c r="W36" i="15"/>
  <c r="AJ37" i="15"/>
  <c r="W39" i="15"/>
  <c r="AJ40" i="15"/>
  <c r="AD42" i="15"/>
  <c r="W44" i="15"/>
  <c r="W45" i="15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W7" i="15"/>
  <c r="W13" i="15"/>
  <c r="U16" i="15"/>
  <c r="AD18" i="15"/>
  <c r="U19" i="15"/>
  <c r="AD21" i="15"/>
  <c r="AN21" i="15" s="1"/>
  <c r="U22" i="15"/>
  <c r="AD24" i="15"/>
  <c r="U25" i="15"/>
  <c r="AD27" i="15"/>
  <c r="AN27" i="15" s="1"/>
  <c r="U28" i="15"/>
  <c r="AD30" i="15"/>
  <c r="AN30" i="15" s="1"/>
  <c r="U31" i="15"/>
  <c r="AD33" i="15"/>
  <c r="U34" i="15"/>
  <c r="AD36" i="15"/>
  <c r="U37" i="15"/>
  <c r="AD39" i="15"/>
  <c r="AN39" i="15" s="1"/>
  <c r="U40" i="15"/>
  <c r="AE44" i="15"/>
  <c r="AN44" i="15" s="1"/>
  <c r="AD45" i="15"/>
  <c r="W47" i="15"/>
  <c r="W48" i="15"/>
  <c r="AE50" i="15"/>
  <c r="AD50" i="15"/>
  <c r="U52" i="15"/>
  <c r="AE53" i="15"/>
  <c r="AD53" i="15"/>
  <c r="U55" i="15"/>
  <c r="AE56" i="15"/>
  <c r="AD56" i="15"/>
  <c r="W57" i="15"/>
  <c r="W58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D70" i="15"/>
  <c r="AN70" i="15" s="1"/>
  <c r="AD73" i="15"/>
  <c r="AN73" i="15" s="1"/>
  <c r="AD76" i="15"/>
  <c r="AN76" i="15" s="1"/>
  <c r="AD79" i="15"/>
  <c r="AN79" i="15" s="1"/>
  <c r="AD82" i="15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3" i="68"/>
  <c r="L24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U11" i="6"/>
  <c r="W16" i="6"/>
  <c r="W19" i="6"/>
  <c r="W22" i="6"/>
  <c r="W11" i="6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3" i="68"/>
  <c r="P24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3" i="68"/>
  <c r="J24" i="68" s="1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W20" i="3"/>
  <c r="W23" i="3"/>
  <c r="AD5" i="3"/>
  <c r="AJ10" i="3"/>
  <c r="AD14" i="3"/>
  <c r="U15" i="3"/>
  <c r="W12" i="3"/>
  <c r="AE14" i="3"/>
  <c r="U18" i="3"/>
  <c r="U21" i="3"/>
  <c r="U24" i="3"/>
  <c r="W15" i="3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W182" i="65"/>
  <c r="W179" i="65"/>
  <c r="W176" i="65"/>
  <c r="W173" i="65"/>
  <c r="W170" i="65"/>
  <c r="W168" i="65"/>
  <c r="W166" i="65"/>
  <c r="W163" i="65"/>
  <c r="W161" i="65"/>
  <c r="W159" i="65"/>
  <c r="W156" i="65"/>
  <c r="W153" i="65"/>
  <c r="W147" i="65"/>
  <c r="W145" i="65"/>
  <c r="W142" i="65"/>
  <c r="W139" i="65"/>
  <c r="W132" i="65"/>
  <c r="W129" i="65"/>
  <c r="W126" i="65"/>
  <c r="W123" i="65"/>
  <c r="W120" i="65"/>
  <c r="W113" i="65"/>
  <c r="W111" i="65"/>
  <c r="W109" i="65"/>
  <c r="W106" i="65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W181" i="65"/>
  <c r="W178" i="65"/>
  <c r="W175" i="65"/>
  <c r="W172" i="65"/>
  <c r="W169" i="65"/>
  <c r="W165" i="65"/>
  <c r="W160" i="65"/>
  <c r="W158" i="65"/>
  <c r="W155" i="65"/>
  <c r="W152" i="65"/>
  <c r="W144" i="65"/>
  <c r="W141" i="65"/>
  <c r="W138" i="65"/>
  <c r="W136" i="65"/>
  <c r="W134" i="65"/>
  <c r="W131" i="65"/>
  <c r="W128" i="65"/>
  <c r="W125" i="65"/>
  <c r="W122" i="65"/>
  <c r="W119" i="65"/>
  <c r="W117" i="65"/>
  <c r="W115" i="65"/>
  <c r="W108" i="65"/>
  <c r="W105" i="65"/>
  <c r="W102" i="65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W54" i="65"/>
  <c r="W52" i="65"/>
  <c r="W50" i="65"/>
  <c r="W45" i="65"/>
  <c r="W43" i="65"/>
  <c r="W40" i="65"/>
  <c r="W38" i="65"/>
  <c r="W35" i="65"/>
  <c r="W33" i="65"/>
  <c r="W30" i="65"/>
  <c r="W28" i="65"/>
  <c r="W23" i="65"/>
  <c r="W20" i="65"/>
  <c r="W17" i="65"/>
  <c r="U12" i="65"/>
  <c r="W174" i="65"/>
  <c r="W151" i="65"/>
  <c r="W127" i="65"/>
  <c r="W95" i="65"/>
  <c r="W14" i="65"/>
  <c r="W189" i="65"/>
  <c r="W157" i="65"/>
  <c r="W140" i="65"/>
  <c r="W110" i="65"/>
  <c r="W149" i="65"/>
  <c r="W121" i="65"/>
  <c r="W89" i="65"/>
  <c r="W183" i="65"/>
  <c r="W135" i="65"/>
  <c r="W104" i="65"/>
  <c r="W75" i="65"/>
  <c r="W69" i="65"/>
  <c r="W63" i="65"/>
  <c r="W57" i="65"/>
  <c r="W53" i="65"/>
  <c r="W51" i="65"/>
  <c r="W49" i="65"/>
  <c r="W47" i="65"/>
  <c r="W44" i="65"/>
  <c r="W42" i="65"/>
  <c r="W39" i="65"/>
  <c r="W37" i="65"/>
  <c r="W32" i="65"/>
  <c r="W27" i="65"/>
  <c r="W25" i="65"/>
  <c r="W22" i="65"/>
  <c r="W19" i="65"/>
  <c r="W16" i="65"/>
  <c r="W164" i="65"/>
  <c r="W148" i="65"/>
  <c r="W116" i="65"/>
  <c r="W83" i="65"/>
  <c r="W80" i="65"/>
  <c r="W177" i="65"/>
  <c r="W130" i="65"/>
  <c r="W98" i="65"/>
  <c r="W76" i="65"/>
  <c r="W70" i="65"/>
  <c r="W64" i="65"/>
  <c r="W58" i="65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W186" i="65"/>
  <c r="W154" i="65"/>
  <c r="W137" i="65"/>
  <c r="W107" i="65"/>
  <c r="W167" i="65"/>
  <c r="W118" i="65"/>
  <c r="W86" i="65"/>
  <c r="W78" i="65"/>
  <c r="W72" i="65"/>
  <c r="W66" i="65"/>
  <c r="W60" i="65"/>
  <c r="W55" i="65"/>
  <c r="U48" i="65"/>
  <c r="U46" i="65"/>
  <c r="U41" i="65"/>
  <c r="U36" i="65"/>
  <c r="U34" i="65"/>
  <c r="U31" i="65"/>
  <c r="U29" i="65"/>
  <c r="U26" i="65"/>
  <c r="U24" i="65"/>
  <c r="U21" i="65"/>
  <c r="U18" i="65"/>
  <c r="W12" i="65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61" i="67"/>
  <c r="N61" i="67" s="1"/>
  <c r="Q61" i="67" s="1"/>
  <c r="X5" i="62"/>
  <c r="Z5" i="62" s="1"/>
  <c r="AB5" i="62" s="1"/>
  <c r="A18" i="62"/>
  <c r="X6" i="62"/>
  <c r="AA6" i="62" s="1"/>
  <c r="AC6" i="62" s="1"/>
  <c r="AP6" i="62" s="1"/>
  <c r="I19" i="67"/>
  <c r="X5" i="50"/>
  <c r="AA5" i="50" s="1"/>
  <c r="AC5" i="50" s="1"/>
  <c r="X7" i="50"/>
  <c r="AA7" i="50" s="1"/>
  <c r="AC7" i="50" s="1"/>
  <c r="AP7" i="50" s="1"/>
  <c r="X13" i="50"/>
  <c r="AA13" i="50" s="1"/>
  <c r="AC13" i="50" s="1"/>
  <c r="X6" i="50"/>
  <c r="AA6" i="50" s="1"/>
  <c r="AC6" i="50" s="1"/>
  <c r="AP6" i="50" s="1"/>
  <c r="I64" i="68"/>
  <c r="O64" i="68" s="1"/>
  <c r="R64" i="68" s="1"/>
  <c r="X14" i="62"/>
  <c r="AA14" i="62" s="1"/>
  <c r="AC14" i="62" s="1"/>
  <c r="AP14" i="62" s="1"/>
  <c r="I66" i="68"/>
  <c r="O66" i="68" s="1"/>
  <c r="R66" i="68" s="1"/>
  <c r="X18" i="50"/>
  <c r="Z18" i="50" s="1"/>
  <c r="AB18" i="50" s="1"/>
  <c r="AO18" i="50" s="1"/>
  <c r="I60" i="68"/>
  <c r="O60" i="68" s="1"/>
  <c r="R60" i="68" s="1"/>
  <c r="I63" i="68"/>
  <c r="O63" i="68" s="1"/>
  <c r="R63" i="68" s="1"/>
  <c r="O44" i="67"/>
  <c r="R44" i="67" s="1"/>
  <c r="I59" i="67"/>
  <c r="O59" i="67" s="1"/>
  <c r="R59" i="67" s="1"/>
  <c r="X11" i="50"/>
  <c r="Z11" i="50" s="1"/>
  <c r="AB11" i="50" s="1"/>
  <c r="AO11" i="50" s="1"/>
  <c r="X14" i="50"/>
  <c r="AA14" i="50" s="1"/>
  <c r="AC14" i="50" s="1"/>
  <c r="AP14" i="50" s="1"/>
  <c r="N40" i="67"/>
  <c r="Q40" i="67" s="1"/>
  <c r="I61" i="68"/>
  <c r="O61" i="68" s="1"/>
  <c r="R61" i="68" s="1"/>
  <c r="I70" i="68"/>
  <c r="O70" i="68" s="1"/>
  <c r="R70" i="68" s="1"/>
  <c r="I50" i="67"/>
  <c r="O50" i="67" s="1"/>
  <c r="R50" i="67" s="1"/>
  <c r="I58" i="67"/>
  <c r="X19" i="50"/>
  <c r="AA19" i="50" s="1"/>
  <c r="AC19" i="50" s="1"/>
  <c r="AP19" i="50" s="1"/>
  <c r="X16" i="62"/>
  <c r="AA16" i="62" s="1"/>
  <c r="AC16" i="62" s="1"/>
  <c r="I72" i="68"/>
  <c r="N72" i="68" s="1"/>
  <c r="Q72" i="68" s="1"/>
  <c r="A8" i="22"/>
  <c r="I51" i="67"/>
  <c r="N51" i="67" s="1"/>
  <c r="Q51" i="67" s="1"/>
  <c r="X7" i="42"/>
  <c r="AA7" i="42" s="1"/>
  <c r="AC7" i="42" s="1"/>
  <c r="A8" i="61"/>
  <c r="I69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A8" i="54"/>
  <c r="I77" i="68"/>
  <c r="I45" i="67"/>
  <c r="O45" i="67" s="1"/>
  <c r="R45" i="67" s="1"/>
  <c r="I59" i="68"/>
  <c r="N59" i="68" s="1"/>
  <c r="Q59" i="68" s="1"/>
  <c r="A8" i="45"/>
  <c r="I54" i="67"/>
  <c r="N54" i="67" s="1"/>
  <c r="Q54" i="67" s="1"/>
  <c r="I57" i="68"/>
  <c r="O57" i="68" s="1"/>
  <c r="R57" i="68" s="1"/>
  <c r="I46" i="67"/>
  <c r="O46" i="67" s="1"/>
  <c r="R46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5" i="67"/>
  <c r="O55" i="67" s="1"/>
  <c r="R55" i="67" s="1"/>
  <c r="A8" i="60"/>
  <c r="A18" i="50"/>
  <c r="N19" i="67" s="1"/>
  <c r="X8" i="50"/>
  <c r="X12" i="50"/>
  <c r="AA12" i="50" s="1"/>
  <c r="AC12" i="50" s="1"/>
  <c r="X17" i="50"/>
  <c r="Z17" i="50" s="1"/>
  <c r="AB17" i="50" s="1"/>
  <c r="AO17" i="50" s="1"/>
  <c r="N56" i="68"/>
  <c r="Q56" i="68" s="1"/>
  <c r="X20" i="21"/>
  <c r="X19" i="21"/>
  <c r="X12" i="21"/>
  <c r="X11" i="21"/>
  <c r="X7" i="21"/>
  <c r="X21" i="21"/>
  <c r="A20" i="21"/>
  <c r="O22" i="68" s="1"/>
  <c r="R22" i="68" s="1"/>
  <c r="X14" i="21"/>
  <c r="X8" i="21"/>
  <c r="X5" i="21"/>
  <c r="X16" i="21"/>
  <c r="X15" i="21"/>
  <c r="X10" i="21"/>
  <c r="X6" i="21"/>
  <c r="X17" i="21"/>
  <c r="X24" i="21"/>
  <c r="X9" i="21"/>
  <c r="X18" i="21"/>
  <c r="I22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8" i="67" s="1"/>
  <c r="R18" i="67" s="1"/>
  <c r="X13" i="49"/>
  <c r="X5" i="49"/>
  <c r="X7" i="49"/>
  <c r="X11" i="49"/>
  <c r="X19" i="49"/>
  <c r="X12" i="49"/>
  <c r="X14" i="49"/>
  <c r="A18" i="49"/>
  <c r="N18" i="67" s="1"/>
  <c r="X8" i="49"/>
  <c r="I18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30" i="67" s="1"/>
  <c r="R30" i="67" s="1"/>
  <c r="X14" i="56"/>
  <c r="X13" i="56"/>
  <c r="X8" i="56"/>
  <c r="X5" i="56"/>
  <c r="X24" i="56"/>
  <c r="X17" i="56"/>
  <c r="X12" i="56"/>
  <c r="A18" i="56"/>
  <c r="N30" i="67" s="1"/>
  <c r="X15" i="56"/>
  <c r="X9" i="56"/>
  <c r="X6" i="56"/>
  <c r="X23" i="56"/>
  <c r="X11" i="56"/>
  <c r="X19" i="56"/>
  <c r="X18" i="56"/>
  <c r="X7" i="56"/>
  <c r="I30" i="67"/>
  <c r="Q44" i="67"/>
  <c r="O49" i="67"/>
  <c r="R49" i="67" s="1"/>
  <c r="N49" i="67"/>
  <c r="Q49" i="67" s="1"/>
  <c r="X57" i="69"/>
  <c r="X53" i="69"/>
  <c r="X49" i="69"/>
  <c r="X45" i="69"/>
  <c r="X41" i="69"/>
  <c r="X37" i="69"/>
  <c r="X33" i="69"/>
  <c r="X17" i="69"/>
  <c r="X10" i="69"/>
  <c r="X9" i="69"/>
  <c r="X62" i="69"/>
  <c r="X58" i="69"/>
  <c r="X50" i="69"/>
  <c r="X46" i="69"/>
  <c r="X42" i="69"/>
  <c r="X38" i="69"/>
  <c r="X26" i="69"/>
  <c r="X20" i="69"/>
  <c r="X19" i="69"/>
  <c r="A18" i="69"/>
  <c r="N27" i="68" s="1"/>
  <c r="X11" i="69"/>
  <c r="X7" i="69"/>
  <c r="X60" i="69"/>
  <c r="X52" i="69"/>
  <c r="X44" i="69"/>
  <c r="X36" i="69"/>
  <c r="X16" i="69"/>
  <c r="X14" i="69"/>
  <c r="X13" i="69"/>
  <c r="X63" i="69"/>
  <c r="X55" i="69"/>
  <c r="X39" i="69"/>
  <c r="X31" i="69"/>
  <c r="X22" i="69"/>
  <c r="X21" i="69"/>
  <c r="A20" i="69"/>
  <c r="O27" i="68" s="1"/>
  <c r="R27" i="68" s="1"/>
  <c r="X15" i="69"/>
  <c r="X5" i="69"/>
  <c r="X67" i="69"/>
  <c r="X56" i="69"/>
  <c r="X43" i="69"/>
  <c r="X23" i="69"/>
  <c r="I27" i="68"/>
  <c r="X59" i="69"/>
  <c r="X40" i="69"/>
  <c r="X27" i="69"/>
  <c r="X24" i="69"/>
  <c r="X16" i="58"/>
  <c r="X15" i="58"/>
  <c r="X6" i="58"/>
  <c r="X17" i="58"/>
  <c r="X10" i="58"/>
  <c r="X9" i="58"/>
  <c r="X22" i="58"/>
  <c r="A20" i="58"/>
  <c r="O33" i="67" s="1"/>
  <c r="R33" i="67" s="1"/>
  <c r="X13" i="58"/>
  <c r="X5" i="58"/>
  <c r="X7" i="58"/>
  <c r="X19" i="58"/>
  <c r="X12" i="58"/>
  <c r="A18" i="58"/>
  <c r="N33" i="67" s="1"/>
  <c r="X8" i="58"/>
  <c r="X14" i="58"/>
  <c r="I33" i="67"/>
  <c r="X18" i="59"/>
  <c r="X17" i="59"/>
  <c r="X10" i="59"/>
  <c r="X9" i="59"/>
  <c r="X21" i="59"/>
  <c r="X24" i="59"/>
  <c r="X8" i="59"/>
  <c r="X5" i="59"/>
  <c r="X22" i="59"/>
  <c r="X20" i="59"/>
  <c r="X13" i="59"/>
  <c r="X6" i="59"/>
  <c r="A20" i="59"/>
  <c r="O34" i="67" s="1"/>
  <c r="R34" i="67" s="1"/>
  <c r="X15" i="59"/>
  <c r="X7" i="59"/>
  <c r="X19" i="59"/>
  <c r="A18" i="59"/>
  <c r="N34" i="67" s="1"/>
  <c r="I34" i="67"/>
  <c r="X27" i="24"/>
  <c r="X21" i="24"/>
  <c r="A20" i="24"/>
  <c r="O34" i="68" s="1"/>
  <c r="R34" i="68" s="1"/>
  <c r="X14" i="24"/>
  <c r="X5" i="24"/>
  <c r="X24" i="24"/>
  <c r="X23" i="24"/>
  <c r="X15" i="24"/>
  <c r="X6" i="24"/>
  <c r="X9" i="24"/>
  <c r="X20" i="24"/>
  <c r="X11" i="24"/>
  <c r="X26" i="24"/>
  <c r="X25" i="24"/>
  <c r="X7" i="24"/>
  <c r="I34" i="68"/>
  <c r="X22" i="52"/>
  <c r="X21" i="52"/>
  <c r="A20" i="52"/>
  <c r="O21" i="67" s="1"/>
  <c r="R21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7" i="63"/>
  <c r="A18" i="24"/>
  <c r="N34" i="68" s="1"/>
  <c r="A8" i="31"/>
  <c r="A18" i="31" s="1"/>
  <c r="N42" i="68" s="1"/>
  <c r="X66" i="47"/>
  <c r="X62" i="47"/>
  <c r="X58" i="47"/>
  <c r="X46" i="47"/>
  <c r="X42" i="47"/>
  <c r="X34" i="47"/>
  <c r="X26" i="47"/>
  <c r="X20" i="47"/>
  <c r="X19" i="47"/>
  <c r="X7" i="47"/>
  <c r="X63" i="47"/>
  <c r="X59" i="47"/>
  <c r="X55" i="47"/>
  <c r="X47" i="47"/>
  <c r="X35" i="47"/>
  <c r="X22" i="47"/>
  <c r="X21" i="47"/>
  <c r="A20" i="47"/>
  <c r="O15" i="67" s="1"/>
  <c r="R15" i="67" s="1"/>
  <c r="X13" i="47"/>
  <c r="X8" i="47"/>
  <c r="X64" i="47"/>
  <c r="X60" i="47"/>
  <c r="X56" i="47"/>
  <c r="X48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I15" i="67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8" i="67" s="1"/>
  <c r="R38" i="67" s="1"/>
  <c r="V38" i="67" s="1"/>
  <c r="X13" i="64"/>
  <c r="X5" i="64"/>
  <c r="X15" i="64"/>
  <c r="X8" i="64"/>
  <c r="X6" i="64"/>
  <c r="X10" i="64"/>
  <c r="X22" i="64"/>
  <c r="X18" i="64"/>
  <c r="I38" i="67"/>
  <c r="A20" i="29"/>
  <c r="O40" i="68" s="1"/>
  <c r="R40" i="68" s="1"/>
  <c r="X27" i="29"/>
  <c r="I40" i="68"/>
  <c r="X19" i="51"/>
  <c r="X11" i="51"/>
  <c r="X7" i="51"/>
  <c r="A20" i="51"/>
  <c r="O20" i="67" s="1"/>
  <c r="R20" i="67" s="1"/>
  <c r="X8" i="51"/>
  <c r="X18" i="51"/>
  <c r="X17" i="51"/>
  <c r="X24" i="51"/>
  <c r="X16" i="51"/>
  <c r="X15" i="51"/>
  <c r="X10" i="51"/>
  <c r="I20" i="67"/>
  <c r="V40" i="67"/>
  <c r="O36" i="2" s="1"/>
  <c r="O68" i="67"/>
  <c r="R68" i="67" s="1"/>
  <c r="X12" i="71"/>
  <c r="X41" i="57"/>
  <c r="X37" i="57"/>
  <c r="X17" i="57"/>
  <c r="X46" i="57"/>
  <c r="X42" i="57"/>
  <c r="X38" i="57"/>
  <c r="X34" i="57"/>
  <c r="X47" i="57"/>
  <c r="X39" i="57"/>
  <c r="X21" i="57"/>
  <c r="A20" i="57"/>
  <c r="O32" i="67" s="1"/>
  <c r="X15" i="57"/>
  <c r="X8" i="57"/>
  <c r="X24" i="57"/>
  <c r="X23" i="57"/>
  <c r="X10" i="57"/>
  <c r="X35" i="57"/>
  <c r="X5" i="57"/>
  <c r="I32" i="67"/>
  <c r="A8" i="35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3" i="21"/>
  <c r="I55" i="68"/>
  <c r="I68" i="68"/>
  <c r="I56" i="67"/>
  <c r="I60" i="67"/>
  <c r="N67" i="67"/>
  <c r="A8" i="44"/>
  <c r="O67" i="67"/>
  <c r="A18" i="21"/>
  <c r="N22" i="68" s="1"/>
  <c r="A18" i="29"/>
  <c r="N40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2"/>
  <c r="N21" i="67" s="1"/>
  <c r="A18" i="73"/>
  <c r="N27" i="67" s="1"/>
  <c r="A18" i="51"/>
  <c r="N20" i="67" s="1"/>
  <c r="A18" i="57"/>
  <c r="N32" i="67" s="1"/>
  <c r="X15" i="50"/>
  <c r="X16" i="50"/>
  <c r="X23" i="50"/>
  <c r="X24" i="50"/>
  <c r="A20" i="50"/>
  <c r="O19" i="67" s="1"/>
  <c r="R19" i="67" s="1"/>
  <c r="X21" i="50"/>
  <c r="A18" i="64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O58" i="67" l="1"/>
  <c r="I63" i="67"/>
  <c r="X7" i="38"/>
  <c r="X24" i="30"/>
  <c r="I74" i="68"/>
  <c r="X22" i="63"/>
  <c r="A18" i="23"/>
  <c r="N33" i="68" s="1"/>
  <c r="X18" i="23"/>
  <c r="X15" i="23"/>
  <c r="X27" i="23"/>
  <c r="X23" i="63"/>
  <c r="AA23" i="63" s="1"/>
  <c r="AC23" i="63" s="1"/>
  <c r="AP23" i="63" s="1"/>
  <c r="A18" i="63"/>
  <c r="X17" i="23"/>
  <c r="Z17" i="23" s="1"/>
  <c r="AB17" i="23" s="1"/>
  <c r="AO17" i="23" s="1"/>
  <c r="X22" i="23"/>
  <c r="AA22" i="23" s="1"/>
  <c r="AC22" i="23" s="1"/>
  <c r="AP22" i="23" s="1"/>
  <c r="X9" i="63"/>
  <c r="X21" i="63"/>
  <c r="AA21" i="63" s="1"/>
  <c r="AC21" i="63" s="1"/>
  <c r="AP21" i="63" s="1"/>
  <c r="X6" i="23"/>
  <c r="AA6" i="23" s="1"/>
  <c r="AC6" i="23" s="1"/>
  <c r="AP6" i="23" s="1"/>
  <c r="X6" i="63"/>
  <c r="X16" i="23"/>
  <c r="X11" i="63"/>
  <c r="AA11" i="63" s="1"/>
  <c r="AC11" i="63" s="1"/>
  <c r="AP11" i="63" s="1"/>
  <c r="X23" i="23"/>
  <c r="X17" i="63"/>
  <c r="X15" i="63"/>
  <c r="Z15" i="63" s="1"/>
  <c r="AB15" i="63" s="1"/>
  <c r="AO15" i="63" s="1"/>
  <c r="I41" i="67"/>
  <c r="N41" i="67" s="1"/>
  <c r="X24" i="63"/>
  <c r="AA24" i="63" s="1"/>
  <c r="AC24" i="63" s="1"/>
  <c r="AP24" i="63" s="1"/>
  <c r="X20" i="63"/>
  <c r="AA20" i="63" s="1"/>
  <c r="AC20" i="63" s="1"/>
  <c r="AP20" i="63" s="1"/>
  <c r="X24" i="23"/>
  <c r="I33" i="68"/>
  <c r="X5" i="23"/>
  <c r="AA5" i="23" s="1"/>
  <c r="AC5" i="23" s="1"/>
  <c r="X10" i="63"/>
  <c r="X5" i="63"/>
  <c r="X20" i="23"/>
  <c r="AA20" i="23" s="1"/>
  <c r="AC20" i="23" s="1"/>
  <c r="X12" i="63"/>
  <c r="X8" i="63"/>
  <c r="X26" i="23"/>
  <c r="AA26" i="23" s="1"/>
  <c r="AC26" i="23" s="1"/>
  <c r="AP26" i="23" s="1"/>
  <c r="X11" i="23"/>
  <c r="Z11" i="23" s="1"/>
  <c r="AB11" i="23" s="1"/>
  <c r="AO11" i="23" s="1"/>
  <c r="X13" i="23"/>
  <c r="Z13" i="23" s="1"/>
  <c r="AB13" i="23" s="1"/>
  <c r="AO13" i="23" s="1"/>
  <c r="X16" i="63"/>
  <c r="Z16" i="63" s="1"/>
  <c r="AB16" i="63" s="1"/>
  <c r="AO16" i="63" s="1"/>
  <c r="X13" i="63"/>
  <c r="X8" i="23"/>
  <c r="AA8" i="23" s="1"/>
  <c r="AC8" i="23" s="1"/>
  <c r="AP8" i="23" s="1"/>
  <c r="X19" i="23"/>
  <c r="AA19" i="23" s="1"/>
  <c r="AC19" i="23" s="1"/>
  <c r="X14" i="23"/>
  <c r="X18" i="63"/>
  <c r="X14" i="63"/>
  <c r="AA14" i="63" s="1"/>
  <c r="AC14" i="63" s="1"/>
  <c r="AP14" i="63" s="1"/>
  <c r="X7" i="23"/>
  <c r="X9" i="23"/>
  <c r="X19" i="63"/>
  <c r="AA19" i="63" s="1"/>
  <c r="AC19" i="63" s="1"/>
  <c r="AP19" i="63" s="1"/>
  <c r="AN10" i="51"/>
  <c r="AJ24" i="51"/>
  <c r="Z179" i="51"/>
  <c r="AB179" i="51" s="1"/>
  <c r="AO179" i="51" s="1"/>
  <c r="AA179" i="51"/>
  <c r="AC179" i="51" s="1"/>
  <c r="AP179" i="51" s="1"/>
  <c r="Z172" i="51"/>
  <c r="AB172" i="51" s="1"/>
  <c r="AO172" i="51" s="1"/>
  <c r="AA172" i="51"/>
  <c r="AC172" i="51" s="1"/>
  <c r="AP172" i="51" s="1"/>
  <c r="AA149" i="51"/>
  <c r="AC149" i="51" s="1"/>
  <c r="AP149" i="51" s="1"/>
  <c r="Z149" i="51"/>
  <c r="AB149" i="51" s="1"/>
  <c r="AO149" i="51" s="1"/>
  <c r="Z141" i="51"/>
  <c r="AB141" i="51" s="1"/>
  <c r="AO141" i="51" s="1"/>
  <c r="AA141" i="51"/>
  <c r="AC141" i="51" s="1"/>
  <c r="AP141" i="51" s="1"/>
  <c r="Z132" i="51"/>
  <c r="AB132" i="51" s="1"/>
  <c r="AO132" i="51" s="1"/>
  <c r="AA132" i="51"/>
  <c r="AC132" i="51" s="1"/>
  <c r="AP132" i="51" s="1"/>
  <c r="Z147" i="51"/>
  <c r="AB147" i="51" s="1"/>
  <c r="AO147" i="51" s="1"/>
  <c r="AA147" i="51"/>
  <c r="AC147" i="51" s="1"/>
  <c r="AP147" i="51" s="1"/>
  <c r="Z139" i="51"/>
  <c r="AB139" i="51" s="1"/>
  <c r="AO139" i="51" s="1"/>
  <c r="AA139" i="51"/>
  <c r="AC139" i="51" s="1"/>
  <c r="AP139" i="51" s="1"/>
  <c r="Z87" i="51"/>
  <c r="AB87" i="51" s="1"/>
  <c r="AO87" i="51" s="1"/>
  <c r="AA87" i="51"/>
  <c r="AC87" i="51" s="1"/>
  <c r="AP87" i="51" s="1"/>
  <c r="Z78" i="51"/>
  <c r="AB78" i="51" s="1"/>
  <c r="AO78" i="51" s="1"/>
  <c r="AA78" i="51"/>
  <c r="AC78" i="51" s="1"/>
  <c r="AP78" i="51" s="1"/>
  <c r="Z188" i="51"/>
  <c r="AB188" i="51" s="1"/>
  <c r="AO188" i="51" s="1"/>
  <c r="AA188" i="51"/>
  <c r="AC188" i="51" s="1"/>
  <c r="AP188" i="51" s="1"/>
  <c r="Z166" i="51"/>
  <c r="AB166" i="51" s="1"/>
  <c r="AO166" i="51" s="1"/>
  <c r="AA166" i="51"/>
  <c r="AC166" i="51" s="1"/>
  <c r="AP166" i="51" s="1"/>
  <c r="Z186" i="51"/>
  <c r="AB186" i="51" s="1"/>
  <c r="AO186" i="51" s="1"/>
  <c r="AA186" i="51"/>
  <c r="AC186" i="51" s="1"/>
  <c r="AP186" i="51" s="1"/>
  <c r="Z140" i="51"/>
  <c r="AB140" i="51" s="1"/>
  <c r="AO140" i="51" s="1"/>
  <c r="AA140" i="51"/>
  <c r="AC140" i="51" s="1"/>
  <c r="AP140" i="51" s="1"/>
  <c r="AA110" i="51"/>
  <c r="AC110" i="51" s="1"/>
  <c r="AP110" i="51" s="1"/>
  <c r="Z110" i="51"/>
  <c r="AB110" i="51" s="1"/>
  <c r="AO110" i="51" s="1"/>
  <c r="Z145" i="51"/>
  <c r="AB145" i="51" s="1"/>
  <c r="AO145" i="51" s="1"/>
  <c r="AA145" i="51"/>
  <c r="AC145" i="51" s="1"/>
  <c r="AP145" i="51" s="1"/>
  <c r="AA131" i="51"/>
  <c r="AC131" i="51" s="1"/>
  <c r="AP131" i="51" s="1"/>
  <c r="Z131" i="51"/>
  <c r="AB131" i="51" s="1"/>
  <c r="AO131" i="51" s="1"/>
  <c r="Z138" i="51"/>
  <c r="AB138" i="51" s="1"/>
  <c r="AO138" i="51" s="1"/>
  <c r="AA138" i="51"/>
  <c r="AC138" i="51" s="1"/>
  <c r="AP138" i="51" s="1"/>
  <c r="Z170" i="51"/>
  <c r="AB170" i="51" s="1"/>
  <c r="AO170" i="51" s="1"/>
  <c r="AA170" i="51"/>
  <c r="AC170" i="51" s="1"/>
  <c r="AP170" i="51" s="1"/>
  <c r="Z168" i="51"/>
  <c r="AB168" i="51" s="1"/>
  <c r="AO168" i="51" s="1"/>
  <c r="AA168" i="51"/>
  <c r="AC168" i="51" s="1"/>
  <c r="AP168" i="51" s="1"/>
  <c r="Z189" i="51"/>
  <c r="AB189" i="51" s="1"/>
  <c r="AO189" i="51" s="1"/>
  <c r="AA189" i="51"/>
  <c r="AC189" i="51" s="1"/>
  <c r="AP189" i="51" s="1"/>
  <c r="AA104" i="51"/>
  <c r="AC104" i="51" s="1"/>
  <c r="AP104" i="51" s="1"/>
  <c r="Z104" i="51"/>
  <c r="AB104" i="51" s="1"/>
  <c r="AO104" i="51" s="1"/>
  <c r="AA95" i="51"/>
  <c r="AC95" i="51" s="1"/>
  <c r="AP95" i="51" s="1"/>
  <c r="Z95" i="51"/>
  <c r="AB95" i="51" s="1"/>
  <c r="AO95" i="51" s="1"/>
  <c r="Z128" i="51"/>
  <c r="AB128" i="51" s="1"/>
  <c r="AO128" i="51" s="1"/>
  <c r="AA128" i="51"/>
  <c r="AC128" i="51" s="1"/>
  <c r="AP128" i="51" s="1"/>
  <c r="AA122" i="51"/>
  <c r="AC122" i="51" s="1"/>
  <c r="AP122" i="51" s="1"/>
  <c r="Z122" i="51"/>
  <c r="AB122" i="51" s="1"/>
  <c r="AO122" i="51" s="1"/>
  <c r="Z86" i="51"/>
  <c r="AB86" i="51" s="1"/>
  <c r="AO86" i="51" s="1"/>
  <c r="AA86" i="51"/>
  <c r="AC86" i="51" s="1"/>
  <c r="AP86" i="51" s="1"/>
  <c r="AA127" i="51"/>
  <c r="AC127" i="51" s="1"/>
  <c r="AP127" i="51" s="1"/>
  <c r="Z127" i="51"/>
  <c r="AB127" i="51" s="1"/>
  <c r="AO127" i="51" s="1"/>
  <c r="AA178" i="51"/>
  <c r="AC178" i="51" s="1"/>
  <c r="AP178" i="51" s="1"/>
  <c r="Z178" i="51"/>
  <c r="AB178" i="51" s="1"/>
  <c r="AO178" i="51" s="1"/>
  <c r="AA185" i="51"/>
  <c r="AC185" i="51" s="1"/>
  <c r="AP185" i="51" s="1"/>
  <c r="Z185" i="51"/>
  <c r="AB185" i="51" s="1"/>
  <c r="AO185" i="51" s="1"/>
  <c r="AA173" i="51"/>
  <c r="AC173" i="51" s="1"/>
  <c r="AP173" i="51" s="1"/>
  <c r="Z173" i="51"/>
  <c r="AB173" i="51" s="1"/>
  <c r="AO173" i="51" s="1"/>
  <c r="Z174" i="51"/>
  <c r="AB174" i="51" s="1"/>
  <c r="AO174" i="51" s="1"/>
  <c r="AA174" i="51"/>
  <c r="AC174" i="51" s="1"/>
  <c r="AP174" i="51" s="1"/>
  <c r="AA144" i="51"/>
  <c r="AC144" i="51" s="1"/>
  <c r="AP144" i="51" s="1"/>
  <c r="Z144" i="51"/>
  <c r="AB144" i="51" s="1"/>
  <c r="AO144" i="51" s="1"/>
  <c r="AA125" i="51"/>
  <c r="AC125" i="51" s="1"/>
  <c r="AP125" i="51" s="1"/>
  <c r="Z125" i="51"/>
  <c r="AB125" i="51" s="1"/>
  <c r="AO125" i="51" s="1"/>
  <c r="Z129" i="51"/>
  <c r="AB129" i="51" s="1"/>
  <c r="AO129" i="51" s="1"/>
  <c r="AA129" i="51"/>
  <c r="AC129" i="51" s="1"/>
  <c r="AP129" i="51" s="1"/>
  <c r="Z118" i="51"/>
  <c r="AB118" i="51" s="1"/>
  <c r="AO118" i="51" s="1"/>
  <c r="AA118" i="51"/>
  <c r="AC118" i="51" s="1"/>
  <c r="AP118" i="51" s="1"/>
  <c r="Z96" i="51"/>
  <c r="AB96" i="51" s="1"/>
  <c r="AO96" i="51" s="1"/>
  <c r="AA96" i="51"/>
  <c r="AC96" i="51" s="1"/>
  <c r="AP96" i="51" s="1"/>
  <c r="Z85" i="51"/>
  <c r="AB85" i="51" s="1"/>
  <c r="AO85" i="51" s="1"/>
  <c r="AA85" i="51"/>
  <c r="AC85" i="51" s="1"/>
  <c r="AP85" i="51" s="1"/>
  <c r="Z76" i="51"/>
  <c r="AB76" i="51" s="1"/>
  <c r="AO76" i="51" s="1"/>
  <c r="AA76" i="51"/>
  <c r="AC76" i="51" s="1"/>
  <c r="AP76" i="51" s="1"/>
  <c r="Z97" i="51"/>
  <c r="AB97" i="51" s="1"/>
  <c r="AO97" i="51" s="1"/>
  <c r="AA97" i="51"/>
  <c r="AC97" i="51" s="1"/>
  <c r="AP97" i="51" s="1"/>
  <c r="AA187" i="51"/>
  <c r="AC187" i="51" s="1"/>
  <c r="AP187" i="51" s="1"/>
  <c r="Z187" i="51"/>
  <c r="AB187" i="51" s="1"/>
  <c r="AO187" i="51" s="1"/>
  <c r="Z183" i="51"/>
  <c r="AB183" i="51" s="1"/>
  <c r="AO183" i="51" s="1"/>
  <c r="AA183" i="51"/>
  <c r="AC183" i="51" s="1"/>
  <c r="AP183" i="51" s="1"/>
  <c r="Z177" i="51"/>
  <c r="AB177" i="51" s="1"/>
  <c r="AO177" i="51" s="1"/>
  <c r="AA177" i="51"/>
  <c r="AC177" i="51" s="1"/>
  <c r="AP177" i="51" s="1"/>
  <c r="Z135" i="51"/>
  <c r="AB135" i="51" s="1"/>
  <c r="AO135" i="51" s="1"/>
  <c r="AA135" i="51"/>
  <c r="AC135" i="51" s="1"/>
  <c r="AP135" i="51" s="1"/>
  <c r="AA113" i="51"/>
  <c r="AC113" i="51" s="1"/>
  <c r="AP113" i="51" s="1"/>
  <c r="Z113" i="51"/>
  <c r="AB113" i="51" s="1"/>
  <c r="AO113" i="51" s="1"/>
  <c r="AA107" i="51"/>
  <c r="AC107" i="51" s="1"/>
  <c r="AP107" i="51" s="1"/>
  <c r="Z107" i="51"/>
  <c r="AB107" i="51" s="1"/>
  <c r="AO107" i="51" s="1"/>
  <c r="AA115" i="51"/>
  <c r="AC115" i="51" s="1"/>
  <c r="AP115" i="51" s="1"/>
  <c r="Z115" i="51"/>
  <c r="AB115" i="51" s="1"/>
  <c r="AO115" i="51" s="1"/>
  <c r="Z108" i="51"/>
  <c r="AB108" i="51" s="1"/>
  <c r="AO108" i="51" s="1"/>
  <c r="AA108" i="51"/>
  <c r="AC108" i="51" s="1"/>
  <c r="AP108" i="51" s="1"/>
  <c r="AA89" i="51"/>
  <c r="AC89" i="51" s="1"/>
  <c r="AP89" i="51" s="1"/>
  <c r="Z89" i="51"/>
  <c r="AB89" i="51" s="1"/>
  <c r="AO89" i="51" s="1"/>
  <c r="AA155" i="51"/>
  <c r="AC155" i="51" s="1"/>
  <c r="AP155" i="51" s="1"/>
  <c r="Z155" i="51"/>
  <c r="AB155" i="51" s="1"/>
  <c r="AO155" i="51" s="1"/>
  <c r="Z137" i="51"/>
  <c r="AB137" i="51" s="1"/>
  <c r="AO137" i="51" s="1"/>
  <c r="AA137" i="51"/>
  <c r="AC137" i="51" s="1"/>
  <c r="AP137" i="51" s="1"/>
  <c r="AA119" i="51"/>
  <c r="AC119" i="51" s="1"/>
  <c r="AP119" i="51" s="1"/>
  <c r="Z119" i="51"/>
  <c r="AB119" i="51" s="1"/>
  <c r="AO119" i="51" s="1"/>
  <c r="Z117" i="51"/>
  <c r="AB117" i="51" s="1"/>
  <c r="AO117" i="51" s="1"/>
  <c r="AA117" i="51"/>
  <c r="AC117" i="51" s="1"/>
  <c r="AP117" i="51" s="1"/>
  <c r="Z106" i="51"/>
  <c r="AB106" i="51" s="1"/>
  <c r="AO106" i="51" s="1"/>
  <c r="AA106" i="51"/>
  <c r="AC106" i="51" s="1"/>
  <c r="AP106" i="51" s="1"/>
  <c r="Z84" i="51"/>
  <c r="AB84" i="51" s="1"/>
  <c r="AO84" i="51" s="1"/>
  <c r="AA84" i="51"/>
  <c r="AC84" i="51" s="1"/>
  <c r="AP84" i="51" s="1"/>
  <c r="Z77" i="51"/>
  <c r="AB77" i="51" s="1"/>
  <c r="AO77" i="51" s="1"/>
  <c r="AA77" i="51"/>
  <c r="AC77" i="51" s="1"/>
  <c r="AP77" i="51" s="1"/>
  <c r="Z130" i="51"/>
  <c r="AB130" i="51" s="1"/>
  <c r="AO130" i="51" s="1"/>
  <c r="AA130" i="51"/>
  <c r="AC130" i="51" s="1"/>
  <c r="AP130" i="51" s="1"/>
  <c r="Z176" i="51"/>
  <c r="AB176" i="51" s="1"/>
  <c r="AO176" i="51" s="1"/>
  <c r="AA176" i="51"/>
  <c r="AC176" i="51" s="1"/>
  <c r="AP176" i="51" s="1"/>
  <c r="AA182" i="51"/>
  <c r="AC182" i="51" s="1"/>
  <c r="AP182" i="51" s="1"/>
  <c r="Z182" i="51"/>
  <c r="AB182" i="51" s="1"/>
  <c r="AO182" i="51" s="1"/>
  <c r="Z88" i="51"/>
  <c r="AB88" i="51" s="1"/>
  <c r="AO88" i="51" s="1"/>
  <c r="AA88" i="51"/>
  <c r="AC88" i="51" s="1"/>
  <c r="AP88" i="51" s="1"/>
  <c r="Z171" i="51"/>
  <c r="AB171" i="51" s="1"/>
  <c r="AO171" i="51" s="1"/>
  <c r="AA171" i="51"/>
  <c r="AC171" i="51" s="1"/>
  <c r="AP171" i="51" s="1"/>
  <c r="Z165" i="51"/>
  <c r="AB165" i="51" s="1"/>
  <c r="AO165" i="51" s="1"/>
  <c r="AA165" i="51"/>
  <c r="AC165" i="51" s="1"/>
  <c r="AP165" i="51" s="1"/>
  <c r="Z126" i="51"/>
  <c r="AB126" i="51" s="1"/>
  <c r="AO126" i="51" s="1"/>
  <c r="AA126" i="51"/>
  <c r="AC126" i="51" s="1"/>
  <c r="AP126" i="51" s="1"/>
  <c r="AA101" i="51"/>
  <c r="AC101" i="51" s="1"/>
  <c r="AP101" i="51" s="1"/>
  <c r="Z101" i="51"/>
  <c r="AB101" i="51" s="1"/>
  <c r="AO101" i="51" s="1"/>
  <c r="Z116" i="51"/>
  <c r="AB116" i="51" s="1"/>
  <c r="AO116" i="51" s="1"/>
  <c r="AA116" i="51"/>
  <c r="AC116" i="51" s="1"/>
  <c r="AP116" i="51" s="1"/>
  <c r="Z112" i="51"/>
  <c r="AB112" i="51" s="1"/>
  <c r="AO112" i="51" s="1"/>
  <c r="AA112" i="51"/>
  <c r="AC112" i="51" s="1"/>
  <c r="AP112" i="51" s="1"/>
  <c r="Z123" i="51"/>
  <c r="AB123" i="51" s="1"/>
  <c r="AO123" i="51" s="1"/>
  <c r="AA123" i="51"/>
  <c r="AC123" i="51" s="1"/>
  <c r="AP123" i="51" s="1"/>
  <c r="Z114" i="51"/>
  <c r="AB114" i="51" s="1"/>
  <c r="AO114" i="51" s="1"/>
  <c r="AA114" i="51"/>
  <c r="AC114" i="51" s="1"/>
  <c r="AP114" i="51" s="1"/>
  <c r="AA103" i="51"/>
  <c r="AC103" i="51" s="1"/>
  <c r="AP103" i="51" s="1"/>
  <c r="Z103" i="51"/>
  <c r="AB103" i="51" s="1"/>
  <c r="AO103" i="51" s="1"/>
  <c r="AA158" i="51"/>
  <c r="AC158" i="51" s="1"/>
  <c r="AP158" i="51" s="1"/>
  <c r="Z158" i="51"/>
  <c r="AB158" i="51" s="1"/>
  <c r="AO158" i="51" s="1"/>
  <c r="AA161" i="51"/>
  <c r="AC161" i="51" s="1"/>
  <c r="AP161" i="51" s="1"/>
  <c r="Z161" i="51"/>
  <c r="AB161" i="51" s="1"/>
  <c r="AO161" i="51" s="1"/>
  <c r="AA152" i="51"/>
  <c r="AC152" i="51" s="1"/>
  <c r="AP152" i="51" s="1"/>
  <c r="Z152" i="51"/>
  <c r="AB152" i="51" s="1"/>
  <c r="AO152" i="51" s="1"/>
  <c r="AA143" i="51"/>
  <c r="AC143" i="51" s="1"/>
  <c r="AP143" i="51" s="1"/>
  <c r="Z143" i="51"/>
  <c r="AB143" i="51" s="1"/>
  <c r="AO143" i="51" s="1"/>
  <c r="Z120" i="51"/>
  <c r="AB120" i="51" s="1"/>
  <c r="AO120" i="51" s="1"/>
  <c r="AA120" i="51"/>
  <c r="AC120" i="51" s="1"/>
  <c r="AP120" i="51" s="1"/>
  <c r="Z160" i="51"/>
  <c r="AB160" i="51" s="1"/>
  <c r="AO160" i="51" s="1"/>
  <c r="AA160" i="51"/>
  <c r="AC160" i="51" s="1"/>
  <c r="AP160" i="51" s="1"/>
  <c r="Z100" i="51"/>
  <c r="AB100" i="51" s="1"/>
  <c r="AO100" i="51" s="1"/>
  <c r="AA100" i="51"/>
  <c r="AC100" i="51" s="1"/>
  <c r="AP100" i="51" s="1"/>
  <c r="Z105" i="51"/>
  <c r="AB105" i="51" s="1"/>
  <c r="AO105" i="51" s="1"/>
  <c r="AA105" i="51"/>
  <c r="AC105" i="51" s="1"/>
  <c r="AP105" i="51" s="1"/>
  <c r="Z94" i="51"/>
  <c r="AB94" i="51" s="1"/>
  <c r="AO94" i="51" s="1"/>
  <c r="AA94" i="51"/>
  <c r="AC94" i="51" s="1"/>
  <c r="AP94" i="51" s="1"/>
  <c r="Z133" i="51"/>
  <c r="AB133" i="51" s="1"/>
  <c r="AO133" i="51" s="1"/>
  <c r="AA133" i="51"/>
  <c r="AC133" i="51" s="1"/>
  <c r="AP133" i="51" s="1"/>
  <c r="Z191" i="51"/>
  <c r="AB191" i="51" s="1"/>
  <c r="AO191" i="51" s="1"/>
  <c r="AA191" i="51"/>
  <c r="AC191" i="51" s="1"/>
  <c r="AP191" i="51" s="1"/>
  <c r="AA167" i="51"/>
  <c r="AC167" i="51" s="1"/>
  <c r="AP167" i="51" s="1"/>
  <c r="Z167" i="51"/>
  <c r="AB167" i="51" s="1"/>
  <c r="AO167" i="51" s="1"/>
  <c r="Z156" i="51"/>
  <c r="AB156" i="51" s="1"/>
  <c r="AO156" i="51" s="1"/>
  <c r="AA156" i="51"/>
  <c r="AC156" i="51" s="1"/>
  <c r="AP156" i="51" s="1"/>
  <c r="AA164" i="51"/>
  <c r="AC164" i="51" s="1"/>
  <c r="AP164" i="51" s="1"/>
  <c r="Z164" i="51"/>
  <c r="AB164" i="51" s="1"/>
  <c r="AO164" i="51" s="1"/>
  <c r="Z146" i="51"/>
  <c r="AB146" i="51" s="1"/>
  <c r="AO146" i="51" s="1"/>
  <c r="AA146" i="51"/>
  <c r="AC146" i="51" s="1"/>
  <c r="AP146" i="51" s="1"/>
  <c r="Z134" i="51"/>
  <c r="AB134" i="51" s="1"/>
  <c r="AO134" i="51" s="1"/>
  <c r="AA134" i="51"/>
  <c r="AC134" i="51" s="1"/>
  <c r="AP134" i="51" s="1"/>
  <c r="Z154" i="51"/>
  <c r="AB154" i="51" s="1"/>
  <c r="AO154" i="51" s="1"/>
  <c r="AA154" i="51"/>
  <c r="AC154" i="51" s="1"/>
  <c r="AP154" i="51" s="1"/>
  <c r="Z163" i="51"/>
  <c r="AB163" i="51" s="1"/>
  <c r="AO163" i="51" s="1"/>
  <c r="AA163" i="51"/>
  <c r="AC163" i="51" s="1"/>
  <c r="AP163" i="51" s="1"/>
  <c r="Z111" i="51"/>
  <c r="AB111" i="51" s="1"/>
  <c r="AO111" i="51" s="1"/>
  <c r="AA111" i="51"/>
  <c r="AC111" i="51" s="1"/>
  <c r="AP111" i="51" s="1"/>
  <c r="Z102" i="51"/>
  <c r="AB102" i="51" s="1"/>
  <c r="AO102" i="51" s="1"/>
  <c r="AA102" i="51"/>
  <c r="AC102" i="51" s="1"/>
  <c r="AP102" i="51" s="1"/>
  <c r="AA91" i="51"/>
  <c r="AC91" i="51" s="1"/>
  <c r="AP91" i="51" s="1"/>
  <c r="Z91" i="51"/>
  <c r="AB91" i="51" s="1"/>
  <c r="AO91" i="51" s="1"/>
  <c r="AA190" i="51"/>
  <c r="AC190" i="51" s="1"/>
  <c r="AP190" i="51" s="1"/>
  <c r="Z190" i="51"/>
  <c r="AB190" i="51" s="1"/>
  <c r="AO190" i="51" s="1"/>
  <c r="Z124" i="51"/>
  <c r="AB124" i="51" s="1"/>
  <c r="AO124" i="51" s="1"/>
  <c r="AA124" i="51"/>
  <c r="AC124" i="51" s="1"/>
  <c r="AP124" i="51" s="1"/>
  <c r="Z192" i="51"/>
  <c r="AB192" i="51" s="1"/>
  <c r="AO192" i="51" s="1"/>
  <c r="AA192" i="51"/>
  <c r="AC192" i="51" s="1"/>
  <c r="AP192" i="51" s="1"/>
  <c r="AA193" i="51"/>
  <c r="AC193" i="51" s="1"/>
  <c r="AP193" i="51" s="1"/>
  <c r="Z193" i="51"/>
  <c r="AB193" i="51" s="1"/>
  <c r="AO193" i="51" s="1"/>
  <c r="AA98" i="51"/>
  <c r="AC98" i="51" s="1"/>
  <c r="AP98" i="51" s="1"/>
  <c r="Z98" i="51"/>
  <c r="AB98" i="51" s="1"/>
  <c r="AO98" i="51" s="1"/>
  <c r="Z169" i="51"/>
  <c r="AB169" i="51" s="1"/>
  <c r="AO169" i="51" s="1"/>
  <c r="AA169" i="51"/>
  <c r="AC169" i="51" s="1"/>
  <c r="AP169" i="51" s="1"/>
  <c r="Z148" i="51"/>
  <c r="AB148" i="51" s="1"/>
  <c r="AO148" i="51" s="1"/>
  <c r="AA148" i="51"/>
  <c r="AC148" i="51" s="1"/>
  <c r="AP148" i="51" s="1"/>
  <c r="Z92" i="51"/>
  <c r="AB92" i="51" s="1"/>
  <c r="AO92" i="51" s="1"/>
  <c r="AA92" i="51"/>
  <c r="AC92" i="51" s="1"/>
  <c r="AP92" i="51" s="1"/>
  <c r="Z93" i="51"/>
  <c r="AB93" i="51" s="1"/>
  <c r="AO93" i="51" s="1"/>
  <c r="AA93" i="51"/>
  <c r="AC93" i="51" s="1"/>
  <c r="AP93" i="51" s="1"/>
  <c r="Z82" i="51"/>
  <c r="AB82" i="51" s="1"/>
  <c r="AO82" i="51" s="1"/>
  <c r="AA82" i="51"/>
  <c r="AC82" i="51" s="1"/>
  <c r="AP82" i="51" s="1"/>
  <c r="Z121" i="51"/>
  <c r="AB121" i="51" s="1"/>
  <c r="AO121" i="51" s="1"/>
  <c r="AA121" i="51"/>
  <c r="AC121" i="51" s="1"/>
  <c r="AP121" i="51" s="1"/>
  <c r="Z153" i="51"/>
  <c r="AB153" i="51" s="1"/>
  <c r="AO153" i="51" s="1"/>
  <c r="AA153" i="51"/>
  <c r="AC153" i="51" s="1"/>
  <c r="AP153" i="51" s="1"/>
  <c r="Z142" i="51"/>
  <c r="AB142" i="51" s="1"/>
  <c r="AO142" i="51" s="1"/>
  <c r="AA142" i="51"/>
  <c r="AC142" i="51" s="1"/>
  <c r="AP142" i="51" s="1"/>
  <c r="AA159" i="51"/>
  <c r="AC159" i="51" s="1"/>
  <c r="AP159" i="51" s="1"/>
  <c r="Z159" i="51"/>
  <c r="AB159" i="51" s="1"/>
  <c r="AO159" i="51" s="1"/>
  <c r="Z80" i="51"/>
  <c r="AB80" i="51" s="1"/>
  <c r="AO80" i="51" s="1"/>
  <c r="AA80" i="51"/>
  <c r="AC80" i="51" s="1"/>
  <c r="AP80" i="51" s="1"/>
  <c r="Z151" i="51"/>
  <c r="AB151" i="51" s="1"/>
  <c r="AO151" i="51" s="1"/>
  <c r="AA151" i="51"/>
  <c r="AC151" i="51" s="1"/>
  <c r="AP151" i="51" s="1"/>
  <c r="Z99" i="51"/>
  <c r="AB99" i="51" s="1"/>
  <c r="AO99" i="51" s="1"/>
  <c r="AA99" i="51"/>
  <c r="AC99" i="51" s="1"/>
  <c r="AP99" i="51" s="1"/>
  <c r="Z90" i="51"/>
  <c r="AB90" i="51" s="1"/>
  <c r="AO90" i="51" s="1"/>
  <c r="AA90" i="51"/>
  <c r="AC90" i="51" s="1"/>
  <c r="AP90" i="51" s="1"/>
  <c r="Z79" i="51"/>
  <c r="AB79" i="51" s="1"/>
  <c r="AO79" i="51" s="1"/>
  <c r="AA79" i="51"/>
  <c r="AC79" i="51" s="1"/>
  <c r="AP79" i="51" s="1"/>
  <c r="Z175" i="51"/>
  <c r="AB175" i="51" s="1"/>
  <c r="AO175" i="51" s="1"/>
  <c r="AA175" i="51"/>
  <c r="AC175" i="51" s="1"/>
  <c r="AP175" i="51" s="1"/>
  <c r="Z180" i="51"/>
  <c r="AB180" i="51" s="1"/>
  <c r="AO180" i="51" s="1"/>
  <c r="AA180" i="51"/>
  <c r="AC180" i="51" s="1"/>
  <c r="AP180" i="51" s="1"/>
  <c r="AA181" i="51"/>
  <c r="AC181" i="51" s="1"/>
  <c r="AP181" i="51" s="1"/>
  <c r="Z181" i="51"/>
  <c r="AB181" i="51" s="1"/>
  <c r="AO181" i="51" s="1"/>
  <c r="Z184" i="51"/>
  <c r="AB184" i="51" s="1"/>
  <c r="AO184" i="51" s="1"/>
  <c r="AA184" i="51"/>
  <c r="AC184" i="51" s="1"/>
  <c r="AP184" i="51" s="1"/>
  <c r="Z162" i="51"/>
  <c r="AB162" i="51" s="1"/>
  <c r="AO162" i="51" s="1"/>
  <c r="AA162" i="51"/>
  <c r="AC162" i="51" s="1"/>
  <c r="AP162" i="51" s="1"/>
  <c r="Z157" i="51"/>
  <c r="AB157" i="51" s="1"/>
  <c r="AO157" i="51" s="1"/>
  <c r="AA157" i="51"/>
  <c r="AC157" i="51" s="1"/>
  <c r="AP157" i="51" s="1"/>
  <c r="Z136" i="51"/>
  <c r="AB136" i="51" s="1"/>
  <c r="AO136" i="51" s="1"/>
  <c r="AA136" i="51"/>
  <c r="AC136" i="51" s="1"/>
  <c r="AP136" i="51" s="1"/>
  <c r="Z150" i="51"/>
  <c r="AB150" i="51" s="1"/>
  <c r="AO150" i="51" s="1"/>
  <c r="AA150" i="51"/>
  <c r="AC150" i="51" s="1"/>
  <c r="AP150" i="51" s="1"/>
  <c r="Z81" i="51"/>
  <c r="AB81" i="51" s="1"/>
  <c r="AO81" i="51" s="1"/>
  <c r="AA81" i="51"/>
  <c r="AC81" i="51" s="1"/>
  <c r="AP81" i="51" s="1"/>
  <c r="AA83" i="51"/>
  <c r="AC83" i="51" s="1"/>
  <c r="AP83" i="51" s="1"/>
  <c r="Z83" i="51"/>
  <c r="AB83" i="51" s="1"/>
  <c r="AO83" i="51" s="1"/>
  <c r="Z109" i="51"/>
  <c r="AB109" i="51" s="1"/>
  <c r="AO109" i="51" s="1"/>
  <c r="AA109" i="51"/>
  <c r="AC109" i="51" s="1"/>
  <c r="AP109" i="51" s="1"/>
  <c r="AN12" i="51"/>
  <c r="X15" i="72"/>
  <c r="Z15" i="72" s="1"/>
  <c r="AB15" i="72" s="1"/>
  <c r="AO15" i="72" s="1"/>
  <c r="X20" i="75"/>
  <c r="Z20" i="75" s="1"/>
  <c r="AB20" i="75" s="1"/>
  <c r="AO20" i="75" s="1"/>
  <c r="O54" i="68"/>
  <c r="R54" i="68" s="1"/>
  <c r="I67" i="68"/>
  <c r="C9" i="2"/>
  <c r="H7" i="68"/>
  <c r="X157" i="15"/>
  <c r="X386" i="15"/>
  <c r="X417" i="15"/>
  <c r="Z417" i="15" s="1"/>
  <c r="AB417" i="15" s="1"/>
  <c r="AO417" i="15" s="1"/>
  <c r="X36" i="15"/>
  <c r="AA36" i="15" s="1"/>
  <c r="AC36" i="15" s="1"/>
  <c r="X128" i="15"/>
  <c r="Z128" i="15" s="1"/>
  <c r="AB128" i="15" s="1"/>
  <c r="AO128" i="15" s="1"/>
  <c r="X303" i="15"/>
  <c r="AA303" i="15" s="1"/>
  <c r="AC303" i="15" s="1"/>
  <c r="AP303" i="15" s="1"/>
  <c r="X292" i="15"/>
  <c r="Z292" i="15" s="1"/>
  <c r="AB292" i="15" s="1"/>
  <c r="AO292" i="15" s="1"/>
  <c r="X15" i="3"/>
  <c r="Z15" i="3" s="1"/>
  <c r="AB15" i="3" s="1"/>
  <c r="AO15" i="3" s="1"/>
  <c r="X17" i="3"/>
  <c r="AA17" i="3" s="1"/>
  <c r="AC17" i="3" s="1"/>
  <c r="AP17" i="3" s="1"/>
  <c r="X6" i="13"/>
  <c r="Z6" i="13" s="1"/>
  <c r="AB6" i="13" s="1"/>
  <c r="AO6" i="13" s="1"/>
  <c r="X24" i="3"/>
  <c r="Z24" i="3" s="1"/>
  <c r="AB24" i="3" s="1"/>
  <c r="AO24" i="3" s="1"/>
  <c r="A18" i="34"/>
  <c r="N46" i="68" s="1"/>
  <c r="Q46" i="68" s="1"/>
  <c r="X23" i="3"/>
  <c r="X66" i="15"/>
  <c r="X139" i="15"/>
  <c r="Z139" i="15" s="1"/>
  <c r="AB139" i="15" s="1"/>
  <c r="AO139" i="15" s="1"/>
  <c r="X61" i="15"/>
  <c r="AA61" i="15" s="1"/>
  <c r="AC61" i="15" s="1"/>
  <c r="AP61" i="15" s="1"/>
  <c r="X475" i="15"/>
  <c r="Z475" i="15" s="1"/>
  <c r="AB475" i="15" s="1"/>
  <c r="AO475" i="15" s="1"/>
  <c r="X80" i="15"/>
  <c r="AA80" i="15" s="1"/>
  <c r="AC80" i="15" s="1"/>
  <c r="AP80" i="15" s="1"/>
  <c r="X279" i="15"/>
  <c r="Z279" i="15" s="1"/>
  <c r="AB279" i="15" s="1"/>
  <c r="AO279" i="15" s="1"/>
  <c r="X362" i="15"/>
  <c r="Z362" i="15" s="1"/>
  <c r="AB362" i="15" s="1"/>
  <c r="AO362" i="15" s="1"/>
  <c r="X145" i="15"/>
  <c r="AA145" i="15" s="1"/>
  <c r="AC145" i="15" s="1"/>
  <c r="AP145" i="15" s="1"/>
  <c r="X401" i="15"/>
  <c r="AA401" i="15" s="1"/>
  <c r="AC401" i="15" s="1"/>
  <c r="AP401" i="15" s="1"/>
  <c r="I30" i="68"/>
  <c r="X23" i="72"/>
  <c r="AA23" i="72" s="1"/>
  <c r="AC23" i="72" s="1"/>
  <c r="AP23" i="72" s="1"/>
  <c r="X12" i="72"/>
  <c r="Z12" i="72" s="1"/>
  <c r="AB12" i="72" s="1"/>
  <c r="AO12" i="72" s="1"/>
  <c r="X18" i="72"/>
  <c r="X9" i="72"/>
  <c r="Z9" i="72" s="1"/>
  <c r="AB9" i="72" s="1"/>
  <c r="AO9" i="72" s="1"/>
  <c r="X7" i="72"/>
  <c r="Z7" i="72" s="1"/>
  <c r="AB7" i="72" s="1"/>
  <c r="AO7" i="72" s="1"/>
  <c r="X8" i="72"/>
  <c r="AA8" i="72" s="1"/>
  <c r="AC8" i="72" s="1"/>
  <c r="AP8" i="72" s="1"/>
  <c r="X21" i="72"/>
  <c r="AA21" i="72" s="1"/>
  <c r="AC21" i="72" s="1"/>
  <c r="AP21" i="72" s="1"/>
  <c r="X22" i="72"/>
  <c r="AA22" i="72" s="1"/>
  <c r="AC22" i="72" s="1"/>
  <c r="AP22" i="72" s="1"/>
  <c r="A18" i="72"/>
  <c r="N30" i="68" s="1"/>
  <c r="D30" i="2" s="1"/>
  <c r="X13" i="72"/>
  <c r="Z13" i="72" s="1"/>
  <c r="AB13" i="72" s="1"/>
  <c r="AO13" i="72" s="1"/>
  <c r="X20" i="72"/>
  <c r="Z20" i="72" s="1"/>
  <c r="AB20" i="72" s="1"/>
  <c r="AO20" i="72" s="1"/>
  <c r="X24" i="72"/>
  <c r="AA24" i="72" s="1"/>
  <c r="AC24" i="72" s="1"/>
  <c r="AP24" i="72" s="1"/>
  <c r="X19" i="72"/>
  <c r="Z19" i="72" s="1"/>
  <c r="AB19" i="72" s="1"/>
  <c r="AO19" i="72" s="1"/>
  <c r="X103" i="15"/>
  <c r="Z103" i="15" s="1"/>
  <c r="AB103" i="15" s="1"/>
  <c r="AO103" i="15" s="1"/>
  <c r="X275" i="15"/>
  <c r="X423" i="15"/>
  <c r="Z423" i="15" s="1"/>
  <c r="AB423" i="15" s="1"/>
  <c r="AO423" i="15" s="1"/>
  <c r="X430" i="15"/>
  <c r="Z430" i="15" s="1"/>
  <c r="AB430" i="15" s="1"/>
  <c r="AO430" i="15" s="1"/>
  <c r="X197" i="15"/>
  <c r="AA197" i="15" s="1"/>
  <c r="AC197" i="15" s="1"/>
  <c r="AP197" i="15" s="1"/>
  <c r="X461" i="15"/>
  <c r="AA461" i="15" s="1"/>
  <c r="AC461" i="15" s="1"/>
  <c r="AP461" i="15" s="1"/>
  <c r="X260" i="15"/>
  <c r="AA260" i="15" s="1"/>
  <c r="AC260" i="15" s="1"/>
  <c r="AP260" i="15" s="1"/>
  <c r="X500" i="15"/>
  <c r="AA500" i="15" s="1"/>
  <c r="AC500" i="15" s="1"/>
  <c r="AP500" i="15" s="1"/>
  <c r="X106" i="15"/>
  <c r="AA106" i="15" s="1"/>
  <c r="AC106" i="15" s="1"/>
  <c r="AP106" i="15" s="1"/>
  <c r="X323" i="15"/>
  <c r="Z323" i="15" s="1"/>
  <c r="AB323" i="15" s="1"/>
  <c r="AO323" i="15" s="1"/>
  <c r="X431" i="15"/>
  <c r="Z431" i="15" s="1"/>
  <c r="AB431" i="15" s="1"/>
  <c r="AO431" i="15" s="1"/>
  <c r="X434" i="15"/>
  <c r="Z434" i="15" s="1"/>
  <c r="AB434" i="15" s="1"/>
  <c r="AO434" i="15" s="1"/>
  <c r="X213" i="15"/>
  <c r="AA213" i="15" s="1"/>
  <c r="AC213" i="15" s="1"/>
  <c r="AP213" i="15" s="1"/>
  <c r="X465" i="15"/>
  <c r="X127" i="15"/>
  <c r="Z127" i="15" s="1"/>
  <c r="AB127" i="15" s="1"/>
  <c r="AO127" i="15" s="1"/>
  <c r="X14" i="72"/>
  <c r="AA14" i="72" s="1"/>
  <c r="AC14" i="72" s="1"/>
  <c r="AP14" i="72" s="1"/>
  <c r="X492" i="15"/>
  <c r="AA492" i="15" s="1"/>
  <c r="AC492" i="15" s="1"/>
  <c r="AP492" i="15" s="1"/>
  <c r="X212" i="15"/>
  <c r="Z212" i="15" s="1"/>
  <c r="AB212" i="15" s="1"/>
  <c r="AO212" i="15" s="1"/>
  <c r="X148" i="15"/>
  <c r="AA148" i="15" s="1"/>
  <c r="AC148" i="15" s="1"/>
  <c r="AP148" i="15" s="1"/>
  <c r="X403" i="15"/>
  <c r="Z403" i="15" s="1"/>
  <c r="AB403" i="15" s="1"/>
  <c r="AO403" i="15" s="1"/>
  <c r="X455" i="15"/>
  <c r="Z455" i="15" s="1"/>
  <c r="AB455" i="15" s="1"/>
  <c r="AO455" i="15" s="1"/>
  <c r="X454" i="15"/>
  <c r="AA454" i="15" s="1"/>
  <c r="AC454" i="15" s="1"/>
  <c r="AP454" i="15" s="1"/>
  <c r="X225" i="15"/>
  <c r="X477" i="15"/>
  <c r="AA477" i="15" s="1"/>
  <c r="AC477" i="15" s="1"/>
  <c r="AP477" i="15" s="1"/>
  <c r="X17" i="72"/>
  <c r="AA17" i="72" s="1"/>
  <c r="AC17" i="72" s="1"/>
  <c r="AP17" i="72" s="1"/>
  <c r="X460" i="15"/>
  <c r="X28" i="15"/>
  <c r="AA28" i="15" s="1"/>
  <c r="AC28" i="15" s="1"/>
  <c r="AP28" i="15" s="1"/>
  <c r="X216" i="15"/>
  <c r="AA216" i="15" s="1"/>
  <c r="AC216" i="15" s="1"/>
  <c r="AP216" i="15" s="1"/>
  <c r="X27" i="15"/>
  <c r="Z27" i="15" s="1"/>
  <c r="AB27" i="15" s="1"/>
  <c r="AO27" i="15" s="1"/>
  <c r="X186" i="15"/>
  <c r="Z186" i="15" s="1"/>
  <c r="AB186" i="15" s="1"/>
  <c r="AO186" i="15" s="1"/>
  <c r="X502" i="15"/>
  <c r="Z502" i="15" s="1"/>
  <c r="AB502" i="15" s="1"/>
  <c r="AO502" i="15" s="1"/>
  <c r="X273" i="15"/>
  <c r="Z273" i="15" s="1"/>
  <c r="AB273" i="15" s="1"/>
  <c r="AO273" i="15" s="1"/>
  <c r="X22" i="15"/>
  <c r="Z22" i="15" s="1"/>
  <c r="AB22" i="15" s="1"/>
  <c r="AO22" i="15" s="1"/>
  <c r="X224" i="15"/>
  <c r="AA224" i="15" s="1"/>
  <c r="AC224" i="15" s="1"/>
  <c r="AP224" i="15" s="1"/>
  <c r="X40" i="15"/>
  <c r="AA40" i="15" s="1"/>
  <c r="AC40" i="15" s="1"/>
  <c r="AP40" i="15" s="1"/>
  <c r="X190" i="15"/>
  <c r="Z190" i="15" s="1"/>
  <c r="AB190" i="15" s="1"/>
  <c r="AO190" i="15" s="1"/>
  <c r="X506" i="15"/>
  <c r="Z506" i="15" s="1"/>
  <c r="AB506" i="15" s="1"/>
  <c r="AO506" i="15" s="1"/>
  <c r="X19" i="55"/>
  <c r="X228" i="15"/>
  <c r="AA228" i="15" s="1"/>
  <c r="AC228" i="15" s="1"/>
  <c r="AP228" i="15" s="1"/>
  <c r="X469" i="15"/>
  <c r="AA469" i="15" s="1"/>
  <c r="AC469" i="15" s="1"/>
  <c r="AP469" i="15" s="1"/>
  <c r="X405" i="15"/>
  <c r="AA405" i="15" s="1"/>
  <c r="AC405" i="15" s="1"/>
  <c r="AP405" i="15" s="1"/>
  <c r="X345" i="15"/>
  <c r="Z345" i="15" s="1"/>
  <c r="AB345" i="15" s="1"/>
  <c r="AO345" i="15" s="1"/>
  <c r="X285" i="15"/>
  <c r="AA285" i="15" s="1"/>
  <c r="AC285" i="15" s="1"/>
  <c r="AP285" i="15" s="1"/>
  <c r="X217" i="15"/>
  <c r="AA217" i="15" s="1"/>
  <c r="AC217" i="15" s="1"/>
  <c r="AP217" i="15" s="1"/>
  <c r="X149" i="15"/>
  <c r="AA149" i="15" s="1"/>
  <c r="AC149" i="15" s="1"/>
  <c r="AP149" i="15" s="1"/>
  <c r="X69" i="15"/>
  <c r="AA69" i="15" s="1"/>
  <c r="AC69" i="15" s="1"/>
  <c r="AP69" i="15" s="1"/>
  <c r="X514" i="15"/>
  <c r="Z514" i="15" s="1"/>
  <c r="AB514" i="15" s="1"/>
  <c r="AO514" i="15" s="1"/>
  <c r="X442" i="15"/>
  <c r="Z442" i="15" s="1"/>
  <c r="AB442" i="15" s="1"/>
  <c r="AO442" i="15" s="1"/>
  <c r="X370" i="15"/>
  <c r="Z370" i="15" s="1"/>
  <c r="AB370" i="15" s="1"/>
  <c r="AO370" i="15" s="1"/>
  <c r="X298" i="15"/>
  <c r="X206" i="15"/>
  <c r="AA206" i="15" s="1"/>
  <c r="AC206" i="15" s="1"/>
  <c r="AP206" i="15" s="1"/>
  <c r="X439" i="15"/>
  <c r="Z439" i="15" s="1"/>
  <c r="AB439" i="15" s="1"/>
  <c r="AO439" i="15" s="1"/>
  <c r="X287" i="15"/>
  <c r="Z287" i="15" s="1"/>
  <c r="AB287" i="15" s="1"/>
  <c r="AO287" i="15" s="1"/>
  <c r="X152" i="15"/>
  <c r="Z152" i="15" s="1"/>
  <c r="AB152" i="15" s="1"/>
  <c r="AO152" i="15" s="1"/>
  <c r="X46" i="15"/>
  <c r="AA46" i="15" s="1"/>
  <c r="AC46" i="15" s="1"/>
  <c r="X347" i="15"/>
  <c r="Z347" i="15" s="1"/>
  <c r="AB347" i="15" s="1"/>
  <c r="AO347" i="15" s="1"/>
  <c r="X86" i="15"/>
  <c r="Z86" i="15" s="1"/>
  <c r="AB86" i="15" s="1"/>
  <c r="AO86" i="15" s="1"/>
  <c r="X456" i="15"/>
  <c r="AA456" i="15" s="1"/>
  <c r="AC456" i="15" s="1"/>
  <c r="AP456" i="15" s="1"/>
  <c r="X232" i="15"/>
  <c r="AA232" i="15" s="1"/>
  <c r="AC232" i="15" s="1"/>
  <c r="AP232" i="15" s="1"/>
  <c r="X119" i="15"/>
  <c r="Z119" i="15" s="1"/>
  <c r="AB119" i="15" s="1"/>
  <c r="AO119" i="15" s="1"/>
  <c r="I14" i="68"/>
  <c r="X235" i="15"/>
  <c r="X11" i="15"/>
  <c r="Z11" i="15" s="1"/>
  <c r="AB11" i="15" s="1"/>
  <c r="AO11" i="15" s="1"/>
  <c r="X436" i="15"/>
  <c r="AA436" i="15" s="1"/>
  <c r="AC436" i="15" s="1"/>
  <c r="AP436" i="15" s="1"/>
  <c r="X364" i="15"/>
  <c r="AA364" i="15" s="1"/>
  <c r="AC364" i="15" s="1"/>
  <c r="AP364" i="15" s="1"/>
  <c r="X79" i="15"/>
  <c r="AA79" i="15" s="1"/>
  <c r="AC79" i="15" s="1"/>
  <c r="AP79" i="15" s="1"/>
  <c r="X356" i="15"/>
  <c r="AA356" i="15" s="1"/>
  <c r="AC356" i="15" s="1"/>
  <c r="AP356" i="15" s="1"/>
  <c r="X513" i="15"/>
  <c r="AA513" i="15" s="1"/>
  <c r="AC513" i="15" s="1"/>
  <c r="AP513" i="15" s="1"/>
  <c r="X453" i="15"/>
  <c r="Z453" i="15" s="1"/>
  <c r="AB453" i="15" s="1"/>
  <c r="AO453" i="15" s="1"/>
  <c r="X393" i="15"/>
  <c r="AA393" i="15" s="1"/>
  <c r="AC393" i="15" s="1"/>
  <c r="AP393" i="15" s="1"/>
  <c r="X329" i="15"/>
  <c r="AA329" i="15" s="1"/>
  <c r="AC329" i="15" s="1"/>
  <c r="AP329" i="15" s="1"/>
  <c r="X269" i="15"/>
  <c r="AA269" i="15" s="1"/>
  <c r="AC269" i="15" s="1"/>
  <c r="AP269" i="15" s="1"/>
  <c r="X193" i="15"/>
  <c r="AA193" i="15" s="1"/>
  <c r="AC193" i="15" s="1"/>
  <c r="AP193" i="15" s="1"/>
  <c r="X121" i="15"/>
  <c r="X53" i="15"/>
  <c r="AA53" i="15" s="1"/>
  <c r="AC53" i="15" s="1"/>
  <c r="AP53" i="15" s="1"/>
  <c r="X498" i="15"/>
  <c r="Z498" i="15" s="1"/>
  <c r="AB498" i="15" s="1"/>
  <c r="AO498" i="15" s="1"/>
  <c r="X426" i="15"/>
  <c r="Z426" i="15" s="1"/>
  <c r="AB426" i="15" s="1"/>
  <c r="AO426" i="15" s="1"/>
  <c r="X354" i="15"/>
  <c r="Z354" i="15" s="1"/>
  <c r="AB354" i="15" s="1"/>
  <c r="AO354" i="15" s="1"/>
  <c r="X282" i="15"/>
  <c r="Z282" i="15" s="1"/>
  <c r="AB282" i="15" s="1"/>
  <c r="AO282" i="15" s="1"/>
  <c r="X182" i="15"/>
  <c r="Z182" i="15" s="1"/>
  <c r="AB182" i="15" s="1"/>
  <c r="AO182" i="15" s="1"/>
  <c r="X391" i="15"/>
  <c r="Z391" i="15" s="1"/>
  <c r="AB391" i="15" s="1"/>
  <c r="AO391" i="15" s="1"/>
  <c r="X247" i="15"/>
  <c r="Z247" i="15" s="1"/>
  <c r="AB247" i="15" s="1"/>
  <c r="AO247" i="15" s="1"/>
  <c r="X126" i="15"/>
  <c r="X24" i="15"/>
  <c r="AA24" i="15" s="1"/>
  <c r="AC24" i="15" s="1"/>
  <c r="AP24" i="15" s="1"/>
  <c r="X267" i="15"/>
  <c r="Z267" i="15" s="1"/>
  <c r="AB267" i="15" s="1"/>
  <c r="AO267" i="15" s="1"/>
  <c r="X54" i="15"/>
  <c r="X400" i="15"/>
  <c r="AA400" i="15" s="1"/>
  <c r="AC400" i="15" s="1"/>
  <c r="AP400" i="15" s="1"/>
  <c r="X200" i="15"/>
  <c r="Z200" i="15" s="1"/>
  <c r="AB200" i="15" s="1"/>
  <c r="AO200" i="15" s="1"/>
  <c r="X100" i="15"/>
  <c r="AA100" i="15" s="1"/>
  <c r="AC100" i="15" s="1"/>
  <c r="AP100" i="15" s="1"/>
  <c r="X443" i="15"/>
  <c r="AA443" i="15" s="1"/>
  <c r="AC443" i="15" s="1"/>
  <c r="AP443" i="15" s="1"/>
  <c r="X195" i="15"/>
  <c r="Z195" i="15" s="1"/>
  <c r="AB195" i="15" s="1"/>
  <c r="AO195" i="15" s="1"/>
  <c r="X31" i="15"/>
  <c r="Z31" i="15" s="1"/>
  <c r="AB31" i="15" s="1"/>
  <c r="AO31" i="15" s="1"/>
  <c r="X188" i="15"/>
  <c r="AA188" i="15" s="1"/>
  <c r="AC188" i="15" s="1"/>
  <c r="AP188" i="15" s="1"/>
  <c r="X284" i="15"/>
  <c r="AA284" i="15" s="1"/>
  <c r="AC284" i="15" s="1"/>
  <c r="AP284" i="15" s="1"/>
  <c r="X169" i="15"/>
  <c r="AA169" i="15" s="1"/>
  <c r="AC169" i="15" s="1"/>
  <c r="AP169" i="15" s="1"/>
  <c r="X94" i="15"/>
  <c r="AA94" i="15" s="1"/>
  <c r="AC94" i="15" s="1"/>
  <c r="AP94" i="15" s="1"/>
  <c r="X339" i="15"/>
  <c r="Z339" i="15" s="1"/>
  <c r="AB339" i="15" s="1"/>
  <c r="AO339" i="15" s="1"/>
  <c r="X471" i="15"/>
  <c r="X312" i="15"/>
  <c r="AA312" i="15" s="1"/>
  <c r="AC312" i="15" s="1"/>
  <c r="AP312" i="15" s="1"/>
  <c r="X172" i="15"/>
  <c r="AA172" i="15" s="1"/>
  <c r="AC172" i="15" s="1"/>
  <c r="AP172" i="15" s="1"/>
  <c r="X388" i="15"/>
  <c r="AA388" i="15" s="1"/>
  <c r="AC388" i="15" s="1"/>
  <c r="AP388" i="15" s="1"/>
  <c r="X509" i="15"/>
  <c r="AA509" i="15" s="1"/>
  <c r="AC509" i="15" s="1"/>
  <c r="AP509" i="15" s="1"/>
  <c r="X449" i="15"/>
  <c r="AA449" i="15" s="1"/>
  <c r="AC449" i="15" s="1"/>
  <c r="AP449" i="15" s="1"/>
  <c r="X389" i="15"/>
  <c r="AA389" i="15" s="1"/>
  <c r="AC389" i="15" s="1"/>
  <c r="AP389" i="15" s="1"/>
  <c r="X325" i="15"/>
  <c r="AA325" i="15" s="1"/>
  <c r="AC325" i="15" s="1"/>
  <c r="AP325" i="15" s="1"/>
  <c r="X265" i="15"/>
  <c r="AA265" i="15" s="1"/>
  <c r="AC265" i="15" s="1"/>
  <c r="AP265" i="15" s="1"/>
  <c r="X189" i="15"/>
  <c r="AA189" i="15" s="1"/>
  <c r="AC189" i="15" s="1"/>
  <c r="AP189" i="15" s="1"/>
  <c r="X117" i="15"/>
  <c r="Z117" i="15" s="1"/>
  <c r="AB117" i="15" s="1"/>
  <c r="AO117" i="15" s="1"/>
  <c r="X49" i="15"/>
  <c r="AA49" i="15" s="1"/>
  <c r="AC49" i="15" s="1"/>
  <c r="AP49" i="15" s="1"/>
  <c r="X490" i="15"/>
  <c r="X418" i="15"/>
  <c r="Z418" i="15" s="1"/>
  <c r="AB418" i="15" s="1"/>
  <c r="AO418" i="15" s="1"/>
  <c r="X346" i="15"/>
  <c r="Z346" i="15" s="1"/>
  <c r="AB346" i="15" s="1"/>
  <c r="AO346" i="15" s="1"/>
  <c r="X274" i="15"/>
  <c r="AA274" i="15" s="1"/>
  <c r="AC274" i="15" s="1"/>
  <c r="AP274" i="15" s="1"/>
  <c r="X511" i="15"/>
  <c r="Z511" i="15" s="1"/>
  <c r="AB511" i="15" s="1"/>
  <c r="AO511" i="15" s="1"/>
  <c r="X383" i="15"/>
  <c r="AA383" i="15" s="1"/>
  <c r="AC383" i="15" s="1"/>
  <c r="AP383" i="15" s="1"/>
  <c r="X231" i="15"/>
  <c r="Z231" i="15" s="1"/>
  <c r="AB231" i="15" s="1"/>
  <c r="AO231" i="15" s="1"/>
  <c r="X123" i="15"/>
  <c r="AA123" i="15" s="1"/>
  <c r="AC123" i="15" s="1"/>
  <c r="AP123" i="15" s="1"/>
  <c r="X19" i="15"/>
  <c r="Z19" i="15" s="1"/>
  <c r="AB19" i="15" s="1"/>
  <c r="AO19" i="15" s="1"/>
  <c r="X251" i="15"/>
  <c r="X35" i="15"/>
  <c r="AA35" i="15" s="1"/>
  <c r="AC35" i="15" s="1"/>
  <c r="AP35" i="15" s="1"/>
  <c r="X392" i="15"/>
  <c r="AA392" i="15" s="1"/>
  <c r="AC392" i="15" s="1"/>
  <c r="AP392" i="15" s="1"/>
  <c r="X192" i="15"/>
  <c r="X87" i="15"/>
  <c r="Z87" i="15" s="1"/>
  <c r="AB87" i="15" s="1"/>
  <c r="AO87" i="15" s="1"/>
  <c r="X435" i="15"/>
  <c r="AA435" i="15" s="1"/>
  <c r="AC435" i="15" s="1"/>
  <c r="AP435" i="15" s="1"/>
  <c r="X179" i="15"/>
  <c r="Z179" i="15" s="1"/>
  <c r="AB179" i="15" s="1"/>
  <c r="AO179" i="15" s="1"/>
  <c r="X82" i="15"/>
  <c r="AA82" i="15" s="1"/>
  <c r="AC82" i="15" s="1"/>
  <c r="AP82" i="15" s="1"/>
  <c r="X394" i="15"/>
  <c r="Z394" i="15" s="1"/>
  <c r="AB394" i="15" s="1"/>
  <c r="AO394" i="15" s="1"/>
  <c r="X320" i="15"/>
  <c r="AA320" i="15" s="1"/>
  <c r="AC320" i="15" s="1"/>
  <c r="AP320" i="15" s="1"/>
  <c r="X428" i="15"/>
  <c r="AA428" i="15" s="1"/>
  <c r="AC428" i="15" s="1"/>
  <c r="AP428" i="15" s="1"/>
  <c r="X420" i="15"/>
  <c r="AA420" i="15" s="1"/>
  <c r="AC420" i="15" s="1"/>
  <c r="AP420" i="15" s="1"/>
  <c r="X505" i="15"/>
  <c r="Z505" i="15" s="1"/>
  <c r="AB505" i="15" s="1"/>
  <c r="AO505" i="15" s="1"/>
  <c r="X441" i="15"/>
  <c r="AA441" i="15" s="1"/>
  <c r="AC441" i="15" s="1"/>
  <c r="AP441" i="15" s="1"/>
  <c r="X381" i="15"/>
  <c r="AA381" i="15" s="1"/>
  <c r="AC381" i="15" s="1"/>
  <c r="AP381" i="15" s="1"/>
  <c r="X321" i="15"/>
  <c r="X261" i="15"/>
  <c r="AA261" i="15" s="1"/>
  <c r="AC261" i="15" s="1"/>
  <c r="AP261" i="15" s="1"/>
  <c r="X185" i="15"/>
  <c r="AA185" i="15" s="1"/>
  <c r="AC185" i="15" s="1"/>
  <c r="AP185" i="15" s="1"/>
  <c r="X109" i="15"/>
  <c r="Z109" i="15" s="1"/>
  <c r="AB109" i="15" s="1"/>
  <c r="AO109" i="15" s="1"/>
  <c r="X41" i="15"/>
  <c r="AA41" i="15" s="1"/>
  <c r="AC41" i="15" s="1"/>
  <c r="X482" i="15"/>
  <c r="Z482" i="15" s="1"/>
  <c r="AB482" i="15" s="1"/>
  <c r="AO482" i="15" s="1"/>
  <c r="X406" i="15"/>
  <c r="Z406" i="15" s="1"/>
  <c r="AB406" i="15" s="1"/>
  <c r="AO406" i="15" s="1"/>
  <c r="X338" i="15"/>
  <c r="AA338" i="15" s="1"/>
  <c r="AC338" i="15" s="1"/>
  <c r="AP338" i="15" s="1"/>
  <c r="X262" i="15"/>
  <c r="Z262" i="15" s="1"/>
  <c r="AB262" i="15" s="1"/>
  <c r="AO262" i="15" s="1"/>
  <c r="X503" i="15"/>
  <c r="Z503" i="15" s="1"/>
  <c r="AB503" i="15" s="1"/>
  <c r="AO503" i="15" s="1"/>
  <c r="X375" i="15"/>
  <c r="Z375" i="15" s="1"/>
  <c r="AB375" i="15" s="1"/>
  <c r="AO375" i="15" s="1"/>
  <c r="X223" i="15"/>
  <c r="Z223" i="15" s="1"/>
  <c r="AB223" i="15" s="1"/>
  <c r="AO223" i="15" s="1"/>
  <c r="X120" i="15"/>
  <c r="X15" i="15"/>
  <c r="AA15" i="15" s="1"/>
  <c r="AC15" i="15" s="1"/>
  <c r="X243" i="15"/>
  <c r="Z243" i="15" s="1"/>
  <c r="AB243" i="15" s="1"/>
  <c r="AO243" i="15" s="1"/>
  <c r="X23" i="15"/>
  <c r="Z23" i="15" s="1"/>
  <c r="AB23" i="15" s="1"/>
  <c r="AO23" i="15" s="1"/>
  <c r="X384" i="15"/>
  <c r="Z384" i="15" s="1"/>
  <c r="AB384" i="15" s="1"/>
  <c r="AO384" i="15" s="1"/>
  <c r="X176" i="15"/>
  <c r="AA176" i="15" s="1"/>
  <c r="AC176" i="15" s="1"/>
  <c r="AP176" i="15" s="1"/>
  <c r="X71" i="15"/>
  <c r="Z71" i="15" s="1"/>
  <c r="AB71" i="15" s="1"/>
  <c r="AO71" i="15" s="1"/>
  <c r="X419" i="15"/>
  <c r="Z419" i="15" s="1"/>
  <c r="AB419" i="15" s="1"/>
  <c r="AO419" i="15" s="1"/>
  <c r="X163" i="15"/>
  <c r="Z163" i="15" s="1"/>
  <c r="AB163" i="15" s="1"/>
  <c r="AO163" i="15" s="1"/>
  <c r="X92" i="15"/>
  <c r="AA92" i="15" s="1"/>
  <c r="AC92" i="15" s="1"/>
  <c r="AP92" i="15" s="1"/>
  <c r="X316" i="15"/>
  <c r="AA316" i="15" s="1"/>
  <c r="AC316" i="15" s="1"/>
  <c r="AP316" i="15" s="1"/>
  <c r="X470" i="15"/>
  <c r="Z470" i="15" s="1"/>
  <c r="AB470" i="15" s="1"/>
  <c r="AO470" i="15" s="1"/>
  <c r="X107" i="15"/>
  <c r="X8" i="15"/>
  <c r="Z8" i="15" s="1"/>
  <c r="AB8" i="15" s="1"/>
  <c r="AO8" i="15" s="1"/>
  <c r="X164" i="15"/>
  <c r="AA164" i="15" s="1"/>
  <c r="AC164" i="15" s="1"/>
  <c r="AP164" i="15" s="1"/>
  <c r="X96" i="15"/>
  <c r="AA96" i="15" s="1"/>
  <c r="AC96" i="15" s="1"/>
  <c r="AP96" i="15" s="1"/>
  <c r="X146" i="15"/>
  <c r="AA146" i="15" s="1"/>
  <c r="AC146" i="15" s="1"/>
  <c r="AP146" i="15" s="1"/>
  <c r="X508" i="15"/>
  <c r="AA508" i="15" s="1"/>
  <c r="AC508" i="15" s="1"/>
  <c r="AP508" i="15" s="1"/>
  <c r="X365" i="15"/>
  <c r="AA365" i="15" s="1"/>
  <c r="AC365" i="15" s="1"/>
  <c r="AP365" i="15" s="1"/>
  <c r="X322" i="15"/>
  <c r="Z322" i="15" s="1"/>
  <c r="AB322" i="15" s="1"/>
  <c r="AO322" i="15" s="1"/>
  <c r="X351" i="15"/>
  <c r="Z351" i="15" s="1"/>
  <c r="AB351" i="15" s="1"/>
  <c r="AO351" i="15" s="1"/>
  <c r="X459" i="15"/>
  <c r="Z459" i="15" s="1"/>
  <c r="AB459" i="15" s="1"/>
  <c r="AO459" i="15" s="1"/>
  <c r="X154" i="15"/>
  <c r="AA154" i="15" s="1"/>
  <c r="AC154" i="15" s="1"/>
  <c r="X83" i="15"/>
  <c r="AA83" i="15" s="1"/>
  <c r="AC83" i="15" s="1"/>
  <c r="AP83" i="15" s="1"/>
  <c r="X318" i="15"/>
  <c r="X496" i="15"/>
  <c r="AA496" i="15" s="1"/>
  <c r="AC496" i="15" s="1"/>
  <c r="AP496" i="15" s="1"/>
  <c r="X70" i="15"/>
  <c r="Z70" i="15" s="1"/>
  <c r="AB70" i="15" s="1"/>
  <c r="AO70" i="15" s="1"/>
  <c r="A20" i="15"/>
  <c r="X60" i="15"/>
  <c r="AA60" i="15" s="1"/>
  <c r="AC60" i="15" s="1"/>
  <c r="X501" i="15"/>
  <c r="AA501" i="15" s="1"/>
  <c r="AC501" i="15" s="1"/>
  <c r="AP501" i="15" s="1"/>
  <c r="X437" i="15"/>
  <c r="AA437" i="15" s="1"/>
  <c r="AC437" i="15" s="1"/>
  <c r="AP437" i="15" s="1"/>
  <c r="X377" i="15"/>
  <c r="AA377" i="15" s="1"/>
  <c r="AC377" i="15" s="1"/>
  <c r="AP377" i="15" s="1"/>
  <c r="X317" i="15"/>
  <c r="AA317" i="15" s="1"/>
  <c r="AC317" i="15" s="1"/>
  <c r="AP317" i="15" s="1"/>
  <c r="X257" i="15"/>
  <c r="Z257" i="15" s="1"/>
  <c r="AB257" i="15" s="1"/>
  <c r="AO257" i="15" s="1"/>
  <c r="X181" i="15"/>
  <c r="Z181" i="15" s="1"/>
  <c r="AB181" i="15" s="1"/>
  <c r="AO181" i="15" s="1"/>
  <c r="X105" i="15"/>
  <c r="AA105" i="15" s="1"/>
  <c r="AC105" i="15" s="1"/>
  <c r="AP105" i="15" s="1"/>
  <c r="X37" i="15"/>
  <c r="X478" i="15"/>
  <c r="Z478" i="15" s="1"/>
  <c r="AB478" i="15" s="1"/>
  <c r="AO478" i="15" s="1"/>
  <c r="X402" i="15"/>
  <c r="Z402" i="15" s="1"/>
  <c r="AB402" i="15" s="1"/>
  <c r="AO402" i="15" s="1"/>
  <c r="X334" i="15"/>
  <c r="Z334" i="15" s="1"/>
  <c r="AB334" i="15" s="1"/>
  <c r="AO334" i="15" s="1"/>
  <c r="X258" i="15"/>
  <c r="Z258" i="15" s="1"/>
  <c r="AB258" i="15" s="1"/>
  <c r="AO258" i="15" s="1"/>
  <c r="X495" i="15"/>
  <c r="Z495" i="15" s="1"/>
  <c r="AB495" i="15" s="1"/>
  <c r="AO495" i="15" s="1"/>
  <c r="X367" i="15"/>
  <c r="Z367" i="15" s="1"/>
  <c r="AB367" i="15" s="1"/>
  <c r="AO367" i="15" s="1"/>
  <c r="X215" i="15"/>
  <c r="Z215" i="15" s="1"/>
  <c r="AB215" i="15" s="1"/>
  <c r="AO215" i="15" s="1"/>
  <c r="X110" i="15"/>
  <c r="AA110" i="15" s="1"/>
  <c r="AC110" i="15" s="1"/>
  <c r="X491" i="15"/>
  <c r="Z491" i="15" s="1"/>
  <c r="AB491" i="15" s="1"/>
  <c r="AO491" i="15" s="1"/>
  <c r="X187" i="15"/>
  <c r="Z187" i="15" s="1"/>
  <c r="AB187" i="15" s="1"/>
  <c r="AO187" i="15" s="1"/>
  <c r="A18" i="15"/>
  <c r="N14" i="68" s="1"/>
  <c r="D15" i="2" s="1"/>
  <c r="X352" i="15"/>
  <c r="X170" i="15"/>
  <c r="AA170" i="15" s="1"/>
  <c r="AC170" i="15" s="1"/>
  <c r="AP170" i="15" s="1"/>
  <c r="X68" i="15"/>
  <c r="Z68" i="15" s="1"/>
  <c r="AB68" i="15" s="1"/>
  <c r="AO68" i="15" s="1"/>
  <c r="X411" i="15"/>
  <c r="Z411" i="15" s="1"/>
  <c r="AB411" i="15" s="1"/>
  <c r="AO411" i="15" s="1"/>
  <c r="X134" i="15"/>
  <c r="Z134" i="15" s="1"/>
  <c r="AB134" i="15" s="1"/>
  <c r="AO134" i="15" s="1"/>
  <c r="X95" i="15"/>
  <c r="Z95" i="15" s="1"/>
  <c r="AB95" i="15" s="1"/>
  <c r="AO95" i="15" s="1"/>
  <c r="X348" i="15"/>
  <c r="AA348" i="15" s="1"/>
  <c r="AC348" i="15" s="1"/>
  <c r="AP348" i="15" s="1"/>
  <c r="X29" i="15"/>
  <c r="Z29" i="15" s="1"/>
  <c r="AB29" i="15" s="1"/>
  <c r="AO29" i="15" s="1"/>
  <c r="X207" i="15"/>
  <c r="Z207" i="15" s="1"/>
  <c r="AB207" i="15" s="1"/>
  <c r="AO207" i="15" s="1"/>
  <c r="X160" i="15"/>
  <c r="AA160" i="15" s="1"/>
  <c r="AC160" i="15" s="1"/>
  <c r="AP160" i="15" s="1"/>
  <c r="X328" i="15"/>
  <c r="AA328" i="15" s="1"/>
  <c r="AC328" i="15" s="1"/>
  <c r="AP328" i="15" s="1"/>
  <c r="X387" i="15"/>
  <c r="Z387" i="15" s="1"/>
  <c r="AB387" i="15" s="1"/>
  <c r="AO387" i="15" s="1"/>
  <c r="X305" i="15"/>
  <c r="X242" i="15"/>
  <c r="AA242" i="15" s="1"/>
  <c r="AC242" i="15" s="1"/>
  <c r="AP242" i="15" s="1"/>
  <c r="X199" i="15"/>
  <c r="Z199" i="15" s="1"/>
  <c r="AB199" i="15" s="1"/>
  <c r="AO199" i="15" s="1"/>
  <c r="X150" i="15"/>
  <c r="Z150" i="15" s="1"/>
  <c r="AB150" i="15" s="1"/>
  <c r="AO150" i="15" s="1"/>
  <c r="X52" i="15"/>
  <c r="AA52" i="15" s="1"/>
  <c r="AC52" i="15" s="1"/>
  <c r="AP52" i="15" s="1"/>
  <c r="X156" i="15"/>
  <c r="Z156" i="15" s="1"/>
  <c r="AB156" i="15" s="1"/>
  <c r="AO156" i="15" s="1"/>
  <c r="X7" i="15"/>
  <c r="AA7" i="15" s="1"/>
  <c r="AC7" i="15" s="1"/>
  <c r="AP7" i="15" s="1"/>
  <c r="X462" i="15"/>
  <c r="Z462" i="15" s="1"/>
  <c r="AB462" i="15" s="1"/>
  <c r="AO462" i="15" s="1"/>
  <c r="X427" i="15"/>
  <c r="Z427" i="15" s="1"/>
  <c r="AB427" i="15" s="1"/>
  <c r="AO427" i="15" s="1"/>
  <c r="X151" i="15"/>
  <c r="Z151" i="15" s="1"/>
  <c r="AB151" i="15" s="1"/>
  <c r="AO151" i="15" s="1"/>
  <c r="X159" i="15"/>
  <c r="Z159" i="15" s="1"/>
  <c r="AB159" i="15" s="1"/>
  <c r="AO159" i="15" s="1"/>
  <c r="X108" i="15"/>
  <c r="AA108" i="15" s="1"/>
  <c r="AC108" i="15" s="1"/>
  <c r="X63" i="15"/>
  <c r="X497" i="15"/>
  <c r="AA497" i="15" s="1"/>
  <c r="AC497" i="15" s="1"/>
  <c r="AP497" i="15" s="1"/>
  <c r="X433" i="15"/>
  <c r="AA433" i="15" s="1"/>
  <c r="AC433" i="15" s="1"/>
  <c r="AP433" i="15" s="1"/>
  <c r="X369" i="15"/>
  <c r="AA369" i="15" s="1"/>
  <c r="AC369" i="15" s="1"/>
  <c r="AP369" i="15" s="1"/>
  <c r="X309" i="15"/>
  <c r="AA309" i="15" s="1"/>
  <c r="AC309" i="15" s="1"/>
  <c r="AP309" i="15" s="1"/>
  <c r="X253" i="15"/>
  <c r="AA253" i="15" s="1"/>
  <c r="AC253" i="15" s="1"/>
  <c r="AP253" i="15" s="1"/>
  <c r="X177" i="15"/>
  <c r="Z177" i="15" s="1"/>
  <c r="AB177" i="15" s="1"/>
  <c r="AO177" i="15" s="1"/>
  <c r="X93" i="15"/>
  <c r="Z93" i="15" s="1"/>
  <c r="AB93" i="15" s="1"/>
  <c r="AO93" i="15" s="1"/>
  <c r="X398" i="15"/>
  <c r="AA398" i="15" s="1"/>
  <c r="AC398" i="15" s="1"/>
  <c r="AP398" i="15" s="1"/>
  <c r="X326" i="15"/>
  <c r="AA326" i="15" s="1"/>
  <c r="AC326" i="15" s="1"/>
  <c r="AP326" i="15" s="1"/>
  <c r="X254" i="15"/>
  <c r="Z254" i="15" s="1"/>
  <c r="AB254" i="15" s="1"/>
  <c r="AO254" i="15" s="1"/>
  <c r="X487" i="15"/>
  <c r="Z487" i="15" s="1"/>
  <c r="AB487" i="15" s="1"/>
  <c r="AO487" i="15" s="1"/>
  <c r="X359" i="15"/>
  <c r="X483" i="15"/>
  <c r="Z483" i="15" s="1"/>
  <c r="AB483" i="15" s="1"/>
  <c r="AO483" i="15" s="1"/>
  <c r="X55" i="15"/>
  <c r="Z55" i="15" s="1"/>
  <c r="AB55" i="15" s="1"/>
  <c r="AO55" i="15" s="1"/>
  <c r="X18" i="15"/>
  <c r="AA18" i="15" s="1"/>
  <c r="AC18" i="15" s="1"/>
  <c r="AP18" i="15" s="1"/>
  <c r="X331" i="15"/>
  <c r="Z331" i="15" s="1"/>
  <c r="AB331" i="15" s="1"/>
  <c r="AO331" i="15" s="1"/>
  <c r="X111" i="15"/>
  <c r="Z111" i="15" s="1"/>
  <c r="AB111" i="15" s="1"/>
  <c r="AO111" i="15" s="1"/>
  <c r="X114" i="15"/>
  <c r="AA114" i="15" s="1"/>
  <c r="AC114" i="15" s="1"/>
  <c r="X489" i="15"/>
  <c r="AA489" i="15" s="1"/>
  <c r="AC489" i="15" s="1"/>
  <c r="AP489" i="15" s="1"/>
  <c r="X429" i="15"/>
  <c r="AA429" i="15" s="1"/>
  <c r="AC429" i="15" s="1"/>
  <c r="AP429" i="15" s="1"/>
  <c r="X249" i="15"/>
  <c r="AA249" i="15" s="1"/>
  <c r="AC249" i="15" s="1"/>
  <c r="AP249" i="15" s="1"/>
  <c r="X89" i="15"/>
  <c r="AA89" i="15" s="1"/>
  <c r="AC89" i="15" s="1"/>
  <c r="AP89" i="15" s="1"/>
  <c r="X466" i="15"/>
  <c r="Z466" i="15" s="1"/>
  <c r="AB466" i="15" s="1"/>
  <c r="AO466" i="15" s="1"/>
  <c r="X479" i="15"/>
  <c r="X5" i="15"/>
  <c r="Z5" i="15" s="1"/>
  <c r="AB5" i="15" s="1"/>
  <c r="X183" i="15"/>
  <c r="Z183" i="15" s="1"/>
  <c r="AB183" i="15" s="1"/>
  <c r="AO183" i="15" s="1"/>
  <c r="X236" i="15"/>
  <c r="AA236" i="15" s="1"/>
  <c r="AC236" i="15" s="1"/>
  <c r="AP236" i="15" s="1"/>
  <c r="X124" i="15"/>
  <c r="AA124" i="15" s="1"/>
  <c r="AC124" i="15" s="1"/>
  <c r="AP124" i="15" s="1"/>
  <c r="X485" i="15"/>
  <c r="AA485" i="15" s="1"/>
  <c r="AC485" i="15" s="1"/>
  <c r="AP485" i="15" s="1"/>
  <c r="X425" i="15"/>
  <c r="AA425" i="15" s="1"/>
  <c r="AC425" i="15" s="1"/>
  <c r="AP425" i="15" s="1"/>
  <c r="X361" i="15"/>
  <c r="AA361" i="15" s="1"/>
  <c r="AC361" i="15" s="1"/>
  <c r="AP361" i="15" s="1"/>
  <c r="X297" i="15"/>
  <c r="AA297" i="15" s="1"/>
  <c r="AC297" i="15" s="1"/>
  <c r="AP297" i="15" s="1"/>
  <c r="X229" i="15"/>
  <c r="Z229" i="15" s="1"/>
  <c r="AB229" i="15" s="1"/>
  <c r="AO229" i="15" s="1"/>
  <c r="X161" i="15"/>
  <c r="AA161" i="15" s="1"/>
  <c r="AC161" i="15" s="1"/>
  <c r="AP161" i="15" s="1"/>
  <c r="X81" i="15"/>
  <c r="Z81" i="15" s="1"/>
  <c r="AB81" i="15" s="1"/>
  <c r="AO81" i="15" s="1"/>
  <c r="X17" i="15"/>
  <c r="X390" i="15"/>
  <c r="Z390" i="15" s="1"/>
  <c r="AB390" i="15" s="1"/>
  <c r="AO390" i="15" s="1"/>
  <c r="X226" i="15"/>
  <c r="AA226" i="15" s="1"/>
  <c r="AC226" i="15" s="1"/>
  <c r="AP226" i="15" s="1"/>
  <c r="X311" i="15"/>
  <c r="Z311" i="15" s="1"/>
  <c r="AB311" i="15" s="1"/>
  <c r="AO311" i="15" s="1"/>
  <c r="X78" i="15"/>
  <c r="Z78" i="15" s="1"/>
  <c r="AB78" i="15" s="1"/>
  <c r="AO78" i="15" s="1"/>
  <c r="X147" i="15"/>
  <c r="Z147" i="15" s="1"/>
  <c r="AB147" i="15" s="1"/>
  <c r="AO147" i="15" s="1"/>
  <c r="X39" i="15"/>
  <c r="Z39" i="15" s="1"/>
  <c r="AB39" i="15" s="1"/>
  <c r="AO39" i="15" s="1"/>
  <c r="X196" i="15"/>
  <c r="Z196" i="15" s="1"/>
  <c r="AB196" i="15" s="1"/>
  <c r="AO196" i="15" s="1"/>
  <c r="X473" i="15"/>
  <c r="AA473" i="15" s="1"/>
  <c r="AC473" i="15" s="1"/>
  <c r="AP473" i="15" s="1"/>
  <c r="X413" i="15"/>
  <c r="AA413" i="15" s="1"/>
  <c r="AC413" i="15" s="1"/>
  <c r="AP413" i="15" s="1"/>
  <c r="X353" i="15"/>
  <c r="AA353" i="15" s="1"/>
  <c r="AC353" i="15" s="1"/>
  <c r="AP353" i="15" s="1"/>
  <c r="X289" i="15"/>
  <c r="AA289" i="15" s="1"/>
  <c r="AC289" i="15" s="1"/>
  <c r="AP289" i="15" s="1"/>
  <c r="X221" i="15"/>
  <c r="X153" i="15"/>
  <c r="AA153" i="15" s="1"/>
  <c r="AC153" i="15" s="1"/>
  <c r="AP153" i="15" s="1"/>
  <c r="X73" i="15"/>
  <c r="AA73" i="15" s="1"/>
  <c r="AC73" i="15" s="1"/>
  <c r="AP73" i="15" s="1"/>
  <c r="X9" i="15"/>
  <c r="Z9" i="15" s="1"/>
  <c r="AB9" i="15" s="1"/>
  <c r="AO9" i="15" s="1"/>
  <c r="X450" i="15"/>
  <c r="Z450" i="15" s="1"/>
  <c r="AB450" i="15" s="1"/>
  <c r="AO450" i="15" s="1"/>
  <c r="X382" i="15"/>
  <c r="Z382" i="15" s="1"/>
  <c r="AB382" i="15" s="1"/>
  <c r="AO382" i="15" s="1"/>
  <c r="X306" i="15"/>
  <c r="Z306" i="15" s="1"/>
  <c r="AB306" i="15" s="1"/>
  <c r="AO306" i="15" s="1"/>
  <c r="X218" i="15"/>
  <c r="Z218" i="15" s="1"/>
  <c r="AB218" i="15" s="1"/>
  <c r="AO218" i="15" s="1"/>
  <c r="X447" i="15"/>
  <c r="Z447" i="15" s="1"/>
  <c r="AB447" i="15" s="1"/>
  <c r="AO447" i="15" s="1"/>
  <c r="X295" i="15"/>
  <c r="Z295" i="15" s="1"/>
  <c r="AB295" i="15" s="1"/>
  <c r="AO295" i="15" s="1"/>
  <c r="X171" i="15"/>
  <c r="Z171" i="15" s="1"/>
  <c r="AB171" i="15" s="1"/>
  <c r="AO171" i="15" s="1"/>
  <c r="X56" i="15"/>
  <c r="AA56" i="15" s="1"/>
  <c r="AC56" i="15" s="1"/>
  <c r="AP56" i="15" s="1"/>
  <c r="X395" i="15"/>
  <c r="X115" i="15"/>
  <c r="AA115" i="15" s="1"/>
  <c r="AC115" i="15" s="1"/>
  <c r="AP115" i="15" s="1"/>
  <c r="X464" i="15"/>
  <c r="AA464" i="15" s="1"/>
  <c r="AC464" i="15" s="1"/>
  <c r="AP464" i="15" s="1"/>
  <c r="X248" i="15"/>
  <c r="AA248" i="15" s="1"/>
  <c r="AC248" i="15" s="1"/>
  <c r="AP248" i="15" s="1"/>
  <c r="X135" i="15"/>
  <c r="AA135" i="15" s="1"/>
  <c r="AC135" i="15" s="1"/>
  <c r="AP135" i="15" s="1"/>
  <c r="X16" i="15"/>
  <c r="AA16" i="15" s="1"/>
  <c r="AC16" i="15" s="1"/>
  <c r="AP16" i="15" s="1"/>
  <c r="X259" i="15"/>
  <c r="Z259" i="15" s="1"/>
  <c r="AB259" i="15" s="1"/>
  <c r="AO259" i="15" s="1"/>
  <c r="X20" i="15"/>
  <c r="Z20" i="15" s="1"/>
  <c r="AB20" i="15" s="1"/>
  <c r="AO20" i="15" s="1"/>
  <c r="X276" i="15"/>
  <c r="AA276" i="15" s="1"/>
  <c r="AC276" i="15" s="1"/>
  <c r="AP276" i="15" s="1"/>
  <c r="X204" i="15"/>
  <c r="AA204" i="15" s="1"/>
  <c r="AC204" i="15" s="1"/>
  <c r="AP204" i="15" s="1"/>
  <c r="X143" i="15"/>
  <c r="Z143" i="15" s="1"/>
  <c r="AB143" i="15" s="1"/>
  <c r="AO143" i="15" s="1"/>
  <c r="X140" i="15"/>
  <c r="AA140" i="15" s="1"/>
  <c r="AC140" i="15" s="1"/>
  <c r="AP140" i="15" s="1"/>
  <c r="X34" i="15"/>
  <c r="X51" i="15"/>
  <c r="Z51" i="15" s="1"/>
  <c r="AB51" i="15" s="1"/>
  <c r="AO51" i="15" s="1"/>
  <c r="X280" i="15"/>
  <c r="AA280" i="15" s="1"/>
  <c r="AC280" i="15" s="1"/>
  <c r="AP280" i="15" s="1"/>
  <c r="X59" i="15"/>
  <c r="AA59" i="15" s="1"/>
  <c r="AC59" i="15" s="1"/>
  <c r="X222" i="15"/>
  <c r="Z222" i="15" s="1"/>
  <c r="AB222" i="15" s="1"/>
  <c r="AO222" i="15" s="1"/>
  <c r="X10" i="15"/>
  <c r="Z10" i="15" s="1"/>
  <c r="AB10" i="15" s="1"/>
  <c r="AO10" i="15" s="1"/>
  <c r="X293" i="15"/>
  <c r="AA293" i="15" s="1"/>
  <c r="AC293" i="15" s="1"/>
  <c r="AP293" i="15" s="1"/>
  <c r="X11" i="55"/>
  <c r="AA11" i="55" s="1"/>
  <c r="AC11" i="55" s="1"/>
  <c r="AP11" i="55" s="1"/>
  <c r="X44" i="15"/>
  <c r="AA44" i="15" s="1"/>
  <c r="AC44" i="15" s="1"/>
  <c r="AP44" i="15" s="1"/>
  <c r="X76" i="15"/>
  <c r="AA76" i="15" s="1"/>
  <c r="AC76" i="15" s="1"/>
  <c r="AP76" i="15" s="1"/>
  <c r="X211" i="15"/>
  <c r="Z211" i="15" s="1"/>
  <c r="AB211" i="15" s="1"/>
  <c r="AO211" i="15" s="1"/>
  <c r="X424" i="15"/>
  <c r="AA424" i="15" s="1"/>
  <c r="AC424" i="15" s="1"/>
  <c r="AP424" i="15" s="1"/>
  <c r="X136" i="15"/>
  <c r="X286" i="15"/>
  <c r="AA286" i="15" s="1"/>
  <c r="AC286" i="15" s="1"/>
  <c r="AP286" i="15" s="1"/>
  <c r="X57" i="15"/>
  <c r="AA57" i="15" s="1"/>
  <c r="AC57" i="15" s="1"/>
  <c r="AP57" i="15" s="1"/>
  <c r="X333" i="15"/>
  <c r="AA333" i="15" s="1"/>
  <c r="AC333" i="15" s="1"/>
  <c r="AP333" i="15" s="1"/>
  <c r="X219" i="15"/>
  <c r="Z219" i="15" s="1"/>
  <c r="AB219" i="15" s="1"/>
  <c r="AO219" i="15" s="1"/>
  <c r="A20" i="72"/>
  <c r="O30" i="68" s="1"/>
  <c r="R30" i="68" s="1"/>
  <c r="V30" i="68" s="1"/>
  <c r="G30" i="2" s="1"/>
  <c r="X22" i="55"/>
  <c r="AA22" i="55" s="1"/>
  <c r="AC22" i="55" s="1"/>
  <c r="AP22" i="55" s="1"/>
  <c r="A20" i="55"/>
  <c r="O29" i="67" s="1"/>
  <c r="R29" i="67" s="1"/>
  <c r="X18" i="55"/>
  <c r="AA18" i="55" s="1"/>
  <c r="AC18" i="55" s="1"/>
  <c r="AP18" i="55" s="1"/>
  <c r="X24" i="55"/>
  <c r="X10" i="55"/>
  <c r="Z10" i="55" s="1"/>
  <c r="AB10" i="55" s="1"/>
  <c r="AO10" i="55" s="1"/>
  <c r="X16" i="55"/>
  <c r="AA16" i="55" s="1"/>
  <c r="AC16" i="55" s="1"/>
  <c r="AP16" i="55" s="1"/>
  <c r="X7" i="55"/>
  <c r="X15" i="55"/>
  <c r="AA15" i="55" s="1"/>
  <c r="AC15" i="55" s="1"/>
  <c r="AP15" i="55" s="1"/>
  <c r="X21" i="55"/>
  <c r="AA21" i="55" s="1"/>
  <c r="AC21" i="55" s="1"/>
  <c r="AP21" i="55" s="1"/>
  <c r="X20" i="55"/>
  <c r="Z20" i="55" s="1"/>
  <c r="AB20" i="55" s="1"/>
  <c r="AO20" i="55" s="1"/>
  <c r="X12" i="55"/>
  <c r="Z12" i="55" s="1"/>
  <c r="AB12" i="55" s="1"/>
  <c r="AO12" i="55" s="1"/>
  <c r="X6" i="55"/>
  <c r="AA6" i="55" s="1"/>
  <c r="AC6" i="55" s="1"/>
  <c r="AP6" i="55" s="1"/>
  <c r="X5" i="55"/>
  <c r="AA5" i="55" s="1"/>
  <c r="AC5" i="55" s="1"/>
  <c r="X14" i="55"/>
  <c r="Z14" i="55" s="1"/>
  <c r="AB14" i="55" s="1"/>
  <c r="AO14" i="55" s="1"/>
  <c r="I29" i="67"/>
  <c r="X8" i="55"/>
  <c r="X448" i="15"/>
  <c r="Z448" i="15" s="1"/>
  <c r="AB448" i="15" s="1"/>
  <c r="AO448" i="15" s="1"/>
  <c r="X290" i="15"/>
  <c r="Z290" i="15" s="1"/>
  <c r="AB290" i="15" s="1"/>
  <c r="AO290" i="15" s="1"/>
  <c r="X341" i="15"/>
  <c r="X13" i="15"/>
  <c r="Z13" i="15" s="1"/>
  <c r="AB13" i="15" s="1"/>
  <c r="AO13" i="15" s="1"/>
  <c r="X315" i="15"/>
  <c r="Z315" i="15" s="1"/>
  <c r="AB315" i="15" s="1"/>
  <c r="AO315" i="15" s="1"/>
  <c r="X472" i="15"/>
  <c r="Z472" i="15" s="1"/>
  <c r="AB472" i="15" s="1"/>
  <c r="AO472" i="15" s="1"/>
  <c r="X175" i="15"/>
  <c r="Z175" i="15" s="1"/>
  <c r="AB175" i="15" s="1"/>
  <c r="AO175" i="15" s="1"/>
  <c r="X310" i="15"/>
  <c r="AA310" i="15" s="1"/>
  <c r="AC310" i="15" s="1"/>
  <c r="AP310" i="15" s="1"/>
  <c r="X77" i="15"/>
  <c r="Z77" i="15" s="1"/>
  <c r="AB77" i="15" s="1"/>
  <c r="AO77" i="15" s="1"/>
  <c r="X357" i="15"/>
  <c r="AA357" i="15" s="1"/>
  <c r="AC357" i="15" s="1"/>
  <c r="AP357" i="15" s="1"/>
  <c r="X467" i="15"/>
  <c r="Z467" i="15" s="1"/>
  <c r="AB467" i="15" s="1"/>
  <c r="AO467" i="15" s="1"/>
  <c r="X64" i="15"/>
  <c r="AA64" i="15" s="1"/>
  <c r="AC64" i="15" s="1"/>
  <c r="AP64" i="15" s="1"/>
  <c r="X255" i="15"/>
  <c r="AA255" i="15" s="1"/>
  <c r="AC255" i="15" s="1"/>
  <c r="AP255" i="15" s="1"/>
  <c r="X358" i="15"/>
  <c r="Z358" i="15" s="1"/>
  <c r="AB358" i="15" s="1"/>
  <c r="AO358" i="15" s="1"/>
  <c r="X141" i="15"/>
  <c r="X397" i="15"/>
  <c r="AA397" i="15" s="1"/>
  <c r="AC397" i="15" s="1"/>
  <c r="AP397" i="15" s="1"/>
  <c r="X30" i="15"/>
  <c r="AA30" i="15" s="1"/>
  <c r="AC30" i="15" s="1"/>
  <c r="AP30" i="15" s="1"/>
  <c r="X42" i="15"/>
  <c r="AA42" i="15" s="1"/>
  <c r="AC42" i="15" s="1"/>
  <c r="AP42" i="15" s="1"/>
  <c r="X16" i="72"/>
  <c r="Z16" i="72" s="1"/>
  <c r="AB16" i="72" s="1"/>
  <c r="AO16" i="72" s="1"/>
  <c r="X45" i="15"/>
  <c r="Z45" i="15" s="1"/>
  <c r="AB45" i="15" s="1"/>
  <c r="AO45" i="15" s="1"/>
  <c r="X85" i="15"/>
  <c r="AA85" i="15" s="1"/>
  <c r="AC85" i="15" s="1"/>
  <c r="AP85" i="15" s="1"/>
  <c r="X62" i="15"/>
  <c r="Z62" i="15" s="1"/>
  <c r="AB62" i="15" s="1"/>
  <c r="AO62" i="15" s="1"/>
  <c r="X98" i="15"/>
  <c r="AA98" i="15" s="1"/>
  <c r="AC98" i="15" s="1"/>
  <c r="AP98" i="15" s="1"/>
  <c r="X72" i="15"/>
  <c r="AA72" i="15" s="1"/>
  <c r="AC72" i="15" s="1"/>
  <c r="AP72" i="15" s="1"/>
  <c r="X118" i="15"/>
  <c r="Z118" i="15" s="1"/>
  <c r="AB118" i="15" s="1"/>
  <c r="AO118" i="15" s="1"/>
  <c r="X155" i="15"/>
  <c r="AA155" i="15" s="1"/>
  <c r="AC155" i="15" s="1"/>
  <c r="AP155" i="15" s="1"/>
  <c r="X191" i="15"/>
  <c r="X227" i="15"/>
  <c r="Z227" i="15" s="1"/>
  <c r="AB227" i="15" s="1"/>
  <c r="AO227" i="15" s="1"/>
  <c r="X268" i="15"/>
  <c r="AA268" i="15" s="1"/>
  <c r="AC268" i="15" s="1"/>
  <c r="AP268" i="15" s="1"/>
  <c r="X162" i="15"/>
  <c r="AA162" i="15" s="1"/>
  <c r="AC162" i="15" s="1"/>
  <c r="AP162" i="15" s="1"/>
  <c r="X198" i="15"/>
  <c r="AA198" i="15" s="1"/>
  <c r="AC198" i="15" s="1"/>
  <c r="AP198" i="15" s="1"/>
  <c r="X234" i="15"/>
  <c r="Z234" i="15" s="1"/>
  <c r="AB234" i="15" s="1"/>
  <c r="AO234" i="15" s="1"/>
  <c r="X130" i="15"/>
  <c r="AA130" i="15" s="1"/>
  <c r="AC130" i="15" s="1"/>
  <c r="AP130" i="15" s="1"/>
  <c r="X166" i="15"/>
  <c r="Z166" i="15" s="1"/>
  <c r="AB166" i="15" s="1"/>
  <c r="AO166" i="15" s="1"/>
  <c r="X202" i="15"/>
  <c r="Z202" i="15" s="1"/>
  <c r="AB202" i="15" s="1"/>
  <c r="AO202" i="15" s="1"/>
  <c r="X238" i="15"/>
  <c r="AA238" i="15" s="1"/>
  <c r="AC238" i="15" s="1"/>
  <c r="AP238" i="15" s="1"/>
  <c r="X296" i="15"/>
  <c r="AA296" i="15" s="1"/>
  <c r="AC296" i="15" s="1"/>
  <c r="AP296" i="15" s="1"/>
  <c r="X332" i="15"/>
  <c r="AA332" i="15" s="1"/>
  <c r="AC332" i="15" s="1"/>
  <c r="AP332" i="15" s="1"/>
  <c r="X368" i="15"/>
  <c r="X404" i="15"/>
  <c r="AA404" i="15" s="1"/>
  <c r="AC404" i="15" s="1"/>
  <c r="AP404" i="15" s="1"/>
  <c r="X440" i="15"/>
  <c r="AA440" i="15" s="1"/>
  <c r="AC440" i="15" s="1"/>
  <c r="AP440" i="15" s="1"/>
  <c r="X476" i="15"/>
  <c r="AA476" i="15" s="1"/>
  <c r="AC476" i="15" s="1"/>
  <c r="AP476" i="15" s="1"/>
  <c r="X512" i="15"/>
  <c r="AA512" i="15" s="1"/>
  <c r="AC512" i="15" s="1"/>
  <c r="AP512" i="15" s="1"/>
  <c r="X288" i="15"/>
  <c r="AA288" i="15" s="1"/>
  <c r="AC288" i="15" s="1"/>
  <c r="AP288" i="15" s="1"/>
  <c r="X324" i="15"/>
  <c r="AA324" i="15" s="1"/>
  <c r="AC324" i="15" s="1"/>
  <c r="AP324" i="15" s="1"/>
  <c r="X360" i="15"/>
  <c r="AA360" i="15" s="1"/>
  <c r="AC360" i="15" s="1"/>
  <c r="AP360" i="15" s="1"/>
  <c r="X396" i="15"/>
  <c r="AA396" i="15" s="1"/>
  <c r="AC396" i="15" s="1"/>
  <c r="AP396" i="15" s="1"/>
  <c r="X432" i="15"/>
  <c r="Z432" i="15" s="1"/>
  <c r="AB432" i="15" s="1"/>
  <c r="AO432" i="15" s="1"/>
  <c r="X468" i="15"/>
  <c r="AA468" i="15" s="1"/>
  <c r="AC468" i="15" s="1"/>
  <c r="AP468" i="15" s="1"/>
  <c r="X504" i="15"/>
  <c r="AA504" i="15" s="1"/>
  <c r="AC504" i="15" s="1"/>
  <c r="AP504" i="15" s="1"/>
  <c r="X301" i="15"/>
  <c r="X337" i="15"/>
  <c r="AA337" i="15" s="1"/>
  <c r="AC337" i="15" s="1"/>
  <c r="AP337" i="15" s="1"/>
  <c r="X373" i="15"/>
  <c r="Z373" i="15" s="1"/>
  <c r="AB373" i="15" s="1"/>
  <c r="AO373" i="15" s="1"/>
  <c r="X409" i="15"/>
  <c r="AA409" i="15" s="1"/>
  <c r="AC409" i="15" s="1"/>
  <c r="AP409" i="15" s="1"/>
  <c r="X445" i="15"/>
  <c r="AA445" i="15" s="1"/>
  <c r="AC445" i="15" s="1"/>
  <c r="AP445" i="15" s="1"/>
  <c r="X481" i="15"/>
  <c r="AA481" i="15" s="1"/>
  <c r="AC481" i="15" s="1"/>
  <c r="AP481" i="15" s="1"/>
  <c r="X38" i="15"/>
  <c r="AA38" i="15" s="1"/>
  <c r="AC38" i="15" s="1"/>
  <c r="X14" i="15"/>
  <c r="Z14" i="15" s="1"/>
  <c r="AB14" i="15" s="1"/>
  <c r="AO14" i="15" s="1"/>
  <c r="X88" i="15"/>
  <c r="AA88" i="15" s="1"/>
  <c r="AC88" i="15" s="1"/>
  <c r="AP88" i="15" s="1"/>
  <c r="X65" i="15"/>
  <c r="AA65" i="15" s="1"/>
  <c r="AC65" i="15" s="1"/>
  <c r="AP65" i="15" s="1"/>
  <c r="X104" i="15"/>
  <c r="AA104" i="15" s="1"/>
  <c r="AC104" i="15" s="1"/>
  <c r="X75" i="15"/>
  <c r="Z75" i="15" s="1"/>
  <c r="AB75" i="15" s="1"/>
  <c r="AO75" i="15" s="1"/>
  <c r="X122" i="15"/>
  <c r="X158" i="15"/>
  <c r="AA158" i="15" s="1"/>
  <c r="AC158" i="15" s="1"/>
  <c r="AP158" i="15" s="1"/>
  <c r="X194" i="15"/>
  <c r="Z194" i="15" s="1"/>
  <c r="AB194" i="15" s="1"/>
  <c r="AO194" i="15" s="1"/>
  <c r="X230" i="15"/>
  <c r="AA230" i="15" s="1"/>
  <c r="AC230" i="15" s="1"/>
  <c r="AP230" i="15" s="1"/>
  <c r="X129" i="15"/>
  <c r="Z129" i="15" s="1"/>
  <c r="AB129" i="15" s="1"/>
  <c r="AO129" i="15" s="1"/>
  <c r="X165" i="15"/>
  <c r="Z165" i="15" s="1"/>
  <c r="AB165" i="15" s="1"/>
  <c r="AO165" i="15" s="1"/>
  <c r="X201" i="15"/>
  <c r="AA201" i="15" s="1"/>
  <c r="AC201" i="15" s="1"/>
  <c r="AP201" i="15" s="1"/>
  <c r="X237" i="15"/>
  <c r="AA237" i="15" s="1"/>
  <c r="AC237" i="15" s="1"/>
  <c r="AP237" i="15" s="1"/>
  <c r="X133" i="15"/>
  <c r="Z133" i="15" s="1"/>
  <c r="AB133" i="15" s="1"/>
  <c r="AO133" i="15" s="1"/>
  <c r="X205" i="15"/>
  <c r="AA205" i="15" s="1"/>
  <c r="AC205" i="15" s="1"/>
  <c r="AP205" i="15" s="1"/>
  <c r="X241" i="15"/>
  <c r="AA241" i="15" s="1"/>
  <c r="AC241" i="15" s="1"/>
  <c r="AP241" i="15" s="1"/>
  <c r="X263" i="15"/>
  <c r="Z263" i="15" s="1"/>
  <c r="AB263" i="15" s="1"/>
  <c r="AO263" i="15" s="1"/>
  <c r="X299" i="15"/>
  <c r="X335" i="15"/>
  <c r="Z335" i="15" s="1"/>
  <c r="AB335" i="15" s="1"/>
  <c r="AO335" i="15" s="1"/>
  <c r="X371" i="15"/>
  <c r="Z371" i="15" s="1"/>
  <c r="AB371" i="15" s="1"/>
  <c r="AO371" i="15" s="1"/>
  <c r="X407" i="15"/>
  <c r="Z407" i="15" s="1"/>
  <c r="AB407" i="15" s="1"/>
  <c r="AO407" i="15" s="1"/>
  <c r="X515" i="15"/>
  <c r="Z515" i="15" s="1"/>
  <c r="AB515" i="15" s="1"/>
  <c r="AO515" i="15" s="1"/>
  <c r="X291" i="15"/>
  <c r="Z291" i="15" s="1"/>
  <c r="AB291" i="15" s="1"/>
  <c r="AO291" i="15" s="1"/>
  <c r="X327" i="15"/>
  <c r="Z327" i="15" s="1"/>
  <c r="AB327" i="15" s="1"/>
  <c r="AO327" i="15" s="1"/>
  <c r="X363" i="15"/>
  <c r="AA363" i="15" s="1"/>
  <c r="AC363" i="15" s="1"/>
  <c r="AP363" i="15" s="1"/>
  <c r="X399" i="15"/>
  <c r="Z399" i="15" s="1"/>
  <c r="AB399" i="15" s="1"/>
  <c r="AO399" i="15" s="1"/>
  <c r="X507" i="15"/>
  <c r="Z507" i="15" s="1"/>
  <c r="AB507" i="15" s="1"/>
  <c r="AO507" i="15" s="1"/>
  <c r="X304" i="15"/>
  <c r="Z304" i="15" s="1"/>
  <c r="AB304" i="15" s="1"/>
  <c r="AO304" i="15" s="1"/>
  <c r="X340" i="15"/>
  <c r="AA340" i="15" s="1"/>
  <c r="AC340" i="15" s="1"/>
  <c r="AP340" i="15" s="1"/>
  <c r="X376" i="15"/>
  <c r="X412" i="15"/>
  <c r="AA412" i="15" s="1"/>
  <c r="AC412" i="15" s="1"/>
  <c r="AP412" i="15" s="1"/>
  <c r="X484" i="15"/>
  <c r="AA484" i="15" s="1"/>
  <c r="AC484" i="15" s="1"/>
  <c r="AP484" i="15" s="1"/>
  <c r="X5" i="72"/>
  <c r="AA5" i="72" s="1"/>
  <c r="AC5" i="72" s="1"/>
  <c r="X6" i="72"/>
  <c r="AA6" i="72" s="1"/>
  <c r="AC6" i="72" s="1"/>
  <c r="AP6" i="72" s="1"/>
  <c r="X43" i="15"/>
  <c r="Z43" i="15" s="1"/>
  <c r="AB43" i="15" s="1"/>
  <c r="AO43" i="15" s="1"/>
  <c r="X91" i="15"/>
  <c r="Z91" i="15" s="1"/>
  <c r="AB91" i="15" s="1"/>
  <c r="AO91" i="15" s="1"/>
  <c r="X113" i="15"/>
  <c r="Z113" i="15" s="1"/>
  <c r="AB113" i="15" s="1"/>
  <c r="AO113" i="15" s="1"/>
  <c r="X125" i="15"/>
  <c r="Z125" i="15" s="1"/>
  <c r="AB125" i="15" s="1"/>
  <c r="AO125" i="15" s="1"/>
  <c r="X233" i="15"/>
  <c r="AA233" i="15" s="1"/>
  <c r="AC233" i="15" s="1"/>
  <c r="AP233" i="15" s="1"/>
  <c r="X132" i="15"/>
  <c r="AA132" i="15" s="1"/>
  <c r="AC132" i="15" s="1"/>
  <c r="AP132" i="15" s="1"/>
  <c r="X168" i="15"/>
  <c r="AA168" i="15" s="1"/>
  <c r="AC168" i="15" s="1"/>
  <c r="AP168" i="15" s="1"/>
  <c r="X240" i="15"/>
  <c r="X208" i="15"/>
  <c r="AA208" i="15" s="1"/>
  <c r="AC208" i="15" s="1"/>
  <c r="AP208" i="15" s="1"/>
  <c r="X244" i="15"/>
  <c r="Z244" i="15" s="1"/>
  <c r="AB244" i="15" s="1"/>
  <c r="AO244" i="15" s="1"/>
  <c r="X266" i="15"/>
  <c r="Z266" i="15" s="1"/>
  <c r="AB266" i="15" s="1"/>
  <c r="AO266" i="15" s="1"/>
  <c r="X302" i="15"/>
  <c r="Z302" i="15" s="1"/>
  <c r="AB302" i="15" s="1"/>
  <c r="AO302" i="15" s="1"/>
  <c r="X374" i="15"/>
  <c r="Z374" i="15" s="1"/>
  <c r="AB374" i="15" s="1"/>
  <c r="AO374" i="15" s="1"/>
  <c r="X410" i="15"/>
  <c r="Z410" i="15" s="1"/>
  <c r="AB410" i="15" s="1"/>
  <c r="AO410" i="15" s="1"/>
  <c r="X446" i="15"/>
  <c r="Z446" i="15" s="1"/>
  <c r="AB446" i="15" s="1"/>
  <c r="AO446" i="15" s="1"/>
  <c r="X294" i="15"/>
  <c r="AA294" i="15" s="1"/>
  <c r="AC294" i="15" s="1"/>
  <c r="AP294" i="15" s="1"/>
  <c r="X330" i="15"/>
  <c r="Z330" i="15" s="1"/>
  <c r="AB330" i="15" s="1"/>
  <c r="AO330" i="15" s="1"/>
  <c r="X366" i="15"/>
  <c r="AA366" i="15" s="1"/>
  <c r="AC366" i="15" s="1"/>
  <c r="AP366" i="15" s="1"/>
  <c r="X438" i="15"/>
  <c r="AA438" i="15" s="1"/>
  <c r="AC438" i="15" s="1"/>
  <c r="AP438" i="15" s="1"/>
  <c r="X474" i="15"/>
  <c r="X510" i="15"/>
  <c r="AA510" i="15" s="1"/>
  <c r="AC510" i="15" s="1"/>
  <c r="AP510" i="15" s="1"/>
  <c r="X271" i="15"/>
  <c r="Z271" i="15" s="1"/>
  <c r="AB271" i="15" s="1"/>
  <c r="AO271" i="15" s="1"/>
  <c r="X307" i="15"/>
  <c r="Z307" i="15" s="1"/>
  <c r="AB307" i="15" s="1"/>
  <c r="AO307" i="15" s="1"/>
  <c r="X343" i="15"/>
  <c r="AA343" i="15" s="1"/>
  <c r="AC343" i="15" s="1"/>
  <c r="AP343" i="15" s="1"/>
  <c r="X379" i="15"/>
  <c r="Z379" i="15" s="1"/>
  <c r="AB379" i="15" s="1"/>
  <c r="AO379" i="15" s="1"/>
  <c r="X415" i="15"/>
  <c r="Z415" i="15" s="1"/>
  <c r="AB415" i="15" s="1"/>
  <c r="AO415" i="15" s="1"/>
  <c r="X451" i="15"/>
  <c r="Z451" i="15" s="1"/>
  <c r="AB451" i="15" s="1"/>
  <c r="AO451" i="15" s="1"/>
  <c r="X32" i="15"/>
  <c r="AA32" i="15" s="1"/>
  <c r="AC32" i="15" s="1"/>
  <c r="AP32" i="15" s="1"/>
  <c r="X13" i="55"/>
  <c r="AA13" i="55" s="1"/>
  <c r="AC13" i="55" s="1"/>
  <c r="AP13" i="55" s="1"/>
  <c r="X21" i="15"/>
  <c r="Z21" i="15" s="1"/>
  <c r="AB21" i="15" s="1"/>
  <c r="AO21" i="15" s="1"/>
  <c r="X6" i="15"/>
  <c r="AA6" i="15" s="1"/>
  <c r="AC6" i="15" s="1"/>
  <c r="AP6" i="15" s="1"/>
  <c r="X97" i="15"/>
  <c r="X74" i="15"/>
  <c r="AA74" i="15" s="1"/>
  <c r="AC74" i="15" s="1"/>
  <c r="AP74" i="15" s="1"/>
  <c r="X102" i="15"/>
  <c r="Z102" i="15" s="1"/>
  <c r="AB102" i="15" s="1"/>
  <c r="AO102" i="15" s="1"/>
  <c r="X101" i="15"/>
  <c r="Z101" i="15" s="1"/>
  <c r="AB101" i="15" s="1"/>
  <c r="AO101" i="15" s="1"/>
  <c r="X84" i="15"/>
  <c r="AA84" i="15" s="1"/>
  <c r="AC84" i="15" s="1"/>
  <c r="AP84" i="15" s="1"/>
  <c r="X131" i="15"/>
  <c r="Z131" i="15" s="1"/>
  <c r="AB131" i="15" s="1"/>
  <c r="AO131" i="15" s="1"/>
  <c r="X167" i="15"/>
  <c r="Z167" i="15" s="1"/>
  <c r="AB167" i="15" s="1"/>
  <c r="AO167" i="15" s="1"/>
  <c r="X203" i="15"/>
  <c r="Z203" i="15" s="1"/>
  <c r="AB203" i="15" s="1"/>
  <c r="AO203" i="15" s="1"/>
  <c r="X239" i="15"/>
  <c r="Z239" i="15" s="1"/>
  <c r="AB239" i="15" s="1"/>
  <c r="AO239" i="15" s="1"/>
  <c r="X138" i="15"/>
  <c r="AA138" i="15" s="1"/>
  <c r="AC138" i="15" s="1"/>
  <c r="AP138" i="15" s="1"/>
  <c r="X174" i="15"/>
  <c r="Z174" i="15" s="1"/>
  <c r="AB174" i="15" s="1"/>
  <c r="AO174" i="15" s="1"/>
  <c r="X210" i="15"/>
  <c r="Z210" i="15" s="1"/>
  <c r="AB210" i="15" s="1"/>
  <c r="AO210" i="15" s="1"/>
  <c r="X246" i="15"/>
  <c r="X142" i="15"/>
  <c r="AA142" i="15" s="1"/>
  <c r="AC142" i="15" s="1"/>
  <c r="AP142" i="15" s="1"/>
  <c r="X178" i="15"/>
  <c r="Z178" i="15" s="1"/>
  <c r="AB178" i="15" s="1"/>
  <c r="AO178" i="15" s="1"/>
  <c r="X214" i="15"/>
  <c r="AA214" i="15" s="1"/>
  <c r="AC214" i="15" s="1"/>
  <c r="AP214" i="15" s="1"/>
  <c r="X250" i="15"/>
  <c r="Z250" i="15" s="1"/>
  <c r="AB250" i="15" s="1"/>
  <c r="AO250" i="15" s="1"/>
  <c r="X272" i="15"/>
  <c r="AA272" i="15" s="1"/>
  <c r="AC272" i="15" s="1"/>
  <c r="AP272" i="15" s="1"/>
  <c r="X308" i="15"/>
  <c r="AA308" i="15" s="1"/>
  <c r="AC308" i="15" s="1"/>
  <c r="AP308" i="15" s="1"/>
  <c r="X344" i="15"/>
  <c r="AA344" i="15" s="1"/>
  <c r="AC344" i="15" s="1"/>
  <c r="AP344" i="15" s="1"/>
  <c r="X380" i="15"/>
  <c r="AA380" i="15" s="1"/>
  <c r="AC380" i="15" s="1"/>
  <c r="AP380" i="15" s="1"/>
  <c r="X416" i="15"/>
  <c r="AA416" i="15" s="1"/>
  <c r="AC416" i="15" s="1"/>
  <c r="AP416" i="15" s="1"/>
  <c r="X452" i="15"/>
  <c r="AA452" i="15" s="1"/>
  <c r="AC452" i="15" s="1"/>
  <c r="AP452" i="15" s="1"/>
  <c r="X488" i="15"/>
  <c r="AA488" i="15" s="1"/>
  <c r="AC488" i="15" s="1"/>
  <c r="AP488" i="15" s="1"/>
  <c r="X264" i="15"/>
  <c r="X300" i="15"/>
  <c r="AA300" i="15" s="1"/>
  <c r="AC300" i="15" s="1"/>
  <c r="AP300" i="15" s="1"/>
  <c r="X336" i="15"/>
  <c r="AA336" i="15" s="1"/>
  <c r="AC336" i="15" s="1"/>
  <c r="AP336" i="15" s="1"/>
  <c r="X372" i="15"/>
  <c r="AA372" i="15" s="1"/>
  <c r="AC372" i="15" s="1"/>
  <c r="AP372" i="15" s="1"/>
  <c r="X408" i="15"/>
  <c r="AA408" i="15" s="1"/>
  <c r="AC408" i="15" s="1"/>
  <c r="AP408" i="15" s="1"/>
  <c r="X444" i="15"/>
  <c r="AA444" i="15" s="1"/>
  <c r="AC444" i="15" s="1"/>
  <c r="AP444" i="15" s="1"/>
  <c r="X480" i="15"/>
  <c r="AA480" i="15" s="1"/>
  <c r="AC480" i="15" s="1"/>
  <c r="AP480" i="15" s="1"/>
  <c r="X277" i="15"/>
  <c r="AA277" i="15" s="1"/>
  <c r="AC277" i="15" s="1"/>
  <c r="AP277" i="15" s="1"/>
  <c r="X313" i="15"/>
  <c r="AA313" i="15" s="1"/>
  <c r="AC313" i="15" s="1"/>
  <c r="AP313" i="15" s="1"/>
  <c r="X349" i="15"/>
  <c r="Z349" i="15" s="1"/>
  <c r="AB349" i="15" s="1"/>
  <c r="AO349" i="15" s="1"/>
  <c r="X385" i="15"/>
  <c r="AA385" i="15" s="1"/>
  <c r="AC385" i="15" s="1"/>
  <c r="AP385" i="15" s="1"/>
  <c r="X421" i="15"/>
  <c r="AA421" i="15" s="1"/>
  <c r="AC421" i="15" s="1"/>
  <c r="AP421" i="15" s="1"/>
  <c r="X457" i="15"/>
  <c r="X493" i="15"/>
  <c r="AA493" i="15" s="1"/>
  <c r="AC493" i="15" s="1"/>
  <c r="AP493" i="15" s="1"/>
  <c r="X48" i="15"/>
  <c r="AA48" i="15" s="1"/>
  <c r="AC48" i="15" s="1"/>
  <c r="AP48" i="15" s="1"/>
  <c r="X47" i="15"/>
  <c r="AA47" i="15" s="1"/>
  <c r="AC47" i="15" s="1"/>
  <c r="AP47" i="15" s="1"/>
  <c r="X12" i="15"/>
  <c r="Z12" i="15" s="1"/>
  <c r="AB12" i="15" s="1"/>
  <c r="AO12" i="15" s="1"/>
  <c r="X67" i="15"/>
  <c r="Z67" i="15" s="1"/>
  <c r="AB67" i="15" s="1"/>
  <c r="AO67" i="15" s="1"/>
  <c r="X116" i="15"/>
  <c r="AA116" i="15" s="1"/>
  <c r="AC116" i="15" s="1"/>
  <c r="AP116" i="15" s="1"/>
  <c r="X112" i="15"/>
  <c r="Z112" i="15" s="1"/>
  <c r="AB112" i="15" s="1"/>
  <c r="AO112" i="15" s="1"/>
  <c r="X99" i="15"/>
  <c r="Z99" i="15" s="1"/>
  <c r="AB99" i="15" s="1"/>
  <c r="AO99" i="15" s="1"/>
  <c r="X90" i="15"/>
  <c r="AA90" i="15" s="1"/>
  <c r="AC90" i="15" s="1"/>
  <c r="AP90" i="15" s="1"/>
  <c r="X137" i="15"/>
  <c r="AA137" i="15" s="1"/>
  <c r="AC137" i="15" s="1"/>
  <c r="AP137" i="15" s="1"/>
  <c r="X173" i="15"/>
  <c r="AA173" i="15" s="1"/>
  <c r="AC173" i="15" s="1"/>
  <c r="AP173" i="15" s="1"/>
  <c r="X209" i="15"/>
  <c r="X245" i="15"/>
  <c r="Z245" i="15" s="1"/>
  <c r="AB245" i="15" s="1"/>
  <c r="AO245" i="15" s="1"/>
  <c r="X144" i="15"/>
  <c r="AA144" i="15" s="1"/>
  <c r="AC144" i="15" s="1"/>
  <c r="AP144" i="15" s="1"/>
  <c r="X180" i="15"/>
  <c r="AA180" i="15" s="1"/>
  <c r="AC180" i="15" s="1"/>
  <c r="AP180" i="15" s="1"/>
  <c r="X252" i="15"/>
  <c r="AA252" i="15" s="1"/>
  <c r="AC252" i="15" s="1"/>
  <c r="AP252" i="15" s="1"/>
  <c r="X184" i="15"/>
  <c r="AA184" i="15" s="1"/>
  <c r="AC184" i="15" s="1"/>
  <c r="AP184" i="15" s="1"/>
  <c r="X220" i="15"/>
  <c r="AA220" i="15" s="1"/>
  <c r="AC220" i="15" s="1"/>
  <c r="AP220" i="15" s="1"/>
  <c r="X256" i="15"/>
  <c r="AA256" i="15" s="1"/>
  <c r="AC256" i="15" s="1"/>
  <c r="AP256" i="15" s="1"/>
  <c r="X278" i="15"/>
  <c r="Z278" i="15" s="1"/>
  <c r="AB278" i="15" s="1"/>
  <c r="AO278" i="15" s="1"/>
  <c r="X314" i="15"/>
  <c r="AA314" i="15" s="1"/>
  <c r="AC314" i="15" s="1"/>
  <c r="AP314" i="15" s="1"/>
  <c r="X350" i="15"/>
  <c r="AA350" i="15" s="1"/>
  <c r="AC350" i="15" s="1"/>
  <c r="AP350" i="15" s="1"/>
  <c r="X422" i="15"/>
  <c r="AA422" i="15" s="1"/>
  <c r="AC422" i="15" s="1"/>
  <c r="AP422" i="15" s="1"/>
  <c r="X458" i="15"/>
  <c r="X494" i="15"/>
  <c r="Z494" i="15" s="1"/>
  <c r="AB494" i="15" s="1"/>
  <c r="AO494" i="15" s="1"/>
  <c r="X270" i="15"/>
  <c r="Z270" i="15" s="1"/>
  <c r="AB270" i="15" s="1"/>
  <c r="AO270" i="15" s="1"/>
  <c r="X342" i="15"/>
  <c r="Z342" i="15" s="1"/>
  <c r="AB342" i="15" s="1"/>
  <c r="AO342" i="15" s="1"/>
  <c r="X378" i="15"/>
  <c r="Z378" i="15" s="1"/>
  <c r="AB378" i="15" s="1"/>
  <c r="AO378" i="15" s="1"/>
  <c r="X414" i="15"/>
  <c r="Z414" i="15" s="1"/>
  <c r="AB414" i="15" s="1"/>
  <c r="AO414" i="15" s="1"/>
  <c r="X486" i="15"/>
  <c r="AA486" i="15" s="1"/>
  <c r="AC486" i="15" s="1"/>
  <c r="AP486" i="15" s="1"/>
  <c r="X283" i="15"/>
  <c r="Z283" i="15" s="1"/>
  <c r="AB283" i="15" s="1"/>
  <c r="AO283" i="15" s="1"/>
  <c r="X319" i="15"/>
  <c r="Z319" i="15" s="1"/>
  <c r="AB319" i="15" s="1"/>
  <c r="AO319" i="15" s="1"/>
  <c r="X355" i="15"/>
  <c r="AA355" i="15" s="1"/>
  <c r="AC355" i="15" s="1"/>
  <c r="AP355" i="15" s="1"/>
  <c r="X463" i="15"/>
  <c r="Z463" i="15" s="1"/>
  <c r="AB463" i="15" s="1"/>
  <c r="AO463" i="15" s="1"/>
  <c r="X499" i="15"/>
  <c r="AA499" i="15" s="1"/>
  <c r="AC499" i="15" s="1"/>
  <c r="AP499" i="15" s="1"/>
  <c r="X11" i="72"/>
  <c r="X10" i="72"/>
  <c r="Z10" i="72" s="1"/>
  <c r="AB10" i="72" s="1"/>
  <c r="AO10" i="72" s="1"/>
  <c r="X58" i="15"/>
  <c r="AA58" i="15" s="1"/>
  <c r="AC58" i="15" s="1"/>
  <c r="AP58" i="15" s="1"/>
  <c r="X33" i="15"/>
  <c r="AA33" i="15" s="1"/>
  <c r="AC33" i="15" s="1"/>
  <c r="AP33" i="15" s="1"/>
  <c r="S48" i="68"/>
  <c r="X29" i="60"/>
  <c r="AA29" i="60" s="1"/>
  <c r="AC29" i="60" s="1"/>
  <c r="AP29" i="60" s="1"/>
  <c r="X25" i="60"/>
  <c r="AA25" i="60" s="1"/>
  <c r="AC25" i="60" s="1"/>
  <c r="AP25" i="60" s="1"/>
  <c r="X40" i="13"/>
  <c r="AA40" i="13" s="1"/>
  <c r="AC40" i="13" s="1"/>
  <c r="AP40" i="13" s="1"/>
  <c r="X44" i="13"/>
  <c r="AA44" i="13" s="1"/>
  <c r="AC44" i="13" s="1"/>
  <c r="AP44" i="13" s="1"/>
  <c r="X44" i="60"/>
  <c r="AA44" i="60" s="1"/>
  <c r="AC44" i="60" s="1"/>
  <c r="AP44" i="60" s="1"/>
  <c r="X35" i="60"/>
  <c r="Z35" i="60" s="1"/>
  <c r="AB35" i="60" s="1"/>
  <c r="AO35" i="60" s="1"/>
  <c r="X52" i="13"/>
  <c r="AA52" i="13" s="1"/>
  <c r="AC52" i="13" s="1"/>
  <c r="AP52" i="13" s="1"/>
  <c r="X41" i="60"/>
  <c r="X38" i="60"/>
  <c r="AA38" i="60" s="1"/>
  <c r="AC38" i="60" s="1"/>
  <c r="AP38" i="60" s="1"/>
  <c r="X41" i="13"/>
  <c r="Z41" i="13" s="1"/>
  <c r="AB41" i="13" s="1"/>
  <c r="AO41" i="13" s="1"/>
  <c r="X45" i="13"/>
  <c r="Z45" i="13" s="1"/>
  <c r="AB45" i="13" s="1"/>
  <c r="AO45" i="13" s="1"/>
  <c r="X32" i="60"/>
  <c r="AA32" i="60" s="1"/>
  <c r="AC32" i="60" s="1"/>
  <c r="AP32" i="60" s="1"/>
  <c r="X46" i="60"/>
  <c r="Z46" i="60" s="1"/>
  <c r="AB46" i="60" s="1"/>
  <c r="AO46" i="60" s="1"/>
  <c r="X37" i="13"/>
  <c r="Z37" i="13" s="1"/>
  <c r="AB37" i="13" s="1"/>
  <c r="AO37" i="13" s="1"/>
  <c r="X48" i="13"/>
  <c r="Z48" i="13" s="1"/>
  <c r="AB48" i="13" s="1"/>
  <c r="AO48" i="13" s="1"/>
  <c r="X30" i="60"/>
  <c r="AA30" i="60" s="1"/>
  <c r="AC30" i="60" s="1"/>
  <c r="AP30" i="60" s="1"/>
  <c r="X26" i="60"/>
  <c r="Z26" i="60" s="1"/>
  <c r="AB26" i="60" s="1"/>
  <c r="AO26" i="60" s="1"/>
  <c r="X38" i="13"/>
  <c r="AA38" i="13" s="1"/>
  <c r="AC38" i="13" s="1"/>
  <c r="AP38" i="13" s="1"/>
  <c r="X49" i="13"/>
  <c r="AA49" i="13" s="1"/>
  <c r="AC49" i="13" s="1"/>
  <c r="AP49" i="13" s="1"/>
  <c r="X33" i="13"/>
  <c r="X28" i="60"/>
  <c r="Z28" i="60" s="1"/>
  <c r="AB28" i="60" s="1"/>
  <c r="AO28" i="60" s="1"/>
  <c r="X36" i="60"/>
  <c r="Z36" i="60" s="1"/>
  <c r="AB36" i="60" s="1"/>
  <c r="AO36" i="60" s="1"/>
  <c r="X46" i="13"/>
  <c r="Z46" i="13" s="1"/>
  <c r="AB46" i="13" s="1"/>
  <c r="AO46" i="13" s="1"/>
  <c r="X36" i="13"/>
  <c r="AA36" i="13" s="1"/>
  <c r="AC36" i="13" s="1"/>
  <c r="AP36" i="13" s="1"/>
  <c r="X40" i="60"/>
  <c r="AA40" i="60" s="1"/>
  <c r="AC40" i="60" s="1"/>
  <c r="AP40" i="60" s="1"/>
  <c r="X45" i="60"/>
  <c r="AA45" i="60" s="1"/>
  <c r="AC45" i="60" s="1"/>
  <c r="AP45" i="60" s="1"/>
  <c r="X39" i="60"/>
  <c r="AA39" i="60" s="1"/>
  <c r="AC39" i="60" s="1"/>
  <c r="AP39" i="60" s="1"/>
  <c r="X42" i="13"/>
  <c r="Z42" i="13" s="1"/>
  <c r="AB42" i="13" s="1"/>
  <c r="AO42" i="13" s="1"/>
  <c r="X42" i="60"/>
  <c r="Z42" i="60" s="1"/>
  <c r="AB42" i="60" s="1"/>
  <c r="AO42" i="60" s="1"/>
  <c r="X24" i="60"/>
  <c r="Z24" i="60" s="1"/>
  <c r="AB24" i="60" s="1"/>
  <c r="AO24" i="60" s="1"/>
  <c r="X51" i="13"/>
  <c r="Z51" i="13" s="1"/>
  <c r="AB51" i="13" s="1"/>
  <c r="AO51" i="13" s="1"/>
  <c r="X34" i="13"/>
  <c r="X25" i="15"/>
  <c r="AA25" i="15" s="1"/>
  <c r="AC25" i="15" s="1"/>
  <c r="AP25" i="15" s="1"/>
  <c r="X43" i="60"/>
  <c r="AA43" i="60" s="1"/>
  <c r="AC43" i="60" s="1"/>
  <c r="AP43" i="60" s="1"/>
  <c r="X33" i="60"/>
  <c r="Z33" i="60" s="1"/>
  <c r="AB33" i="60" s="1"/>
  <c r="AO33" i="60" s="1"/>
  <c r="X27" i="60"/>
  <c r="Z27" i="60" s="1"/>
  <c r="AB27" i="60" s="1"/>
  <c r="AO27" i="60" s="1"/>
  <c r="X50" i="13"/>
  <c r="Z50" i="13" s="1"/>
  <c r="AB50" i="13" s="1"/>
  <c r="AO50" i="13" s="1"/>
  <c r="X50" i="15"/>
  <c r="AA50" i="15" s="1"/>
  <c r="AC50" i="15" s="1"/>
  <c r="X39" i="13"/>
  <c r="Z39" i="13" s="1"/>
  <c r="AB39" i="13" s="1"/>
  <c r="AO39" i="13" s="1"/>
  <c r="X47" i="13"/>
  <c r="Z47" i="13" s="1"/>
  <c r="AB47" i="13" s="1"/>
  <c r="AO47" i="13" s="1"/>
  <c r="X31" i="60"/>
  <c r="AA31" i="60" s="1"/>
  <c r="AC31" i="60" s="1"/>
  <c r="AP31" i="60" s="1"/>
  <c r="X34" i="60"/>
  <c r="Z34" i="60" s="1"/>
  <c r="AB34" i="60" s="1"/>
  <c r="AO34" i="60" s="1"/>
  <c r="X37" i="60"/>
  <c r="Z37" i="60" s="1"/>
  <c r="AB37" i="60" s="1"/>
  <c r="AO37" i="60" s="1"/>
  <c r="X43" i="13"/>
  <c r="Z43" i="13" s="1"/>
  <c r="AB43" i="13" s="1"/>
  <c r="AO43" i="13" s="1"/>
  <c r="X35" i="13"/>
  <c r="Z35" i="13" s="1"/>
  <c r="AB35" i="13" s="1"/>
  <c r="AO35" i="13" s="1"/>
  <c r="A16" i="55"/>
  <c r="F29" i="67" s="1"/>
  <c r="S52" i="68"/>
  <c r="AL116" i="15"/>
  <c r="AL9" i="29"/>
  <c r="AJ92" i="32"/>
  <c r="AL156" i="15"/>
  <c r="AJ80" i="15"/>
  <c r="AJ123" i="15"/>
  <c r="AN84" i="15"/>
  <c r="AN13" i="69"/>
  <c r="AJ144" i="15"/>
  <c r="AN24" i="15"/>
  <c r="AN12" i="15"/>
  <c r="AJ83" i="15"/>
  <c r="AJ43" i="22"/>
  <c r="AJ145" i="32"/>
  <c r="AL7" i="34"/>
  <c r="AN6" i="3"/>
  <c r="AJ9" i="24"/>
  <c r="AL12" i="12"/>
  <c r="AN38" i="22"/>
  <c r="AJ13" i="30"/>
  <c r="AJ6" i="38"/>
  <c r="AJ5" i="65"/>
  <c r="S10" i="68"/>
  <c r="AJ18" i="28"/>
  <c r="AN8" i="20"/>
  <c r="AJ147" i="15"/>
  <c r="AJ157" i="15"/>
  <c r="AL33" i="22"/>
  <c r="AL19" i="13"/>
  <c r="AL17" i="13"/>
  <c r="Z33" i="13"/>
  <c r="AB33" i="13" s="1"/>
  <c r="AO33" i="13" s="1"/>
  <c r="AA33" i="13"/>
  <c r="AC33" i="13" s="1"/>
  <c r="AP33" i="13" s="1"/>
  <c r="Z34" i="13"/>
  <c r="AB34" i="13" s="1"/>
  <c r="AO34" i="13" s="1"/>
  <c r="AA34" i="13"/>
  <c r="AC34" i="13" s="1"/>
  <c r="AP34" i="13" s="1"/>
  <c r="A16" i="60"/>
  <c r="F35" i="67" s="1"/>
  <c r="AN12" i="60"/>
  <c r="Z41" i="60"/>
  <c r="AB41" i="60" s="1"/>
  <c r="AO41" i="60" s="1"/>
  <c r="AA41" i="60"/>
  <c r="AC41" i="60" s="1"/>
  <c r="AP41" i="60" s="1"/>
  <c r="T35" i="67"/>
  <c r="M34" i="2" s="1"/>
  <c r="AJ104" i="32"/>
  <c r="AN38" i="32"/>
  <c r="AJ168" i="32"/>
  <c r="AJ20" i="32"/>
  <c r="AJ100" i="32"/>
  <c r="AN15" i="32"/>
  <c r="AL15" i="32"/>
  <c r="AN16" i="32"/>
  <c r="AN94" i="32"/>
  <c r="AN95" i="32"/>
  <c r="AJ67" i="32"/>
  <c r="AL140" i="32"/>
  <c r="AN140" i="32"/>
  <c r="AN42" i="32"/>
  <c r="AJ40" i="32"/>
  <c r="AL31" i="32"/>
  <c r="AN39" i="32"/>
  <c r="AN86" i="32"/>
  <c r="AN24" i="46"/>
  <c r="AL8" i="46"/>
  <c r="AN82" i="15"/>
  <c r="AN18" i="15"/>
  <c r="AN33" i="15"/>
  <c r="AN47" i="15"/>
  <c r="AJ74" i="15"/>
  <c r="AN80" i="15"/>
  <c r="AN89" i="15"/>
  <c r="AL90" i="15"/>
  <c r="AJ71" i="15"/>
  <c r="AN13" i="51"/>
  <c r="AL22" i="51"/>
  <c r="AL5" i="51"/>
  <c r="AJ20" i="51"/>
  <c r="AA75" i="51"/>
  <c r="AC75" i="51" s="1"/>
  <c r="AP75" i="51" s="1"/>
  <c r="Z75" i="51"/>
  <c r="AB75" i="51" s="1"/>
  <c r="AO75" i="51" s="1"/>
  <c r="AA74" i="51"/>
  <c r="AC74" i="51" s="1"/>
  <c r="AP74" i="51" s="1"/>
  <c r="Z74" i="51"/>
  <c r="AB74" i="51" s="1"/>
  <c r="AO74" i="51" s="1"/>
  <c r="AA73" i="51"/>
  <c r="AC73" i="51" s="1"/>
  <c r="AP73" i="51" s="1"/>
  <c r="Z73" i="51"/>
  <c r="AB73" i="51" s="1"/>
  <c r="AO73" i="51" s="1"/>
  <c r="Z72" i="51"/>
  <c r="AB72" i="51" s="1"/>
  <c r="AO72" i="51" s="1"/>
  <c r="AA72" i="51"/>
  <c r="AC72" i="51" s="1"/>
  <c r="AP72" i="51" s="1"/>
  <c r="Z71" i="51"/>
  <c r="AB71" i="51" s="1"/>
  <c r="AO71" i="51" s="1"/>
  <c r="AA71" i="51"/>
  <c r="AC71" i="51" s="1"/>
  <c r="AP71" i="51" s="1"/>
  <c r="AA70" i="51"/>
  <c r="AC70" i="51" s="1"/>
  <c r="AP70" i="51" s="1"/>
  <c r="Z70" i="51"/>
  <c r="AB70" i="51" s="1"/>
  <c r="AO70" i="51" s="1"/>
  <c r="AA45" i="51"/>
  <c r="AC45" i="51" s="1"/>
  <c r="AP45" i="51" s="1"/>
  <c r="Z45" i="51"/>
  <c r="AB45" i="51" s="1"/>
  <c r="AO45" i="51" s="1"/>
  <c r="Z54" i="51"/>
  <c r="AB54" i="51" s="1"/>
  <c r="AO54" i="51" s="1"/>
  <c r="AA54" i="51"/>
  <c r="AC54" i="51" s="1"/>
  <c r="AP54" i="51" s="1"/>
  <c r="Z29" i="51"/>
  <c r="AB29" i="51" s="1"/>
  <c r="AO29" i="51" s="1"/>
  <c r="AA29" i="51"/>
  <c r="AC29" i="51" s="1"/>
  <c r="AP29" i="51" s="1"/>
  <c r="Z48" i="51"/>
  <c r="AB48" i="51" s="1"/>
  <c r="AO48" i="51" s="1"/>
  <c r="AA48" i="51"/>
  <c r="AC48" i="51" s="1"/>
  <c r="AP48" i="51" s="1"/>
  <c r="Z67" i="51"/>
  <c r="AB67" i="51" s="1"/>
  <c r="AO67" i="51" s="1"/>
  <c r="AA67" i="51"/>
  <c r="AC67" i="51" s="1"/>
  <c r="AP67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38" i="51"/>
  <c r="AB38" i="51" s="1"/>
  <c r="AO38" i="51" s="1"/>
  <c r="AA38" i="51"/>
  <c r="AC38" i="51" s="1"/>
  <c r="AP38" i="51" s="1"/>
  <c r="Z62" i="51"/>
  <c r="AB62" i="51" s="1"/>
  <c r="AO62" i="51" s="1"/>
  <c r="AA62" i="51"/>
  <c r="AC62" i="51" s="1"/>
  <c r="AP62" i="51" s="1"/>
  <c r="Z31" i="51"/>
  <c r="AB31" i="51" s="1"/>
  <c r="AO31" i="51" s="1"/>
  <c r="AA31" i="51"/>
  <c r="AC31" i="51" s="1"/>
  <c r="AP31" i="51" s="1"/>
  <c r="Z36" i="51"/>
  <c r="AB36" i="51" s="1"/>
  <c r="AO36" i="51" s="1"/>
  <c r="AA36" i="51"/>
  <c r="AC36" i="51" s="1"/>
  <c r="AP36" i="51" s="1"/>
  <c r="Z34" i="51"/>
  <c r="AB34" i="51" s="1"/>
  <c r="AO34" i="51" s="1"/>
  <c r="AA34" i="51"/>
  <c r="AC34" i="51" s="1"/>
  <c r="AP34" i="51" s="1"/>
  <c r="Z42" i="51"/>
  <c r="AB42" i="51" s="1"/>
  <c r="AO42" i="51" s="1"/>
  <c r="AA42" i="51"/>
  <c r="AC42" i="51" s="1"/>
  <c r="AP42" i="51" s="1"/>
  <c r="AA44" i="51"/>
  <c r="AC44" i="51" s="1"/>
  <c r="AP44" i="51" s="1"/>
  <c r="Z44" i="51"/>
  <c r="AB44" i="51" s="1"/>
  <c r="AO44" i="51" s="1"/>
  <c r="AA33" i="51"/>
  <c r="AC33" i="51" s="1"/>
  <c r="AP33" i="51" s="1"/>
  <c r="Z33" i="51"/>
  <c r="AB33" i="51" s="1"/>
  <c r="AO33" i="51" s="1"/>
  <c r="Z49" i="51"/>
  <c r="AB49" i="51" s="1"/>
  <c r="AO49" i="51" s="1"/>
  <c r="AA49" i="51"/>
  <c r="AC49" i="51" s="1"/>
  <c r="AP49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65" i="51"/>
  <c r="AC65" i="51" s="1"/>
  <c r="AP65" i="51" s="1"/>
  <c r="Z65" i="51"/>
  <c r="AB65" i="51" s="1"/>
  <c r="AO65" i="51" s="1"/>
  <c r="AA47" i="51"/>
  <c r="AC47" i="51" s="1"/>
  <c r="AP47" i="51" s="1"/>
  <c r="Z47" i="51"/>
  <c r="AB47" i="51" s="1"/>
  <c r="AO47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43" i="51"/>
  <c r="AB43" i="51" s="1"/>
  <c r="AO43" i="51" s="1"/>
  <c r="AA43" i="51"/>
  <c r="AC43" i="51" s="1"/>
  <c r="AP43" i="51" s="1"/>
  <c r="AA35" i="51"/>
  <c r="AC35" i="51" s="1"/>
  <c r="AP35" i="51" s="1"/>
  <c r="Z35" i="51"/>
  <c r="AB35" i="51" s="1"/>
  <c r="AO35" i="51" s="1"/>
  <c r="Z37" i="51"/>
  <c r="AB37" i="51" s="1"/>
  <c r="AO37" i="51" s="1"/>
  <c r="AA37" i="51"/>
  <c r="AC37" i="51" s="1"/>
  <c r="AP37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Z50" i="51"/>
  <c r="AB50" i="51" s="1"/>
  <c r="AO50" i="51" s="1"/>
  <c r="AA50" i="51"/>
  <c r="AC50" i="51" s="1"/>
  <c r="AP50" i="51" s="1"/>
  <c r="Z66" i="51"/>
  <c r="AB66" i="51" s="1"/>
  <c r="AO66" i="51" s="1"/>
  <c r="AA66" i="51"/>
  <c r="AC66" i="51" s="1"/>
  <c r="AP66" i="51" s="1"/>
  <c r="Z53" i="51"/>
  <c r="AB53" i="51" s="1"/>
  <c r="AO53" i="51" s="1"/>
  <c r="AA53" i="51"/>
  <c r="AC53" i="51" s="1"/>
  <c r="AP53" i="51" s="1"/>
  <c r="AA68" i="51"/>
  <c r="AC68" i="51" s="1"/>
  <c r="AP68" i="51" s="1"/>
  <c r="Z68" i="51"/>
  <c r="AB68" i="51" s="1"/>
  <c r="AO68" i="51" s="1"/>
  <c r="Z64" i="51"/>
  <c r="AB64" i="51" s="1"/>
  <c r="AO64" i="51" s="1"/>
  <c r="AA64" i="51"/>
  <c r="AC64" i="51" s="1"/>
  <c r="AP64" i="51" s="1"/>
  <c r="Z30" i="51"/>
  <c r="AB30" i="51" s="1"/>
  <c r="AO30" i="51" s="1"/>
  <c r="AA30" i="51"/>
  <c r="AC30" i="51" s="1"/>
  <c r="AP30" i="51" s="1"/>
  <c r="AA56" i="51"/>
  <c r="AC56" i="51" s="1"/>
  <c r="AP56" i="51" s="1"/>
  <c r="Z56" i="51"/>
  <c r="AB56" i="51" s="1"/>
  <c r="AO56" i="51" s="1"/>
  <c r="Z25" i="51"/>
  <c r="AB25" i="51" s="1"/>
  <c r="AO25" i="51" s="1"/>
  <c r="AA25" i="51"/>
  <c r="AC25" i="51" s="1"/>
  <c r="AP25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59" i="51"/>
  <c r="AB59" i="51" s="1"/>
  <c r="AO59" i="51" s="1"/>
  <c r="AA59" i="51"/>
  <c r="AC59" i="51" s="1"/>
  <c r="AP59" i="51" s="1"/>
  <c r="Z41" i="51"/>
  <c r="AB41" i="51" s="1"/>
  <c r="AO41" i="51" s="1"/>
  <c r="AA41" i="51"/>
  <c r="AC41" i="51" s="1"/>
  <c r="AP41" i="51" s="1"/>
  <c r="Z60" i="51"/>
  <c r="AB60" i="51" s="1"/>
  <c r="AO60" i="51" s="1"/>
  <c r="AA60" i="51"/>
  <c r="AC60" i="51" s="1"/>
  <c r="AP60" i="51" s="1"/>
  <c r="Z61" i="51"/>
  <c r="AB61" i="51" s="1"/>
  <c r="AO61" i="51" s="1"/>
  <c r="AA61" i="51"/>
  <c r="AC61" i="51" s="1"/>
  <c r="AP61" i="51" s="1"/>
  <c r="Z26" i="51"/>
  <c r="AB26" i="51" s="1"/>
  <c r="AO26" i="51" s="1"/>
  <c r="AA26" i="51"/>
  <c r="AC26" i="51" s="1"/>
  <c r="AP26" i="51" s="1"/>
  <c r="AA69" i="51"/>
  <c r="AC69" i="51" s="1"/>
  <c r="AP69" i="51" s="1"/>
  <c r="Z69" i="51"/>
  <c r="AB69" i="51" s="1"/>
  <c r="AO69" i="51" s="1"/>
  <c r="AA58" i="51"/>
  <c r="AC58" i="51" s="1"/>
  <c r="AP58" i="51" s="1"/>
  <c r="Z58" i="51"/>
  <c r="AB58" i="51" s="1"/>
  <c r="AO58" i="51" s="1"/>
  <c r="Z27" i="51"/>
  <c r="AB27" i="51" s="1"/>
  <c r="AO27" i="51" s="1"/>
  <c r="AA27" i="51"/>
  <c r="AC27" i="51" s="1"/>
  <c r="AP27" i="51" s="1"/>
  <c r="AJ38" i="20"/>
  <c r="AJ20" i="20"/>
  <c r="A16" i="33"/>
  <c r="F44" i="68" s="1"/>
  <c r="X6" i="71"/>
  <c r="AA6" i="71" s="1"/>
  <c r="AC6" i="71" s="1"/>
  <c r="AP6" i="71" s="1"/>
  <c r="X13" i="71"/>
  <c r="Z13" i="71" s="1"/>
  <c r="AB13" i="71" s="1"/>
  <c r="AO13" i="71" s="1"/>
  <c r="X14" i="71"/>
  <c r="Z14" i="71" s="1"/>
  <c r="AB14" i="71" s="1"/>
  <c r="AO14" i="71" s="1"/>
  <c r="A16" i="28"/>
  <c r="F39" i="68" s="1"/>
  <c r="S39" i="68"/>
  <c r="A16" i="34"/>
  <c r="AJ30" i="31"/>
  <c r="AN8" i="31"/>
  <c r="A16" i="31"/>
  <c r="F42" i="68" s="1"/>
  <c r="AN10" i="30"/>
  <c r="S33" i="67"/>
  <c r="AJ16" i="58"/>
  <c r="AJ17" i="58"/>
  <c r="A16" i="58"/>
  <c r="F33" i="67" s="1"/>
  <c r="X76" i="30"/>
  <c r="AA76" i="30" s="1"/>
  <c r="AC76" i="30" s="1"/>
  <c r="AP76" i="30" s="1"/>
  <c r="X85" i="30"/>
  <c r="Z85" i="30" s="1"/>
  <c r="AB85" i="30" s="1"/>
  <c r="AO85" i="30" s="1"/>
  <c r="X65" i="30"/>
  <c r="Z65" i="30" s="1"/>
  <c r="AB65" i="30" s="1"/>
  <c r="AO65" i="30" s="1"/>
  <c r="X64" i="30"/>
  <c r="Z64" i="30" s="1"/>
  <c r="AB64" i="30" s="1"/>
  <c r="AO64" i="30" s="1"/>
  <c r="X27" i="30"/>
  <c r="Z27" i="30" s="1"/>
  <c r="AB27" i="30" s="1"/>
  <c r="AO27" i="30" s="1"/>
  <c r="X80" i="30"/>
  <c r="Z80" i="30" s="1"/>
  <c r="AB80" i="30" s="1"/>
  <c r="AO80" i="30" s="1"/>
  <c r="X94" i="30"/>
  <c r="AA94" i="30" s="1"/>
  <c r="AC94" i="30" s="1"/>
  <c r="AP94" i="30" s="1"/>
  <c r="X108" i="30"/>
  <c r="Z108" i="30" s="1"/>
  <c r="AB108" i="30" s="1"/>
  <c r="AO108" i="30" s="1"/>
  <c r="X88" i="30"/>
  <c r="Z88" i="30" s="1"/>
  <c r="AB88" i="30" s="1"/>
  <c r="AO88" i="30" s="1"/>
  <c r="X61" i="30"/>
  <c r="Z61" i="30" s="1"/>
  <c r="AB61" i="30" s="1"/>
  <c r="AO61" i="30" s="1"/>
  <c r="X30" i="30"/>
  <c r="Z30" i="30" s="1"/>
  <c r="AB30" i="30" s="1"/>
  <c r="AO30" i="30" s="1"/>
  <c r="X33" i="30"/>
  <c r="AA33" i="30" s="1"/>
  <c r="AC33" i="30" s="1"/>
  <c r="AP33" i="30" s="1"/>
  <c r="X55" i="30"/>
  <c r="Z55" i="30" s="1"/>
  <c r="AB55" i="30" s="1"/>
  <c r="AO55" i="30" s="1"/>
  <c r="X36" i="30"/>
  <c r="Z36" i="30" s="1"/>
  <c r="AB36" i="30" s="1"/>
  <c r="AO36" i="30" s="1"/>
  <c r="X46" i="30"/>
  <c r="Z46" i="30" s="1"/>
  <c r="AB46" i="30" s="1"/>
  <c r="AO46" i="30" s="1"/>
  <c r="X103" i="30"/>
  <c r="Z103" i="30" s="1"/>
  <c r="AB103" i="30" s="1"/>
  <c r="AO103" i="30" s="1"/>
  <c r="X74" i="30"/>
  <c r="AA74" i="30" s="1"/>
  <c r="AC74" i="30" s="1"/>
  <c r="AP74" i="30" s="1"/>
  <c r="X111" i="30"/>
  <c r="Z111" i="30" s="1"/>
  <c r="AB111" i="30" s="1"/>
  <c r="AO111" i="30" s="1"/>
  <c r="X52" i="30"/>
  <c r="Z52" i="30" s="1"/>
  <c r="AB52" i="30" s="1"/>
  <c r="AO52" i="30" s="1"/>
  <c r="X72" i="30"/>
  <c r="Z72" i="30" s="1"/>
  <c r="AB72" i="30" s="1"/>
  <c r="AO72" i="30" s="1"/>
  <c r="X102" i="30"/>
  <c r="Z102" i="30" s="1"/>
  <c r="AB102" i="30" s="1"/>
  <c r="AO102" i="30" s="1"/>
  <c r="X82" i="30"/>
  <c r="AA82" i="30" s="1"/>
  <c r="AC82" i="30" s="1"/>
  <c r="AP82" i="30" s="1"/>
  <c r="X96" i="30"/>
  <c r="Z96" i="30" s="1"/>
  <c r="AB96" i="30" s="1"/>
  <c r="AO96" i="30" s="1"/>
  <c r="X99" i="30"/>
  <c r="Z99" i="30" s="1"/>
  <c r="AB99" i="30" s="1"/>
  <c r="AO99" i="30" s="1"/>
  <c r="X77" i="30"/>
  <c r="Z77" i="30" s="1"/>
  <c r="AB77" i="30" s="1"/>
  <c r="AO77" i="30" s="1"/>
  <c r="X49" i="30"/>
  <c r="Z49" i="30" s="1"/>
  <c r="AB49" i="30" s="1"/>
  <c r="AO49" i="30" s="1"/>
  <c r="X63" i="30"/>
  <c r="AA63" i="30" s="1"/>
  <c r="AC63" i="30" s="1"/>
  <c r="AP63" i="30" s="1"/>
  <c r="X78" i="30"/>
  <c r="AA78" i="30" s="1"/>
  <c r="AC78" i="30" s="1"/>
  <c r="AP78" i="30" s="1"/>
  <c r="X43" i="30"/>
  <c r="Z43" i="30" s="1"/>
  <c r="AB43" i="30" s="1"/>
  <c r="AO43" i="30" s="1"/>
  <c r="X69" i="30"/>
  <c r="Z69" i="30" s="1"/>
  <c r="AB69" i="30" s="1"/>
  <c r="AO69" i="30" s="1"/>
  <c r="X91" i="30"/>
  <c r="Z91" i="30" s="1"/>
  <c r="AB91" i="30" s="1"/>
  <c r="AO91" i="30" s="1"/>
  <c r="X90" i="30"/>
  <c r="Z90" i="30" s="1"/>
  <c r="AB90" i="30" s="1"/>
  <c r="AO90" i="30" s="1"/>
  <c r="X67" i="30"/>
  <c r="Z67" i="30" s="1"/>
  <c r="AB67" i="30" s="1"/>
  <c r="AO67" i="30" s="1"/>
  <c r="X40" i="30"/>
  <c r="AA40" i="30" s="1"/>
  <c r="AC40" i="30" s="1"/>
  <c r="AP40" i="30" s="1"/>
  <c r="X60" i="30"/>
  <c r="AA60" i="30" s="1"/>
  <c r="AC60" i="30" s="1"/>
  <c r="AP60" i="30" s="1"/>
  <c r="X105" i="30"/>
  <c r="Z105" i="30" s="1"/>
  <c r="AB105" i="30" s="1"/>
  <c r="AO105" i="30" s="1"/>
  <c r="X84" i="30"/>
  <c r="Z84" i="30" s="1"/>
  <c r="AB84" i="30" s="1"/>
  <c r="AO84" i="30" s="1"/>
  <c r="X75" i="30"/>
  <c r="AA75" i="30" s="1"/>
  <c r="AC75" i="30" s="1"/>
  <c r="AP75" i="30" s="1"/>
  <c r="X87" i="30"/>
  <c r="Z87" i="30" s="1"/>
  <c r="AB87" i="30" s="1"/>
  <c r="AO87" i="30" s="1"/>
  <c r="X51" i="30"/>
  <c r="Z51" i="30" s="1"/>
  <c r="AB51" i="30" s="1"/>
  <c r="AO51" i="30" s="1"/>
  <c r="X66" i="30"/>
  <c r="Z66" i="30" s="1"/>
  <c r="AB66" i="30" s="1"/>
  <c r="AO66" i="30" s="1"/>
  <c r="X35" i="30"/>
  <c r="Z35" i="30" s="1"/>
  <c r="AB35" i="30" s="1"/>
  <c r="AO35" i="30" s="1"/>
  <c r="X57" i="30"/>
  <c r="AA57" i="30" s="1"/>
  <c r="AC57" i="30" s="1"/>
  <c r="AP57" i="30" s="1"/>
  <c r="X26" i="30"/>
  <c r="Z26" i="30" s="1"/>
  <c r="AB26" i="30" s="1"/>
  <c r="AO26" i="30" s="1"/>
  <c r="X73" i="30"/>
  <c r="Z73" i="30" s="1"/>
  <c r="AB73" i="30" s="1"/>
  <c r="AO73" i="30" s="1"/>
  <c r="X107" i="30"/>
  <c r="AA107" i="30" s="1"/>
  <c r="AC107" i="30" s="1"/>
  <c r="AP107" i="30" s="1"/>
  <c r="X110" i="30"/>
  <c r="Z110" i="30" s="1"/>
  <c r="AB110" i="30" s="1"/>
  <c r="AO110" i="30" s="1"/>
  <c r="X101" i="30"/>
  <c r="AA101" i="30" s="1"/>
  <c r="AC101" i="30" s="1"/>
  <c r="AP101" i="30" s="1"/>
  <c r="X29" i="30"/>
  <c r="Z29" i="30" s="1"/>
  <c r="AB29" i="30" s="1"/>
  <c r="AO29" i="30" s="1"/>
  <c r="X32" i="30"/>
  <c r="AA32" i="30" s="1"/>
  <c r="AC32" i="30" s="1"/>
  <c r="AP32" i="30" s="1"/>
  <c r="X71" i="30"/>
  <c r="AA71" i="30" s="1"/>
  <c r="AC71" i="30" s="1"/>
  <c r="AP71" i="30" s="1"/>
  <c r="X48" i="30"/>
  <c r="AA48" i="30" s="1"/>
  <c r="AC48" i="30" s="1"/>
  <c r="AP48" i="30" s="1"/>
  <c r="X70" i="30"/>
  <c r="AA70" i="30" s="1"/>
  <c r="AC70" i="30" s="1"/>
  <c r="AP70" i="30" s="1"/>
  <c r="X93" i="30"/>
  <c r="AA93" i="30" s="1"/>
  <c r="AC93" i="30" s="1"/>
  <c r="AP93" i="30" s="1"/>
  <c r="X79" i="30"/>
  <c r="Z79" i="30" s="1"/>
  <c r="AB79" i="30" s="1"/>
  <c r="AO79" i="30" s="1"/>
  <c r="X39" i="30"/>
  <c r="Z39" i="30" s="1"/>
  <c r="AB39" i="30" s="1"/>
  <c r="AO39" i="30" s="1"/>
  <c r="X54" i="30"/>
  <c r="Z54" i="30" s="1"/>
  <c r="AB54" i="30" s="1"/>
  <c r="AO54" i="30" s="1"/>
  <c r="X68" i="30"/>
  <c r="Z68" i="30" s="1"/>
  <c r="AB68" i="30" s="1"/>
  <c r="AO68" i="30" s="1"/>
  <c r="X45" i="30"/>
  <c r="Z45" i="30" s="1"/>
  <c r="AB45" i="30" s="1"/>
  <c r="AO45" i="30" s="1"/>
  <c r="X95" i="30"/>
  <c r="Z95" i="30" s="1"/>
  <c r="AB95" i="30" s="1"/>
  <c r="AO95" i="30" s="1"/>
  <c r="X109" i="30"/>
  <c r="AA109" i="30" s="1"/>
  <c r="AC109" i="30" s="1"/>
  <c r="AP109" i="30" s="1"/>
  <c r="X98" i="30"/>
  <c r="Z98" i="30" s="1"/>
  <c r="AB98" i="30" s="1"/>
  <c r="AO98" i="30" s="1"/>
  <c r="X62" i="30"/>
  <c r="Z62" i="30" s="1"/>
  <c r="AB62" i="30" s="1"/>
  <c r="AO62" i="30" s="1"/>
  <c r="X89" i="30"/>
  <c r="Z89" i="30" s="1"/>
  <c r="AB89" i="30" s="1"/>
  <c r="AO89" i="30" s="1"/>
  <c r="X59" i="30"/>
  <c r="AA59" i="30" s="1"/>
  <c r="AC59" i="30" s="1"/>
  <c r="AP59" i="30" s="1"/>
  <c r="X37" i="30"/>
  <c r="AA37" i="30" s="1"/>
  <c r="AC37" i="30" s="1"/>
  <c r="AP37" i="30" s="1"/>
  <c r="X104" i="30"/>
  <c r="Z104" i="30" s="1"/>
  <c r="AB104" i="30" s="1"/>
  <c r="AO104" i="30" s="1"/>
  <c r="X81" i="30"/>
  <c r="AA81" i="30" s="1"/>
  <c r="AC81" i="30" s="1"/>
  <c r="AP81" i="30" s="1"/>
  <c r="X50" i="30"/>
  <c r="AA50" i="30" s="1"/>
  <c r="AC50" i="30" s="1"/>
  <c r="AP50" i="30" s="1"/>
  <c r="X31" i="30"/>
  <c r="Z31" i="30" s="1"/>
  <c r="AB31" i="30" s="1"/>
  <c r="AO31" i="30" s="1"/>
  <c r="X53" i="30"/>
  <c r="Z53" i="30" s="1"/>
  <c r="AB53" i="30" s="1"/>
  <c r="AO53" i="30" s="1"/>
  <c r="X42" i="30"/>
  <c r="Z42" i="30" s="1"/>
  <c r="AB42" i="30" s="1"/>
  <c r="AO42" i="30" s="1"/>
  <c r="X56" i="30"/>
  <c r="Z56" i="30" s="1"/>
  <c r="AB56" i="30" s="1"/>
  <c r="AO56" i="30" s="1"/>
  <c r="X83" i="30"/>
  <c r="Z83" i="30" s="1"/>
  <c r="AB83" i="30" s="1"/>
  <c r="AO83" i="30" s="1"/>
  <c r="X97" i="30"/>
  <c r="Z97" i="30" s="1"/>
  <c r="AB97" i="30" s="1"/>
  <c r="AO97" i="30" s="1"/>
  <c r="X86" i="30"/>
  <c r="Z86" i="30" s="1"/>
  <c r="AB86" i="30" s="1"/>
  <c r="AO86" i="30" s="1"/>
  <c r="X25" i="30"/>
  <c r="AA25" i="30" s="1"/>
  <c r="AC25" i="30" s="1"/>
  <c r="AP25" i="30" s="1"/>
  <c r="X47" i="30"/>
  <c r="Z47" i="30" s="1"/>
  <c r="AB47" i="30" s="1"/>
  <c r="AO47" i="30" s="1"/>
  <c r="X28" i="30"/>
  <c r="Z28" i="30" s="1"/>
  <c r="AB28" i="30" s="1"/>
  <c r="AO28" i="30" s="1"/>
  <c r="X92" i="30"/>
  <c r="Z92" i="30" s="1"/>
  <c r="AB92" i="30" s="1"/>
  <c r="AO92" i="30" s="1"/>
  <c r="X106" i="30"/>
  <c r="AA106" i="30" s="1"/>
  <c r="AC106" i="30" s="1"/>
  <c r="AP106" i="30" s="1"/>
  <c r="X100" i="30"/>
  <c r="Z100" i="30" s="1"/>
  <c r="AB100" i="30" s="1"/>
  <c r="AO100" i="30" s="1"/>
  <c r="X38" i="30"/>
  <c r="Z38" i="30" s="1"/>
  <c r="AB38" i="30" s="1"/>
  <c r="AO38" i="30" s="1"/>
  <c r="X41" i="30"/>
  <c r="Z41" i="30" s="1"/>
  <c r="AB41" i="30" s="1"/>
  <c r="AO41" i="30" s="1"/>
  <c r="X34" i="30"/>
  <c r="Z34" i="30" s="1"/>
  <c r="AB34" i="30" s="1"/>
  <c r="AO34" i="30" s="1"/>
  <c r="X44" i="30"/>
  <c r="Z44" i="30" s="1"/>
  <c r="AB44" i="30" s="1"/>
  <c r="AO44" i="30" s="1"/>
  <c r="X58" i="30"/>
  <c r="Z58" i="30" s="1"/>
  <c r="AB58" i="30" s="1"/>
  <c r="AO58" i="30" s="1"/>
  <c r="AN16" i="30"/>
  <c r="AN21" i="30"/>
  <c r="Z122" i="58"/>
  <c r="AB122" i="58" s="1"/>
  <c r="AO122" i="58" s="1"/>
  <c r="AA122" i="58"/>
  <c r="AC122" i="58" s="1"/>
  <c r="AP122" i="58" s="1"/>
  <c r="Z71" i="58"/>
  <c r="AB71" i="58" s="1"/>
  <c r="AO71" i="58" s="1"/>
  <c r="AA71" i="58"/>
  <c r="AC71" i="58" s="1"/>
  <c r="AP71" i="58" s="1"/>
  <c r="Z76" i="58"/>
  <c r="AB76" i="58" s="1"/>
  <c r="AO76" i="58" s="1"/>
  <c r="AA76" i="58"/>
  <c r="AC76" i="58" s="1"/>
  <c r="AP76" i="58" s="1"/>
  <c r="Z87" i="58"/>
  <c r="AB87" i="58" s="1"/>
  <c r="AO87" i="58" s="1"/>
  <c r="AA87" i="58"/>
  <c r="AC87" i="58" s="1"/>
  <c r="AP87" i="58" s="1"/>
  <c r="Z105" i="58"/>
  <c r="AB105" i="58" s="1"/>
  <c r="AO105" i="58" s="1"/>
  <c r="AA105" i="58"/>
  <c r="AC105" i="58" s="1"/>
  <c r="AP105" i="58" s="1"/>
  <c r="Z137" i="58"/>
  <c r="AB137" i="58" s="1"/>
  <c r="AO137" i="58" s="1"/>
  <c r="AA137" i="58"/>
  <c r="AC137" i="58" s="1"/>
  <c r="AP137" i="58" s="1"/>
  <c r="Z107" i="58"/>
  <c r="AB107" i="58" s="1"/>
  <c r="AO107" i="58" s="1"/>
  <c r="AA107" i="58"/>
  <c r="AC107" i="58" s="1"/>
  <c r="AP107" i="58" s="1"/>
  <c r="AA101" i="58"/>
  <c r="AC101" i="58" s="1"/>
  <c r="AP101" i="58" s="1"/>
  <c r="Z101" i="58"/>
  <c r="AB101" i="58" s="1"/>
  <c r="AO101" i="58" s="1"/>
  <c r="Z103" i="58"/>
  <c r="AB103" i="58" s="1"/>
  <c r="AO103" i="58" s="1"/>
  <c r="AA103" i="58"/>
  <c r="AC103" i="58" s="1"/>
  <c r="AP103" i="58" s="1"/>
  <c r="Z92" i="58"/>
  <c r="AB92" i="58" s="1"/>
  <c r="AO92" i="58" s="1"/>
  <c r="AA92" i="58"/>
  <c r="AC92" i="58" s="1"/>
  <c r="AP92" i="58" s="1"/>
  <c r="Z134" i="58"/>
  <c r="AB134" i="58" s="1"/>
  <c r="AO134" i="58" s="1"/>
  <c r="AA134" i="58"/>
  <c r="AC134" i="58" s="1"/>
  <c r="AP134" i="58" s="1"/>
  <c r="AA139" i="58"/>
  <c r="AC139" i="58" s="1"/>
  <c r="AP139" i="58" s="1"/>
  <c r="Z139" i="58"/>
  <c r="AB139" i="58" s="1"/>
  <c r="AO139" i="58" s="1"/>
  <c r="Z130" i="58"/>
  <c r="AB130" i="58" s="1"/>
  <c r="AO130" i="58" s="1"/>
  <c r="AA130" i="58"/>
  <c r="AC130" i="58" s="1"/>
  <c r="AP130" i="58" s="1"/>
  <c r="Z86" i="58"/>
  <c r="AB86" i="58" s="1"/>
  <c r="AO86" i="58" s="1"/>
  <c r="AA86" i="58"/>
  <c r="AC86" i="58" s="1"/>
  <c r="AP86" i="58" s="1"/>
  <c r="AA108" i="58"/>
  <c r="AC108" i="58" s="1"/>
  <c r="AP108" i="58" s="1"/>
  <c r="Z108" i="58"/>
  <c r="AB108" i="58" s="1"/>
  <c r="AO108" i="58" s="1"/>
  <c r="Z60" i="58"/>
  <c r="AB60" i="58" s="1"/>
  <c r="AO60" i="58" s="1"/>
  <c r="AA60" i="58"/>
  <c r="AC60" i="58" s="1"/>
  <c r="AP60" i="58" s="1"/>
  <c r="Z37" i="58"/>
  <c r="AB37" i="58" s="1"/>
  <c r="AO37" i="58" s="1"/>
  <c r="AA37" i="58"/>
  <c r="AC37" i="58" s="1"/>
  <c r="AP37" i="58" s="1"/>
  <c r="Z75" i="58"/>
  <c r="AB75" i="58" s="1"/>
  <c r="AO75" i="58" s="1"/>
  <c r="AA75" i="58"/>
  <c r="AC75" i="58" s="1"/>
  <c r="AP75" i="58" s="1"/>
  <c r="Z64" i="58"/>
  <c r="AB64" i="58" s="1"/>
  <c r="AO64" i="58" s="1"/>
  <c r="AA64" i="58"/>
  <c r="AC64" i="58" s="1"/>
  <c r="AP64" i="58" s="1"/>
  <c r="AA118" i="58"/>
  <c r="AC118" i="58" s="1"/>
  <c r="AP118" i="58" s="1"/>
  <c r="Z118" i="58"/>
  <c r="AB118" i="58" s="1"/>
  <c r="AO118" i="58" s="1"/>
  <c r="Z100" i="58"/>
  <c r="AB100" i="58" s="1"/>
  <c r="AO100" i="58" s="1"/>
  <c r="AA100" i="58"/>
  <c r="AC100" i="58" s="1"/>
  <c r="AP100" i="58" s="1"/>
  <c r="AA89" i="58"/>
  <c r="AC89" i="58" s="1"/>
  <c r="AP89" i="58" s="1"/>
  <c r="Z89" i="58"/>
  <c r="AB89" i="58" s="1"/>
  <c r="AO89" i="58" s="1"/>
  <c r="Z91" i="58"/>
  <c r="AB91" i="58" s="1"/>
  <c r="AO91" i="58" s="1"/>
  <c r="AA91" i="58"/>
  <c r="AC91" i="58" s="1"/>
  <c r="AP91" i="58" s="1"/>
  <c r="Z106" i="58"/>
  <c r="AB106" i="58" s="1"/>
  <c r="AO106" i="58" s="1"/>
  <c r="AA106" i="58"/>
  <c r="AC106" i="58" s="1"/>
  <c r="AP106" i="58" s="1"/>
  <c r="Z54" i="58"/>
  <c r="AB54" i="58" s="1"/>
  <c r="AO54" i="58" s="1"/>
  <c r="AA54" i="58"/>
  <c r="AC54" i="58" s="1"/>
  <c r="AP54" i="58" s="1"/>
  <c r="AA68" i="58"/>
  <c r="AC68" i="58" s="1"/>
  <c r="AP68" i="58" s="1"/>
  <c r="Z68" i="58"/>
  <c r="AB68" i="58" s="1"/>
  <c r="AO68" i="58" s="1"/>
  <c r="Z57" i="58"/>
  <c r="AB57" i="58" s="1"/>
  <c r="AO57" i="58" s="1"/>
  <c r="AA57" i="58"/>
  <c r="AC57" i="58" s="1"/>
  <c r="AP57" i="58" s="1"/>
  <c r="Z46" i="58"/>
  <c r="AB46" i="58" s="1"/>
  <c r="AO46" i="58" s="1"/>
  <c r="AA46" i="58"/>
  <c r="AC46" i="58" s="1"/>
  <c r="AP46" i="58" s="1"/>
  <c r="AA136" i="58"/>
  <c r="AC136" i="58" s="1"/>
  <c r="AP136" i="58" s="1"/>
  <c r="Z136" i="58"/>
  <c r="AB136" i="58" s="1"/>
  <c r="AO136" i="58" s="1"/>
  <c r="Z115" i="58"/>
  <c r="AB115" i="58" s="1"/>
  <c r="AO115" i="58" s="1"/>
  <c r="AA115" i="58"/>
  <c r="AC115" i="58" s="1"/>
  <c r="AP115" i="58" s="1"/>
  <c r="Z123" i="58"/>
  <c r="AB123" i="58" s="1"/>
  <c r="AO123" i="58" s="1"/>
  <c r="AA123" i="58"/>
  <c r="AC123" i="58" s="1"/>
  <c r="AP123" i="58" s="1"/>
  <c r="AA96" i="58"/>
  <c r="AC96" i="58" s="1"/>
  <c r="AP96" i="58" s="1"/>
  <c r="Z96" i="58"/>
  <c r="AB96" i="58" s="1"/>
  <c r="AO96" i="58" s="1"/>
  <c r="Z48" i="58"/>
  <c r="AB48" i="58" s="1"/>
  <c r="AO48" i="58" s="1"/>
  <c r="AA48" i="58"/>
  <c r="AC48" i="58" s="1"/>
  <c r="AP48" i="58" s="1"/>
  <c r="Z25" i="58"/>
  <c r="AB25" i="58" s="1"/>
  <c r="AO25" i="58" s="1"/>
  <c r="AA25" i="58"/>
  <c r="AC25" i="58" s="1"/>
  <c r="AP25" i="58" s="1"/>
  <c r="Z63" i="58"/>
  <c r="AB63" i="58" s="1"/>
  <c r="AO63" i="58" s="1"/>
  <c r="AA63" i="58"/>
  <c r="AC63" i="58" s="1"/>
  <c r="AP63" i="58" s="1"/>
  <c r="Z52" i="58"/>
  <c r="AB52" i="58" s="1"/>
  <c r="AO52" i="58" s="1"/>
  <c r="AA52" i="58"/>
  <c r="AC52" i="58" s="1"/>
  <c r="AP52" i="58" s="1"/>
  <c r="Z85" i="58"/>
  <c r="AB85" i="58" s="1"/>
  <c r="AO85" i="58" s="1"/>
  <c r="AA85" i="58"/>
  <c r="AC85" i="58" s="1"/>
  <c r="AP85" i="58" s="1"/>
  <c r="Z58" i="58"/>
  <c r="AB58" i="58" s="1"/>
  <c r="AO58" i="58" s="1"/>
  <c r="AA58" i="58"/>
  <c r="AC58" i="58" s="1"/>
  <c r="AP58" i="58" s="1"/>
  <c r="Z119" i="58"/>
  <c r="AB119" i="58" s="1"/>
  <c r="AO119" i="58" s="1"/>
  <c r="AA119" i="58"/>
  <c r="AC119" i="58" s="1"/>
  <c r="AP119" i="58" s="1"/>
  <c r="Z117" i="58"/>
  <c r="AB117" i="58" s="1"/>
  <c r="AO117" i="58" s="1"/>
  <c r="AA117" i="58"/>
  <c r="AC117" i="58" s="1"/>
  <c r="AP117" i="58" s="1"/>
  <c r="Z88" i="58"/>
  <c r="AB88" i="58" s="1"/>
  <c r="AO88" i="58" s="1"/>
  <c r="AA88" i="58"/>
  <c r="AC88" i="58" s="1"/>
  <c r="AP88" i="58" s="1"/>
  <c r="Z83" i="58"/>
  <c r="AB83" i="58" s="1"/>
  <c r="AO83" i="58" s="1"/>
  <c r="AA83" i="58"/>
  <c r="AC83" i="58" s="1"/>
  <c r="AP83" i="58" s="1"/>
  <c r="Z79" i="58"/>
  <c r="AB79" i="58" s="1"/>
  <c r="AO79" i="58" s="1"/>
  <c r="AA79" i="58"/>
  <c r="AC79" i="58" s="1"/>
  <c r="AP79" i="58" s="1"/>
  <c r="Z94" i="58"/>
  <c r="AB94" i="58" s="1"/>
  <c r="AO94" i="58" s="1"/>
  <c r="AA94" i="58"/>
  <c r="AC94" i="58" s="1"/>
  <c r="AP94" i="58" s="1"/>
  <c r="Z42" i="58"/>
  <c r="AB42" i="58" s="1"/>
  <c r="AO42" i="58" s="1"/>
  <c r="AA42" i="58"/>
  <c r="AC42" i="58" s="1"/>
  <c r="AP42" i="58" s="1"/>
  <c r="AA56" i="58"/>
  <c r="AC56" i="58" s="1"/>
  <c r="AP56" i="58" s="1"/>
  <c r="Z56" i="58"/>
  <c r="AB56" i="58" s="1"/>
  <c r="AO56" i="58" s="1"/>
  <c r="Z45" i="58"/>
  <c r="AB45" i="58" s="1"/>
  <c r="AO45" i="58" s="1"/>
  <c r="AA45" i="58"/>
  <c r="AC45" i="58" s="1"/>
  <c r="AP45" i="58" s="1"/>
  <c r="Z34" i="58"/>
  <c r="AB34" i="58" s="1"/>
  <c r="AO34" i="58" s="1"/>
  <c r="AA34" i="58"/>
  <c r="AC34" i="58" s="1"/>
  <c r="AP34" i="58" s="1"/>
  <c r="AA74" i="58"/>
  <c r="AC74" i="58" s="1"/>
  <c r="AP74" i="58" s="1"/>
  <c r="Z74" i="58"/>
  <c r="AB74" i="58" s="1"/>
  <c r="AO74" i="58" s="1"/>
  <c r="Z141" i="58"/>
  <c r="AB141" i="58" s="1"/>
  <c r="AO141" i="58" s="1"/>
  <c r="AA141" i="58"/>
  <c r="AC141" i="58" s="1"/>
  <c r="AP141" i="58" s="1"/>
  <c r="AA125" i="58"/>
  <c r="AC125" i="58" s="1"/>
  <c r="AP125" i="58" s="1"/>
  <c r="Z125" i="58"/>
  <c r="AB125" i="58" s="1"/>
  <c r="AO125" i="58" s="1"/>
  <c r="Z53" i="58"/>
  <c r="AB53" i="58" s="1"/>
  <c r="AO53" i="58" s="1"/>
  <c r="AA53" i="58"/>
  <c r="AC53" i="58" s="1"/>
  <c r="AP53" i="58" s="1"/>
  <c r="Z114" i="58"/>
  <c r="AB114" i="58" s="1"/>
  <c r="AO114" i="58" s="1"/>
  <c r="AA114" i="58"/>
  <c r="AC114" i="58" s="1"/>
  <c r="AP114" i="58" s="1"/>
  <c r="AA77" i="58"/>
  <c r="AC77" i="58" s="1"/>
  <c r="AP77" i="58" s="1"/>
  <c r="Z77" i="58"/>
  <c r="AB77" i="58" s="1"/>
  <c r="AO77" i="58" s="1"/>
  <c r="Z121" i="58"/>
  <c r="AB121" i="58" s="1"/>
  <c r="AO121" i="58" s="1"/>
  <c r="AA121" i="58"/>
  <c r="AC121" i="58" s="1"/>
  <c r="AP121" i="58" s="1"/>
  <c r="Z36" i="58"/>
  <c r="AB36" i="58" s="1"/>
  <c r="AO36" i="58" s="1"/>
  <c r="AA36" i="58"/>
  <c r="AC36" i="58" s="1"/>
  <c r="AP36" i="58" s="1"/>
  <c r="Z51" i="58"/>
  <c r="AB51" i="58" s="1"/>
  <c r="AO51" i="58" s="1"/>
  <c r="AA51" i="58"/>
  <c r="AC51" i="58" s="1"/>
  <c r="AP51" i="58" s="1"/>
  <c r="Z40" i="58"/>
  <c r="AB40" i="58" s="1"/>
  <c r="AO40" i="58" s="1"/>
  <c r="AA40" i="58"/>
  <c r="AC40" i="58" s="1"/>
  <c r="AP40" i="58" s="1"/>
  <c r="Z49" i="58"/>
  <c r="AB49" i="58" s="1"/>
  <c r="AO49" i="58" s="1"/>
  <c r="AA49" i="58"/>
  <c r="AC49" i="58" s="1"/>
  <c r="AP49" i="58" s="1"/>
  <c r="Z26" i="58"/>
  <c r="AB26" i="58" s="1"/>
  <c r="AO26" i="58" s="1"/>
  <c r="AA26" i="58"/>
  <c r="AC26" i="58" s="1"/>
  <c r="AP26" i="58" s="1"/>
  <c r="AA135" i="58"/>
  <c r="AC135" i="58" s="1"/>
  <c r="AP135" i="58" s="1"/>
  <c r="Z135" i="58"/>
  <c r="AB135" i="58" s="1"/>
  <c r="AO135" i="58" s="1"/>
  <c r="Z111" i="58"/>
  <c r="AB111" i="58" s="1"/>
  <c r="AO111" i="58" s="1"/>
  <c r="AA111" i="58"/>
  <c r="AC111" i="58" s="1"/>
  <c r="AP111" i="58" s="1"/>
  <c r="Z127" i="58"/>
  <c r="AB127" i="58" s="1"/>
  <c r="AO127" i="58" s="1"/>
  <c r="AA127" i="58"/>
  <c r="AC127" i="58" s="1"/>
  <c r="AP127" i="58" s="1"/>
  <c r="AA80" i="58"/>
  <c r="AC80" i="58" s="1"/>
  <c r="AP80" i="58" s="1"/>
  <c r="Z80" i="58"/>
  <c r="AB80" i="58" s="1"/>
  <c r="AO80" i="58" s="1"/>
  <c r="Z67" i="58"/>
  <c r="AB67" i="58" s="1"/>
  <c r="AO67" i="58" s="1"/>
  <c r="AA67" i="58"/>
  <c r="AC67" i="58" s="1"/>
  <c r="AP67" i="58" s="1"/>
  <c r="Z95" i="58"/>
  <c r="AB95" i="58" s="1"/>
  <c r="AO95" i="58" s="1"/>
  <c r="AA95" i="58"/>
  <c r="AC95" i="58" s="1"/>
  <c r="AP95" i="58" s="1"/>
  <c r="Z30" i="58"/>
  <c r="AB30" i="58" s="1"/>
  <c r="AO30" i="58" s="1"/>
  <c r="AA30" i="58"/>
  <c r="AC30" i="58" s="1"/>
  <c r="AP30" i="58" s="1"/>
  <c r="AA44" i="58"/>
  <c r="AC44" i="58" s="1"/>
  <c r="AP44" i="58" s="1"/>
  <c r="Z44" i="58"/>
  <c r="AB44" i="58" s="1"/>
  <c r="AO44" i="58" s="1"/>
  <c r="Z33" i="58"/>
  <c r="AB33" i="58" s="1"/>
  <c r="AO33" i="58" s="1"/>
  <c r="AA33" i="58"/>
  <c r="AC33" i="58" s="1"/>
  <c r="AP33" i="58" s="1"/>
  <c r="Z59" i="58"/>
  <c r="AB59" i="58" s="1"/>
  <c r="AO59" i="58" s="1"/>
  <c r="AA59" i="58"/>
  <c r="AC59" i="58" s="1"/>
  <c r="AP59" i="58" s="1"/>
  <c r="AA62" i="58"/>
  <c r="AC62" i="58" s="1"/>
  <c r="AP62" i="58" s="1"/>
  <c r="Z62" i="58"/>
  <c r="AB62" i="58" s="1"/>
  <c r="AO62" i="58" s="1"/>
  <c r="Z129" i="58"/>
  <c r="AB129" i="58" s="1"/>
  <c r="AO129" i="58" s="1"/>
  <c r="AA129" i="58"/>
  <c r="AC129" i="58" s="1"/>
  <c r="AP129" i="58" s="1"/>
  <c r="AA120" i="58"/>
  <c r="AC120" i="58" s="1"/>
  <c r="AP120" i="58" s="1"/>
  <c r="Z120" i="58"/>
  <c r="AB120" i="58" s="1"/>
  <c r="AO120" i="58" s="1"/>
  <c r="Z31" i="58"/>
  <c r="AB31" i="58" s="1"/>
  <c r="AO31" i="58" s="1"/>
  <c r="AA31" i="58"/>
  <c r="AC31" i="58" s="1"/>
  <c r="AP31" i="58" s="1"/>
  <c r="Z133" i="58"/>
  <c r="AB133" i="58" s="1"/>
  <c r="AO133" i="58" s="1"/>
  <c r="AA133" i="58"/>
  <c r="AC133" i="58" s="1"/>
  <c r="AP133" i="58" s="1"/>
  <c r="Z93" i="58"/>
  <c r="AB93" i="58" s="1"/>
  <c r="AO93" i="58" s="1"/>
  <c r="AA93" i="58"/>
  <c r="AC93" i="58" s="1"/>
  <c r="AP93" i="58" s="1"/>
  <c r="Z138" i="58"/>
  <c r="AB138" i="58" s="1"/>
  <c r="AO138" i="58" s="1"/>
  <c r="AA138" i="58"/>
  <c r="AC138" i="58" s="1"/>
  <c r="AP138" i="58" s="1"/>
  <c r="AA102" i="58"/>
  <c r="AC102" i="58" s="1"/>
  <c r="AP102" i="58" s="1"/>
  <c r="Z102" i="58"/>
  <c r="AB102" i="58" s="1"/>
  <c r="AO102" i="58" s="1"/>
  <c r="Z109" i="58"/>
  <c r="AB109" i="58" s="1"/>
  <c r="AO109" i="58" s="1"/>
  <c r="AA109" i="58"/>
  <c r="AC109" i="58" s="1"/>
  <c r="AP109" i="58" s="1"/>
  <c r="Z73" i="58"/>
  <c r="AB73" i="58" s="1"/>
  <c r="AO73" i="58" s="1"/>
  <c r="AA73" i="58"/>
  <c r="AC73" i="58" s="1"/>
  <c r="AP73" i="58" s="1"/>
  <c r="Z39" i="58"/>
  <c r="AB39" i="58" s="1"/>
  <c r="AO39" i="58" s="1"/>
  <c r="AA39" i="58"/>
  <c r="AC39" i="58" s="1"/>
  <c r="AP39" i="58" s="1"/>
  <c r="Z28" i="58"/>
  <c r="AB28" i="58" s="1"/>
  <c r="AO28" i="58" s="1"/>
  <c r="AA28" i="58"/>
  <c r="AC28" i="58" s="1"/>
  <c r="AP28" i="58" s="1"/>
  <c r="Z112" i="58"/>
  <c r="AB112" i="58" s="1"/>
  <c r="AO112" i="58" s="1"/>
  <c r="AA112" i="58"/>
  <c r="AC112" i="58" s="1"/>
  <c r="AP112" i="58" s="1"/>
  <c r="Z140" i="58"/>
  <c r="AB140" i="58" s="1"/>
  <c r="AO140" i="58" s="1"/>
  <c r="AA140" i="58"/>
  <c r="AC140" i="58" s="1"/>
  <c r="AP140" i="58" s="1"/>
  <c r="AA98" i="58"/>
  <c r="AC98" i="58" s="1"/>
  <c r="AP98" i="58" s="1"/>
  <c r="Z98" i="58"/>
  <c r="AB98" i="58" s="1"/>
  <c r="AO98" i="58" s="1"/>
  <c r="AA131" i="58"/>
  <c r="AC131" i="58" s="1"/>
  <c r="AP131" i="58" s="1"/>
  <c r="Z131" i="58"/>
  <c r="AB131" i="58" s="1"/>
  <c r="AO131" i="58" s="1"/>
  <c r="Z72" i="58"/>
  <c r="AB72" i="58" s="1"/>
  <c r="AO72" i="58" s="1"/>
  <c r="AA72" i="58"/>
  <c r="AC72" i="58" s="1"/>
  <c r="AP72" i="58" s="1"/>
  <c r="Z116" i="58"/>
  <c r="AB116" i="58" s="1"/>
  <c r="AO116" i="58" s="1"/>
  <c r="AA116" i="58"/>
  <c r="AC116" i="58" s="1"/>
  <c r="AP116" i="58" s="1"/>
  <c r="Z66" i="58"/>
  <c r="AB66" i="58" s="1"/>
  <c r="AO66" i="58" s="1"/>
  <c r="AA66" i="58"/>
  <c r="AC66" i="58" s="1"/>
  <c r="AP66" i="58" s="1"/>
  <c r="Z84" i="58"/>
  <c r="AB84" i="58" s="1"/>
  <c r="AO84" i="58" s="1"/>
  <c r="AA84" i="58"/>
  <c r="AC84" i="58" s="1"/>
  <c r="AP84" i="58" s="1"/>
  <c r="Z55" i="58"/>
  <c r="AB55" i="58" s="1"/>
  <c r="AO55" i="58" s="1"/>
  <c r="AA55" i="58"/>
  <c r="AC55" i="58" s="1"/>
  <c r="AP55" i="58" s="1"/>
  <c r="AA32" i="58"/>
  <c r="AC32" i="58" s="1"/>
  <c r="AP32" i="58" s="1"/>
  <c r="Z32" i="58"/>
  <c r="AB32" i="58" s="1"/>
  <c r="AO32" i="58" s="1"/>
  <c r="Z82" i="58"/>
  <c r="AB82" i="58" s="1"/>
  <c r="AO82" i="58" s="1"/>
  <c r="AA82" i="58"/>
  <c r="AC82" i="58" s="1"/>
  <c r="AP82" i="58" s="1"/>
  <c r="Z47" i="58"/>
  <c r="AB47" i="58" s="1"/>
  <c r="AO47" i="58" s="1"/>
  <c r="AA47" i="58"/>
  <c r="AC47" i="58" s="1"/>
  <c r="AP47" i="58" s="1"/>
  <c r="Z50" i="58"/>
  <c r="AB50" i="58" s="1"/>
  <c r="AO50" i="58" s="1"/>
  <c r="AA50" i="58"/>
  <c r="AC50" i="58" s="1"/>
  <c r="AP50" i="58" s="1"/>
  <c r="Z69" i="58"/>
  <c r="AB69" i="58" s="1"/>
  <c r="AO69" i="58" s="1"/>
  <c r="AA69" i="58"/>
  <c r="AC69" i="58" s="1"/>
  <c r="AP69" i="58" s="1"/>
  <c r="Z124" i="58"/>
  <c r="AB124" i="58" s="1"/>
  <c r="AO124" i="58" s="1"/>
  <c r="AA124" i="58"/>
  <c r="AC124" i="58" s="1"/>
  <c r="AP124" i="58" s="1"/>
  <c r="Z78" i="58"/>
  <c r="AB78" i="58" s="1"/>
  <c r="AO78" i="58" s="1"/>
  <c r="AA78" i="58"/>
  <c r="AC78" i="58" s="1"/>
  <c r="AP78" i="58" s="1"/>
  <c r="Z99" i="58"/>
  <c r="AB99" i="58" s="1"/>
  <c r="AO99" i="58" s="1"/>
  <c r="AA99" i="58"/>
  <c r="AC99" i="58" s="1"/>
  <c r="AP99" i="58" s="1"/>
  <c r="Z128" i="58"/>
  <c r="AB128" i="58" s="1"/>
  <c r="AO128" i="58" s="1"/>
  <c r="AA128" i="58"/>
  <c r="AC128" i="58" s="1"/>
  <c r="AP128" i="58" s="1"/>
  <c r="Z29" i="58"/>
  <c r="AB29" i="58" s="1"/>
  <c r="AO29" i="58" s="1"/>
  <c r="AA29" i="58"/>
  <c r="AC29" i="58" s="1"/>
  <c r="AP29" i="58" s="1"/>
  <c r="Z90" i="58"/>
  <c r="AB90" i="58" s="1"/>
  <c r="AO90" i="58" s="1"/>
  <c r="AA90" i="58"/>
  <c r="AC90" i="58" s="1"/>
  <c r="AP90" i="58" s="1"/>
  <c r="Z65" i="58"/>
  <c r="AB65" i="58" s="1"/>
  <c r="AO65" i="58" s="1"/>
  <c r="AA65" i="58"/>
  <c r="AC65" i="58" s="1"/>
  <c r="AP65" i="58" s="1"/>
  <c r="Z97" i="58"/>
  <c r="AB97" i="58" s="1"/>
  <c r="AO97" i="58" s="1"/>
  <c r="AA97" i="58"/>
  <c r="AC97" i="58" s="1"/>
  <c r="AP97" i="58" s="1"/>
  <c r="Z61" i="58"/>
  <c r="AB61" i="58" s="1"/>
  <c r="AO61" i="58" s="1"/>
  <c r="AA61" i="58"/>
  <c r="AC61" i="58" s="1"/>
  <c r="AP61" i="58" s="1"/>
  <c r="Z27" i="58"/>
  <c r="AB27" i="58" s="1"/>
  <c r="AO27" i="58" s="1"/>
  <c r="AA27" i="58"/>
  <c r="AC27" i="58" s="1"/>
  <c r="AP27" i="58" s="1"/>
  <c r="Z126" i="58"/>
  <c r="AB126" i="58" s="1"/>
  <c r="AO126" i="58" s="1"/>
  <c r="AA126" i="58"/>
  <c r="AC126" i="58" s="1"/>
  <c r="AP126" i="58" s="1"/>
  <c r="Z132" i="58"/>
  <c r="AB132" i="58" s="1"/>
  <c r="AO132" i="58" s="1"/>
  <c r="AA132" i="58"/>
  <c r="AC132" i="58" s="1"/>
  <c r="AP132" i="58" s="1"/>
  <c r="AA110" i="58"/>
  <c r="AC110" i="58" s="1"/>
  <c r="AP110" i="58" s="1"/>
  <c r="Z110" i="58"/>
  <c r="AB110" i="58" s="1"/>
  <c r="AO110" i="58" s="1"/>
  <c r="AA113" i="58"/>
  <c r="AC113" i="58" s="1"/>
  <c r="AP113" i="58" s="1"/>
  <c r="Z113" i="58"/>
  <c r="AB113" i="58" s="1"/>
  <c r="AO113" i="58" s="1"/>
  <c r="Z104" i="58"/>
  <c r="AB104" i="58" s="1"/>
  <c r="AO104" i="58" s="1"/>
  <c r="AA104" i="58"/>
  <c r="AC104" i="58" s="1"/>
  <c r="AP104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Z81" i="58"/>
  <c r="AB81" i="58" s="1"/>
  <c r="AO81" i="58" s="1"/>
  <c r="AA81" i="58"/>
  <c r="AC81" i="58" s="1"/>
  <c r="AP81" i="58" s="1"/>
  <c r="Z70" i="58"/>
  <c r="AB70" i="58" s="1"/>
  <c r="AO70" i="58" s="1"/>
  <c r="AA70" i="58"/>
  <c r="AC70" i="58" s="1"/>
  <c r="AP70" i="58" s="1"/>
  <c r="Z35" i="58"/>
  <c r="AB35" i="58" s="1"/>
  <c r="AO35" i="58" s="1"/>
  <c r="AA35" i="58"/>
  <c r="AC35" i="58" s="1"/>
  <c r="AP35" i="58" s="1"/>
  <c r="Z38" i="58"/>
  <c r="AB38" i="58" s="1"/>
  <c r="AO38" i="58" s="1"/>
  <c r="AA38" i="58"/>
  <c r="AC38" i="58" s="1"/>
  <c r="AP38" i="58" s="1"/>
  <c r="A16" i="52"/>
  <c r="F21" i="67" s="1"/>
  <c r="AN6" i="60"/>
  <c r="AN61" i="66"/>
  <c r="AN16" i="39"/>
  <c r="AN53" i="46"/>
  <c r="AN42" i="15"/>
  <c r="AN44" i="22"/>
  <c r="S14" i="67"/>
  <c r="A16" i="21"/>
  <c r="F22" i="68" s="1"/>
  <c r="X10" i="23"/>
  <c r="Z10" i="23" s="1"/>
  <c r="AB10" i="23" s="1"/>
  <c r="AO10" i="23" s="1"/>
  <c r="X17" i="55"/>
  <c r="AA17" i="55" s="1"/>
  <c r="AC17" i="55" s="1"/>
  <c r="AP17" i="55" s="1"/>
  <c r="X23" i="55"/>
  <c r="Z23" i="55" s="1"/>
  <c r="AB23" i="55" s="1"/>
  <c r="AO23" i="55" s="1"/>
  <c r="AN53" i="22"/>
  <c r="AN124" i="66"/>
  <c r="AN45" i="15"/>
  <c r="AN30" i="69"/>
  <c r="AN146" i="15"/>
  <c r="AN41" i="57"/>
  <c r="AN39" i="57"/>
  <c r="AN5" i="22"/>
  <c r="AN62" i="15"/>
  <c r="AN23" i="23"/>
  <c r="AN34" i="28"/>
  <c r="A16" i="15"/>
  <c r="F14" i="68" s="1"/>
  <c r="AN64" i="66"/>
  <c r="AN9" i="57"/>
  <c r="AP22" i="50"/>
  <c r="AJ7" i="58"/>
  <c r="AN9" i="51"/>
  <c r="AJ13" i="66"/>
  <c r="AP15" i="42"/>
  <c r="AJ43" i="66"/>
  <c r="AN15" i="57"/>
  <c r="AN5" i="45"/>
  <c r="AJ60" i="66"/>
  <c r="AJ15" i="39"/>
  <c r="AN9" i="43"/>
  <c r="AL8" i="32"/>
  <c r="AJ128" i="15"/>
  <c r="AJ9" i="26"/>
  <c r="AJ35" i="32"/>
  <c r="AN37" i="32"/>
  <c r="AJ28" i="15"/>
  <c r="AN44" i="20"/>
  <c r="AJ145" i="15"/>
  <c r="AJ15" i="6"/>
  <c r="AJ23" i="20"/>
  <c r="AJ139" i="15"/>
  <c r="AJ24" i="13"/>
  <c r="AN19" i="13"/>
  <c r="AJ50" i="20"/>
  <c r="AN11" i="32"/>
  <c r="AN108" i="65"/>
  <c r="AN67" i="15"/>
  <c r="AJ17" i="27"/>
  <c r="AJ9" i="25"/>
  <c r="AJ9" i="19"/>
  <c r="AJ28" i="32"/>
  <c r="AL5" i="32"/>
  <c r="AN16" i="5"/>
  <c r="S13" i="68"/>
  <c r="AL9" i="3"/>
  <c r="AJ5" i="69"/>
  <c r="AL12" i="70"/>
  <c r="AJ19" i="30"/>
  <c r="AJ55" i="22"/>
  <c r="AJ162" i="15"/>
  <c r="AN22" i="23"/>
  <c r="S22" i="68"/>
  <c r="AN12" i="59"/>
  <c r="AJ6" i="58"/>
  <c r="AN44" i="57"/>
  <c r="AN38" i="57"/>
  <c r="AN42" i="57"/>
  <c r="AN8" i="57"/>
  <c r="AN12" i="57"/>
  <c r="S28" i="67"/>
  <c r="X5" i="71"/>
  <c r="AA5" i="71" s="1"/>
  <c r="AC5" i="71" s="1"/>
  <c r="V19" i="67"/>
  <c r="O19" i="2" s="1"/>
  <c r="AN42" i="46"/>
  <c r="X6" i="46"/>
  <c r="AA6" i="46" s="1"/>
  <c r="AC6" i="46" s="1"/>
  <c r="AP6" i="46" s="1"/>
  <c r="AN5" i="46"/>
  <c r="AN66" i="46"/>
  <c r="AN6" i="44"/>
  <c r="AN7" i="43"/>
  <c r="AN12" i="40"/>
  <c r="AN15" i="40"/>
  <c r="S9" i="67"/>
  <c r="AJ11" i="39"/>
  <c r="AN66" i="66"/>
  <c r="K22" i="67"/>
  <c r="K23" i="67" s="1"/>
  <c r="X125" i="66"/>
  <c r="AA125" i="66" s="1"/>
  <c r="AC125" i="66" s="1"/>
  <c r="AN92" i="66"/>
  <c r="AN106" i="66"/>
  <c r="X8" i="38"/>
  <c r="AA8" i="38" s="1"/>
  <c r="AC8" i="38" s="1"/>
  <c r="AP8" i="38" s="1"/>
  <c r="AJ9" i="35"/>
  <c r="AL63" i="32"/>
  <c r="AN25" i="32"/>
  <c r="S43" i="68"/>
  <c r="AJ76" i="32"/>
  <c r="AL47" i="32"/>
  <c r="AL64" i="32"/>
  <c r="AL96" i="32"/>
  <c r="AL51" i="32"/>
  <c r="AJ11" i="31"/>
  <c r="AJ9" i="31"/>
  <c r="X11" i="30"/>
  <c r="AA11" i="30" s="1"/>
  <c r="AC11" i="30" s="1"/>
  <c r="AP11" i="30" s="1"/>
  <c r="AL16" i="30"/>
  <c r="X17" i="28"/>
  <c r="Z17" i="28" s="1"/>
  <c r="AB17" i="28" s="1"/>
  <c r="AO17" i="28" s="1"/>
  <c r="AN19" i="27"/>
  <c r="X22" i="26"/>
  <c r="Z22" i="26" s="1"/>
  <c r="AB22" i="26" s="1"/>
  <c r="AO22" i="26" s="1"/>
  <c r="AJ10" i="24"/>
  <c r="X15" i="70"/>
  <c r="AA15" i="70" s="1"/>
  <c r="AC15" i="70" s="1"/>
  <c r="AP15" i="70" s="1"/>
  <c r="AN17" i="69"/>
  <c r="AN28" i="69"/>
  <c r="AN22" i="69"/>
  <c r="AJ32" i="20"/>
  <c r="S21" i="68"/>
  <c r="AN15" i="20"/>
  <c r="X17" i="18"/>
  <c r="AA17" i="18" s="1"/>
  <c r="AC17" i="18" s="1"/>
  <c r="AP17" i="18" s="1"/>
  <c r="AL120" i="15"/>
  <c r="AJ62" i="15"/>
  <c r="AN164" i="15"/>
  <c r="S12" i="68"/>
  <c r="AJ22" i="13"/>
  <c r="X12" i="12"/>
  <c r="Z12" i="12" s="1"/>
  <c r="AB12" i="12" s="1"/>
  <c r="AO12" i="12" s="1"/>
  <c r="S11" i="68"/>
  <c r="AL8" i="12"/>
  <c r="AL5" i="6"/>
  <c r="AN10" i="6"/>
  <c r="X10" i="6"/>
  <c r="Z10" i="6" s="1"/>
  <c r="AB10" i="6" s="1"/>
  <c r="AO10" i="6" s="1"/>
  <c r="S9" i="68"/>
  <c r="X22" i="3"/>
  <c r="AA22" i="3" s="1"/>
  <c r="AC22" i="3" s="1"/>
  <c r="AP22" i="3" s="1"/>
  <c r="X7" i="3"/>
  <c r="AA7" i="3" s="1"/>
  <c r="AC7" i="3" s="1"/>
  <c r="AP7" i="3" s="1"/>
  <c r="X20" i="3"/>
  <c r="AA20" i="3" s="1"/>
  <c r="AC20" i="3" s="1"/>
  <c r="AP20" i="3" s="1"/>
  <c r="A20" i="3"/>
  <c r="O8" i="68" s="1"/>
  <c r="X7" i="34"/>
  <c r="Z7" i="34" s="1"/>
  <c r="AB7" i="34" s="1"/>
  <c r="AO7" i="34" s="1"/>
  <c r="X8" i="34"/>
  <c r="Z8" i="34" s="1"/>
  <c r="AB8" i="34" s="1"/>
  <c r="AO8" i="34" s="1"/>
  <c r="X20" i="34"/>
  <c r="AA20" i="34" s="1"/>
  <c r="AC20" i="34" s="1"/>
  <c r="AP20" i="34" s="1"/>
  <c r="X74" i="46"/>
  <c r="AA74" i="46" s="1"/>
  <c r="AC74" i="46" s="1"/>
  <c r="AP74" i="46" s="1"/>
  <c r="H25" i="68"/>
  <c r="C26" i="2" s="1"/>
  <c r="C29" i="2"/>
  <c r="X18" i="6"/>
  <c r="Z18" i="6" s="1"/>
  <c r="AB18" i="6" s="1"/>
  <c r="AO18" i="6" s="1"/>
  <c r="X17" i="30"/>
  <c r="Z17" i="30" s="1"/>
  <c r="AB17" i="30" s="1"/>
  <c r="AO17" i="30" s="1"/>
  <c r="X19" i="30"/>
  <c r="AA19" i="30" s="1"/>
  <c r="AC19" i="30" s="1"/>
  <c r="AP19" i="30" s="1"/>
  <c r="X19" i="38"/>
  <c r="AA19" i="38" s="1"/>
  <c r="AC19" i="38" s="1"/>
  <c r="AP19" i="38" s="1"/>
  <c r="X14" i="38"/>
  <c r="Z14" i="38" s="1"/>
  <c r="AB14" i="38" s="1"/>
  <c r="AO14" i="38" s="1"/>
  <c r="X13" i="30"/>
  <c r="AA13" i="30" s="1"/>
  <c r="AC13" i="30" s="1"/>
  <c r="X9" i="38"/>
  <c r="Z9" i="38" s="1"/>
  <c r="AB9" i="38" s="1"/>
  <c r="AO9" i="38" s="1"/>
  <c r="X16" i="38"/>
  <c r="AA16" i="38" s="1"/>
  <c r="AC16" i="38" s="1"/>
  <c r="AP16" i="38" s="1"/>
  <c r="X23" i="6"/>
  <c r="AA23" i="6" s="1"/>
  <c r="AC23" i="6" s="1"/>
  <c r="AP23" i="6" s="1"/>
  <c r="X6" i="30"/>
  <c r="Z6" i="30" s="1"/>
  <c r="AB6" i="30" s="1"/>
  <c r="AO6" i="30" s="1"/>
  <c r="X20" i="30"/>
  <c r="AA20" i="30" s="1"/>
  <c r="AC20" i="30" s="1"/>
  <c r="AP20" i="30" s="1"/>
  <c r="A18" i="38"/>
  <c r="N50" i="68" s="1"/>
  <c r="Q50" i="68" s="1"/>
  <c r="U50" i="68" s="1"/>
  <c r="F50" i="2" s="1"/>
  <c r="A20" i="38"/>
  <c r="X12" i="6"/>
  <c r="Z12" i="6" s="1"/>
  <c r="AB12" i="6" s="1"/>
  <c r="AO12" i="6" s="1"/>
  <c r="X16" i="30"/>
  <c r="Z16" i="30" s="1"/>
  <c r="AB16" i="30" s="1"/>
  <c r="AO16" i="30" s="1"/>
  <c r="X5" i="6"/>
  <c r="Z5" i="6" s="1"/>
  <c r="AB5" i="6" s="1"/>
  <c r="X15" i="30"/>
  <c r="Z15" i="30" s="1"/>
  <c r="AB15" i="30" s="1"/>
  <c r="AO15" i="30" s="1"/>
  <c r="X10" i="38"/>
  <c r="Z10" i="38" s="1"/>
  <c r="AB10" i="38" s="1"/>
  <c r="AO10" i="38" s="1"/>
  <c r="X21" i="38"/>
  <c r="AA21" i="38" s="1"/>
  <c r="AC21" i="38" s="1"/>
  <c r="AP21" i="38" s="1"/>
  <c r="X10" i="30"/>
  <c r="AA10" i="30" s="1"/>
  <c r="AC10" i="30" s="1"/>
  <c r="AP10" i="30" s="1"/>
  <c r="X17" i="6"/>
  <c r="Z17" i="6" s="1"/>
  <c r="AB17" i="6" s="1"/>
  <c r="AO17" i="6" s="1"/>
  <c r="X8" i="6"/>
  <c r="Z8" i="6" s="1"/>
  <c r="AB8" i="6" s="1"/>
  <c r="AO8" i="6" s="1"/>
  <c r="X5" i="30"/>
  <c r="Z5" i="30" s="1"/>
  <c r="AB5" i="30" s="1"/>
  <c r="X12" i="38"/>
  <c r="AA12" i="38" s="1"/>
  <c r="AC12" i="38" s="1"/>
  <c r="AP12" i="38" s="1"/>
  <c r="X22" i="38"/>
  <c r="Z22" i="38" s="1"/>
  <c r="AB22" i="38" s="1"/>
  <c r="AO22" i="38" s="1"/>
  <c r="X11" i="6"/>
  <c r="AA11" i="6" s="1"/>
  <c r="AC11" i="6" s="1"/>
  <c r="AP11" i="6" s="1"/>
  <c r="X24" i="6"/>
  <c r="Z24" i="6" s="1"/>
  <c r="AB24" i="6" s="1"/>
  <c r="AO24" i="6" s="1"/>
  <c r="X13" i="6"/>
  <c r="AA13" i="6" s="1"/>
  <c r="AC13" i="6" s="1"/>
  <c r="AP13" i="6" s="1"/>
  <c r="X8" i="30"/>
  <c r="AA8" i="30" s="1"/>
  <c r="AC8" i="30" s="1"/>
  <c r="AP8" i="30" s="1"/>
  <c r="X17" i="38"/>
  <c r="Z17" i="38" s="1"/>
  <c r="AB17" i="38" s="1"/>
  <c r="AO17" i="38" s="1"/>
  <c r="I10" i="68"/>
  <c r="X14" i="6"/>
  <c r="AA14" i="6" s="1"/>
  <c r="AC14" i="6" s="1"/>
  <c r="AP14" i="6" s="1"/>
  <c r="X14" i="30"/>
  <c r="Z14" i="30" s="1"/>
  <c r="AB14" i="30" s="1"/>
  <c r="AO14" i="30" s="1"/>
  <c r="X6" i="38"/>
  <c r="AA6" i="38" s="1"/>
  <c r="AC6" i="38" s="1"/>
  <c r="AP6" i="38" s="1"/>
  <c r="X19" i="6"/>
  <c r="AA19" i="6" s="1"/>
  <c r="AC19" i="6" s="1"/>
  <c r="AP19" i="6" s="1"/>
  <c r="A18" i="30"/>
  <c r="N41" i="68" s="1"/>
  <c r="Q41" i="68" s="1"/>
  <c r="X6" i="6"/>
  <c r="Z6" i="6" s="1"/>
  <c r="AB6" i="6" s="1"/>
  <c r="AO6" i="6" s="1"/>
  <c r="A20" i="6"/>
  <c r="O10" i="68" s="1"/>
  <c r="R10" i="68" s="1"/>
  <c r="A20" i="30"/>
  <c r="O41" i="68" s="1"/>
  <c r="R41" i="68" s="1"/>
  <c r="X15" i="38"/>
  <c r="Z15" i="38" s="1"/>
  <c r="AB15" i="38" s="1"/>
  <c r="AO15" i="38" s="1"/>
  <c r="X7" i="6"/>
  <c r="AA7" i="6" s="1"/>
  <c r="AC7" i="6" s="1"/>
  <c r="AP7" i="6" s="1"/>
  <c r="X21" i="6"/>
  <c r="AA21" i="6" s="1"/>
  <c r="AC21" i="6" s="1"/>
  <c r="AP21" i="6" s="1"/>
  <c r="X21" i="30"/>
  <c r="AA21" i="30" s="1"/>
  <c r="AC21" i="30" s="1"/>
  <c r="X16" i="6"/>
  <c r="AA16" i="6" s="1"/>
  <c r="AC16" i="6" s="1"/>
  <c r="AP16" i="6" s="1"/>
  <c r="X23" i="38"/>
  <c r="Z23" i="38" s="1"/>
  <c r="AB23" i="38" s="1"/>
  <c r="AO23" i="38" s="1"/>
  <c r="X18" i="38"/>
  <c r="Z18" i="38" s="1"/>
  <c r="AB18" i="38" s="1"/>
  <c r="AO18" i="38" s="1"/>
  <c r="X15" i="6"/>
  <c r="Z15" i="6" s="1"/>
  <c r="AB15" i="6" s="1"/>
  <c r="AO15" i="6" s="1"/>
  <c r="X22" i="6"/>
  <c r="Z22" i="6" s="1"/>
  <c r="AB22" i="6" s="1"/>
  <c r="AO22" i="6" s="1"/>
  <c r="I41" i="68"/>
  <c r="X22" i="30"/>
  <c r="AA22" i="30" s="1"/>
  <c r="AC22" i="30" s="1"/>
  <c r="AP22" i="30" s="1"/>
  <c r="I50" i="68"/>
  <c r="O50" i="68" s="1"/>
  <c r="R50" i="68" s="1"/>
  <c r="V50" i="68" s="1"/>
  <c r="G50" i="2" s="1"/>
  <c r="X24" i="38"/>
  <c r="AA24" i="38" s="1"/>
  <c r="AC24" i="38" s="1"/>
  <c r="AP24" i="38" s="1"/>
  <c r="X23" i="30"/>
  <c r="Z23" i="30" s="1"/>
  <c r="AB23" i="30" s="1"/>
  <c r="AO23" i="30" s="1"/>
  <c r="X20" i="6"/>
  <c r="AA20" i="6" s="1"/>
  <c r="AC20" i="6" s="1"/>
  <c r="AP20" i="6" s="1"/>
  <c r="X18" i="30"/>
  <c r="AA18" i="30" s="1"/>
  <c r="AC18" i="30" s="1"/>
  <c r="X7" i="30"/>
  <c r="AA7" i="30" s="1"/>
  <c r="AC7" i="30" s="1"/>
  <c r="AP7" i="30" s="1"/>
  <c r="X11" i="38"/>
  <c r="AA11" i="38" s="1"/>
  <c r="AC11" i="38" s="1"/>
  <c r="AP11" i="38" s="1"/>
  <c r="X5" i="38"/>
  <c r="AA5" i="38" s="1"/>
  <c r="AC5" i="38" s="1"/>
  <c r="A18" i="6"/>
  <c r="N10" i="68" s="1"/>
  <c r="D11" i="2" s="1"/>
  <c r="X9" i="30"/>
  <c r="AA9" i="30" s="1"/>
  <c r="AC9" i="30" s="1"/>
  <c r="X20" i="38"/>
  <c r="AA20" i="38" s="1"/>
  <c r="AC20" i="38" s="1"/>
  <c r="AP20" i="38" s="1"/>
  <c r="X25" i="23"/>
  <c r="Z25" i="23" s="1"/>
  <c r="AB25" i="23" s="1"/>
  <c r="AO25" i="23" s="1"/>
  <c r="X12" i="23"/>
  <c r="AA12" i="23" s="1"/>
  <c r="AC12" i="23" s="1"/>
  <c r="X45" i="46"/>
  <c r="AA45" i="46" s="1"/>
  <c r="AC45" i="46" s="1"/>
  <c r="AP45" i="46" s="1"/>
  <c r="X76" i="46"/>
  <c r="Z76" i="46" s="1"/>
  <c r="AB76" i="46" s="1"/>
  <c r="AO76" i="46" s="1"/>
  <c r="X8" i="46"/>
  <c r="Z8" i="46" s="1"/>
  <c r="AB8" i="46" s="1"/>
  <c r="AO8" i="46" s="1"/>
  <c r="X12" i="34"/>
  <c r="AA12" i="34" s="1"/>
  <c r="AC12" i="34" s="1"/>
  <c r="AP12" i="34" s="1"/>
  <c r="X19" i="46"/>
  <c r="Z19" i="46" s="1"/>
  <c r="AB19" i="46" s="1"/>
  <c r="AO19" i="46" s="1"/>
  <c r="X26" i="46"/>
  <c r="AA26" i="46" s="1"/>
  <c r="AC26" i="46" s="1"/>
  <c r="X66" i="46"/>
  <c r="AA66" i="46" s="1"/>
  <c r="AC66" i="46" s="1"/>
  <c r="X43" i="46"/>
  <c r="Z43" i="46" s="1"/>
  <c r="AB43" i="46" s="1"/>
  <c r="AO43" i="46" s="1"/>
  <c r="X29" i="32"/>
  <c r="AA29" i="32" s="1"/>
  <c r="AC29" i="32" s="1"/>
  <c r="X55" i="46"/>
  <c r="Z55" i="46" s="1"/>
  <c r="AB55" i="46" s="1"/>
  <c r="AO55" i="46" s="1"/>
  <c r="X19" i="32"/>
  <c r="AA19" i="32" s="1"/>
  <c r="AC19" i="32" s="1"/>
  <c r="AP19" i="32" s="1"/>
  <c r="N48" i="67"/>
  <c r="Q48" i="67" s="1"/>
  <c r="X68" i="32"/>
  <c r="Z68" i="32" s="1"/>
  <c r="AB68" i="32" s="1"/>
  <c r="AO68" i="32" s="1"/>
  <c r="X6" i="27"/>
  <c r="Z6" i="27" s="1"/>
  <c r="AB6" i="27" s="1"/>
  <c r="AO6" i="27" s="1"/>
  <c r="X132" i="32"/>
  <c r="AA132" i="32" s="1"/>
  <c r="AC132" i="32" s="1"/>
  <c r="AP132" i="32" s="1"/>
  <c r="X122" i="32"/>
  <c r="Z122" i="32" s="1"/>
  <c r="AB122" i="32" s="1"/>
  <c r="AO122" i="32" s="1"/>
  <c r="X114" i="32"/>
  <c r="Z114" i="32" s="1"/>
  <c r="AB114" i="32" s="1"/>
  <c r="AO114" i="32" s="1"/>
  <c r="X37" i="46"/>
  <c r="AA37" i="46" s="1"/>
  <c r="AC37" i="46" s="1"/>
  <c r="X36" i="28"/>
  <c r="Z36" i="28" s="1"/>
  <c r="AB36" i="28" s="1"/>
  <c r="AO36" i="28" s="1"/>
  <c r="X44" i="28"/>
  <c r="Z44" i="28" s="1"/>
  <c r="AB44" i="28" s="1"/>
  <c r="AO44" i="28" s="1"/>
  <c r="X56" i="65"/>
  <c r="Z56" i="65" s="1"/>
  <c r="AB56" i="65" s="1"/>
  <c r="AO56" i="65" s="1"/>
  <c r="X114" i="66"/>
  <c r="Z114" i="66" s="1"/>
  <c r="AB114" i="66" s="1"/>
  <c r="AO114" i="66" s="1"/>
  <c r="X78" i="66"/>
  <c r="Z78" i="66" s="1"/>
  <c r="AB78" i="66" s="1"/>
  <c r="AO78" i="66" s="1"/>
  <c r="X42" i="66"/>
  <c r="Z42" i="66" s="1"/>
  <c r="AB42" i="66" s="1"/>
  <c r="AO42" i="66" s="1"/>
  <c r="X21" i="66"/>
  <c r="AA21" i="66" s="1"/>
  <c r="AC21" i="66" s="1"/>
  <c r="AP21" i="66" s="1"/>
  <c r="X98" i="66"/>
  <c r="Z98" i="66" s="1"/>
  <c r="AB98" i="66" s="1"/>
  <c r="AO98" i="66" s="1"/>
  <c r="X12" i="65"/>
  <c r="Z12" i="65" s="1"/>
  <c r="AB12" i="65" s="1"/>
  <c r="AO12" i="65" s="1"/>
  <c r="X58" i="65"/>
  <c r="Z58" i="65" s="1"/>
  <c r="AB58" i="65" s="1"/>
  <c r="AO58" i="65" s="1"/>
  <c r="X23" i="65"/>
  <c r="AA23" i="65" s="1"/>
  <c r="AC23" i="65" s="1"/>
  <c r="X105" i="65"/>
  <c r="Z105" i="65" s="1"/>
  <c r="AB105" i="65" s="1"/>
  <c r="AO105" i="65" s="1"/>
  <c r="X184" i="65"/>
  <c r="Z184" i="65" s="1"/>
  <c r="AB184" i="65" s="1"/>
  <c r="AO184" i="65" s="1"/>
  <c r="X153" i="65"/>
  <c r="AA153" i="65" s="1"/>
  <c r="AC153" i="65" s="1"/>
  <c r="X23" i="18"/>
  <c r="Z23" i="18" s="1"/>
  <c r="AB23" i="18" s="1"/>
  <c r="AO23" i="18" s="1"/>
  <c r="X18" i="16"/>
  <c r="AA18" i="16" s="1"/>
  <c r="AC18" i="16" s="1"/>
  <c r="AP18" i="16" s="1"/>
  <c r="X55" i="65"/>
  <c r="AA55" i="65" s="1"/>
  <c r="AC55" i="65" s="1"/>
  <c r="X16" i="65"/>
  <c r="Z16" i="65" s="1"/>
  <c r="AB16" i="65" s="1"/>
  <c r="AO16" i="65" s="1"/>
  <c r="X110" i="65"/>
  <c r="Z110" i="65" s="1"/>
  <c r="AB110" i="65" s="1"/>
  <c r="AO110" i="65" s="1"/>
  <c r="X141" i="65"/>
  <c r="Z141" i="65" s="1"/>
  <c r="AB141" i="65" s="1"/>
  <c r="AO141" i="65" s="1"/>
  <c r="X185" i="65"/>
  <c r="AA185" i="65" s="1"/>
  <c r="AC185" i="65" s="1"/>
  <c r="AP185" i="65" s="1"/>
  <c r="X51" i="65"/>
  <c r="AA51" i="65" s="1"/>
  <c r="AC51" i="65" s="1"/>
  <c r="AP51" i="65" s="1"/>
  <c r="X109" i="65"/>
  <c r="AA109" i="65" s="1"/>
  <c r="AC109" i="65" s="1"/>
  <c r="X77" i="65"/>
  <c r="AA77" i="65" s="1"/>
  <c r="AC77" i="65" s="1"/>
  <c r="X20" i="18"/>
  <c r="Z20" i="18" s="1"/>
  <c r="AB20" i="18" s="1"/>
  <c r="AO20" i="18" s="1"/>
  <c r="X186" i="65"/>
  <c r="AA186" i="65" s="1"/>
  <c r="AC186" i="65" s="1"/>
  <c r="AP186" i="65" s="1"/>
  <c r="X164" i="65"/>
  <c r="AA164" i="65" s="1"/>
  <c r="AC164" i="65" s="1"/>
  <c r="X49" i="65"/>
  <c r="AA49" i="65" s="1"/>
  <c r="AC49" i="65" s="1"/>
  <c r="AP49" i="65" s="1"/>
  <c r="X149" i="65"/>
  <c r="AA149" i="65" s="1"/>
  <c r="AC149" i="65" s="1"/>
  <c r="AP149" i="65" s="1"/>
  <c r="X20" i="65"/>
  <c r="Z20" i="65" s="1"/>
  <c r="AB20" i="65" s="1"/>
  <c r="AO20" i="65" s="1"/>
  <c r="X54" i="65"/>
  <c r="Z54" i="65" s="1"/>
  <c r="AB54" i="65" s="1"/>
  <c r="AO54" i="65" s="1"/>
  <c r="X102" i="65"/>
  <c r="AA102" i="65" s="1"/>
  <c r="AC102" i="65" s="1"/>
  <c r="AP102" i="65" s="1"/>
  <c r="X138" i="65"/>
  <c r="Z138" i="65" s="1"/>
  <c r="AB138" i="65" s="1"/>
  <c r="AO138" i="65" s="1"/>
  <c r="X181" i="65"/>
  <c r="AA181" i="65" s="1"/>
  <c r="AC181" i="65" s="1"/>
  <c r="AP181" i="65" s="1"/>
  <c r="X106" i="65"/>
  <c r="AA106" i="65" s="1"/>
  <c r="AC106" i="65" s="1"/>
  <c r="X147" i="65"/>
  <c r="Z147" i="65" s="1"/>
  <c r="AB147" i="65" s="1"/>
  <c r="AO147" i="65" s="1"/>
  <c r="X182" i="65"/>
  <c r="Z182" i="65" s="1"/>
  <c r="AB182" i="65" s="1"/>
  <c r="AO182" i="65" s="1"/>
  <c r="Z22" i="50"/>
  <c r="AB22" i="50" s="1"/>
  <c r="AO22" i="50" s="1"/>
  <c r="X6" i="16"/>
  <c r="Z6" i="16" s="1"/>
  <c r="AB6" i="16" s="1"/>
  <c r="AO6" i="16" s="1"/>
  <c r="X10" i="16"/>
  <c r="AA10" i="16" s="1"/>
  <c r="AC10" i="16" s="1"/>
  <c r="AP10" i="16" s="1"/>
  <c r="X5" i="16"/>
  <c r="Z5" i="16" s="1"/>
  <c r="AB5" i="16" s="1"/>
  <c r="X48" i="65"/>
  <c r="Z48" i="65" s="1"/>
  <c r="AB48" i="65" s="1"/>
  <c r="AO48" i="65" s="1"/>
  <c r="X52" i="46"/>
  <c r="AA52" i="46" s="1"/>
  <c r="AC52" i="46" s="1"/>
  <c r="N77" i="68"/>
  <c r="Q77" i="68" s="1"/>
  <c r="I80" i="68"/>
  <c r="X20" i="26"/>
  <c r="AA20" i="26" s="1"/>
  <c r="AC20" i="26" s="1"/>
  <c r="AP20" i="26" s="1"/>
  <c r="X22" i="20"/>
  <c r="AA22" i="20" s="1"/>
  <c r="AC22" i="20" s="1"/>
  <c r="Q29" i="68"/>
  <c r="U29" i="68" s="1"/>
  <c r="Q31" i="68"/>
  <c r="U31" i="68" s="1"/>
  <c r="F31" i="2" s="1"/>
  <c r="D31" i="2"/>
  <c r="Q27" i="67"/>
  <c r="L27" i="2"/>
  <c r="Q27" i="68"/>
  <c r="D28" i="2"/>
  <c r="AN85" i="15"/>
  <c r="AN68" i="15"/>
  <c r="AN98" i="15"/>
  <c r="AN64" i="15"/>
  <c r="S14" i="68"/>
  <c r="AN9" i="18"/>
  <c r="M38" i="2"/>
  <c r="C8" i="2"/>
  <c r="X12" i="27"/>
  <c r="Z12" i="27" s="1"/>
  <c r="AB12" i="27" s="1"/>
  <c r="AO12" i="27" s="1"/>
  <c r="X118" i="32"/>
  <c r="Z118" i="32" s="1"/>
  <c r="AB118" i="32" s="1"/>
  <c r="AO118" i="32" s="1"/>
  <c r="X24" i="32"/>
  <c r="AA24" i="32" s="1"/>
  <c r="AC24" i="32" s="1"/>
  <c r="AP24" i="32" s="1"/>
  <c r="X39" i="32"/>
  <c r="Z39" i="32" s="1"/>
  <c r="AB39" i="32" s="1"/>
  <c r="AO39" i="32" s="1"/>
  <c r="X72" i="32"/>
  <c r="AA72" i="32" s="1"/>
  <c r="AC72" i="32" s="1"/>
  <c r="X27" i="32"/>
  <c r="AA27" i="32" s="1"/>
  <c r="AC27" i="32" s="1"/>
  <c r="X136" i="32"/>
  <c r="AA136" i="32" s="1"/>
  <c r="AC136" i="32" s="1"/>
  <c r="AP136" i="32" s="1"/>
  <c r="X73" i="32"/>
  <c r="Z73" i="32" s="1"/>
  <c r="AB73" i="32" s="1"/>
  <c r="AO73" i="32" s="1"/>
  <c r="X55" i="32"/>
  <c r="Z55" i="32" s="1"/>
  <c r="AB55" i="32" s="1"/>
  <c r="AO55" i="32" s="1"/>
  <c r="X50" i="32"/>
  <c r="Z50" i="32" s="1"/>
  <c r="AB50" i="32" s="1"/>
  <c r="AO50" i="32" s="1"/>
  <c r="X95" i="32"/>
  <c r="AA95" i="32" s="1"/>
  <c r="AC95" i="32" s="1"/>
  <c r="AP95" i="32" s="1"/>
  <c r="X78" i="32"/>
  <c r="Z78" i="32" s="1"/>
  <c r="AB78" i="32" s="1"/>
  <c r="AO78" i="32" s="1"/>
  <c r="X103" i="32"/>
  <c r="AA103" i="32" s="1"/>
  <c r="AC103" i="32" s="1"/>
  <c r="AP103" i="32" s="1"/>
  <c r="X110" i="32"/>
  <c r="AA110" i="32" s="1"/>
  <c r="AC110" i="32" s="1"/>
  <c r="AP110" i="32" s="1"/>
  <c r="X85" i="32"/>
  <c r="AA85" i="32" s="1"/>
  <c r="AC85" i="32" s="1"/>
  <c r="X6" i="70"/>
  <c r="AA6" i="70" s="1"/>
  <c r="AC6" i="70" s="1"/>
  <c r="AP6" i="70" s="1"/>
  <c r="X123" i="32"/>
  <c r="AA123" i="32" s="1"/>
  <c r="AC123" i="32" s="1"/>
  <c r="AP123" i="32" s="1"/>
  <c r="X89" i="32"/>
  <c r="AA89" i="32" s="1"/>
  <c r="AC89" i="32" s="1"/>
  <c r="X14" i="70"/>
  <c r="Z14" i="70" s="1"/>
  <c r="AB14" i="70" s="1"/>
  <c r="AO14" i="70" s="1"/>
  <c r="X21" i="70"/>
  <c r="Z21" i="70" s="1"/>
  <c r="AB21" i="70" s="1"/>
  <c r="AO21" i="70" s="1"/>
  <c r="X67" i="32"/>
  <c r="Z67" i="32" s="1"/>
  <c r="AB67" i="32" s="1"/>
  <c r="AO67" i="32" s="1"/>
  <c r="X133" i="32"/>
  <c r="AA133" i="32" s="1"/>
  <c r="AC133" i="32" s="1"/>
  <c r="AP133" i="32" s="1"/>
  <c r="X20" i="70"/>
  <c r="AA20" i="70" s="1"/>
  <c r="AC20" i="70" s="1"/>
  <c r="AP20" i="70" s="1"/>
  <c r="X11" i="32"/>
  <c r="Z11" i="32" s="1"/>
  <c r="AB11" i="32" s="1"/>
  <c r="AO11" i="32" s="1"/>
  <c r="X137" i="32"/>
  <c r="AA137" i="32" s="1"/>
  <c r="AC137" i="32" s="1"/>
  <c r="AP137" i="32" s="1"/>
  <c r="X10" i="70"/>
  <c r="AA10" i="70" s="1"/>
  <c r="AC10" i="70" s="1"/>
  <c r="AP10" i="70" s="1"/>
  <c r="A20" i="27"/>
  <c r="O37" i="68" s="1"/>
  <c r="R37" i="68" s="1"/>
  <c r="X15" i="27"/>
  <c r="AA15" i="27" s="1"/>
  <c r="AC15" i="27" s="1"/>
  <c r="X115" i="32"/>
  <c r="AA115" i="32" s="1"/>
  <c r="AC115" i="32" s="1"/>
  <c r="AP115" i="32" s="1"/>
  <c r="X23" i="32"/>
  <c r="Z23" i="32" s="1"/>
  <c r="AB23" i="32" s="1"/>
  <c r="AO23" i="32" s="1"/>
  <c r="X33" i="28"/>
  <c r="AA33" i="28" s="1"/>
  <c r="AC33" i="28" s="1"/>
  <c r="AP33" i="28" s="1"/>
  <c r="X9" i="28"/>
  <c r="Z9" i="28" s="1"/>
  <c r="AB9" i="28" s="1"/>
  <c r="AO9" i="28" s="1"/>
  <c r="X20" i="28"/>
  <c r="AA20" i="28" s="1"/>
  <c r="AC20" i="28" s="1"/>
  <c r="X129" i="66"/>
  <c r="AA129" i="66" s="1"/>
  <c r="AC129" i="66" s="1"/>
  <c r="AP129" i="66" s="1"/>
  <c r="X15" i="71"/>
  <c r="Z15" i="71" s="1"/>
  <c r="AB15" i="71" s="1"/>
  <c r="AO15" i="71" s="1"/>
  <c r="A20" i="71"/>
  <c r="O26" i="67" s="1"/>
  <c r="R26" i="67" s="1"/>
  <c r="V26" i="67" s="1"/>
  <c r="O25" i="2" s="1"/>
  <c r="X11" i="3"/>
  <c r="Z11" i="3" s="1"/>
  <c r="AB11" i="3" s="1"/>
  <c r="AO11" i="3" s="1"/>
  <c r="X41" i="28"/>
  <c r="Z41" i="28" s="1"/>
  <c r="AB41" i="28" s="1"/>
  <c r="AO41" i="28" s="1"/>
  <c r="X17" i="71"/>
  <c r="Z17" i="71" s="1"/>
  <c r="AB17" i="71" s="1"/>
  <c r="AO17" i="71" s="1"/>
  <c r="X6" i="3"/>
  <c r="Z6" i="3" s="1"/>
  <c r="AB6" i="3" s="1"/>
  <c r="AO6" i="3" s="1"/>
  <c r="X12" i="3"/>
  <c r="Z12" i="3" s="1"/>
  <c r="AB12" i="3" s="1"/>
  <c r="AO12" i="3" s="1"/>
  <c r="X14" i="28"/>
  <c r="AA14" i="28" s="1"/>
  <c r="AC14" i="28" s="1"/>
  <c r="AP14" i="28" s="1"/>
  <c r="X22" i="71"/>
  <c r="AA22" i="71" s="1"/>
  <c r="AC22" i="71" s="1"/>
  <c r="AP22" i="71" s="1"/>
  <c r="X7" i="71"/>
  <c r="AA7" i="71" s="1"/>
  <c r="AC7" i="71" s="1"/>
  <c r="AP7" i="71" s="1"/>
  <c r="X16" i="3"/>
  <c r="Z16" i="3" s="1"/>
  <c r="AB16" i="3" s="1"/>
  <c r="AO16" i="3" s="1"/>
  <c r="X19" i="3"/>
  <c r="Z19" i="3" s="1"/>
  <c r="AB19" i="3" s="1"/>
  <c r="AO19" i="3" s="1"/>
  <c r="A20" i="28"/>
  <c r="O39" i="68" s="1"/>
  <c r="R39" i="68" s="1"/>
  <c r="I8" i="68"/>
  <c r="AA11" i="50"/>
  <c r="AC11" i="50" s="1"/>
  <c r="AP11" i="50" s="1"/>
  <c r="X10" i="71"/>
  <c r="Z10" i="71" s="1"/>
  <c r="AB10" i="71" s="1"/>
  <c r="AO10" i="71" s="1"/>
  <c r="X8" i="3"/>
  <c r="AA8" i="3" s="1"/>
  <c r="AC8" i="3" s="1"/>
  <c r="AP8" i="3" s="1"/>
  <c r="X21" i="71"/>
  <c r="AA21" i="71" s="1"/>
  <c r="AC21" i="71" s="1"/>
  <c r="AP21" i="71" s="1"/>
  <c r="X23" i="71"/>
  <c r="Z23" i="71" s="1"/>
  <c r="AB23" i="71" s="1"/>
  <c r="AO23" i="71" s="1"/>
  <c r="X11" i="71"/>
  <c r="AA11" i="71" s="1"/>
  <c r="AC11" i="71" s="1"/>
  <c r="AP11" i="71" s="1"/>
  <c r="X18" i="3"/>
  <c r="Z18" i="3" s="1"/>
  <c r="AB18" i="3" s="1"/>
  <c r="AO18" i="3" s="1"/>
  <c r="X18" i="71"/>
  <c r="Z18" i="71" s="1"/>
  <c r="AB18" i="71" s="1"/>
  <c r="AO18" i="71" s="1"/>
  <c r="X20" i="71"/>
  <c r="AA20" i="71" s="1"/>
  <c r="AC20" i="71" s="1"/>
  <c r="AP20" i="71" s="1"/>
  <c r="X8" i="71"/>
  <c r="Z8" i="71" s="1"/>
  <c r="AB8" i="71" s="1"/>
  <c r="AO8" i="71" s="1"/>
  <c r="X9" i="71"/>
  <c r="Z9" i="71" s="1"/>
  <c r="AB9" i="71" s="1"/>
  <c r="AO9" i="71" s="1"/>
  <c r="A18" i="71"/>
  <c r="N26" i="67" s="1"/>
  <c r="X19" i="71"/>
  <c r="AA19" i="71" s="1"/>
  <c r="AC19" i="71" s="1"/>
  <c r="AP19" i="71" s="1"/>
  <c r="X14" i="3"/>
  <c r="AA14" i="3" s="1"/>
  <c r="AC14" i="3" s="1"/>
  <c r="X16" i="71"/>
  <c r="Z16" i="71" s="1"/>
  <c r="AB16" i="71" s="1"/>
  <c r="AO16" i="71" s="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L16" i="2" s="1"/>
  <c r="X10" i="3"/>
  <c r="AA10" i="3" s="1"/>
  <c r="AC10" i="3" s="1"/>
  <c r="AP10" i="3" s="1"/>
  <c r="X30" i="28"/>
  <c r="AA30" i="28" s="1"/>
  <c r="AC30" i="28" s="1"/>
  <c r="AP30" i="28" s="1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AA42" i="12" s="1"/>
  <c r="AC42" i="12" s="1"/>
  <c r="AP42" i="12" s="1"/>
  <c r="X37" i="28"/>
  <c r="AA37" i="28" s="1"/>
  <c r="AC37" i="28" s="1"/>
  <c r="AP37" i="28" s="1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X11" i="28"/>
  <c r="AA11" i="28" s="1"/>
  <c r="AC11" i="28" s="1"/>
  <c r="X23" i="28"/>
  <c r="Z23" i="28" s="1"/>
  <c r="AB23" i="28" s="1"/>
  <c r="AO23" i="28" s="1"/>
  <c r="X27" i="28"/>
  <c r="AA27" i="28" s="1"/>
  <c r="AC27" i="28" s="1"/>
  <c r="AP27" i="28" s="1"/>
  <c r="X45" i="28"/>
  <c r="Z45" i="28" s="1"/>
  <c r="AB45" i="28" s="1"/>
  <c r="AO45" i="28" s="1"/>
  <c r="I39" i="68"/>
  <c r="X38" i="28"/>
  <c r="AA38" i="28" s="1"/>
  <c r="AC38" i="28" s="1"/>
  <c r="AP38" i="28" s="1"/>
  <c r="X10" i="28"/>
  <c r="Z10" i="28" s="1"/>
  <c r="AB10" i="28" s="1"/>
  <c r="AO10" i="28" s="1"/>
  <c r="X32" i="28"/>
  <c r="Z32" i="28" s="1"/>
  <c r="AB32" i="28" s="1"/>
  <c r="AO32" i="28" s="1"/>
  <c r="X35" i="28"/>
  <c r="AA35" i="28" s="1"/>
  <c r="AC35" i="28" s="1"/>
  <c r="AP35" i="28" s="1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Z39" i="28" s="1"/>
  <c r="AB39" i="28" s="1"/>
  <c r="AO39" i="28" s="1"/>
  <c r="X28" i="28"/>
  <c r="Z28" i="28" s="1"/>
  <c r="AB28" i="28" s="1"/>
  <c r="AO28" i="28" s="1"/>
  <c r="A18" i="28"/>
  <c r="N39" i="68" s="1"/>
  <c r="D38" i="2" s="1"/>
  <c r="X18" i="28"/>
  <c r="Z18" i="28" s="1"/>
  <c r="AB18" i="28" s="1"/>
  <c r="AO18" i="28" s="1"/>
  <c r="X48" i="28"/>
  <c r="AA48" i="28" s="1"/>
  <c r="AC48" i="28" s="1"/>
  <c r="AP48" i="28" s="1"/>
  <c r="X47" i="28"/>
  <c r="Z47" i="28" s="1"/>
  <c r="AB47" i="28" s="1"/>
  <c r="AO47" i="28" s="1"/>
  <c r="X47" i="12"/>
  <c r="AA47" i="12" s="1"/>
  <c r="AC47" i="12" s="1"/>
  <c r="AP47" i="12" s="1"/>
  <c r="X21" i="25"/>
  <c r="AA21" i="25" s="1"/>
  <c r="AC21" i="25" s="1"/>
  <c r="AP21" i="25" s="1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Z19" i="66" s="1"/>
  <c r="AB19" i="66" s="1"/>
  <c r="AO19" i="66" s="1"/>
  <c r="X26" i="28"/>
  <c r="AA26" i="28" s="1"/>
  <c r="AC26" i="28" s="1"/>
  <c r="X5" i="28"/>
  <c r="AA5" i="28" s="1"/>
  <c r="AC5" i="28" s="1"/>
  <c r="X49" i="12"/>
  <c r="AA49" i="12" s="1"/>
  <c r="AC49" i="12" s="1"/>
  <c r="AP49" i="12" s="1"/>
  <c r="X51" i="66"/>
  <c r="AA51" i="66" s="1"/>
  <c r="AC51" i="66" s="1"/>
  <c r="X34" i="28"/>
  <c r="AA34" i="28" s="1"/>
  <c r="AC34" i="28" s="1"/>
  <c r="AP34" i="28" s="1"/>
  <c r="X8" i="28"/>
  <c r="Z8" i="28" s="1"/>
  <c r="AB8" i="28" s="1"/>
  <c r="AO8" i="28" s="1"/>
  <c r="X19" i="12"/>
  <c r="AA19" i="12" s="1"/>
  <c r="AC19" i="12" s="1"/>
  <c r="AP19" i="12" s="1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AA19" i="25" s="1"/>
  <c r="AC19" i="25" s="1"/>
  <c r="AP19" i="25" s="1"/>
  <c r="X18" i="25"/>
  <c r="AA18" i="25" s="1"/>
  <c r="AC18" i="25" s="1"/>
  <c r="AP18" i="25" s="1"/>
  <c r="X111" i="66"/>
  <c r="AA111" i="66" s="1"/>
  <c r="AC111" i="66" s="1"/>
  <c r="X75" i="66"/>
  <c r="Z75" i="66" s="1"/>
  <c r="AB75" i="66" s="1"/>
  <c r="AO75" i="66" s="1"/>
  <c r="X39" i="66"/>
  <c r="Z39" i="66" s="1"/>
  <c r="AB39" i="66" s="1"/>
  <c r="AO39" i="66" s="1"/>
  <c r="X131" i="66"/>
  <c r="AA131" i="66" s="1"/>
  <c r="AC131" i="66" s="1"/>
  <c r="X59" i="66"/>
  <c r="AA59" i="66" s="1"/>
  <c r="AC59" i="66" s="1"/>
  <c r="X23" i="66"/>
  <c r="AA23" i="66" s="1"/>
  <c r="AC23" i="66" s="1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X23" i="12"/>
  <c r="AA23" i="12" s="1"/>
  <c r="AC23" i="12" s="1"/>
  <c r="X5" i="12"/>
  <c r="Z5" i="12" s="1"/>
  <c r="AB5" i="12" s="1"/>
  <c r="X26" i="12"/>
  <c r="Z26" i="12" s="1"/>
  <c r="AB26" i="12" s="1"/>
  <c r="AO26" i="12" s="1"/>
  <c r="X16" i="12"/>
  <c r="Z16" i="12" s="1"/>
  <c r="AB16" i="12" s="1"/>
  <c r="AO16" i="12" s="1"/>
  <c r="X108" i="66"/>
  <c r="AA108" i="66" s="1"/>
  <c r="AC108" i="66" s="1"/>
  <c r="AP108" i="66" s="1"/>
  <c r="X72" i="66"/>
  <c r="AA72" i="66" s="1"/>
  <c r="AC72" i="66" s="1"/>
  <c r="X36" i="66"/>
  <c r="AA36" i="66" s="1"/>
  <c r="AC36" i="66" s="1"/>
  <c r="X18" i="66"/>
  <c r="Z18" i="66" s="1"/>
  <c r="AB18" i="66" s="1"/>
  <c r="AO18" i="66" s="1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X7" i="66"/>
  <c r="AA7" i="66" s="1"/>
  <c r="AC7" i="66" s="1"/>
  <c r="AP7" i="66" s="1"/>
  <c r="X20" i="12"/>
  <c r="AA20" i="12" s="1"/>
  <c r="AC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Z5" i="36" s="1"/>
  <c r="AB5" i="36" s="1"/>
  <c r="X10" i="36"/>
  <c r="Z10" i="36" s="1"/>
  <c r="AB10" i="36" s="1"/>
  <c r="AO10" i="36" s="1"/>
  <c r="X5" i="25"/>
  <c r="Z5" i="25" s="1"/>
  <c r="AB5" i="25" s="1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AA32" i="66" s="1"/>
  <c r="AC32" i="66" s="1"/>
  <c r="X15" i="12"/>
  <c r="Z15" i="12" s="1"/>
  <c r="AB15" i="12" s="1"/>
  <c r="AO15" i="12" s="1"/>
  <c r="X29" i="12"/>
  <c r="AA29" i="12" s="1"/>
  <c r="AC29" i="12" s="1"/>
  <c r="AP29" i="12" s="1"/>
  <c r="X14" i="12"/>
  <c r="Z14" i="12" s="1"/>
  <c r="AB14" i="12" s="1"/>
  <c r="AO14" i="12" s="1"/>
  <c r="X30" i="12"/>
  <c r="Z30" i="12" s="1"/>
  <c r="AB30" i="12" s="1"/>
  <c r="AO30" i="12" s="1"/>
  <c r="X40" i="12"/>
  <c r="AA40" i="12" s="1"/>
  <c r="AC40" i="12" s="1"/>
  <c r="AP40" i="12" s="1"/>
  <c r="X105" i="66"/>
  <c r="Z105" i="66" s="1"/>
  <c r="AB105" i="66" s="1"/>
  <c r="AO105" i="66" s="1"/>
  <c r="X69" i="66"/>
  <c r="Z69" i="66" s="1"/>
  <c r="AB69" i="66" s="1"/>
  <c r="AO69" i="66" s="1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AA14" i="66" s="1"/>
  <c r="AC14" i="66" s="1"/>
  <c r="X15" i="25"/>
  <c r="Z15" i="25" s="1"/>
  <c r="AB15" i="25" s="1"/>
  <c r="AO15" i="25" s="1"/>
  <c r="X67" i="66"/>
  <c r="AA67" i="66" s="1"/>
  <c r="AC67" i="66" s="1"/>
  <c r="A18" i="12"/>
  <c r="N11" i="68" s="1"/>
  <c r="Q11" i="68" s="1"/>
  <c r="X54" i="66"/>
  <c r="Z54" i="66" s="1"/>
  <c r="AB54" i="66" s="1"/>
  <c r="AO54" i="66" s="1"/>
  <c r="X6" i="36"/>
  <c r="Z6" i="36" s="1"/>
  <c r="AB6" i="36" s="1"/>
  <c r="AO6" i="36" s="1"/>
  <c r="X8" i="25"/>
  <c r="Z8" i="25" s="1"/>
  <c r="AB8" i="25" s="1"/>
  <c r="AO8" i="25" s="1"/>
  <c r="X31" i="66"/>
  <c r="AA31" i="66" s="1"/>
  <c r="AC31" i="66" s="1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AA17" i="12" s="1"/>
  <c r="AC17" i="12" s="1"/>
  <c r="X34" i="12"/>
  <c r="AA34" i="12" s="1"/>
  <c r="AC34" i="12" s="1"/>
  <c r="AP34" i="12" s="1"/>
  <c r="X102" i="66"/>
  <c r="Z102" i="66" s="1"/>
  <c r="AB102" i="66" s="1"/>
  <c r="AO102" i="66" s="1"/>
  <c r="X66" i="66"/>
  <c r="Z66" i="66" s="1"/>
  <c r="AB66" i="66" s="1"/>
  <c r="AO66" i="66" s="1"/>
  <c r="X33" i="66"/>
  <c r="AA33" i="66" s="1"/>
  <c r="AC33" i="66" s="1"/>
  <c r="AP33" i="66" s="1"/>
  <c r="X122" i="66"/>
  <c r="Z122" i="66" s="1"/>
  <c r="AB122" i="66" s="1"/>
  <c r="AO122" i="66" s="1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AA41" i="66" s="1"/>
  <c r="AC41" i="66" s="1"/>
  <c r="X17" i="36"/>
  <c r="AA17" i="36" s="1"/>
  <c r="AC17" i="36" s="1"/>
  <c r="AP17" i="36" s="1"/>
  <c r="X15" i="36"/>
  <c r="AA15" i="36" s="1"/>
  <c r="AC15" i="36" s="1"/>
  <c r="AP15" i="36" s="1"/>
  <c r="X18" i="36"/>
  <c r="AA18" i="36" s="1"/>
  <c r="AC18" i="36" s="1"/>
  <c r="AP18" i="36" s="1"/>
  <c r="X13" i="25"/>
  <c r="AA13" i="25" s="1"/>
  <c r="AC13" i="25" s="1"/>
  <c r="X87" i="66"/>
  <c r="AA87" i="66" s="1"/>
  <c r="AC87" i="66" s="1"/>
  <c r="AP87" i="66" s="1"/>
  <c r="X94" i="66"/>
  <c r="Z94" i="66" s="1"/>
  <c r="AB94" i="66" s="1"/>
  <c r="AO94" i="66" s="1"/>
  <c r="X6" i="66"/>
  <c r="AA6" i="66" s="1"/>
  <c r="AC6" i="66" s="1"/>
  <c r="X61" i="66"/>
  <c r="AA61" i="66" s="1"/>
  <c r="AC61" i="66" s="1"/>
  <c r="AP61" i="66" s="1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X38" i="12"/>
  <c r="AA38" i="12" s="1"/>
  <c r="AC38" i="12" s="1"/>
  <c r="AP38" i="12" s="1"/>
  <c r="X25" i="28"/>
  <c r="AA25" i="28" s="1"/>
  <c r="AC25" i="28" s="1"/>
  <c r="AP25" i="28" s="1"/>
  <c r="X24" i="28"/>
  <c r="AA24" i="28" s="1"/>
  <c r="AC24" i="28" s="1"/>
  <c r="AP24" i="28" s="1"/>
  <c r="X13" i="66"/>
  <c r="AA13" i="66" s="1"/>
  <c r="AC13" i="66" s="1"/>
  <c r="AP13" i="66" s="1"/>
  <c r="X99" i="66"/>
  <c r="Z99" i="66" s="1"/>
  <c r="AB99" i="66" s="1"/>
  <c r="AO99" i="66" s="1"/>
  <c r="X63" i="66"/>
  <c r="AA63" i="66" s="1"/>
  <c r="AC63" i="66" s="1"/>
  <c r="X119" i="66"/>
  <c r="AA119" i="66" s="1"/>
  <c r="AC119" i="66" s="1"/>
  <c r="AP119" i="66" s="1"/>
  <c r="X83" i="66"/>
  <c r="AA83" i="66" s="1"/>
  <c r="AC83" i="66" s="1"/>
  <c r="X47" i="66"/>
  <c r="AA47" i="66" s="1"/>
  <c r="AC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AA45" i="12" s="1"/>
  <c r="AC45" i="12" s="1"/>
  <c r="AP45" i="12" s="1"/>
  <c r="X27" i="12"/>
  <c r="AA27" i="12" s="1"/>
  <c r="AC27" i="12" s="1"/>
  <c r="X46" i="12"/>
  <c r="AA46" i="12" s="1"/>
  <c r="AC46" i="12" s="1"/>
  <c r="AP46" i="12" s="1"/>
  <c r="I35" i="68"/>
  <c r="X96" i="66"/>
  <c r="AA96" i="66" s="1"/>
  <c r="AC96" i="66" s="1"/>
  <c r="X60" i="66"/>
  <c r="AA60" i="66" s="1"/>
  <c r="AC60" i="66" s="1"/>
  <c r="AP60" i="66" s="1"/>
  <c r="X30" i="66"/>
  <c r="Z30" i="66" s="1"/>
  <c r="AB30" i="66" s="1"/>
  <c r="AO30" i="66" s="1"/>
  <c r="X116" i="66"/>
  <c r="AA116" i="66" s="1"/>
  <c r="AC116" i="66" s="1"/>
  <c r="AP116" i="66" s="1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Z21" i="36" s="1"/>
  <c r="AB21" i="36" s="1"/>
  <c r="AO21" i="36" s="1"/>
  <c r="X58" i="66"/>
  <c r="Z58" i="66" s="1"/>
  <c r="AB58" i="66" s="1"/>
  <c r="AO58" i="66" s="1"/>
  <c r="X28" i="12"/>
  <c r="Z28" i="12" s="1"/>
  <c r="AB28" i="12" s="1"/>
  <c r="AO28" i="12" s="1"/>
  <c r="X48" i="12"/>
  <c r="AA48" i="12" s="1"/>
  <c r="AC48" i="12" s="1"/>
  <c r="AP48" i="12" s="1"/>
  <c r="X37" i="12"/>
  <c r="Z37" i="12" s="1"/>
  <c r="AB37" i="12" s="1"/>
  <c r="AO37" i="12" s="1"/>
  <c r="X50" i="12"/>
  <c r="AA50" i="12" s="1"/>
  <c r="AC50" i="12" s="1"/>
  <c r="AP50" i="12" s="1"/>
  <c r="X118" i="66"/>
  <c r="Z118" i="66" s="1"/>
  <c r="AB118" i="66" s="1"/>
  <c r="AO118" i="66" s="1"/>
  <c r="I51" i="68"/>
  <c r="O51" i="68" s="1"/>
  <c r="R51" i="68" s="1"/>
  <c r="V51" i="68" s="1"/>
  <c r="X22" i="36"/>
  <c r="Z22" i="36" s="1"/>
  <c r="AB22" i="36" s="1"/>
  <c r="AO22" i="36" s="1"/>
  <c r="X9" i="25"/>
  <c r="AA9" i="25" s="1"/>
  <c r="AC9" i="25" s="1"/>
  <c r="X22" i="25"/>
  <c r="Z22" i="25" s="1"/>
  <c r="AB22" i="25" s="1"/>
  <c r="AO22" i="25" s="1"/>
  <c r="X71" i="66"/>
  <c r="Z71" i="66" s="1"/>
  <c r="AB71" i="66" s="1"/>
  <c r="AO71" i="66" s="1"/>
  <c r="X126" i="66"/>
  <c r="Z126" i="66" s="1"/>
  <c r="AB126" i="66" s="1"/>
  <c r="AO126" i="66" s="1"/>
  <c r="X74" i="66"/>
  <c r="Z74" i="66" s="1"/>
  <c r="AB74" i="66" s="1"/>
  <c r="AO74" i="66" s="1"/>
  <c r="X97" i="66"/>
  <c r="AA97" i="66" s="1"/>
  <c r="AC97" i="66" s="1"/>
  <c r="AP97" i="66" s="1"/>
  <c r="X31" i="12"/>
  <c r="AA31" i="12" s="1"/>
  <c r="AC31" i="12" s="1"/>
  <c r="AP31" i="12" s="1"/>
  <c r="I11" i="68"/>
  <c r="X43" i="12"/>
  <c r="AA43" i="12" s="1"/>
  <c r="AC43" i="12" s="1"/>
  <c r="AP43" i="12" s="1"/>
  <c r="X18" i="12"/>
  <c r="AA18" i="12" s="1"/>
  <c r="AC18" i="12" s="1"/>
  <c r="A20" i="25"/>
  <c r="O35" i="68" s="1"/>
  <c r="R35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AA21" i="12" s="1"/>
  <c r="AC21" i="12" s="1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Z110" i="66" s="1"/>
  <c r="AB110" i="66" s="1"/>
  <c r="AO110" i="66" s="1"/>
  <c r="A18" i="36"/>
  <c r="N51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Z16" i="36" s="1"/>
  <c r="AB16" i="36" s="1"/>
  <c r="AO16" i="36" s="1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AA35" i="66" s="1"/>
  <c r="AC35" i="66" s="1"/>
  <c r="X106" i="66"/>
  <c r="AA106" i="66" s="1"/>
  <c r="AC106" i="66" s="1"/>
  <c r="AP106" i="66" s="1"/>
  <c r="X121" i="66"/>
  <c r="AA121" i="66" s="1"/>
  <c r="AC121" i="66" s="1"/>
  <c r="AP121" i="66" s="1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AA104" i="66" s="1"/>
  <c r="AC104" i="66" s="1"/>
  <c r="X68" i="66"/>
  <c r="AA68" i="66" s="1"/>
  <c r="AC68" i="66" s="1"/>
  <c r="AP68" i="66" s="1"/>
  <c r="X29" i="13"/>
  <c r="Z29" i="13" s="1"/>
  <c r="AB29" i="13" s="1"/>
  <c r="AO29" i="13" s="1"/>
  <c r="X20" i="36"/>
  <c r="AA20" i="36" s="1"/>
  <c r="AC20" i="36" s="1"/>
  <c r="AP20" i="36" s="1"/>
  <c r="X9" i="12"/>
  <c r="AA9" i="12" s="1"/>
  <c r="AC9" i="12" s="1"/>
  <c r="X95" i="66"/>
  <c r="AA95" i="66" s="1"/>
  <c r="AC95" i="66" s="1"/>
  <c r="X26" i="66"/>
  <c r="Z26" i="66" s="1"/>
  <c r="AB26" i="66" s="1"/>
  <c r="AO26" i="66" s="1"/>
  <c r="X7" i="36"/>
  <c r="AA7" i="36" s="1"/>
  <c r="AC7" i="36" s="1"/>
  <c r="AP7" i="36" s="1"/>
  <c r="X7" i="25"/>
  <c r="Z7" i="25" s="1"/>
  <c r="AB7" i="25" s="1"/>
  <c r="AO7" i="25" s="1"/>
  <c r="X90" i="66"/>
  <c r="AA90" i="66" s="1"/>
  <c r="AC90" i="66" s="1"/>
  <c r="AP90" i="66" s="1"/>
  <c r="A18" i="25"/>
  <c r="N35" i="68" s="1"/>
  <c r="Q35" i="68" s="1"/>
  <c r="X8" i="36"/>
  <c r="Z8" i="36" s="1"/>
  <c r="AB8" i="36" s="1"/>
  <c r="AO8" i="36" s="1"/>
  <c r="X6" i="25"/>
  <c r="Z6" i="25" s="1"/>
  <c r="AB6" i="25" s="1"/>
  <c r="AO6" i="25" s="1"/>
  <c r="A18" i="66"/>
  <c r="N6" i="67" s="1"/>
  <c r="Q6" i="67" s="1"/>
  <c r="X43" i="66"/>
  <c r="AA43" i="66" s="1"/>
  <c r="AC43" i="66" s="1"/>
  <c r="AP43" i="66" s="1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AA42" i="28" s="1"/>
  <c r="AC42" i="28" s="1"/>
  <c r="AP42" i="28" s="1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X45" i="66"/>
  <c r="Z45" i="66" s="1"/>
  <c r="AB45" i="66" s="1"/>
  <c r="AO45" i="66" s="1"/>
  <c r="X101" i="66"/>
  <c r="Z101" i="66" s="1"/>
  <c r="AB101" i="66" s="1"/>
  <c r="AO101" i="66" s="1"/>
  <c r="X65" i="66"/>
  <c r="AA65" i="66" s="1"/>
  <c r="AC65" i="66" s="1"/>
  <c r="AP12" i="50"/>
  <c r="AP16" i="62"/>
  <c r="AN19" i="69"/>
  <c r="AN69" i="66"/>
  <c r="AN105" i="66"/>
  <c r="N58" i="68"/>
  <c r="Q58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AA121" i="65" s="1"/>
  <c r="AC121" i="65" s="1"/>
  <c r="AP121" i="65" s="1"/>
  <c r="X17" i="65"/>
  <c r="AA17" i="65" s="1"/>
  <c r="AC17" i="65" s="1"/>
  <c r="X52" i="65"/>
  <c r="AA52" i="65" s="1"/>
  <c r="AC52" i="65" s="1"/>
  <c r="X99" i="65"/>
  <c r="AA99" i="65" s="1"/>
  <c r="AC99" i="65" s="1"/>
  <c r="X136" i="65"/>
  <c r="AA136" i="65" s="1"/>
  <c r="AC136" i="65" s="1"/>
  <c r="X178" i="65"/>
  <c r="AA178" i="65" s="1"/>
  <c r="AC178" i="65" s="1"/>
  <c r="X103" i="65"/>
  <c r="AA103" i="65" s="1"/>
  <c r="AC103" i="65" s="1"/>
  <c r="AP103" i="65" s="1"/>
  <c r="X145" i="65"/>
  <c r="Z145" i="65" s="1"/>
  <c r="AB145" i="65" s="1"/>
  <c r="AO145" i="65" s="1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Z60" i="65" s="1"/>
  <c r="AB60" i="65" s="1"/>
  <c r="AO60" i="65" s="1"/>
  <c r="X92" i="65"/>
  <c r="Z92" i="65" s="1"/>
  <c r="AB92" i="65" s="1"/>
  <c r="AO92" i="65" s="1"/>
  <c r="X64" i="65"/>
  <c r="Z64" i="65" s="1"/>
  <c r="AB64" i="65" s="1"/>
  <c r="AO64" i="65" s="1"/>
  <c r="X19" i="65"/>
  <c r="Z19" i="65" s="1"/>
  <c r="AB19" i="65" s="1"/>
  <c r="AO19" i="65" s="1"/>
  <c r="X53" i="65"/>
  <c r="AA53" i="65" s="1"/>
  <c r="AC53" i="65" s="1"/>
  <c r="AP53" i="65" s="1"/>
  <c r="X140" i="65"/>
  <c r="AA140" i="65" s="1"/>
  <c r="AC140" i="65" s="1"/>
  <c r="X28" i="65"/>
  <c r="AA28" i="65" s="1"/>
  <c r="AC28" i="65" s="1"/>
  <c r="X61" i="65"/>
  <c r="AA61" i="65" s="1"/>
  <c r="AC61" i="65" s="1"/>
  <c r="X108" i="65"/>
  <c r="AA108" i="65" s="1"/>
  <c r="AC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AA71" i="20" s="1"/>
  <c r="AC71" i="20" s="1"/>
  <c r="AP71" i="20" s="1"/>
  <c r="X26" i="53"/>
  <c r="AA26" i="53" s="1"/>
  <c r="AC26" i="53" s="1"/>
  <c r="X18" i="65"/>
  <c r="AA18" i="65" s="1"/>
  <c r="AC18" i="65" s="1"/>
  <c r="AP18" i="65" s="1"/>
  <c r="X180" i="65"/>
  <c r="AA180" i="65" s="1"/>
  <c r="AC180" i="65" s="1"/>
  <c r="X66" i="65"/>
  <c r="Z66" i="65" s="1"/>
  <c r="AB66" i="65" s="1"/>
  <c r="AO66" i="65" s="1"/>
  <c r="X124" i="65"/>
  <c r="AA124" i="65" s="1"/>
  <c r="AC124" i="65" s="1"/>
  <c r="AP124" i="65" s="1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AA157" i="65" s="1"/>
  <c r="AC157" i="65" s="1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AA113" i="65" s="1"/>
  <c r="AC113" i="65" s="1"/>
  <c r="X159" i="65"/>
  <c r="AA159" i="65" s="1"/>
  <c r="AC159" i="65" s="1"/>
  <c r="X191" i="65"/>
  <c r="Z191" i="65" s="1"/>
  <c r="AB191" i="65" s="1"/>
  <c r="AO191" i="65" s="1"/>
  <c r="X15" i="18"/>
  <c r="AA15" i="18" s="1"/>
  <c r="AC15" i="18" s="1"/>
  <c r="AP15" i="18" s="1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Z72" i="65" s="1"/>
  <c r="AB72" i="65" s="1"/>
  <c r="AO72" i="65" s="1"/>
  <c r="X150" i="65"/>
  <c r="Z150" i="65" s="1"/>
  <c r="AB150" i="65" s="1"/>
  <c r="AO150" i="65" s="1"/>
  <c r="X76" i="65"/>
  <c r="Z76" i="65" s="1"/>
  <c r="AB76" i="65" s="1"/>
  <c r="AO76" i="65" s="1"/>
  <c r="X25" i="65"/>
  <c r="AA25" i="65" s="1"/>
  <c r="AC25" i="65" s="1"/>
  <c r="X63" i="65"/>
  <c r="AA63" i="65" s="1"/>
  <c r="AC63" i="65" s="1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AA155" i="65" s="1"/>
  <c r="AC155" i="65" s="1"/>
  <c r="X193" i="65"/>
  <c r="AA193" i="65" s="1"/>
  <c r="AC193" i="65" s="1"/>
  <c r="X82" i="65"/>
  <c r="Z82" i="65" s="1"/>
  <c r="AB82" i="65" s="1"/>
  <c r="AO82" i="65" s="1"/>
  <c r="X120" i="65"/>
  <c r="Z120" i="65" s="1"/>
  <c r="AB120" i="65" s="1"/>
  <c r="AO120" i="65" s="1"/>
  <c r="X161" i="65"/>
  <c r="AA161" i="65" s="1"/>
  <c r="AC161" i="65" s="1"/>
  <c r="X194" i="65"/>
  <c r="AA194" i="65" s="1"/>
  <c r="AC194" i="65" s="1"/>
  <c r="X24" i="18"/>
  <c r="Z24" i="18" s="1"/>
  <c r="AB24" i="18" s="1"/>
  <c r="AO24" i="18" s="1"/>
  <c r="X21" i="16"/>
  <c r="AA21" i="16" s="1"/>
  <c r="AC21" i="16" s="1"/>
  <c r="AP21" i="16" s="1"/>
  <c r="X36" i="53"/>
  <c r="AA36" i="53" s="1"/>
  <c r="AC36" i="53" s="1"/>
  <c r="AP36" i="53" s="1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Z119" i="65" s="1"/>
  <c r="AB119" i="65" s="1"/>
  <c r="AO119" i="65" s="1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X7" i="18"/>
  <c r="AA7" i="18" s="1"/>
  <c r="AC7" i="18" s="1"/>
  <c r="AP7" i="18" s="1"/>
  <c r="X7" i="16"/>
  <c r="AA7" i="16" s="1"/>
  <c r="AC7" i="16" s="1"/>
  <c r="AP7" i="16" s="1"/>
  <c r="A18" i="65"/>
  <c r="N6" i="68" s="1"/>
  <c r="D6" i="2" s="1"/>
  <c r="X55" i="53"/>
  <c r="AA55" i="53" s="1"/>
  <c r="AC55" i="53" s="1"/>
  <c r="AP55" i="53" s="1"/>
  <c r="X62" i="65"/>
  <c r="Z62" i="65" s="1"/>
  <c r="AB62" i="65" s="1"/>
  <c r="AO62" i="65" s="1"/>
  <c r="X86" i="65"/>
  <c r="AA86" i="65" s="1"/>
  <c r="AC86" i="65" s="1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X75" i="65"/>
  <c r="AA75" i="65" s="1"/>
  <c r="AC75" i="65" s="1"/>
  <c r="X95" i="65"/>
  <c r="AA95" i="65" s="1"/>
  <c r="AC95" i="65" s="1"/>
  <c r="X38" i="65"/>
  <c r="AA38" i="65" s="1"/>
  <c r="AC38" i="65" s="1"/>
  <c r="X146" i="65"/>
  <c r="Z146" i="65" s="1"/>
  <c r="AB146" i="65" s="1"/>
  <c r="AO146" i="65" s="1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Z88" i="65" s="1"/>
  <c r="AB88" i="65" s="1"/>
  <c r="AO88" i="65" s="1"/>
  <c r="X126" i="65"/>
  <c r="AA126" i="65" s="1"/>
  <c r="AC126" i="65" s="1"/>
  <c r="AP126" i="65" s="1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Z9" i="20" s="1"/>
  <c r="AB9" i="20" s="1"/>
  <c r="AO9" i="20" s="1"/>
  <c r="O47" i="67"/>
  <c r="R47" i="67" s="1"/>
  <c r="X14" i="18"/>
  <c r="Z14" i="18" s="1"/>
  <c r="AB14" i="18" s="1"/>
  <c r="AO14" i="18" s="1"/>
  <c r="X74" i="65"/>
  <c r="AA74" i="65" s="1"/>
  <c r="AC74" i="65" s="1"/>
  <c r="X21" i="65"/>
  <c r="AA21" i="65" s="1"/>
  <c r="AC21" i="65" s="1"/>
  <c r="X26" i="65"/>
  <c r="AA26" i="65" s="1"/>
  <c r="AC26" i="65" s="1"/>
  <c r="AP26" i="65" s="1"/>
  <c r="X59" i="65"/>
  <c r="AA59" i="65" s="1"/>
  <c r="AC59" i="65" s="1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Z162" i="65" s="1"/>
  <c r="AB162" i="65" s="1"/>
  <c r="AO162" i="65" s="1"/>
  <c r="X87" i="65"/>
  <c r="AA87" i="65" s="1"/>
  <c r="AC87" i="65" s="1"/>
  <c r="X125" i="65"/>
  <c r="AA125" i="65" s="1"/>
  <c r="AC125" i="65" s="1"/>
  <c r="X165" i="65"/>
  <c r="Z165" i="65" s="1"/>
  <c r="AB165" i="65" s="1"/>
  <c r="AO165" i="65" s="1"/>
  <c r="X91" i="65"/>
  <c r="AA91" i="65" s="1"/>
  <c r="AC91" i="65" s="1"/>
  <c r="AP91" i="65" s="1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9" i="68" s="1"/>
  <c r="D20" i="2" s="1"/>
  <c r="X13" i="18"/>
  <c r="Z13" i="18" s="1"/>
  <c r="AB13" i="18" s="1"/>
  <c r="AO13" i="18" s="1"/>
  <c r="X167" i="65"/>
  <c r="Z167" i="65" s="1"/>
  <c r="AB167" i="65" s="1"/>
  <c r="AO167" i="65" s="1"/>
  <c r="X80" i="65"/>
  <c r="Z80" i="65" s="1"/>
  <c r="AB80" i="65" s="1"/>
  <c r="AO80" i="65" s="1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Z21" i="18" s="1"/>
  <c r="AB21" i="18" s="1"/>
  <c r="AO21" i="18" s="1"/>
  <c r="X192" i="65"/>
  <c r="AA192" i="65" s="1"/>
  <c r="AC192" i="65" s="1"/>
  <c r="AP192" i="65" s="1"/>
  <c r="X8" i="18"/>
  <c r="Z8" i="18" s="1"/>
  <c r="AB8" i="18" s="1"/>
  <c r="AO8" i="18" s="1"/>
  <c r="I19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9" i="68" s="1"/>
  <c r="R19" i="68" s="1"/>
  <c r="X23" i="16"/>
  <c r="Z23" i="16" s="1"/>
  <c r="AB23" i="16" s="1"/>
  <c r="AO23" i="16" s="1"/>
  <c r="X20" i="16"/>
  <c r="AA20" i="16" s="1"/>
  <c r="AC20" i="16" s="1"/>
  <c r="AP20" i="16" s="1"/>
  <c r="X58" i="20"/>
  <c r="Z58" i="20" s="1"/>
  <c r="AB58" i="20" s="1"/>
  <c r="AO58" i="20" s="1"/>
  <c r="X11" i="65"/>
  <c r="Z11" i="65" s="1"/>
  <c r="AB11" i="65" s="1"/>
  <c r="AO11" i="65" s="1"/>
  <c r="X46" i="65"/>
  <c r="Z46" i="65" s="1"/>
  <c r="AB46" i="65" s="1"/>
  <c r="AO46" i="65" s="1"/>
  <c r="X10" i="65"/>
  <c r="AA10" i="65" s="1"/>
  <c r="AC10" i="65" s="1"/>
  <c r="AP10" i="65" s="1"/>
  <c r="X107" i="65"/>
  <c r="Z107" i="65" s="1"/>
  <c r="AB107" i="65" s="1"/>
  <c r="AO107" i="65" s="1"/>
  <c r="X7" i="65"/>
  <c r="Z7" i="65" s="1"/>
  <c r="AB7" i="65" s="1"/>
  <c r="AO7" i="65" s="1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AA174" i="65" s="1"/>
  <c r="AC174" i="65" s="1"/>
  <c r="X45" i="65"/>
  <c r="AA45" i="65" s="1"/>
  <c r="AC45" i="65" s="1"/>
  <c r="X93" i="65"/>
  <c r="AA93" i="65" s="1"/>
  <c r="AC93" i="65" s="1"/>
  <c r="X131" i="65"/>
  <c r="AA131" i="65" s="1"/>
  <c r="AC131" i="65" s="1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Z173" i="65" s="1"/>
  <c r="AB173" i="65" s="1"/>
  <c r="AO173" i="65" s="1"/>
  <c r="X12" i="20"/>
  <c r="AA12" i="20" s="1"/>
  <c r="AC12" i="20" s="1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X31" i="65"/>
  <c r="AA31" i="65" s="1"/>
  <c r="AC31" i="65" s="1"/>
  <c r="AP31" i="65" s="1"/>
  <c r="X137" i="65"/>
  <c r="AA137" i="65" s="1"/>
  <c r="AC137" i="65" s="1"/>
  <c r="X13" i="65"/>
  <c r="Z13" i="65" s="1"/>
  <c r="AB13" i="65" s="1"/>
  <c r="AO13" i="65" s="1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AA50" i="65" s="1"/>
  <c r="AC50" i="65" s="1"/>
  <c r="X96" i="65"/>
  <c r="Z96" i="65" s="1"/>
  <c r="AB96" i="65" s="1"/>
  <c r="AO96" i="65" s="1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Z142" i="65" s="1"/>
  <c r="AB142" i="65" s="1"/>
  <c r="AO142" i="65" s="1"/>
  <c r="X176" i="65"/>
  <c r="Z176" i="65" s="1"/>
  <c r="AB176" i="65" s="1"/>
  <c r="AO176" i="65" s="1"/>
  <c r="A18" i="20"/>
  <c r="N21" i="68" s="1"/>
  <c r="Q21" i="68" s="1"/>
  <c r="X54" i="20"/>
  <c r="AA54" i="20" s="1"/>
  <c r="AC54" i="20" s="1"/>
  <c r="X42" i="20"/>
  <c r="AA42" i="20" s="1"/>
  <c r="AC42" i="20" s="1"/>
  <c r="X73" i="20"/>
  <c r="Z73" i="20" s="1"/>
  <c r="AB73" i="20" s="1"/>
  <c r="AO73" i="20" s="1"/>
  <c r="X52" i="20"/>
  <c r="Z52" i="20" s="1"/>
  <c r="AB52" i="20" s="1"/>
  <c r="AO52" i="20" s="1"/>
  <c r="A20" i="20"/>
  <c r="O21" i="68" s="1"/>
  <c r="R21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1" i="68"/>
  <c r="X50" i="20"/>
  <c r="Z50" i="20" s="1"/>
  <c r="AB50" i="20" s="1"/>
  <c r="AO50" i="20" s="1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X67" i="20"/>
  <c r="AA67" i="20" s="1"/>
  <c r="AC67" i="20" s="1"/>
  <c r="AP67" i="20" s="1"/>
  <c r="X23" i="26"/>
  <c r="Z23" i="26" s="1"/>
  <c r="AB23" i="26" s="1"/>
  <c r="AO23" i="26" s="1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AA23" i="53" s="1"/>
  <c r="AC23" i="53" s="1"/>
  <c r="X5" i="53"/>
  <c r="Z5" i="53" s="1"/>
  <c r="AB5" i="53" s="1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AA27" i="20" s="1"/>
  <c r="AC27" i="20" s="1"/>
  <c r="X75" i="20"/>
  <c r="Z75" i="20" s="1"/>
  <c r="AB75" i="20" s="1"/>
  <c r="AO75" i="20" s="1"/>
  <c r="X6" i="26"/>
  <c r="AA6" i="26" s="1"/>
  <c r="AC6" i="26" s="1"/>
  <c r="X7" i="26"/>
  <c r="AA7" i="26" s="1"/>
  <c r="AC7" i="26" s="1"/>
  <c r="X29" i="53"/>
  <c r="AA29" i="53" s="1"/>
  <c r="AC29" i="53" s="1"/>
  <c r="X40" i="53"/>
  <c r="AA40" i="53" s="1"/>
  <c r="AC40" i="53" s="1"/>
  <c r="AP40" i="53" s="1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Z37" i="20" s="1"/>
  <c r="AB37" i="20" s="1"/>
  <c r="AO37" i="20" s="1"/>
  <c r="X74" i="20"/>
  <c r="AA74" i="20" s="1"/>
  <c r="AC74" i="20" s="1"/>
  <c r="AP74" i="20" s="1"/>
  <c r="X23" i="20"/>
  <c r="AA23" i="20" s="1"/>
  <c r="AC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AA41" i="53" s="1"/>
  <c r="AC41" i="53" s="1"/>
  <c r="AP41" i="53" s="1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6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AA72" i="20" s="1"/>
  <c r="AC72" i="20" s="1"/>
  <c r="AP72" i="20" s="1"/>
  <c r="X35" i="20"/>
  <c r="AA35" i="20" s="1"/>
  <c r="AC35" i="20" s="1"/>
  <c r="AP35" i="20" s="1"/>
  <c r="X12" i="26"/>
  <c r="Z12" i="26" s="1"/>
  <c r="AB12" i="26" s="1"/>
  <c r="AO12" i="26" s="1"/>
  <c r="X10" i="53"/>
  <c r="AA10" i="53" s="1"/>
  <c r="AC10" i="53" s="1"/>
  <c r="AP10" i="53" s="1"/>
  <c r="X42" i="53"/>
  <c r="Z42" i="53" s="1"/>
  <c r="AB42" i="53" s="1"/>
  <c r="AO42" i="53" s="1"/>
  <c r="X52" i="53"/>
  <c r="Z52" i="53" s="1"/>
  <c r="AB52" i="53" s="1"/>
  <c r="AO52" i="53" s="1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6" i="68" s="1"/>
  <c r="Q36" i="68" s="1"/>
  <c r="X61" i="20"/>
  <c r="Z61" i="20" s="1"/>
  <c r="AB61" i="20" s="1"/>
  <c r="AO61" i="20" s="1"/>
  <c r="X53" i="20"/>
  <c r="Z53" i="20" s="1"/>
  <c r="AB53" i="20" s="1"/>
  <c r="AO53" i="20" s="1"/>
  <c r="X25" i="20"/>
  <c r="AA25" i="20" s="1"/>
  <c r="AC25" i="20" s="1"/>
  <c r="X28" i="20"/>
  <c r="Z28" i="20" s="1"/>
  <c r="AB28" i="20" s="1"/>
  <c r="AO28" i="20" s="1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5" i="67" s="1"/>
  <c r="R25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AA80" i="20" s="1"/>
  <c r="AC80" i="20" s="1"/>
  <c r="AP80" i="20" s="1"/>
  <c r="X43" i="20"/>
  <c r="AA43" i="20" s="1"/>
  <c r="AC43" i="20" s="1"/>
  <c r="X21" i="26"/>
  <c r="Z21" i="26" s="1"/>
  <c r="AB21" i="26" s="1"/>
  <c r="AO21" i="26" s="1"/>
  <c r="X18" i="26"/>
  <c r="AA18" i="26" s="1"/>
  <c r="AC18" i="26" s="1"/>
  <c r="AP18" i="26" s="1"/>
  <c r="X18" i="53"/>
  <c r="Z18" i="53" s="1"/>
  <c r="AB18" i="53" s="1"/>
  <c r="AO18" i="53" s="1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Z36" i="20" s="1"/>
  <c r="AB36" i="20" s="1"/>
  <c r="AO36" i="20" s="1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5" i="67"/>
  <c r="I24" i="67" s="1"/>
  <c r="X8" i="53"/>
  <c r="Z8" i="53" s="1"/>
  <c r="AB8" i="53" s="1"/>
  <c r="AO8" i="53" s="1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Z49" i="20" s="1"/>
  <c r="AB49" i="20" s="1"/>
  <c r="AO49" i="20" s="1"/>
  <c r="X40" i="20"/>
  <c r="AA40" i="20" s="1"/>
  <c r="AC40" i="20" s="1"/>
  <c r="X8" i="20"/>
  <c r="AA8" i="20" s="1"/>
  <c r="AC8" i="20" s="1"/>
  <c r="AP8" i="20" s="1"/>
  <c r="X51" i="20"/>
  <c r="AA51" i="20" s="1"/>
  <c r="AC51" i="20" s="1"/>
  <c r="A20" i="26"/>
  <c r="O36" i="68" s="1"/>
  <c r="R36" i="68" s="1"/>
  <c r="X53" i="53"/>
  <c r="AA53" i="53" s="1"/>
  <c r="AC53" i="53" s="1"/>
  <c r="AP53" i="53" s="1"/>
  <c r="X9" i="53"/>
  <c r="AA9" i="53" s="1"/>
  <c r="AC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AA57" i="20" s="1"/>
  <c r="AC57" i="20" s="1"/>
  <c r="X44" i="20"/>
  <c r="Z44" i="20" s="1"/>
  <c r="AB44" i="20" s="1"/>
  <c r="AO44" i="20" s="1"/>
  <c r="X13" i="20"/>
  <c r="AA13" i="20" s="1"/>
  <c r="AC13" i="20" s="1"/>
  <c r="X55" i="20"/>
  <c r="AA55" i="20" s="1"/>
  <c r="AC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31" i="53" s="1"/>
  <c r="AB31" i="53" s="1"/>
  <c r="AO31" i="53" s="1"/>
  <c r="Z16" i="78"/>
  <c r="AB16" i="78" s="1"/>
  <c r="AO16" i="78" s="1"/>
  <c r="AA16" i="78"/>
  <c r="AC16" i="78" s="1"/>
  <c r="AP16" i="78" s="1"/>
  <c r="A18" i="53"/>
  <c r="N25" i="67" s="1"/>
  <c r="X18" i="20"/>
  <c r="Z18" i="20" s="1"/>
  <c r="AB18" i="20" s="1"/>
  <c r="AO18" i="20" s="1"/>
  <c r="X17" i="20"/>
  <c r="AA17" i="20" s="1"/>
  <c r="AC17" i="20" s="1"/>
  <c r="AP17" i="20" s="1"/>
  <c r="X34" i="20"/>
  <c r="AA34" i="20" s="1"/>
  <c r="AC34" i="20" s="1"/>
  <c r="X65" i="20"/>
  <c r="Z65" i="20" s="1"/>
  <c r="AB65" i="20" s="1"/>
  <c r="AO65" i="20" s="1"/>
  <c r="X48" i="20"/>
  <c r="AA48" i="20" s="1"/>
  <c r="AC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X38" i="53"/>
  <c r="Z38" i="53" s="1"/>
  <c r="AB38" i="53" s="1"/>
  <c r="AO38" i="53" s="1"/>
  <c r="X19" i="53"/>
  <c r="AA19" i="53" s="1"/>
  <c r="AC19" i="53" s="1"/>
  <c r="X13" i="53"/>
  <c r="Z13" i="53" s="1"/>
  <c r="AB13" i="53" s="1"/>
  <c r="AO13" i="53" s="1"/>
  <c r="X24" i="53"/>
  <c r="AA24" i="53" s="1"/>
  <c r="AC24" i="53" s="1"/>
  <c r="AP24" i="53" s="1"/>
  <c r="X14" i="53"/>
  <c r="AA14" i="53" s="1"/>
  <c r="AC14" i="53" s="1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2" i="68"/>
  <c r="A18" i="79"/>
  <c r="N32" i="68" s="1"/>
  <c r="A20" i="79"/>
  <c r="O32" i="68" s="1"/>
  <c r="R32" i="68" s="1"/>
  <c r="V32" i="68" s="1"/>
  <c r="G32" i="2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7" i="68"/>
  <c r="AN15" i="27"/>
  <c r="AN81" i="15"/>
  <c r="AN27" i="32"/>
  <c r="AP17" i="62"/>
  <c r="AN62" i="46"/>
  <c r="AN8" i="51"/>
  <c r="AN83" i="66"/>
  <c r="AN10" i="39"/>
  <c r="AN17" i="5"/>
  <c r="AP7" i="42"/>
  <c r="T42" i="67"/>
  <c r="AN26" i="5"/>
  <c r="AN27" i="12"/>
  <c r="AN78" i="66"/>
  <c r="AN27" i="5"/>
  <c r="AN32" i="5"/>
  <c r="AN120" i="15"/>
  <c r="AN105" i="15"/>
  <c r="AN66" i="32"/>
  <c r="T20" i="67"/>
  <c r="M20" i="2" s="1"/>
  <c r="AN23" i="13"/>
  <c r="T8" i="67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5" i="68"/>
  <c r="Q65" i="68" s="1"/>
  <c r="AL6" i="29"/>
  <c r="AJ42" i="29"/>
  <c r="T52" i="68"/>
  <c r="E51" i="2" s="1"/>
  <c r="N54" i="68"/>
  <c r="Q54" i="68" s="1"/>
  <c r="AN12" i="29"/>
  <c r="AJ41" i="29"/>
  <c r="AN49" i="29"/>
  <c r="H45" i="68"/>
  <c r="AJ31" i="29"/>
  <c r="AN28" i="29"/>
  <c r="AJ34" i="29"/>
  <c r="AL37" i="29"/>
  <c r="AJ49" i="29"/>
  <c r="AL33" i="29"/>
  <c r="K38" i="68"/>
  <c r="AN10" i="29"/>
  <c r="AN32" i="29"/>
  <c r="AJ35" i="29"/>
  <c r="K45" i="68"/>
  <c r="N78" i="68"/>
  <c r="Q78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AA40" i="66" s="1"/>
  <c r="AC40" i="66" s="1"/>
  <c r="X103" i="66"/>
  <c r="AA103" i="66" s="1"/>
  <c r="AC103" i="66" s="1"/>
  <c r="X8" i="66"/>
  <c r="AA8" i="66" s="1"/>
  <c r="AC8" i="66" s="1"/>
  <c r="AP8" i="66" s="1"/>
  <c r="X5" i="66"/>
  <c r="Z5" i="66" s="1"/>
  <c r="AB5" i="66" s="1"/>
  <c r="AO5" i="66" s="1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AA52" i="66" s="1"/>
  <c r="AC52" i="66" s="1"/>
  <c r="AP52" i="66" s="1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4" i="67"/>
  <c r="A16" i="59"/>
  <c r="F34" i="67" s="1"/>
  <c r="K36" i="67"/>
  <c r="AN11" i="59"/>
  <c r="K31" i="67"/>
  <c r="A16" i="57"/>
  <c r="F32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2" i="67"/>
  <c r="AN35" i="57"/>
  <c r="AJ5" i="56"/>
  <c r="AN5" i="56"/>
  <c r="T30" i="67"/>
  <c r="M30" i="2" s="1"/>
  <c r="A16" i="56"/>
  <c r="F30" i="67" s="1"/>
  <c r="AN10" i="55"/>
  <c r="S29" i="67"/>
  <c r="AJ8" i="55"/>
  <c r="AN10" i="54"/>
  <c r="A16" i="54"/>
  <c r="F28" i="67" s="1"/>
  <c r="AN6" i="73"/>
  <c r="AN5" i="73"/>
  <c r="A16" i="73"/>
  <c r="F27" i="67" s="1"/>
  <c r="S27" i="67"/>
  <c r="AN21" i="53"/>
  <c r="S25" i="67"/>
  <c r="AN6" i="53"/>
  <c r="AN14" i="53"/>
  <c r="A16" i="53"/>
  <c r="F25" i="67" s="1"/>
  <c r="AN26" i="53"/>
  <c r="S20" i="67"/>
  <c r="AL9" i="51"/>
  <c r="AL12" i="51"/>
  <c r="AL6" i="52"/>
  <c r="A16" i="51"/>
  <c r="F20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2" i="67"/>
  <c r="H23" i="67" s="1"/>
  <c r="K23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3" i="68"/>
  <c r="H24" i="68" s="1"/>
  <c r="C25" i="2" s="1"/>
  <c r="AN193" i="65"/>
  <c r="C24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5" i="67"/>
  <c r="A16" i="71"/>
  <c r="F26" i="67" s="1"/>
  <c r="AN7" i="34"/>
  <c r="T46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50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5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70" i="68"/>
  <c r="Q70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N104" i="65"/>
  <c r="AN142" i="65"/>
  <c r="AN67" i="65"/>
  <c r="AN83" i="65"/>
  <c r="AN153" i="65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7" i="68"/>
  <c r="E28" i="2" s="1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4" i="68"/>
  <c r="E43" i="2" s="1"/>
  <c r="AN83" i="32"/>
  <c r="AJ73" i="32"/>
  <c r="AJ74" i="32"/>
  <c r="AJ55" i="32"/>
  <c r="AN84" i="32"/>
  <c r="A16" i="32"/>
  <c r="F43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2" i="68"/>
  <c r="AN17" i="31"/>
  <c r="AN28" i="31"/>
  <c r="AN27" i="31"/>
  <c r="AJ33" i="31"/>
  <c r="AN24" i="31"/>
  <c r="AN19" i="31"/>
  <c r="AN31" i="31"/>
  <c r="AN5" i="30"/>
  <c r="S41" i="68"/>
  <c r="AL14" i="30"/>
  <c r="A16" i="30"/>
  <c r="F41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40" i="68"/>
  <c r="AL40" i="29"/>
  <c r="AN19" i="29"/>
  <c r="AN13" i="29"/>
  <c r="A16" i="29"/>
  <c r="F40" i="68" s="1"/>
  <c r="AN24" i="29"/>
  <c r="AN17" i="29"/>
  <c r="AN5" i="29"/>
  <c r="AN10" i="28"/>
  <c r="AN20" i="28"/>
  <c r="AJ35" i="28"/>
  <c r="AN7" i="28"/>
  <c r="AL27" i="28"/>
  <c r="AN9" i="28"/>
  <c r="A16" i="27"/>
  <c r="F37" i="68" s="1"/>
  <c r="X19" i="27"/>
  <c r="Z19" i="27" s="1"/>
  <c r="AB19" i="27" s="1"/>
  <c r="AO19" i="27" s="1"/>
  <c r="T36" i="68"/>
  <c r="E36" i="2" s="1"/>
  <c r="A16" i="26"/>
  <c r="F36" i="68" s="1"/>
  <c r="S36" i="68"/>
  <c r="AN12" i="26"/>
  <c r="A16" i="25"/>
  <c r="F35" i="68" s="1"/>
  <c r="S35" i="68"/>
  <c r="AN6" i="25"/>
  <c r="AN7" i="24"/>
  <c r="A16" i="24"/>
  <c r="F34" i="68" s="1"/>
  <c r="AJ6" i="24"/>
  <c r="T34" i="68"/>
  <c r="E34" i="2" s="1"/>
  <c r="A16" i="23"/>
  <c r="F33" i="68" s="1"/>
  <c r="T33" i="68"/>
  <c r="E33" i="2" s="1"/>
  <c r="AN21" i="23"/>
  <c r="S33" i="68"/>
  <c r="AN19" i="23"/>
  <c r="A16" i="72"/>
  <c r="F30" i="68" s="1"/>
  <c r="X12" i="70"/>
  <c r="Z12" i="70" s="1"/>
  <c r="AB12" i="70" s="1"/>
  <c r="AO12" i="70" s="1"/>
  <c r="AJ11" i="70"/>
  <c r="A16" i="70"/>
  <c r="F28" i="68" s="1"/>
  <c r="S27" i="68"/>
  <c r="AN24" i="69"/>
  <c r="AN20" i="69"/>
  <c r="A16" i="69"/>
  <c r="F27" i="68" s="1"/>
  <c r="AN15" i="69"/>
  <c r="AN27" i="69"/>
  <c r="S26" i="68"/>
  <c r="AJ59" i="22"/>
  <c r="AN37" i="22"/>
  <c r="A16" i="22"/>
  <c r="F26" i="68" s="1"/>
  <c r="AN16" i="22"/>
  <c r="AN28" i="22"/>
  <c r="AJ11" i="22"/>
  <c r="T22" i="68"/>
  <c r="E23" i="2" s="1"/>
  <c r="AN48" i="20"/>
  <c r="AN30" i="20"/>
  <c r="AN21" i="20"/>
  <c r="A16" i="20"/>
  <c r="F21" i="68" s="1"/>
  <c r="AN13" i="20"/>
  <c r="A16" i="19"/>
  <c r="F20" i="68" s="1"/>
  <c r="S20" i="68"/>
  <c r="S19" i="68"/>
  <c r="AN10" i="18"/>
  <c r="A16" i="18"/>
  <c r="F19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Z11" i="14" s="1"/>
  <c r="AB11" i="14" s="1"/>
  <c r="AO11" i="14" s="1"/>
  <c r="AJ18" i="13"/>
  <c r="AN11" i="13"/>
  <c r="AN10" i="13"/>
  <c r="K23" i="68"/>
  <c r="K24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8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X76" i="32"/>
  <c r="AA76" i="32" s="1"/>
  <c r="AC76" i="32" s="1"/>
  <c r="X140" i="32"/>
  <c r="AA140" i="32" s="1"/>
  <c r="AC140" i="32" s="1"/>
  <c r="X16" i="70"/>
  <c r="AA16" i="70" s="1"/>
  <c r="AC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7" i="68"/>
  <c r="X57" i="32"/>
  <c r="AA57" i="32" s="1"/>
  <c r="AC57" i="32" s="1"/>
  <c r="X23" i="27"/>
  <c r="AA23" i="27" s="1"/>
  <c r="AC23" i="27" s="1"/>
  <c r="AP23" i="27" s="1"/>
  <c r="A18" i="70"/>
  <c r="N28" i="68" s="1"/>
  <c r="X18" i="27"/>
  <c r="Z18" i="27" s="1"/>
  <c r="AB18" i="27" s="1"/>
  <c r="AO18" i="27" s="1"/>
  <c r="X9" i="27"/>
  <c r="AA9" i="27" s="1"/>
  <c r="AC9" i="27" s="1"/>
  <c r="A20" i="32"/>
  <c r="O43" i="68" s="1"/>
  <c r="R43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8" i="68" s="1"/>
  <c r="R28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3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7" i="68" s="1"/>
  <c r="Q37" i="68" s="1"/>
  <c r="U37" i="68" s="1"/>
  <c r="F37" i="2" s="1"/>
  <c r="X22" i="32"/>
  <c r="AA22" i="32" s="1"/>
  <c r="AC22" i="32" s="1"/>
  <c r="AP22" i="32" s="1"/>
  <c r="X35" i="32"/>
  <c r="AA35" i="32" s="1"/>
  <c r="AC35" i="32" s="1"/>
  <c r="X98" i="32"/>
  <c r="AA98" i="32" s="1"/>
  <c r="AC98" i="32" s="1"/>
  <c r="AP98" i="32" s="1"/>
  <c r="X77" i="32"/>
  <c r="AA77" i="32" s="1"/>
  <c r="AC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A20" i="40"/>
  <c r="O9" i="67" s="1"/>
  <c r="R9" i="67" s="1"/>
  <c r="X17" i="40"/>
  <c r="AA17" i="40" s="1"/>
  <c r="AC17" i="40" s="1"/>
  <c r="AP17" i="40" s="1"/>
  <c r="A18" i="5"/>
  <c r="N9" i="68" s="1"/>
  <c r="Q9" i="68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6" i="68"/>
  <c r="X14" i="34"/>
  <c r="AA14" i="34" s="1"/>
  <c r="AC14" i="34" s="1"/>
  <c r="AP14" i="34" s="1"/>
  <c r="X24" i="74"/>
  <c r="AA24" i="74" s="1"/>
  <c r="AC24" i="74" s="1"/>
  <c r="AP24" i="74" s="1"/>
  <c r="N63" i="68"/>
  <c r="Q63" i="68" s="1"/>
  <c r="A20" i="33"/>
  <c r="O44" i="68" s="1"/>
  <c r="R44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6" i="68" s="1"/>
  <c r="R46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4" i="68" s="1"/>
  <c r="Q44" i="68" s="1"/>
  <c r="U44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9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9" i="68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4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Z19" i="37" s="1"/>
  <c r="AB19" i="37" s="1"/>
  <c r="AO19" i="37" s="1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AA5" i="33" s="1"/>
  <c r="AC5" i="33" s="1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50" i="67"/>
  <c r="Q50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71" i="68"/>
  <c r="Q71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3" i="67"/>
  <c r="Q53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X21" i="13"/>
  <c r="AA21" i="13" s="1"/>
  <c r="AC21" i="13" s="1"/>
  <c r="X20" i="13"/>
  <c r="Z20" i="13" s="1"/>
  <c r="AB20" i="13" s="1"/>
  <c r="AO20" i="13" s="1"/>
  <c r="X14" i="19"/>
  <c r="AA14" i="19" s="1"/>
  <c r="AC14" i="19" s="1"/>
  <c r="AP14" i="19" s="1"/>
  <c r="N66" i="68"/>
  <c r="Q66" i="68" s="1"/>
  <c r="X10" i="13"/>
  <c r="Z10" i="13" s="1"/>
  <c r="AB10" i="13" s="1"/>
  <c r="AO10" i="13" s="1"/>
  <c r="A18" i="19"/>
  <c r="N20" i="68" s="1"/>
  <c r="Q20" i="6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6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20" i="68" s="1"/>
  <c r="R20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8" i="67"/>
  <c r="X22" i="54"/>
  <c r="Z22" i="54" s="1"/>
  <c r="AB22" i="54" s="1"/>
  <c r="AO22" i="54" s="1"/>
  <c r="A20" i="54"/>
  <c r="O28" i="67" s="1"/>
  <c r="R28" i="67" s="1"/>
  <c r="X13" i="54"/>
  <c r="Z13" i="54" s="1"/>
  <c r="AB13" i="54" s="1"/>
  <c r="AO13" i="54" s="1"/>
  <c r="X5" i="54"/>
  <c r="AA5" i="54" s="1"/>
  <c r="AC5" i="54" s="1"/>
  <c r="X18" i="54"/>
  <c r="AA18" i="54" s="1"/>
  <c r="AC18" i="54" s="1"/>
  <c r="AP18" i="54" s="1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8" i="67" s="1"/>
  <c r="Q28" i="67" s="1"/>
  <c r="U28" i="67" s="1"/>
  <c r="N28" i="2" s="1"/>
  <c r="X19" i="54"/>
  <c r="AA19" i="54" s="1"/>
  <c r="AC19" i="54" s="1"/>
  <c r="AP19" i="54" s="1"/>
  <c r="X11" i="54"/>
  <c r="AA11" i="54" s="1"/>
  <c r="AC11" i="54" s="1"/>
  <c r="AP11" i="54" s="1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7" i="67"/>
  <c r="I39" i="67" s="1"/>
  <c r="A20" i="61"/>
  <c r="O37" i="67" s="1"/>
  <c r="O39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7" i="67" s="1"/>
  <c r="Q37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5" i="67"/>
  <c r="I31" i="67" s="1"/>
  <c r="X8" i="60"/>
  <c r="AA8" i="60" s="1"/>
  <c r="AC8" i="60" s="1"/>
  <c r="AP8" i="60" s="1"/>
  <c r="X19" i="60"/>
  <c r="AA19" i="60" s="1"/>
  <c r="AC19" i="60" s="1"/>
  <c r="AP19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5" i="67" s="1"/>
  <c r="N31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5" i="67" s="1"/>
  <c r="R35" i="67" s="1"/>
  <c r="V35" i="67" s="1"/>
  <c r="O34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6" i="68" s="1"/>
  <c r="D27" i="2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AA16" i="39" s="1"/>
  <c r="AC16" i="39" s="1"/>
  <c r="AP16" i="39" s="1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6" i="68" s="1"/>
  <c r="X91" i="22"/>
  <c r="Z91" i="22" s="1"/>
  <c r="AB91" i="22" s="1"/>
  <c r="AO91" i="22" s="1"/>
  <c r="X12" i="22"/>
  <c r="AA12" i="22" s="1"/>
  <c r="AC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6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7" i="68"/>
  <c r="N58" i="67"/>
  <c r="O61" i="67"/>
  <c r="R61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1" i="67"/>
  <c r="K34" i="2"/>
  <c r="K35" i="2" s="1"/>
  <c r="H36" i="67"/>
  <c r="J65" i="67"/>
  <c r="T34" i="67"/>
  <c r="M33" i="2" s="1"/>
  <c r="AN5" i="59"/>
  <c r="T33" i="67"/>
  <c r="M32" i="2" s="1"/>
  <c r="L65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2" i="67"/>
  <c r="T29" i="67"/>
  <c r="M29" i="2" s="1"/>
  <c r="AN5" i="55"/>
  <c r="T28" i="67"/>
  <c r="M28" i="2" s="1"/>
  <c r="AN5" i="54"/>
  <c r="AN9" i="53"/>
  <c r="AL18" i="53"/>
  <c r="AN25" i="53"/>
  <c r="AJ24" i="53"/>
  <c r="AJ21" i="53"/>
  <c r="T25" i="67"/>
  <c r="M25" i="2" s="1"/>
  <c r="AJ27" i="53"/>
  <c r="AN22" i="53"/>
  <c r="T21" i="67"/>
  <c r="M21" i="2" s="1"/>
  <c r="AJ7" i="52"/>
  <c r="AN7" i="51"/>
  <c r="V20" i="67"/>
  <c r="O20" i="2" s="1"/>
  <c r="AJ6" i="51"/>
  <c r="AN5" i="49"/>
  <c r="T18" i="67"/>
  <c r="M18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2" i="2" s="1"/>
  <c r="AN38" i="66"/>
  <c r="AN20" i="66"/>
  <c r="AN17" i="66"/>
  <c r="T6" i="67"/>
  <c r="AN6" i="66"/>
  <c r="AN9" i="66"/>
  <c r="AN29" i="66"/>
  <c r="AN26" i="66"/>
  <c r="H48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3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2" i="68"/>
  <c r="E41" i="2" s="1"/>
  <c r="AN7" i="31"/>
  <c r="AL20" i="31"/>
  <c r="AN25" i="31"/>
  <c r="AJ23" i="31"/>
  <c r="AL17" i="31"/>
  <c r="AN16" i="31"/>
  <c r="T41" i="68"/>
  <c r="E40" i="2" s="1"/>
  <c r="AJ11" i="30"/>
  <c r="H38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40" i="68"/>
  <c r="E39" i="2" s="1"/>
  <c r="AJ28" i="29"/>
  <c r="AN27" i="29"/>
  <c r="AN23" i="28"/>
  <c r="AN17" i="28"/>
  <c r="AN32" i="28"/>
  <c r="AN8" i="28"/>
  <c r="T39" i="68"/>
  <c r="AN29" i="28"/>
  <c r="AJ23" i="28"/>
  <c r="T37" i="68"/>
  <c r="E37" i="2" s="1"/>
  <c r="AN5" i="27"/>
  <c r="AJ7" i="27"/>
  <c r="J75" i="68"/>
  <c r="AJ10" i="27"/>
  <c r="AN8" i="24"/>
  <c r="AL16" i="23"/>
  <c r="AJ22" i="23"/>
  <c r="AL19" i="23"/>
  <c r="L75" i="68"/>
  <c r="T28" i="68"/>
  <c r="E29" i="2" s="1"/>
  <c r="AN5" i="70"/>
  <c r="AL5" i="70"/>
  <c r="AJ25" i="69"/>
  <c r="AJ8" i="69"/>
  <c r="AJ28" i="69"/>
  <c r="AJ22" i="69"/>
  <c r="AJ19" i="69"/>
  <c r="AJ34" i="69"/>
  <c r="AJ31" i="69"/>
  <c r="AN5" i="69"/>
  <c r="AN10" i="22"/>
  <c r="T26" i="68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1" i="68"/>
  <c r="E22" i="2" s="1"/>
  <c r="AL14" i="19"/>
  <c r="T20" i="68"/>
  <c r="E21" i="2" s="1"/>
  <c r="T19" i="68"/>
  <c r="E20" i="2" s="1"/>
  <c r="AN6" i="18"/>
  <c r="AJ6" i="18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Z20" i="42"/>
  <c r="AB20" i="42" s="1"/>
  <c r="AO20" i="42" s="1"/>
  <c r="Z7" i="50"/>
  <c r="AB7" i="50" s="1"/>
  <c r="AO7" i="50" s="1"/>
  <c r="N57" i="68"/>
  <c r="Q57" i="68" s="1"/>
  <c r="N64" i="68"/>
  <c r="Q64" i="68" s="1"/>
  <c r="O59" i="68"/>
  <c r="R59" i="68" s="1"/>
  <c r="Z10" i="42"/>
  <c r="AB10" i="42" s="1"/>
  <c r="AO10" i="42" s="1"/>
  <c r="N55" i="67"/>
  <c r="Q55" i="67" s="1"/>
  <c r="N60" i="68"/>
  <c r="Q60" i="68" s="1"/>
  <c r="Z12" i="50"/>
  <c r="AB12" i="50" s="1"/>
  <c r="AO12" i="50" s="1"/>
  <c r="Z11" i="42"/>
  <c r="AB11" i="42" s="1"/>
  <c r="AO11" i="42" s="1"/>
  <c r="AA17" i="42"/>
  <c r="AC17" i="42" s="1"/>
  <c r="AP17" i="42" s="1"/>
  <c r="L43" i="2"/>
  <c r="Z7" i="42"/>
  <c r="AB7" i="42" s="1"/>
  <c r="AO7" i="42" s="1"/>
  <c r="N59" i="67"/>
  <c r="Q59" i="67" s="1"/>
  <c r="N46" i="67"/>
  <c r="Q46" i="67" s="1"/>
  <c r="N45" i="67"/>
  <c r="Q45" i="67" s="1"/>
  <c r="O72" i="68"/>
  <c r="R72" i="68" s="1"/>
  <c r="Z17" i="62"/>
  <c r="AB17" i="62" s="1"/>
  <c r="AO17" i="62" s="1"/>
  <c r="Z6" i="42"/>
  <c r="AB6" i="42" s="1"/>
  <c r="AO6" i="42" s="1"/>
  <c r="Z15" i="42"/>
  <c r="AB15" i="42" s="1"/>
  <c r="AO15" i="42" s="1"/>
  <c r="O54" i="67"/>
  <c r="R54" i="67" s="1"/>
  <c r="N61" i="68"/>
  <c r="Q61" i="68" s="1"/>
  <c r="O51" i="67"/>
  <c r="R51" i="67" s="1"/>
  <c r="Z10" i="50"/>
  <c r="AB10" i="50" s="1"/>
  <c r="AO10" i="50" s="1"/>
  <c r="AA10" i="50"/>
  <c r="AC10" i="50" s="1"/>
  <c r="AP10" i="50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9" i="2" s="1"/>
  <c r="L19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8" i="67"/>
  <c r="U38" i="67" s="1"/>
  <c r="L40" i="2"/>
  <c r="AA15" i="50"/>
  <c r="AC15" i="50" s="1"/>
  <c r="AP15" i="50" s="1"/>
  <c r="Z15" i="50"/>
  <c r="AB15" i="50" s="1"/>
  <c r="AO15" i="50" s="1"/>
  <c r="Q21" i="67"/>
  <c r="U21" i="67" s="1"/>
  <c r="N21" i="2" s="1"/>
  <c r="L21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2" i="68"/>
  <c r="X20" i="35"/>
  <c r="X19" i="35"/>
  <c r="X12" i="35"/>
  <c r="X11" i="35"/>
  <c r="X7" i="35"/>
  <c r="X22" i="35"/>
  <c r="X21" i="35"/>
  <c r="A20" i="35"/>
  <c r="O47" i="68" s="1"/>
  <c r="R47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7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Z355" i="15"/>
  <c r="AB355" i="15" s="1"/>
  <c r="AO355" i="15" s="1"/>
  <c r="Z275" i="15"/>
  <c r="AB275" i="15" s="1"/>
  <c r="AO275" i="15" s="1"/>
  <c r="AA275" i="15"/>
  <c r="AC275" i="15" s="1"/>
  <c r="AP275" i="15" s="1"/>
  <c r="Z155" i="15"/>
  <c r="AB155" i="15" s="1"/>
  <c r="AO155" i="15" s="1"/>
  <c r="Z303" i="15"/>
  <c r="AB303" i="15" s="1"/>
  <c r="AO303" i="15" s="1"/>
  <c r="AA210" i="15"/>
  <c r="AC210" i="15" s="1"/>
  <c r="AP210" i="15" s="1"/>
  <c r="Z242" i="15"/>
  <c r="AB242" i="15" s="1"/>
  <c r="AO242" i="15" s="1"/>
  <c r="Z386" i="15"/>
  <c r="AB386" i="15" s="1"/>
  <c r="AO386" i="15" s="1"/>
  <c r="AA386" i="15"/>
  <c r="AC386" i="15" s="1"/>
  <c r="AP386" i="15" s="1"/>
  <c r="AA37" i="15"/>
  <c r="AC37" i="15" s="1"/>
  <c r="Z37" i="15"/>
  <c r="AB37" i="15" s="1"/>
  <c r="AO37" i="15" s="1"/>
  <c r="Z213" i="15"/>
  <c r="AB213" i="15" s="1"/>
  <c r="AO213" i="15" s="1"/>
  <c r="AA229" i="15"/>
  <c r="AC229" i="15" s="1"/>
  <c r="AP229" i="15" s="1"/>
  <c r="Z261" i="15"/>
  <c r="AB261" i="15" s="1"/>
  <c r="AO26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Z9" i="6"/>
  <c r="AB9" i="6" s="1"/>
  <c r="AO9" i="6" s="1"/>
  <c r="AA9" i="6"/>
  <c r="AC9" i="6" s="1"/>
  <c r="AP9" i="6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12" i="30"/>
  <c r="AC12" i="30" s="1"/>
  <c r="AP12" i="30" s="1"/>
  <c r="Z12" i="30"/>
  <c r="AB12" i="30" s="1"/>
  <c r="AO12" i="30" s="1"/>
  <c r="AA15" i="63"/>
  <c r="AC15" i="63" s="1"/>
  <c r="AP15" i="63" s="1"/>
  <c r="Z22" i="63"/>
  <c r="AB22" i="63" s="1"/>
  <c r="AO22" i="63" s="1"/>
  <c r="AA22" i="63"/>
  <c r="AC22" i="63" s="1"/>
  <c r="AP22" i="63" s="1"/>
  <c r="AA24" i="3"/>
  <c r="AC24" i="3" s="1"/>
  <c r="AP24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3" i="2"/>
  <c r="Q34" i="67"/>
  <c r="U34" i="67" s="1"/>
  <c r="N33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AA22" i="26"/>
  <c r="AC22" i="26" s="1"/>
  <c r="AP22" i="26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7" i="55"/>
  <c r="AB7" i="55" s="1"/>
  <c r="AO7" i="55" s="1"/>
  <c r="AA7" i="55"/>
  <c r="AC7" i="55" s="1"/>
  <c r="AP7" i="55" s="1"/>
  <c r="Z24" i="55"/>
  <c r="AB24" i="55" s="1"/>
  <c r="AO24" i="55" s="1"/>
  <c r="AA24" i="55"/>
  <c r="AC24" i="55" s="1"/>
  <c r="AP24" i="55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7" i="68" s="1"/>
  <c r="N68" i="68"/>
  <c r="O68" i="68"/>
  <c r="AA12" i="36"/>
  <c r="AC12" i="36" s="1"/>
  <c r="AP12" i="36" s="1"/>
  <c r="Z12" i="36"/>
  <c r="AB12" i="36" s="1"/>
  <c r="AO12" i="3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40" i="67"/>
  <c r="N36" i="2" s="1"/>
  <c r="Z235" i="15"/>
  <c r="AB235" i="15" s="1"/>
  <c r="AO235" i="15" s="1"/>
  <c r="AA235" i="15"/>
  <c r="AC235" i="15" s="1"/>
  <c r="AP235" i="15" s="1"/>
  <c r="AA122" i="15"/>
  <c r="AC122" i="15" s="1"/>
  <c r="AP122" i="15" s="1"/>
  <c r="Z122" i="15"/>
  <c r="AB122" i="15" s="1"/>
  <c r="AO122" i="15" s="1"/>
  <c r="AA352" i="15"/>
  <c r="AC352" i="15" s="1"/>
  <c r="AP352" i="15" s="1"/>
  <c r="Z352" i="15"/>
  <c r="AB352" i="15" s="1"/>
  <c r="AO352" i="15" s="1"/>
  <c r="Z416" i="15"/>
  <c r="AB416" i="15" s="1"/>
  <c r="AO416" i="15" s="1"/>
  <c r="Z54" i="15"/>
  <c r="AB54" i="15" s="1"/>
  <c r="AO54" i="15" s="1"/>
  <c r="AA54" i="15"/>
  <c r="AC54" i="15" s="1"/>
  <c r="AP54" i="15" s="1"/>
  <c r="AA120" i="15"/>
  <c r="AC120" i="15" s="1"/>
  <c r="Z120" i="15"/>
  <c r="AB120" i="15" s="1"/>
  <c r="AO120" i="15" s="1"/>
  <c r="Z158" i="15"/>
  <c r="AB158" i="15" s="1"/>
  <c r="AO158" i="15" s="1"/>
  <c r="AA503" i="15"/>
  <c r="AC503" i="15" s="1"/>
  <c r="AP503" i="15" s="1"/>
  <c r="Z326" i="15"/>
  <c r="AB326" i="15" s="1"/>
  <c r="AO326" i="15" s="1"/>
  <c r="AA358" i="15"/>
  <c r="AC358" i="15" s="1"/>
  <c r="AP358" i="15" s="1"/>
  <c r="AA281" i="15"/>
  <c r="AC281" i="15" s="1"/>
  <c r="AP281" i="15" s="1"/>
  <c r="Z281" i="15"/>
  <c r="AB281" i="15" s="1"/>
  <c r="AO281" i="15" s="1"/>
  <c r="AA457" i="15"/>
  <c r="AC457" i="15" s="1"/>
  <c r="AP457" i="15" s="1"/>
  <c r="Z457" i="15"/>
  <c r="AB457" i="15" s="1"/>
  <c r="AO457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Z63" i="15"/>
  <c r="AB63" i="15" s="1"/>
  <c r="AO63" i="15" s="1"/>
  <c r="AA63" i="15"/>
  <c r="AC63" i="15" s="1"/>
  <c r="AP63" i="15" s="1"/>
  <c r="Z23" i="3"/>
  <c r="AB23" i="3" s="1"/>
  <c r="AO23" i="3" s="1"/>
  <c r="AA23" i="3"/>
  <c r="AC23" i="3" s="1"/>
  <c r="AP23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AA7" i="38"/>
  <c r="AC7" i="38" s="1"/>
  <c r="AP7" i="38" s="1"/>
  <c r="Z7" i="38"/>
  <c r="AB7" i="38" s="1"/>
  <c r="AO7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3" i="67"/>
  <c r="U33" i="67" s="1"/>
  <c r="N32" i="2" s="1"/>
  <c r="L32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20" i="67"/>
  <c r="U20" i="67" s="1"/>
  <c r="N20" i="2" s="1"/>
  <c r="L20" i="2"/>
  <c r="Q29" i="67"/>
  <c r="U29" i="67" s="1"/>
  <c r="N29" i="2" s="1"/>
  <c r="L29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D23" i="2"/>
  <c r="Q22" i="68"/>
  <c r="R67" i="67"/>
  <c r="R69" i="67" s="1"/>
  <c r="O69" i="67"/>
  <c r="Z23" i="21"/>
  <c r="AB23" i="21" s="1"/>
  <c r="AO23" i="21" s="1"/>
  <c r="AA23" i="21"/>
  <c r="AC23" i="21" s="1"/>
  <c r="AP23" i="21" s="1"/>
  <c r="Z140" i="15"/>
  <c r="AB140" i="15" s="1"/>
  <c r="AO140" i="15" s="1"/>
  <c r="AA66" i="15"/>
  <c r="AC66" i="15" s="1"/>
  <c r="Z66" i="15"/>
  <c r="AB66" i="15" s="1"/>
  <c r="AO66" i="15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5" i="23"/>
  <c r="AC15" i="23" s="1"/>
  <c r="AP15" i="23" s="1"/>
  <c r="Z15" i="23"/>
  <c r="AB15" i="23" s="1"/>
  <c r="AO15" i="23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83" i="15"/>
  <c r="AB83" i="15" s="1"/>
  <c r="AO83" i="15" s="1"/>
  <c r="AA331" i="15"/>
  <c r="AC331" i="15" s="1"/>
  <c r="AP331" i="15" s="1"/>
  <c r="AA264" i="15"/>
  <c r="AC264" i="15" s="1"/>
  <c r="AP264" i="15" s="1"/>
  <c r="Z264" i="15"/>
  <c r="AB264" i="15" s="1"/>
  <c r="AO264" i="15" s="1"/>
  <c r="Z64" i="15"/>
  <c r="AB64" i="15" s="1"/>
  <c r="AO64" i="15" s="1"/>
  <c r="Z160" i="15"/>
  <c r="AB160" i="15" s="1"/>
  <c r="AO160" i="15" s="1"/>
  <c r="Z251" i="15"/>
  <c r="AB251" i="15" s="1"/>
  <c r="AO251" i="15" s="1"/>
  <c r="AA251" i="15"/>
  <c r="AC251" i="15" s="1"/>
  <c r="AP251" i="15" s="1"/>
  <c r="Z499" i="15"/>
  <c r="AB499" i="15" s="1"/>
  <c r="AO499" i="15" s="1"/>
  <c r="Z191" i="15"/>
  <c r="AB191" i="15" s="1"/>
  <c r="AO191" i="15" s="1"/>
  <c r="AA191" i="15"/>
  <c r="AC191" i="15" s="1"/>
  <c r="AP191" i="15" s="1"/>
  <c r="Z479" i="15"/>
  <c r="AB479" i="15" s="1"/>
  <c r="AO479" i="15" s="1"/>
  <c r="AA479" i="15"/>
  <c r="AC479" i="15" s="1"/>
  <c r="AP479" i="15" s="1"/>
  <c r="AA186" i="15"/>
  <c r="AC186" i="15" s="1"/>
  <c r="AP186" i="15" s="1"/>
  <c r="Z298" i="15"/>
  <c r="AB298" i="15" s="1"/>
  <c r="AO298" i="15" s="1"/>
  <c r="AA298" i="15"/>
  <c r="AC298" i="15" s="1"/>
  <c r="AP298" i="15" s="1"/>
  <c r="Z314" i="15"/>
  <c r="AB314" i="15" s="1"/>
  <c r="AO314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Z173" i="15"/>
  <c r="AB173" i="15" s="1"/>
  <c r="AO173" i="15" s="1"/>
  <c r="AA221" i="15"/>
  <c r="AC221" i="15" s="1"/>
  <c r="AP221" i="15" s="1"/>
  <c r="Z221" i="15"/>
  <c r="AB221" i="15" s="1"/>
  <c r="AO221" i="15" s="1"/>
  <c r="AA301" i="15"/>
  <c r="AC301" i="15" s="1"/>
  <c r="AP301" i="15" s="1"/>
  <c r="Z301" i="15"/>
  <c r="AB301" i="15" s="1"/>
  <c r="AO301" i="15" s="1"/>
  <c r="AA349" i="15"/>
  <c r="AC349" i="15" s="1"/>
  <c r="AP34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D34" i="2"/>
  <c r="Q34" i="68"/>
  <c r="U34" i="68" s="1"/>
  <c r="F34" i="2" s="1"/>
  <c r="AA127" i="15"/>
  <c r="AC127" i="15" s="1"/>
  <c r="AP127" i="15" s="1"/>
  <c r="Z10" i="63"/>
  <c r="AB10" i="63" s="1"/>
  <c r="AO10" i="63" s="1"/>
  <c r="AA10" i="63"/>
  <c r="AC10" i="63" s="1"/>
  <c r="AP10" i="63" s="1"/>
  <c r="AA7" i="63"/>
  <c r="AC7" i="63" s="1"/>
  <c r="AP7" i="63" s="1"/>
  <c r="Z7" i="63"/>
  <c r="AB7" i="63" s="1"/>
  <c r="AO7" i="63" s="1"/>
  <c r="AA5" i="63"/>
  <c r="AC5" i="63" s="1"/>
  <c r="Z5" i="63"/>
  <c r="AB5" i="63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7" i="24"/>
  <c r="AC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0" i="67"/>
  <c r="U30" i="67" s="1"/>
  <c r="N30" i="2" s="1"/>
  <c r="L30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Q18" i="67"/>
  <c r="U18" i="67" s="1"/>
  <c r="N18" i="2" s="1"/>
  <c r="L18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17" i="72"/>
  <c r="AB17" i="72" s="1"/>
  <c r="AO17" i="72" s="1"/>
  <c r="AA16" i="72"/>
  <c r="AC16" i="72" s="1"/>
  <c r="AP16" i="72" s="1"/>
  <c r="AA43" i="53"/>
  <c r="AC43" i="53" s="1"/>
  <c r="AP43" i="53" s="1"/>
  <c r="Z43" i="53"/>
  <c r="AB43" i="53" s="1"/>
  <c r="AO43" i="53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AA12" i="25"/>
  <c r="AC12" i="25" s="1"/>
  <c r="AP12" i="25" s="1"/>
  <c r="Z12" i="25"/>
  <c r="AB12" i="25" s="1"/>
  <c r="AO12" i="25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Z299" i="15"/>
  <c r="AB299" i="15" s="1"/>
  <c r="AO299" i="15" s="1"/>
  <c r="AA299" i="15"/>
  <c r="AC299" i="15" s="1"/>
  <c r="AP299" i="15" s="1"/>
  <c r="AA376" i="15"/>
  <c r="AC376" i="15" s="1"/>
  <c r="AP376" i="15" s="1"/>
  <c r="Z376" i="15"/>
  <c r="AB376" i="15" s="1"/>
  <c r="AO376" i="15" s="1"/>
  <c r="Z115" i="15"/>
  <c r="AB115" i="15" s="1"/>
  <c r="AO115" i="15" s="1"/>
  <c r="AA227" i="15"/>
  <c r="AC227" i="15" s="1"/>
  <c r="AP227" i="15" s="1"/>
  <c r="Z72" i="15"/>
  <c r="AB72" i="15" s="1"/>
  <c r="AO72" i="15" s="1"/>
  <c r="AA136" i="15"/>
  <c r="AC136" i="15" s="1"/>
  <c r="Z136" i="15"/>
  <c r="AB136" i="15" s="1"/>
  <c r="AO136" i="15" s="1"/>
  <c r="AA335" i="15"/>
  <c r="AC335" i="15" s="1"/>
  <c r="AP335" i="15" s="1"/>
  <c r="AA245" i="15"/>
  <c r="AC245" i="15" s="1"/>
  <c r="AP245" i="15" s="1"/>
  <c r="AA341" i="15"/>
  <c r="AC341" i="15" s="1"/>
  <c r="AP341" i="15" s="1"/>
  <c r="Z341" i="15"/>
  <c r="AB341" i="15" s="1"/>
  <c r="AO341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2" i="68" s="1"/>
  <c r="R42" i="68" s="1"/>
  <c r="X13" i="31"/>
  <c r="X44" i="31"/>
  <c r="X31" i="31"/>
  <c r="X28" i="31"/>
  <c r="X21" i="31"/>
  <c r="X15" i="31"/>
  <c r="I42" i="68"/>
  <c r="X39" i="31"/>
  <c r="X14" i="31"/>
  <c r="X6" i="31"/>
  <c r="X50" i="31"/>
  <c r="X36" i="31"/>
  <c r="X16" i="31"/>
  <c r="D9" i="2"/>
  <c r="Q8" i="68"/>
  <c r="Z17" i="63"/>
  <c r="AB17" i="63" s="1"/>
  <c r="AO17" i="63" s="1"/>
  <c r="AA17" i="63"/>
  <c r="AC17" i="63" s="1"/>
  <c r="AP17" i="63" s="1"/>
  <c r="Z23" i="63"/>
  <c r="AB23" i="63" s="1"/>
  <c r="AO23" i="63" s="1"/>
  <c r="Z13" i="63"/>
  <c r="AB13" i="63" s="1"/>
  <c r="AO13" i="63" s="1"/>
  <c r="AA13" i="63"/>
  <c r="AC13" i="63" s="1"/>
  <c r="AP13" i="63" s="1"/>
  <c r="AA22" i="34"/>
  <c r="AC22" i="34" s="1"/>
  <c r="AP22" i="34" s="1"/>
  <c r="Z22" i="34"/>
  <c r="AB22" i="34" s="1"/>
  <c r="AO22" i="34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Z19" i="55"/>
  <c r="AB19" i="55" s="1"/>
  <c r="AO19" i="55" s="1"/>
  <c r="AA19" i="55"/>
  <c r="AC19" i="55" s="1"/>
  <c r="AP19" i="55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1" i="2"/>
  <c r="Q32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40" i="68"/>
  <c r="D39" i="2"/>
  <c r="Q33" i="68"/>
  <c r="U33" i="68" s="1"/>
  <c r="F33" i="2" s="1"/>
  <c r="D33" i="2"/>
  <c r="N55" i="68"/>
  <c r="Q55" i="68" s="1"/>
  <c r="O55" i="68"/>
  <c r="Z76" i="15"/>
  <c r="AB76" i="15" s="1"/>
  <c r="AO76" i="15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Z25" i="57"/>
  <c r="AB25" i="57" s="1"/>
  <c r="AO25" i="57" s="1"/>
  <c r="AA11" i="23"/>
  <c r="AC11" i="23" s="1"/>
  <c r="AP11" i="23" s="1"/>
  <c r="AA10" i="23"/>
  <c r="AC10" i="23" s="1"/>
  <c r="AP10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12" i="71"/>
  <c r="AC12" i="71" s="1"/>
  <c r="AP12" i="71" s="1"/>
  <c r="Z12" i="71"/>
  <c r="AB12" i="71" s="1"/>
  <c r="AO12" i="71" s="1"/>
  <c r="AA34" i="15"/>
  <c r="AC34" i="15" s="1"/>
  <c r="Z34" i="15"/>
  <c r="AB34" i="15" s="1"/>
  <c r="AO34" i="15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192" i="15"/>
  <c r="AC192" i="15" s="1"/>
  <c r="AP192" i="15" s="1"/>
  <c r="Z192" i="15"/>
  <c r="AB192" i="15" s="1"/>
  <c r="AO192" i="15" s="1"/>
  <c r="Z15" i="15"/>
  <c r="AB15" i="15" s="1"/>
  <c r="AO15" i="15" s="1"/>
  <c r="Z471" i="15"/>
  <c r="AB471" i="15" s="1"/>
  <c r="AO471" i="15" s="1"/>
  <c r="AA471" i="15"/>
  <c r="AC471" i="15" s="1"/>
  <c r="AP471" i="15" s="1"/>
  <c r="Z246" i="15"/>
  <c r="AB246" i="15" s="1"/>
  <c r="AO246" i="15" s="1"/>
  <c r="AA246" i="15"/>
  <c r="AC246" i="15" s="1"/>
  <c r="AP246" i="15" s="1"/>
  <c r="AA121" i="15"/>
  <c r="AC121" i="15" s="1"/>
  <c r="AP121" i="15" s="1"/>
  <c r="Z121" i="15"/>
  <c r="AB121" i="15" s="1"/>
  <c r="AO121" i="15" s="1"/>
  <c r="AA505" i="15"/>
  <c r="AC505" i="15" s="1"/>
  <c r="AP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Z14" i="63"/>
  <c r="AB14" i="63" s="1"/>
  <c r="AO14" i="63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R63" i="67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9" i="67"/>
  <c r="L45" i="2" s="1"/>
  <c r="Q67" i="67"/>
  <c r="Q69" i="67" s="1"/>
  <c r="N56" i="67"/>
  <c r="Q56" i="67" s="1"/>
  <c r="O56" i="67"/>
  <c r="R56" i="67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16" i="23"/>
  <c r="AC16" i="23" s="1"/>
  <c r="AP16" i="23" s="1"/>
  <c r="Z16" i="23"/>
  <c r="AB16" i="23" s="1"/>
  <c r="AO16" i="23" s="1"/>
  <c r="Z8" i="23"/>
  <c r="AB8" i="23" s="1"/>
  <c r="AO8" i="23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339" i="15"/>
  <c r="AC339" i="15" s="1"/>
  <c r="AP339" i="15" s="1"/>
  <c r="Z116" i="15"/>
  <c r="AB116" i="15" s="1"/>
  <c r="AO116" i="15" s="1"/>
  <c r="Z135" i="15"/>
  <c r="AB135" i="15" s="1"/>
  <c r="AO135" i="15" s="1"/>
  <c r="AA240" i="15"/>
  <c r="AC240" i="15" s="1"/>
  <c r="AP240" i="15" s="1"/>
  <c r="Z240" i="15"/>
  <c r="AB240" i="15" s="1"/>
  <c r="AO240" i="15" s="1"/>
  <c r="AA368" i="15"/>
  <c r="AC368" i="15" s="1"/>
  <c r="AP368" i="15" s="1"/>
  <c r="Z368" i="15"/>
  <c r="AB368" i="15" s="1"/>
  <c r="AO368" i="15" s="1"/>
  <c r="AA432" i="15"/>
  <c r="AC432" i="15" s="1"/>
  <c r="AP432" i="15" s="1"/>
  <c r="Z496" i="15"/>
  <c r="AB496" i="15" s="1"/>
  <c r="AO496" i="15" s="1"/>
  <c r="Z395" i="15"/>
  <c r="AB395" i="15" s="1"/>
  <c r="AO395" i="15" s="1"/>
  <c r="AA395" i="15"/>
  <c r="AC395" i="15" s="1"/>
  <c r="AP395" i="15" s="1"/>
  <c r="Z6" i="15"/>
  <c r="AB6" i="15" s="1"/>
  <c r="AO6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Z359" i="15"/>
  <c r="AB359" i="15" s="1"/>
  <c r="AO359" i="15" s="1"/>
  <c r="AA359" i="15"/>
  <c r="AC359" i="15" s="1"/>
  <c r="AP359" i="15" s="1"/>
  <c r="AA487" i="15"/>
  <c r="AC487" i="15" s="1"/>
  <c r="AP487" i="15" s="1"/>
  <c r="Z206" i="15"/>
  <c r="AB206" i="15" s="1"/>
  <c r="AO206" i="15" s="1"/>
  <c r="Z238" i="15"/>
  <c r="AB238" i="15" s="1"/>
  <c r="AO238" i="15" s="1"/>
  <c r="Z318" i="15"/>
  <c r="AB318" i="15" s="1"/>
  <c r="AO318" i="15" s="1"/>
  <c r="AA318" i="15"/>
  <c r="AC318" i="15" s="1"/>
  <c r="AP318" i="15" s="1"/>
  <c r="Z510" i="15"/>
  <c r="AB510" i="15" s="1"/>
  <c r="AO510" i="15" s="1"/>
  <c r="AA17" i="15"/>
  <c r="AC17" i="15" s="1"/>
  <c r="AP17" i="15" s="1"/>
  <c r="Z17" i="15"/>
  <c r="AB17" i="15" s="1"/>
  <c r="AO17" i="15" s="1"/>
  <c r="AA81" i="15"/>
  <c r="AC81" i="15" s="1"/>
  <c r="AA97" i="15"/>
  <c r="AC97" i="15" s="1"/>
  <c r="AP97" i="15" s="1"/>
  <c r="Z97" i="15"/>
  <c r="AB97" i="15" s="1"/>
  <c r="AO97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57" i="15"/>
  <c r="AC257" i="15" s="1"/>
  <c r="AP257" i="15" s="1"/>
  <c r="AA273" i="15"/>
  <c r="AC273" i="15" s="1"/>
  <c r="AP273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417" i="15"/>
  <c r="AC417" i="15" s="1"/>
  <c r="AP417" i="15" s="1"/>
  <c r="AA465" i="15"/>
  <c r="AC465" i="15" s="1"/>
  <c r="AP465" i="15" s="1"/>
  <c r="Z465" i="15"/>
  <c r="AB465" i="15" s="1"/>
  <c r="AO465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I57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8" i="63"/>
  <c r="AC8" i="63" s="1"/>
  <c r="AP8" i="63" s="1"/>
  <c r="Z8" i="63"/>
  <c r="AB8" i="63" s="1"/>
  <c r="AO8" i="6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9" i="21"/>
  <c r="AC9" i="21" s="1"/>
  <c r="Z9" i="21"/>
  <c r="AB9" i="21" s="1"/>
  <c r="AO9" i="21" s="1"/>
  <c r="AA10" i="21"/>
  <c r="AC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1" i="72"/>
  <c r="AB11" i="72" s="1"/>
  <c r="AO11" i="72" s="1"/>
  <c r="AA11" i="72"/>
  <c r="AC11" i="72" s="1"/>
  <c r="AP11" i="72" s="1"/>
  <c r="Z18" i="72"/>
  <c r="AB18" i="72" s="1"/>
  <c r="AO18" i="72" s="1"/>
  <c r="AA18" i="72"/>
  <c r="AC18" i="72" s="1"/>
  <c r="AP18" i="72" s="1"/>
  <c r="AA8" i="55"/>
  <c r="AC8" i="55" s="1"/>
  <c r="AP8" i="55" s="1"/>
  <c r="Z8" i="55"/>
  <c r="AB8" i="55" s="1"/>
  <c r="AO8" i="55" s="1"/>
  <c r="AA11" i="27"/>
  <c r="AC11" i="27" s="1"/>
  <c r="Z11" i="27"/>
  <c r="AB11" i="27" s="1"/>
  <c r="AO11" i="27" s="1"/>
  <c r="Q58" i="67" l="1"/>
  <c r="Q63" i="67" s="1"/>
  <c r="N63" i="67"/>
  <c r="O63" i="67"/>
  <c r="AA6" i="13"/>
  <c r="AC6" i="13" s="1"/>
  <c r="Z297" i="15"/>
  <c r="AB297" i="15" s="1"/>
  <c r="AO297" i="15" s="1"/>
  <c r="Z38" i="15"/>
  <c r="AB38" i="15" s="1"/>
  <c r="AO38" i="15" s="1"/>
  <c r="Z130" i="15"/>
  <c r="AB130" i="15" s="1"/>
  <c r="AO130" i="15" s="1"/>
  <c r="AA20" i="75"/>
  <c r="AC20" i="75" s="1"/>
  <c r="AP20" i="75" s="1"/>
  <c r="O74" i="68"/>
  <c r="Z513" i="15"/>
  <c r="AB513" i="15" s="1"/>
  <c r="AO513" i="15" s="1"/>
  <c r="AA15" i="3"/>
  <c r="AC15" i="3" s="1"/>
  <c r="AP15" i="3" s="1"/>
  <c r="Z480" i="15"/>
  <c r="AB480" i="15" s="1"/>
  <c r="AO480" i="15" s="1"/>
  <c r="O41" i="67"/>
  <c r="AA20" i="72"/>
  <c r="AC20" i="72" s="1"/>
  <c r="AP20" i="72" s="1"/>
  <c r="I42" i="67"/>
  <c r="AA177" i="15"/>
  <c r="AC177" i="15" s="1"/>
  <c r="AP177" i="15" s="1"/>
  <c r="AA17" i="23"/>
  <c r="AC17" i="23" s="1"/>
  <c r="AP17" i="23" s="1"/>
  <c r="AA7" i="34"/>
  <c r="AC7" i="34" s="1"/>
  <c r="AP7" i="34" s="1"/>
  <c r="AA207" i="15"/>
  <c r="AC207" i="15" s="1"/>
  <c r="AP207" i="15" s="1"/>
  <c r="AA19" i="15"/>
  <c r="AC19" i="15" s="1"/>
  <c r="AP19" i="15" s="1"/>
  <c r="Z22" i="23"/>
  <c r="AB22" i="23" s="1"/>
  <c r="AO22" i="23" s="1"/>
  <c r="AA406" i="15"/>
  <c r="AC406" i="15" s="1"/>
  <c r="AP406" i="15" s="1"/>
  <c r="Z389" i="15"/>
  <c r="AB389" i="15" s="1"/>
  <c r="AO389" i="15" s="1"/>
  <c r="Z50" i="15"/>
  <c r="AB50" i="15" s="1"/>
  <c r="AO50" i="15" s="1"/>
  <c r="AA403" i="15"/>
  <c r="AC403" i="15" s="1"/>
  <c r="AP403" i="15" s="1"/>
  <c r="AA39" i="15"/>
  <c r="AC39" i="15" s="1"/>
  <c r="AP39" i="15" s="1"/>
  <c r="AA91" i="15"/>
  <c r="AC91" i="15" s="1"/>
  <c r="AP91" i="15" s="1"/>
  <c r="AA77" i="15"/>
  <c r="AC77" i="15" s="1"/>
  <c r="AP77" i="15" s="1"/>
  <c r="AA259" i="15"/>
  <c r="AC259" i="15" s="1"/>
  <c r="AP259" i="15" s="1"/>
  <c r="Z365" i="15"/>
  <c r="AB365" i="15" s="1"/>
  <c r="AO365" i="15" s="1"/>
  <c r="AA13" i="23"/>
  <c r="AC13" i="23" s="1"/>
  <c r="AA12" i="12"/>
  <c r="AC12" i="12" s="1"/>
  <c r="AP12" i="12" s="1"/>
  <c r="N74" i="68"/>
  <c r="Z24" i="63"/>
  <c r="AB24" i="63" s="1"/>
  <c r="AO24" i="63" s="1"/>
  <c r="AA292" i="15"/>
  <c r="AC292" i="15" s="1"/>
  <c r="AP292" i="15" s="1"/>
  <c r="AA15" i="72"/>
  <c r="AC15" i="72" s="1"/>
  <c r="AP15" i="72" s="1"/>
  <c r="S7" i="68"/>
  <c r="Z19" i="23"/>
  <c r="AB19" i="23" s="1"/>
  <c r="AO19" i="23" s="1"/>
  <c r="Z329" i="15"/>
  <c r="AB329" i="15" s="1"/>
  <c r="AO329" i="15" s="1"/>
  <c r="Z205" i="15"/>
  <c r="AB205" i="15" s="1"/>
  <c r="AO205" i="15" s="1"/>
  <c r="Z24" i="72"/>
  <c r="AB24" i="72" s="1"/>
  <c r="AO24" i="72" s="1"/>
  <c r="AA459" i="15"/>
  <c r="AC459" i="15" s="1"/>
  <c r="AP459" i="15" s="1"/>
  <c r="AA181" i="15"/>
  <c r="AC181" i="15" s="1"/>
  <c r="AP181" i="15" s="1"/>
  <c r="Z44" i="60"/>
  <c r="AB44" i="60" s="1"/>
  <c r="AO44" i="60" s="1"/>
  <c r="Z21" i="63"/>
  <c r="AB21" i="63" s="1"/>
  <c r="AO21" i="63" s="1"/>
  <c r="Z90" i="15"/>
  <c r="AB90" i="15" s="1"/>
  <c r="AO90" i="15" s="1"/>
  <c r="Z6" i="23"/>
  <c r="AB6" i="23" s="1"/>
  <c r="AO6" i="23" s="1"/>
  <c r="Z189" i="15"/>
  <c r="AB189" i="15" s="1"/>
  <c r="AO189" i="15" s="1"/>
  <c r="Z13" i="55"/>
  <c r="AB13" i="55" s="1"/>
  <c r="AO13" i="55" s="1"/>
  <c r="AA16" i="63"/>
  <c r="AC16" i="63" s="1"/>
  <c r="AP16" i="63" s="1"/>
  <c r="Z249" i="15"/>
  <c r="AB249" i="15" s="1"/>
  <c r="AO249" i="15" s="1"/>
  <c r="AA431" i="15"/>
  <c r="AC431" i="15" s="1"/>
  <c r="AP431" i="15" s="1"/>
  <c r="Z413" i="15"/>
  <c r="AB413" i="15" s="1"/>
  <c r="AO413" i="15" s="1"/>
  <c r="Z40" i="15"/>
  <c r="AB40" i="15" s="1"/>
  <c r="AO40" i="15" s="1"/>
  <c r="Z232" i="15"/>
  <c r="AB232" i="15" s="1"/>
  <c r="AO232" i="15" s="1"/>
  <c r="Z233" i="15"/>
  <c r="AB233" i="15" s="1"/>
  <c r="AO233" i="15" s="1"/>
  <c r="AA507" i="15"/>
  <c r="AC507" i="15" s="1"/>
  <c r="AP507" i="15" s="1"/>
  <c r="Z65" i="15"/>
  <c r="AB65" i="15" s="1"/>
  <c r="AO65" i="15" s="1"/>
  <c r="Z20" i="63"/>
  <c r="AB20" i="63" s="1"/>
  <c r="AO20" i="63" s="1"/>
  <c r="AA19" i="46"/>
  <c r="AC19" i="46" s="1"/>
  <c r="AP19" i="46" s="1"/>
  <c r="AA330" i="15"/>
  <c r="AC330" i="15" s="1"/>
  <c r="AP330" i="15" s="1"/>
  <c r="Z204" i="15"/>
  <c r="AB204" i="15" s="1"/>
  <c r="AO204" i="15" s="1"/>
  <c r="AA491" i="15"/>
  <c r="AC491" i="15" s="1"/>
  <c r="AP491" i="15" s="1"/>
  <c r="AA514" i="15"/>
  <c r="AC514" i="15" s="1"/>
  <c r="AP514" i="15" s="1"/>
  <c r="Z138" i="15"/>
  <c r="AB138" i="15" s="1"/>
  <c r="AO138" i="15" s="1"/>
  <c r="AA295" i="15"/>
  <c r="AC295" i="15" s="1"/>
  <c r="AP295" i="15" s="1"/>
  <c r="Z92" i="15"/>
  <c r="AB92" i="15" s="1"/>
  <c r="AO92" i="15" s="1"/>
  <c r="AA151" i="15"/>
  <c r="AC151" i="15" s="1"/>
  <c r="AP151" i="15" s="1"/>
  <c r="Z169" i="15"/>
  <c r="AB169" i="15" s="1"/>
  <c r="AO169" i="15" s="1"/>
  <c r="Z5" i="23"/>
  <c r="AB5" i="23" s="1"/>
  <c r="AO5" i="23" s="1"/>
  <c r="Z493" i="15"/>
  <c r="AB493" i="15" s="1"/>
  <c r="AO493" i="15" s="1"/>
  <c r="AA345" i="15"/>
  <c r="AC345" i="15" s="1"/>
  <c r="AP345" i="15" s="1"/>
  <c r="AA384" i="15"/>
  <c r="AC384" i="15" s="1"/>
  <c r="AP384" i="15" s="1"/>
  <c r="Z461" i="15"/>
  <c r="AB461" i="15" s="1"/>
  <c r="AO461" i="15" s="1"/>
  <c r="AA87" i="15"/>
  <c r="AC87" i="15" s="1"/>
  <c r="AP87" i="15" s="1"/>
  <c r="Z343" i="15"/>
  <c r="AB343" i="15" s="1"/>
  <c r="AO343" i="15" s="1"/>
  <c r="Z11" i="63"/>
  <c r="AB11" i="63" s="1"/>
  <c r="AO11" i="63" s="1"/>
  <c r="Z337" i="15"/>
  <c r="AB337" i="15" s="1"/>
  <c r="AO337" i="15" s="1"/>
  <c r="AA494" i="15"/>
  <c r="AC494" i="15" s="1"/>
  <c r="AP494" i="15" s="1"/>
  <c r="Z400" i="15"/>
  <c r="AB400" i="15" s="1"/>
  <c r="AO400" i="15" s="1"/>
  <c r="AA390" i="15"/>
  <c r="AC390" i="15" s="1"/>
  <c r="AP390" i="15" s="1"/>
  <c r="AA5" i="15"/>
  <c r="AC5" i="15" s="1"/>
  <c r="AP5" i="15" s="1"/>
  <c r="AA10" i="72"/>
  <c r="AC10" i="72" s="1"/>
  <c r="AP10" i="72" s="1"/>
  <c r="AA423" i="15"/>
  <c r="AC423" i="15" s="1"/>
  <c r="AP423" i="15" s="1"/>
  <c r="AA51" i="15"/>
  <c r="AC51" i="15" s="1"/>
  <c r="AP51" i="15" s="1"/>
  <c r="AA13" i="15"/>
  <c r="AC13" i="15" s="1"/>
  <c r="AP13" i="15" s="1"/>
  <c r="Z412" i="15"/>
  <c r="AB412" i="15" s="1"/>
  <c r="AO412" i="15" s="1"/>
  <c r="Z397" i="15"/>
  <c r="AB397" i="15" s="1"/>
  <c r="AO397" i="15" s="1"/>
  <c r="Z142" i="15"/>
  <c r="AB142" i="15" s="1"/>
  <c r="AO142" i="15" s="1"/>
  <c r="Z79" i="15"/>
  <c r="AB79" i="15" s="1"/>
  <c r="AO79" i="15" s="1"/>
  <c r="AA129" i="15"/>
  <c r="AC129" i="15" s="1"/>
  <c r="AP129" i="15" s="1"/>
  <c r="AA478" i="15"/>
  <c r="AC478" i="15" s="1"/>
  <c r="AP478" i="15" s="1"/>
  <c r="Z312" i="15"/>
  <c r="AB312" i="15" s="1"/>
  <c r="AO312" i="15" s="1"/>
  <c r="Z28" i="15"/>
  <c r="AB28" i="15" s="1"/>
  <c r="AO28" i="15" s="1"/>
  <c r="Z20" i="23"/>
  <c r="AB20" i="23" s="1"/>
  <c r="AO20" i="23" s="1"/>
  <c r="Z26" i="23"/>
  <c r="AB26" i="23" s="1"/>
  <c r="AO26" i="23" s="1"/>
  <c r="Z74" i="15"/>
  <c r="AB74" i="15" s="1"/>
  <c r="AO74" i="15" s="1"/>
  <c r="Z19" i="63"/>
  <c r="AB19" i="63" s="1"/>
  <c r="AO19" i="63" s="1"/>
  <c r="AA28" i="60"/>
  <c r="AC28" i="60" s="1"/>
  <c r="AP28" i="60" s="1"/>
  <c r="Z404" i="15"/>
  <c r="AB404" i="15" s="1"/>
  <c r="AO404" i="15" s="1"/>
  <c r="Z497" i="15"/>
  <c r="AB497" i="15" s="1"/>
  <c r="AO497" i="15" s="1"/>
  <c r="Z286" i="15"/>
  <c r="AB286" i="15" s="1"/>
  <c r="AO286" i="15" s="1"/>
  <c r="AA8" i="15"/>
  <c r="AC8" i="15" s="1"/>
  <c r="AP8" i="15" s="1"/>
  <c r="Z208" i="15"/>
  <c r="AB208" i="15" s="1"/>
  <c r="AO208" i="15" s="1"/>
  <c r="AA139" i="15"/>
  <c r="AC139" i="15" s="1"/>
  <c r="AP139" i="15" s="1"/>
  <c r="Z300" i="15"/>
  <c r="AB300" i="15" s="1"/>
  <c r="AO300" i="15" s="1"/>
  <c r="Z309" i="15"/>
  <c r="AB309" i="15" s="1"/>
  <c r="AO309" i="15" s="1"/>
  <c r="AA483" i="15"/>
  <c r="AC483" i="15" s="1"/>
  <c r="AP483" i="15" s="1"/>
  <c r="Z170" i="15"/>
  <c r="AB170" i="15" s="1"/>
  <c r="AO170" i="15" s="1"/>
  <c r="AA152" i="15"/>
  <c r="AC152" i="15" s="1"/>
  <c r="AP152" i="15" s="1"/>
  <c r="S7" i="67"/>
  <c r="M9" i="2"/>
  <c r="T7" i="67"/>
  <c r="S22" i="67"/>
  <c r="Z248" i="15"/>
  <c r="AB248" i="15" s="1"/>
  <c r="AO248" i="15" s="1"/>
  <c r="AA27" i="15"/>
  <c r="AC27" i="15" s="1"/>
  <c r="AP27" i="15" s="1"/>
  <c r="Z172" i="15"/>
  <c r="AB172" i="15" s="1"/>
  <c r="AO172" i="15" s="1"/>
  <c r="AA128" i="15"/>
  <c r="AC128" i="15" s="1"/>
  <c r="AP128" i="15" s="1"/>
  <c r="Z30" i="15"/>
  <c r="AB30" i="15" s="1"/>
  <c r="AO30" i="15" s="1"/>
  <c r="AA101" i="15"/>
  <c r="AC101" i="15" s="1"/>
  <c r="AP101" i="15" s="1"/>
  <c r="Z436" i="15"/>
  <c r="AB436" i="15" s="1"/>
  <c r="AO436" i="15" s="1"/>
  <c r="Z372" i="15"/>
  <c r="AB372" i="15" s="1"/>
  <c r="AO372" i="15" s="1"/>
  <c r="Z214" i="15"/>
  <c r="AB214" i="15" s="1"/>
  <c r="AO214" i="15" s="1"/>
  <c r="Z162" i="15"/>
  <c r="AB162" i="15" s="1"/>
  <c r="AO162" i="15" s="1"/>
  <c r="Z476" i="15"/>
  <c r="AB476" i="15" s="1"/>
  <c r="AO476" i="15" s="1"/>
  <c r="Z57" i="15"/>
  <c r="AB57" i="15" s="1"/>
  <c r="AO57" i="15" s="1"/>
  <c r="AA23" i="15"/>
  <c r="AC23" i="15" s="1"/>
  <c r="Z405" i="15"/>
  <c r="AB405" i="15" s="1"/>
  <c r="AO405" i="15" s="1"/>
  <c r="Z18" i="15"/>
  <c r="AB18" i="15" s="1"/>
  <c r="AO18" i="15" s="1"/>
  <c r="Z59" i="15"/>
  <c r="AB59" i="15" s="1"/>
  <c r="AO59" i="15" s="1"/>
  <c r="AA68" i="15"/>
  <c r="AC68" i="15" s="1"/>
  <c r="AP68" i="15" s="1"/>
  <c r="Z47" i="15"/>
  <c r="AB47" i="15" s="1"/>
  <c r="AO47" i="15" s="1"/>
  <c r="Z274" i="15"/>
  <c r="AB274" i="15" s="1"/>
  <c r="AO274" i="15" s="1"/>
  <c r="AA472" i="15"/>
  <c r="AC472" i="15" s="1"/>
  <c r="AP472" i="15" s="1"/>
  <c r="AA9" i="15"/>
  <c r="AC9" i="15" s="1"/>
  <c r="AP9" i="15" s="1"/>
  <c r="AA407" i="15"/>
  <c r="AC407" i="15" s="1"/>
  <c r="AP407" i="15" s="1"/>
  <c r="AA20" i="55"/>
  <c r="AC20" i="55" s="1"/>
  <c r="AP20" i="55" s="1"/>
  <c r="AA266" i="15"/>
  <c r="AC266" i="15" s="1"/>
  <c r="AP266" i="15" s="1"/>
  <c r="Z42" i="15"/>
  <c r="AB42" i="15" s="1"/>
  <c r="AO42" i="15" s="1"/>
  <c r="Z388" i="15"/>
  <c r="AB388" i="15" s="1"/>
  <c r="AO388" i="15" s="1"/>
  <c r="AA411" i="15"/>
  <c r="AC411" i="15" s="1"/>
  <c r="AP411" i="15" s="1"/>
  <c r="Z36" i="15"/>
  <c r="AB36" i="15" s="1"/>
  <c r="AO36" i="15" s="1"/>
  <c r="AA150" i="15"/>
  <c r="AC150" i="15" s="1"/>
  <c r="AP150" i="15" s="1"/>
  <c r="AA334" i="15"/>
  <c r="AC334" i="15" s="1"/>
  <c r="AP334" i="15" s="1"/>
  <c r="Z364" i="15"/>
  <c r="AB364" i="15" s="1"/>
  <c r="AO364" i="15" s="1"/>
  <c r="Z409" i="15"/>
  <c r="AB409" i="15" s="1"/>
  <c r="AO409" i="15" s="1"/>
  <c r="AA311" i="15"/>
  <c r="AC311" i="15" s="1"/>
  <c r="AP311" i="15" s="1"/>
  <c r="Z230" i="15"/>
  <c r="AB230" i="15" s="1"/>
  <c r="AO230" i="15" s="1"/>
  <c r="Z100" i="15"/>
  <c r="AB100" i="15" s="1"/>
  <c r="AO100" i="15" s="1"/>
  <c r="Z433" i="15"/>
  <c r="AB433" i="15" s="1"/>
  <c r="AO433" i="15" s="1"/>
  <c r="AA475" i="15"/>
  <c r="AC475" i="15" s="1"/>
  <c r="AP475" i="15" s="1"/>
  <c r="Z8" i="72"/>
  <c r="AB8" i="72" s="1"/>
  <c r="AO8" i="72" s="1"/>
  <c r="Z236" i="15"/>
  <c r="AB236" i="15" s="1"/>
  <c r="AO236" i="15" s="1"/>
  <c r="R8" i="67"/>
  <c r="V8" i="67" s="1"/>
  <c r="O9" i="2" s="1"/>
  <c r="O7" i="67"/>
  <c r="Z33" i="15"/>
  <c r="AB33" i="15" s="1"/>
  <c r="AO33" i="15" s="1"/>
  <c r="Z336" i="15"/>
  <c r="AB336" i="15" s="1"/>
  <c r="AO336" i="15" s="1"/>
  <c r="Z96" i="15"/>
  <c r="AB96" i="15" s="1"/>
  <c r="AO96" i="15" s="1"/>
  <c r="AA342" i="15"/>
  <c r="AC342" i="15" s="1"/>
  <c r="AP342" i="15" s="1"/>
  <c r="Z5" i="72"/>
  <c r="AB5" i="72" s="1"/>
  <c r="AO5" i="72" s="1"/>
  <c r="Z333" i="15"/>
  <c r="AB333" i="15" s="1"/>
  <c r="AO333" i="15" s="1"/>
  <c r="AA426" i="15"/>
  <c r="AC426" i="15" s="1"/>
  <c r="AP426" i="15" s="1"/>
  <c r="AA307" i="15"/>
  <c r="AC307" i="15" s="1"/>
  <c r="AP307" i="15" s="1"/>
  <c r="AA55" i="15"/>
  <c r="AC55" i="15" s="1"/>
  <c r="AP55" i="15" s="1"/>
  <c r="I7" i="67"/>
  <c r="AA287" i="15"/>
  <c r="AC287" i="15" s="1"/>
  <c r="AP287" i="15" s="1"/>
  <c r="AA7" i="72"/>
  <c r="AC7" i="72" s="1"/>
  <c r="AP7" i="72" s="1"/>
  <c r="Z369" i="15"/>
  <c r="AB369" i="15" s="1"/>
  <c r="AO369" i="15" s="1"/>
  <c r="Z197" i="15"/>
  <c r="AB197" i="15" s="1"/>
  <c r="AO197" i="15" s="1"/>
  <c r="AA179" i="15"/>
  <c r="AC179" i="15" s="1"/>
  <c r="AP179" i="15" s="1"/>
  <c r="Z492" i="15"/>
  <c r="AB492" i="15" s="1"/>
  <c r="AO492" i="15" s="1"/>
  <c r="Z6" i="46"/>
  <c r="AB6" i="46" s="1"/>
  <c r="AO6" i="46" s="1"/>
  <c r="AA109" i="15"/>
  <c r="AC109" i="15" s="1"/>
  <c r="AP109" i="15" s="1"/>
  <c r="Z180" i="15"/>
  <c r="AB180" i="15" s="1"/>
  <c r="AO180" i="15" s="1"/>
  <c r="Q8" i="67"/>
  <c r="N7" i="67"/>
  <c r="Q7" i="67" s="1"/>
  <c r="T7" i="68"/>
  <c r="AA448" i="15"/>
  <c r="AC448" i="15" s="1"/>
  <c r="AP448" i="15" s="1"/>
  <c r="AA187" i="15"/>
  <c r="AC187" i="15" s="1"/>
  <c r="AP187" i="15" s="1"/>
  <c r="AA304" i="15"/>
  <c r="AC304" i="15" s="1"/>
  <c r="AP304" i="15" s="1"/>
  <c r="Z35" i="15"/>
  <c r="AB35" i="15" s="1"/>
  <c r="AO35" i="15" s="1"/>
  <c r="Z132" i="15"/>
  <c r="AB132" i="15" s="1"/>
  <c r="AO132" i="15" s="1"/>
  <c r="Z94" i="15"/>
  <c r="AB94" i="15" s="1"/>
  <c r="AO94" i="15" s="1"/>
  <c r="Z316" i="15"/>
  <c r="AB316" i="15" s="1"/>
  <c r="AO316" i="15" s="1"/>
  <c r="Z328" i="15"/>
  <c r="AB328" i="15" s="1"/>
  <c r="AO328" i="15" s="1"/>
  <c r="Z385" i="15"/>
  <c r="AB385" i="15" s="1"/>
  <c r="AO385" i="15" s="1"/>
  <c r="AA190" i="15"/>
  <c r="AC190" i="15" s="1"/>
  <c r="AP190" i="15" s="1"/>
  <c r="Z255" i="15"/>
  <c r="AB255" i="15" s="1"/>
  <c r="AO255" i="15" s="1"/>
  <c r="Z161" i="15"/>
  <c r="AB161" i="15" s="1"/>
  <c r="AO161" i="15" s="1"/>
  <c r="AA174" i="15"/>
  <c r="AC174" i="15" s="1"/>
  <c r="AP174" i="15" s="1"/>
  <c r="AA159" i="15"/>
  <c r="AC159" i="15" s="1"/>
  <c r="AP159" i="15" s="1"/>
  <c r="Z452" i="15"/>
  <c r="AB452" i="15" s="1"/>
  <c r="AO452" i="15" s="1"/>
  <c r="AA118" i="15"/>
  <c r="AC118" i="15" s="1"/>
  <c r="AP118" i="15" s="1"/>
  <c r="AA119" i="15"/>
  <c r="AC119" i="15" s="1"/>
  <c r="AP119" i="15" s="1"/>
  <c r="D45" i="2"/>
  <c r="AA117" i="15"/>
  <c r="AC117" i="15" s="1"/>
  <c r="AP117" i="15" s="1"/>
  <c r="AA254" i="15"/>
  <c r="AC254" i="15" s="1"/>
  <c r="AP254" i="15" s="1"/>
  <c r="Z24" i="15"/>
  <c r="AB24" i="15" s="1"/>
  <c r="AO24" i="15" s="1"/>
  <c r="AA211" i="15"/>
  <c r="AC211" i="15" s="1"/>
  <c r="AP211" i="15" s="1"/>
  <c r="AA143" i="15"/>
  <c r="AC143" i="15" s="1"/>
  <c r="AP143" i="15" s="1"/>
  <c r="Z296" i="15"/>
  <c r="AB296" i="15" s="1"/>
  <c r="AO296" i="15" s="1"/>
  <c r="N48" i="68"/>
  <c r="Z241" i="15"/>
  <c r="AB241" i="15" s="1"/>
  <c r="AO241" i="15" s="1"/>
  <c r="Z89" i="15"/>
  <c r="AB89" i="15" s="1"/>
  <c r="AO89" i="15" s="1"/>
  <c r="Z17" i="3"/>
  <c r="AB17" i="3" s="1"/>
  <c r="AO17" i="3" s="1"/>
  <c r="Z353" i="15"/>
  <c r="AB353" i="15" s="1"/>
  <c r="AO353" i="15" s="1"/>
  <c r="Z366" i="15"/>
  <c r="AB366" i="15" s="1"/>
  <c r="AO366" i="15" s="1"/>
  <c r="Z441" i="15"/>
  <c r="AB441" i="15" s="1"/>
  <c r="AO441" i="15" s="1"/>
  <c r="AA19" i="72"/>
  <c r="AC19" i="72" s="1"/>
  <c r="AP19" i="72" s="1"/>
  <c r="Z24" i="32"/>
  <c r="AB24" i="32" s="1"/>
  <c r="AO24" i="32" s="1"/>
  <c r="Z104" i="15"/>
  <c r="AB104" i="15" s="1"/>
  <c r="AO104" i="15" s="1"/>
  <c r="Z22" i="3"/>
  <c r="AB22" i="3" s="1"/>
  <c r="AO22" i="3" s="1"/>
  <c r="AA463" i="15"/>
  <c r="AC463" i="15" s="1"/>
  <c r="AP463" i="15" s="1"/>
  <c r="Z154" i="15"/>
  <c r="AB154" i="15" s="1"/>
  <c r="AO154" i="15" s="1"/>
  <c r="Z477" i="15"/>
  <c r="AB477" i="15" s="1"/>
  <c r="AO477" i="15" s="1"/>
  <c r="AA442" i="15"/>
  <c r="AC442" i="15" s="1"/>
  <c r="AP442" i="15" s="1"/>
  <c r="AA218" i="15"/>
  <c r="AC218" i="15" s="1"/>
  <c r="AP218" i="15" s="1"/>
  <c r="AA375" i="15"/>
  <c r="AC375" i="15" s="1"/>
  <c r="AP375" i="15" s="1"/>
  <c r="Z468" i="15"/>
  <c r="AB468" i="15" s="1"/>
  <c r="AO468" i="15" s="1"/>
  <c r="Z350" i="15"/>
  <c r="AB350" i="15" s="1"/>
  <c r="AO350" i="15" s="1"/>
  <c r="AA21" i="15"/>
  <c r="AC21" i="15" s="1"/>
  <c r="AP21" i="15" s="1"/>
  <c r="Z23" i="72"/>
  <c r="AB23" i="72" s="1"/>
  <c r="AO23" i="72" s="1"/>
  <c r="AA171" i="15"/>
  <c r="AC171" i="15" s="1"/>
  <c r="AP171" i="15" s="1"/>
  <c r="AA10" i="55"/>
  <c r="AC10" i="55" s="1"/>
  <c r="AP10" i="55" s="1"/>
  <c r="Z269" i="15"/>
  <c r="AB269" i="15" s="1"/>
  <c r="AO269" i="15" s="1"/>
  <c r="Z137" i="15"/>
  <c r="AB137" i="15" s="1"/>
  <c r="AO137" i="15" s="1"/>
  <c r="AA434" i="15"/>
  <c r="AC434" i="15" s="1"/>
  <c r="AP434" i="15" s="1"/>
  <c r="AA14" i="55"/>
  <c r="AC14" i="55" s="1"/>
  <c r="AP14" i="55" s="1"/>
  <c r="AA17" i="28"/>
  <c r="AC17" i="28" s="1"/>
  <c r="AP17" i="28" s="1"/>
  <c r="AA430" i="15"/>
  <c r="AC430" i="15" s="1"/>
  <c r="AP430" i="15" s="1"/>
  <c r="Z20" i="3"/>
  <c r="AB20" i="3" s="1"/>
  <c r="AO20" i="3" s="1"/>
  <c r="AA346" i="15"/>
  <c r="AC346" i="15" s="1"/>
  <c r="AP346" i="15" s="1"/>
  <c r="AA102" i="15"/>
  <c r="AC102" i="15" s="1"/>
  <c r="AP102" i="15" s="1"/>
  <c r="Z435" i="15"/>
  <c r="AB435" i="15" s="1"/>
  <c r="AO435" i="15" s="1"/>
  <c r="AA271" i="15"/>
  <c r="AC271" i="15" s="1"/>
  <c r="AP271" i="15" s="1"/>
  <c r="AA244" i="15"/>
  <c r="AC244" i="15" s="1"/>
  <c r="AP244" i="15" s="1"/>
  <c r="Z268" i="15"/>
  <c r="AB268" i="15" s="1"/>
  <c r="AO268" i="15" s="1"/>
  <c r="Z144" i="15"/>
  <c r="AB144" i="15" s="1"/>
  <c r="AO144" i="15" s="1"/>
  <c r="Z226" i="15"/>
  <c r="AB226" i="15" s="1"/>
  <c r="AO226" i="15" s="1"/>
  <c r="AA194" i="15"/>
  <c r="AC194" i="15" s="1"/>
  <c r="AP194" i="15" s="1"/>
  <c r="Z61" i="15"/>
  <c r="AB61" i="15" s="1"/>
  <c r="AO61" i="15" s="1"/>
  <c r="Z153" i="15"/>
  <c r="AB153" i="15" s="1"/>
  <c r="AO153" i="15" s="1"/>
  <c r="AA315" i="15"/>
  <c r="AC315" i="15" s="1"/>
  <c r="AP315" i="15" s="1"/>
  <c r="Z469" i="15"/>
  <c r="AB469" i="15" s="1"/>
  <c r="AO469" i="15" s="1"/>
  <c r="Z53" i="15"/>
  <c r="AB53" i="15" s="1"/>
  <c r="AO53" i="15" s="1"/>
  <c r="AA14" i="71"/>
  <c r="AC14" i="71" s="1"/>
  <c r="AP14" i="71" s="1"/>
  <c r="AA270" i="15"/>
  <c r="AC270" i="15" s="1"/>
  <c r="AP270" i="15" s="1"/>
  <c r="AA243" i="15"/>
  <c r="AC243" i="15" s="1"/>
  <c r="AP243" i="15" s="1"/>
  <c r="AA200" i="15"/>
  <c r="AC200" i="15" s="1"/>
  <c r="AP200" i="15" s="1"/>
  <c r="Z73" i="15"/>
  <c r="AB73" i="15" s="1"/>
  <c r="AO73" i="15" s="1"/>
  <c r="AA439" i="15"/>
  <c r="AC439" i="15" s="1"/>
  <c r="AP439" i="15" s="1"/>
  <c r="AA70" i="15"/>
  <c r="AC70" i="15" s="1"/>
  <c r="AP70" i="15" s="1"/>
  <c r="AA199" i="15"/>
  <c r="AC199" i="15" s="1"/>
  <c r="AP199" i="15" s="1"/>
  <c r="Z14" i="72"/>
  <c r="AB14" i="72" s="1"/>
  <c r="AO14" i="72" s="1"/>
  <c r="AA371" i="15"/>
  <c r="AC371" i="15" s="1"/>
  <c r="AP371" i="15" s="1"/>
  <c r="AA178" i="15"/>
  <c r="AC178" i="15" s="1"/>
  <c r="AP178" i="15" s="1"/>
  <c r="Z484" i="15"/>
  <c r="AB484" i="15" s="1"/>
  <c r="AO484" i="15" s="1"/>
  <c r="Z38" i="60"/>
  <c r="AB38" i="60" s="1"/>
  <c r="AO38" i="60" s="1"/>
  <c r="AA41" i="13"/>
  <c r="AC41" i="13" s="1"/>
  <c r="AP41" i="13" s="1"/>
  <c r="Z216" i="15"/>
  <c r="AB216" i="15" s="1"/>
  <c r="AO216" i="15" s="1"/>
  <c r="Z464" i="15"/>
  <c r="AB464" i="15" s="1"/>
  <c r="AO464" i="15" s="1"/>
  <c r="AA373" i="15"/>
  <c r="AC373" i="15" s="1"/>
  <c r="AP373" i="15" s="1"/>
  <c r="AA498" i="15"/>
  <c r="AC498" i="15" s="1"/>
  <c r="AP498" i="15" s="1"/>
  <c r="Z25" i="15"/>
  <c r="AB25" i="15" s="1"/>
  <c r="AO25" i="15" s="1"/>
  <c r="Z58" i="15"/>
  <c r="AB58" i="15" s="1"/>
  <c r="AO58" i="15" s="1"/>
  <c r="AA9" i="72"/>
  <c r="AC9" i="72" s="1"/>
  <c r="AP9" i="72" s="1"/>
  <c r="Z228" i="15"/>
  <c r="AB228" i="15" s="1"/>
  <c r="AO228" i="15" s="1"/>
  <c r="Z48" i="15"/>
  <c r="AB48" i="15" s="1"/>
  <c r="AO48" i="15" s="1"/>
  <c r="Z164" i="15"/>
  <c r="AB164" i="15" s="1"/>
  <c r="AO164" i="15" s="1"/>
  <c r="Z21" i="55"/>
  <c r="AB21" i="55" s="1"/>
  <c r="AO21" i="55" s="1"/>
  <c r="Z185" i="15"/>
  <c r="AB185" i="15" s="1"/>
  <c r="AO185" i="15" s="1"/>
  <c r="AA183" i="15"/>
  <c r="AC183" i="15" s="1"/>
  <c r="AP183" i="15" s="1"/>
  <c r="AA402" i="15"/>
  <c r="AC402" i="15" s="1"/>
  <c r="AP402" i="15" s="1"/>
  <c r="Z15" i="55"/>
  <c r="AB15" i="55" s="1"/>
  <c r="AO15" i="55" s="1"/>
  <c r="AA418" i="15"/>
  <c r="AC418" i="15" s="1"/>
  <c r="AP418" i="15" s="1"/>
  <c r="Z280" i="15"/>
  <c r="AB280" i="15" s="1"/>
  <c r="AO280" i="15" s="1"/>
  <c r="AA11" i="15"/>
  <c r="AC11" i="15" s="1"/>
  <c r="AP11" i="15" s="1"/>
  <c r="Z440" i="15"/>
  <c r="AB440" i="15" s="1"/>
  <c r="AO440" i="15" s="1"/>
  <c r="Z148" i="15"/>
  <c r="AB148" i="15" s="1"/>
  <c r="AO148" i="15" s="1"/>
  <c r="AA156" i="15"/>
  <c r="AC156" i="15" s="1"/>
  <c r="AP156" i="15" s="1"/>
  <c r="Z16" i="38"/>
  <c r="AB16" i="38" s="1"/>
  <c r="AO16" i="38" s="1"/>
  <c r="Z508" i="15"/>
  <c r="AB508" i="15" s="1"/>
  <c r="AO508" i="15" s="1"/>
  <c r="AA39" i="28"/>
  <c r="AC39" i="28" s="1"/>
  <c r="AP39" i="28" s="1"/>
  <c r="AA495" i="15"/>
  <c r="AC495" i="15" s="1"/>
  <c r="AP495" i="15" s="1"/>
  <c r="Z16" i="6"/>
  <c r="AB16" i="6" s="1"/>
  <c r="AO16" i="6" s="1"/>
  <c r="AA8" i="34"/>
  <c r="AC8" i="34" s="1"/>
  <c r="AP8" i="34" s="1"/>
  <c r="Z14" i="6"/>
  <c r="AB14" i="6" s="1"/>
  <c r="AO14" i="6" s="1"/>
  <c r="Z5" i="71"/>
  <c r="AB5" i="71" s="1"/>
  <c r="AO5" i="71" s="1"/>
  <c r="Z53" i="46"/>
  <c r="AB53" i="46" s="1"/>
  <c r="AO53" i="46" s="1"/>
  <c r="Z383" i="15"/>
  <c r="AB383" i="15" s="1"/>
  <c r="AO383" i="15" s="1"/>
  <c r="AA45" i="15"/>
  <c r="AC45" i="15" s="1"/>
  <c r="AP45" i="15" s="1"/>
  <c r="AA282" i="15"/>
  <c r="AC282" i="15" s="1"/>
  <c r="AP282" i="15" s="1"/>
  <c r="AA131" i="15"/>
  <c r="AC131" i="15" s="1"/>
  <c r="AP131" i="15" s="1"/>
  <c r="Z13" i="30"/>
  <c r="AB13" i="30" s="1"/>
  <c r="AO13" i="30" s="1"/>
  <c r="Z16" i="15"/>
  <c r="AB16" i="15" s="1"/>
  <c r="AO16" i="15" s="1"/>
  <c r="Z449" i="15"/>
  <c r="AB449" i="15" s="1"/>
  <c r="AO449" i="15" s="1"/>
  <c r="AA414" i="15"/>
  <c r="AC414" i="15" s="1"/>
  <c r="AP414" i="15" s="1"/>
  <c r="Z272" i="15"/>
  <c r="AB272" i="15" s="1"/>
  <c r="AO272" i="15" s="1"/>
  <c r="AA195" i="15"/>
  <c r="AC195" i="15" s="1"/>
  <c r="AP195" i="15" s="1"/>
  <c r="Z285" i="15"/>
  <c r="AB285" i="15" s="1"/>
  <c r="AO285" i="15" s="1"/>
  <c r="AA10" i="15"/>
  <c r="AC10" i="15" s="1"/>
  <c r="AP10" i="15" s="1"/>
  <c r="AA394" i="15"/>
  <c r="AC394" i="15" s="1"/>
  <c r="AP394" i="15" s="1"/>
  <c r="Z444" i="15"/>
  <c r="AB444" i="15" s="1"/>
  <c r="AO444" i="15" s="1"/>
  <c r="Z21" i="6"/>
  <c r="AB21" i="6" s="1"/>
  <c r="AO21" i="6" s="1"/>
  <c r="AA95" i="15"/>
  <c r="AC95" i="15" s="1"/>
  <c r="AP95" i="15" s="1"/>
  <c r="Z356" i="15"/>
  <c r="AB356" i="15" s="1"/>
  <c r="AO356" i="15" s="1"/>
  <c r="Z184" i="15"/>
  <c r="AB184" i="15" s="1"/>
  <c r="AO184" i="15" s="1"/>
  <c r="AA46" i="60"/>
  <c r="AC46" i="60" s="1"/>
  <c r="AP46" i="60" s="1"/>
  <c r="AA382" i="15"/>
  <c r="AC382" i="15" s="1"/>
  <c r="AP382" i="15" s="1"/>
  <c r="Z310" i="15"/>
  <c r="AB310" i="15" s="1"/>
  <c r="AO310" i="15" s="1"/>
  <c r="AA234" i="15"/>
  <c r="AC234" i="15" s="1"/>
  <c r="AP234" i="15" s="1"/>
  <c r="AA379" i="15"/>
  <c r="AC379" i="15" s="1"/>
  <c r="AP379" i="15" s="1"/>
  <c r="AA502" i="15"/>
  <c r="AC502" i="15" s="1"/>
  <c r="AP502" i="15" s="1"/>
  <c r="Z46" i="15"/>
  <c r="AB46" i="15" s="1"/>
  <c r="AO46" i="15" s="1"/>
  <c r="Z260" i="15"/>
  <c r="AB260" i="15" s="1"/>
  <c r="AO260" i="15" s="1"/>
  <c r="AA482" i="15"/>
  <c r="AC482" i="15" s="1"/>
  <c r="AP482" i="15" s="1"/>
  <c r="AA291" i="15"/>
  <c r="AC291" i="15" s="1"/>
  <c r="AP291" i="15" s="1"/>
  <c r="Z253" i="15"/>
  <c r="AB253" i="15" s="1"/>
  <c r="AO253" i="15" s="1"/>
  <c r="Z288" i="15"/>
  <c r="AB288" i="15" s="1"/>
  <c r="AO288" i="15" s="1"/>
  <c r="AA43" i="15"/>
  <c r="AC43" i="15" s="1"/>
  <c r="AP43" i="15" s="1"/>
  <c r="Z176" i="15"/>
  <c r="AB176" i="15" s="1"/>
  <c r="AO176" i="15" s="1"/>
  <c r="AA111" i="15"/>
  <c r="AC111" i="15" s="1"/>
  <c r="AP111" i="15" s="1"/>
  <c r="AA374" i="15"/>
  <c r="AC374" i="15" s="1"/>
  <c r="AP374" i="15" s="1"/>
  <c r="Z20" i="6"/>
  <c r="AB20" i="6" s="1"/>
  <c r="AO20" i="6" s="1"/>
  <c r="Z485" i="15"/>
  <c r="AB485" i="15" s="1"/>
  <c r="AO485" i="15" s="1"/>
  <c r="AA67" i="15"/>
  <c r="AC67" i="15" s="1"/>
  <c r="AP67" i="15" s="1"/>
  <c r="Z6" i="55"/>
  <c r="AB6" i="55" s="1"/>
  <c r="AO6" i="55" s="1"/>
  <c r="Z22" i="72"/>
  <c r="AB22" i="72" s="1"/>
  <c r="AO22" i="72" s="1"/>
  <c r="Z481" i="15"/>
  <c r="AB481" i="15" s="1"/>
  <c r="AO481" i="15" s="1"/>
  <c r="AA165" i="15"/>
  <c r="AC165" i="15" s="1"/>
  <c r="AP165" i="15" s="1"/>
  <c r="AA279" i="15"/>
  <c r="AC279" i="15" s="1"/>
  <c r="AP279" i="15" s="1"/>
  <c r="Z501" i="15"/>
  <c r="AB501" i="15" s="1"/>
  <c r="AO501" i="15" s="1"/>
  <c r="AA147" i="15"/>
  <c r="AC147" i="15" s="1"/>
  <c r="AP147" i="15" s="1"/>
  <c r="Z29" i="60"/>
  <c r="AB29" i="60" s="1"/>
  <c r="AO29" i="60" s="1"/>
  <c r="Z443" i="15"/>
  <c r="AB443" i="15" s="1"/>
  <c r="AO443" i="15" s="1"/>
  <c r="AA212" i="15"/>
  <c r="AC212" i="15" s="1"/>
  <c r="AP212" i="15" s="1"/>
  <c r="Z41" i="15"/>
  <c r="AB41" i="15" s="1"/>
  <c r="AO41" i="15" s="1"/>
  <c r="Z82" i="15"/>
  <c r="AB82" i="15" s="1"/>
  <c r="AO82" i="15" s="1"/>
  <c r="AA39" i="32"/>
  <c r="AC39" i="32" s="1"/>
  <c r="AP39" i="32" s="1"/>
  <c r="Z6" i="72"/>
  <c r="AB6" i="72" s="1"/>
  <c r="AO6" i="72" s="1"/>
  <c r="Z445" i="15"/>
  <c r="AB445" i="15" s="1"/>
  <c r="AO445" i="15" s="1"/>
  <c r="AA511" i="15"/>
  <c r="AC511" i="15" s="1"/>
  <c r="AP511" i="15" s="1"/>
  <c r="AA12" i="55"/>
  <c r="AC12" i="55" s="1"/>
  <c r="AP12" i="55" s="1"/>
  <c r="Z252" i="15"/>
  <c r="AB252" i="15" s="1"/>
  <c r="AO252" i="15" s="1"/>
  <c r="Z198" i="15"/>
  <c r="AB198" i="15" s="1"/>
  <c r="AO198" i="15" s="1"/>
  <c r="AA222" i="15"/>
  <c r="AC222" i="15" s="1"/>
  <c r="AP222" i="15" s="1"/>
  <c r="Z52" i="15"/>
  <c r="AB52" i="15" s="1"/>
  <c r="AO52" i="15" s="1"/>
  <c r="AA354" i="15"/>
  <c r="AC354" i="15" s="1"/>
  <c r="AP354" i="15" s="1"/>
  <c r="Z84" i="15"/>
  <c r="AB84" i="15" s="1"/>
  <c r="AO84" i="15" s="1"/>
  <c r="AA378" i="15"/>
  <c r="AC378" i="15" s="1"/>
  <c r="AP378" i="15" s="1"/>
  <c r="Z512" i="15"/>
  <c r="AB512" i="15" s="1"/>
  <c r="AO512" i="15" s="1"/>
  <c r="Z408" i="15"/>
  <c r="AB408" i="15" s="1"/>
  <c r="AO408" i="15" s="1"/>
  <c r="AA302" i="15"/>
  <c r="AC302" i="15" s="1"/>
  <c r="AP302" i="15" s="1"/>
  <c r="Z80" i="15"/>
  <c r="AB80" i="15" s="1"/>
  <c r="AO80" i="15" s="1"/>
  <c r="AA258" i="15"/>
  <c r="AC258" i="15" s="1"/>
  <c r="AP258" i="15" s="1"/>
  <c r="AA175" i="15"/>
  <c r="AC175" i="15" s="1"/>
  <c r="AP175" i="15" s="1"/>
  <c r="Z509" i="15"/>
  <c r="AB509" i="15" s="1"/>
  <c r="AO509" i="15" s="1"/>
  <c r="AA78" i="15"/>
  <c r="AC78" i="15" s="1"/>
  <c r="AP78" i="15" s="1"/>
  <c r="AA134" i="15"/>
  <c r="AC134" i="15" s="1"/>
  <c r="AP134" i="15" s="1"/>
  <c r="Z15" i="27"/>
  <c r="AB15" i="27" s="1"/>
  <c r="AO15" i="27" s="1"/>
  <c r="Z124" i="15"/>
  <c r="AB124" i="15" s="1"/>
  <c r="AO124" i="15" s="1"/>
  <c r="Z7" i="3"/>
  <c r="AB7" i="3" s="1"/>
  <c r="AO7" i="3" s="1"/>
  <c r="AA250" i="15"/>
  <c r="AC250" i="15" s="1"/>
  <c r="AP250" i="15" s="1"/>
  <c r="AA450" i="15"/>
  <c r="AC450" i="15" s="1"/>
  <c r="AP450" i="15" s="1"/>
  <c r="AA219" i="15"/>
  <c r="AC219" i="15" s="1"/>
  <c r="AP219" i="15" s="1"/>
  <c r="Z146" i="15"/>
  <c r="AB146" i="15" s="1"/>
  <c r="AO146" i="15" s="1"/>
  <c r="AA515" i="15"/>
  <c r="AC515" i="15" s="1"/>
  <c r="AP515" i="15" s="1"/>
  <c r="Z21" i="71"/>
  <c r="AB21" i="71" s="1"/>
  <c r="AO21" i="71" s="1"/>
  <c r="Z21" i="72"/>
  <c r="AB21" i="72" s="1"/>
  <c r="AO21" i="72" s="1"/>
  <c r="AA12" i="15"/>
  <c r="AC12" i="15" s="1"/>
  <c r="AP12" i="15" s="1"/>
  <c r="AA88" i="30"/>
  <c r="AC88" i="30" s="1"/>
  <c r="AP88" i="30" s="1"/>
  <c r="Z60" i="15"/>
  <c r="AB60" i="15" s="1"/>
  <c r="AO60" i="15" s="1"/>
  <c r="AA9" i="38"/>
  <c r="AC9" i="38" s="1"/>
  <c r="AP9" i="38" s="1"/>
  <c r="AA112" i="15"/>
  <c r="AC112" i="15" s="1"/>
  <c r="AP112" i="15" s="1"/>
  <c r="Z363" i="15"/>
  <c r="AB363" i="15" s="1"/>
  <c r="AO363" i="15" s="1"/>
  <c r="Z51" i="65"/>
  <c r="AB51" i="65" s="1"/>
  <c r="AO51" i="65" s="1"/>
  <c r="Z338" i="15"/>
  <c r="AB338" i="15" s="1"/>
  <c r="AO338" i="15" s="1"/>
  <c r="AA58" i="65"/>
  <c r="AC58" i="65" s="1"/>
  <c r="AP58" i="65" s="1"/>
  <c r="AA455" i="15"/>
  <c r="AC455" i="15" s="1"/>
  <c r="AP455" i="15" s="1"/>
  <c r="AA462" i="15"/>
  <c r="AC462" i="15" s="1"/>
  <c r="AP462" i="15" s="1"/>
  <c r="AA67" i="30"/>
  <c r="AC67" i="30" s="1"/>
  <c r="AP67" i="30" s="1"/>
  <c r="Z40" i="60"/>
  <c r="AB40" i="60" s="1"/>
  <c r="AO40" i="60" s="1"/>
  <c r="Z33" i="30"/>
  <c r="AB33" i="30" s="1"/>
  <c r="AO33" i="30" s="1"/>
  <c r="AA446" i="15"/>
  <c r="AC446" i="15" s="1"/>
  <c r="AP446" i="15" s="1"/>
  <c r="AA203" i="15"/>
  <c r="AC203" i="15" s="1"/>
  <c r="AP203" i="15" s="1"/>
  <c r="AA86" i="15"/>
  <c r="AC86" i="15" s="1"/>
  <c r="AP86" i="15" s="1"/>
  <c r="Z377" i="15"/>
  <c r="AB377" i="15" s="1"/>
  <c r="AO377" i="15" s="1"/>
  <c r="Z8" i="38"/>
  <c r="AB8" i="38" s="1"/>
  <c r="AO8" i="38" s="1"/>
  <c r="Z145" i="15"/>
  <c r="AB145" i="15" s="1"/>
  <c r="AO145" i="15" s="1"/>
  <c r="AA22" i="15"/>
  <c r="AC22" i="15" s="1"/>
  <c r="AP22" i="15" s="1"/>
  <c r="AA29" i="15"/>
  <c r="AC29" i="15" s="1"/>
  <c r="Z360" i="15"/>
  <c r="AB360" i="15" s="1"/>
  <c r="AO360" i="15" s="1"/>
  <c r="Z361" i="15"/>
  <c r="AB361" i="15" s="1"/>
  <c r="AO361" i="15" s="1"/>
  <c r="Z357" i="15"/>
  <c r="AB357" i="15" s="1"/>
  <c r="AO357" i="15" s="1"/>
  <c r="AA20" i="15"/>
  <c r="AC20" i="15" s="1"/>
  <c r="AP20" i="15" s="1"/>
  <c r="Z428" i="15"/>
  <c r="AB428" i="15" s="1"/>
  <c r="AO428" i="15" s="1"/>
  <c r="Z17" i="55"/>
  <c r="AB17" i="55" s="1"/>
  <c r="AO17" i="55" s="1"/>
  <c r="Z149" i="15"/>
  <c r="AB149" i="15" s="1"/>
  <c r="AO149" i="15" s="1"/>
  <c r="AA391" i="15"/>
  <c r="AC391" i="15" s="1"/>
  <c r="AP391" i="15" s="1"/>
  <c r="Z256" i="15"/>
  <c r="AB256" i="15" s="1"/>
  <c r="AO256" i="15" s="1"/>
  <c r="Z237" i="15"/>
  <c r="AB237" i="15" s="1"/>
  <c r="AO237" i="15" s="1"/>
  <c r="Z325" i="15"/>
  <c r="AB325" i="15" s="1"/>
  <c r="AO325" i="15" s="1"/>
  <c r="Q30" i="68"/>
  <c r="U30" i="68" s="1"/>
  <c r="F30" i="2" s="1"/>
  <c r="AA27" i="30"/>
  <c r="AC27" i="30" s="1"/>
  <c r="AP27" i="30" s="1"/>
  <c r="Z277" i="15"/>
  <c r="AB277" i="15" s="1"/>
  <c r="AO277" i="15" s="1"/>
  <c r="Z78" i="30"/>
  <c r="AB78" i="30" s="1"/>
  <c r="AO78" i="30" s="1"/>
  <c r="AA451" i="15"/>
  <c r="AC451" i="15" s="1"/>
  <c r="AP451" i="15" s="1"/>
  <c r="AA13" i="72"/>
  <c r="AC13" i="72" s="1"/>
  <c r="AP13" i="72" s="1"/>
  <c r="AA113" i="15"/>
  <c r="AC113" i="15" s="1"/>
  <c r="AP113" i="15" s="1"/>
  <c r="AA196" i="15"/>
  <c r="AC196" i="15" s="1"/>
  <c r="AP196" i="15" s="1"/>
  <c r="AA453" i="15"/>
  <c r="AC453" i="15" s="1"/>
  <c r="AP453" i="15" s="1"/>
  <c r="AA93" i="15"/>
  <c r="AC93" i="15" s="1"/>
  <c r="AP93" i="15" s="1"/>
  <c r="Z123" i="15"/>
  <c r="AB123" i="15" s="1"/>
  <c r="AO123" i="15" s="1"/>
  <c r="Z11" i="55"/>
  <c r="AB11" i="55" s="1"/>
  <c r="AO11" i="55" s="1"/>
  <c r="Z344" i="15"/>
  <c r="AB344" i="15" s="1"/>
  <c r="AO344" i="15" s="1"/>
  <c r="AA14" i="15"/>
  <c r="AC14" i="15" s="1"/>
  <c r="AP14" i="15" s="1"/>
  <c r="Z188" i="15"/>
  <c r="AB188" i="15" s="1"/>
  <c r="AO188" i="15" s="1"/>
  <c r="AA62" i="15"/>
  <c r="AC62" i="15" s="1"/>
  <c r="AP62" i="15" s="1"/>
  <c r="AA166" i="15"/>
  <c r="AC166" i="15" s="1"/>
  <c r="AP166" i="15" s="1"/>
  <c r="AA322" i="15"/>
  <c r="AC322" i="15" s="1"/>
  <c r="AP322" i="15" s="1"/>
  <c r="Z106" i="15"/>
  <c r="AB106" i="15" s="1"/>
  <c r="AO106" i="15" s="1"/>
  <c r="AA215" i="15"/>
  <c r="AC215" i="15" s="1"/>
  <c r="AP215" i="15" s="1"/>
  <c r="AA283" i="15"/>
  <c r="AC283" i="15" s="1"/>
  <c r="AP283" i="15" s="1"/>
  <c r="AA419" i="15"/>
  <c r="AC419" i="15" s="1"/>
  <c r="AP419" i="15" s="1"/>
  <c r="AA64" i="30"/>
  <c r="AC64" i="30" s="1"/>
  <c r="AP64" i="30" s="1"/>
  <c r="Z489" i="15"/>
  <c r="AB489" i="15" s="1"/>
  <c r="AO489" i="15" s="1"/>
  <c r="AA30" i="30"/>
  <c r="AC30" i="30" s="1"/>
  <c r="AP30" i="30" s="1"/>
  <c r="Z32" i="60"/>
  <c r="AB32" i="60" s="1"/>
  <c r="AO32" i="60" s="1"/>
  <c r="Z36" i="13"/>
  <c r="AB36" i="13" s="1"/>
  <c r="AO36" i="13" s="1"/>
  <c r="Z60" i="30"/>
  <c r="AB60" i="30" s="1"/>
  <c r="AO60" i="30" s="1"/>
  <c r="Z88" i="15"/>
  <c r="AB88" i="15" s="1"/>
  <c r="AO88" i="15" s="1"/>
  <c r="Z98" i="15"/>
  <c r="AB98" i="15" s="1"/>
  <c r="AO98" i="15" s="1"/>
  <c r="Z420" i="15"/>
  <c r="AB420" i="15" s="1"/>
  <c r="AO420" i="15" s="1"/>
  <c r="AA202" i="15"/>
  <c r="AC202" i="15" s="1"/>
  <c r="AP202" i="15" s="1"/>
  <c r="AA351" i="15"/>
  <c r="AC351" i="15" s="1"/>
  <c r="AP351" i="15" s="1"/>
  <c r="AA163" i="15"/>
  <c r="AC163" i="15" s="1"/>
  <c r="AP163" i="15" s="1"/>
  <c r="AA323" i="15"/>
  <c r="AC323" i="15" s="1"/>
  <c r="AP323" i="15" s="1"/>
  <c r="Z473" i="15"/>
  <c r="AB473" i="15" s="1"/>
  <c r="AO473" i="15" s="1"/>
  <c r="Z454" i="15"/>
  <c r="AB454" i="15" s="1"/>
  <c r="AO454" i="15" s="1"/>
  <c r="AA99" i="15"/>
  <c r="AC99" i="15" s="1"/>
  <c r="AP99" i="15" s="1"/>
  <c r="AA125" i="15"/>
  <c r="AC125" i="15" s="1"/>
  <c r="AP125" i="15" s="1"/>
  <c r="Z313" i="15"/>
  <c r="AB313" i="15" s="1"/>
  <c r="AO313" i="15" s="1"/>
  <c r="Z401" i="15"/>
  <c r="AB401" i="15" s="1"/>
  <c r="AO401" i="15" s="1"/>
  <c r="Z317" i="15"/>
  <c r="AB317" i="15" s="1"/>
  <c r="AO317" i="15" s="1"/>
  <c r="AA319" i="15"/>
  <c r="AC319" i="15" s="1"/>
  <c r="AP319" i="15" s="1"/>
  <c r="Z224" i="15"/>
  <c r="AB224" i="15" s="1"/>
  <c r="AO224" i="15" s="1"/>
  <c r="Z110" i="15"/>
  <c r="AB110" i="15" s="1"/>
  <c r="AO110" i="15" s="1"/>
  <c r="Z30" i="60"/>
  <c r="AB30" i="60" s="1"/>
  <c r="AO30" i="60" s="1"/>
  <c r="AA23" i="55"/>
  <c r="AC23" i="55" s="1"/>
  <c r="AP23" i="55" s="1"/>
  <c r="AA133" i="15"/>
  <c r="AC133" i="15" s="1"/>
  <c r="AP133" i="15" s="1"/>
  <c r="Z429" i="15"/>
  <c r="AB429" i="15" s="1"/>
  <c r="AO429" i="15" s="1"/>
  <c r="Z32" i="15"/>
  <c r="AB32" i="15" s="1"/>
  <c r="AO32" i="15" s="1"/>
  <c r="AA13" i="71"/>
  <c r="AC13" i="71" s="1"/>
  <c r="AP13" i="71" s="1"/>
  <c r="Z44" i="15"/>
  <c r="AB44" i="15" s="1"/>
  <c r="AO44" i="15" s="1"/>
  <c r="Z101" i="30"/>
  <c r="AB101" i="30" s="1"/>
  <c r="AO101" i="30" s="1"/>
  <c r="Z265" i="15"/>
  <c r="AB265" i="15" s="1"/>
  <c r="AO265" i="15" s="1"/>
  <c r="Z294" i="15"/>
  <c r="AB294" i="15" s="1"/>
  <c r="AO294" i="15" s="1"/>
  <c r="AA399" i="15"/>
  <c r="AC399" i="15" s="1"/>
  <c r="AP399" i="15" s="1"/>
  <c r="AA105" i="30"/>
  <c r="AC105" i="30" s="1"/>
  <c r="AP105" i="30" s="1"/>
  <c r="Z276" i="15"/>
  <c r="AB276" i="15" s="1"/>
  <c r="AO276" i="15" s="1"/>
  <c r="AA427" i="15"/>
  <c r="AC427" i="15" s="1"/>
  <c r="AP427" i="15" s="1"/>
  <c r="Z69" i="15"/>
  <c r="AB69" i="15" s="1"/>
  <c r="AO69" i="15" s="1"/>
  <c r="AA239" i="15"/>
  <c r="AC239" i="15" s="1"/>
  <c r="AP239" i="15" s="1"/>
  <c r="Z393" i="15"/>
  <c r="AB393" i="15" s="1"/>
  <c r="AO393" i="15" s="1"/>
  <c r="AA262" i="15"/>
  <c r="AC262" i="15" s="1"/>
  <c r="AP262" i="15" s="1"/>
  <c r="Z284" i="15"/>
  <c r="AB284" i="15" s="1"/>
  <c r="AO284" i="15" s="1"/>
  <c r="Z18" i="55"/>
  <c r="AB18" i="55" s="1"/>
  <c r="AO18" i="55" s="1"/>
  <c r="AA447" i="15"/>
  <c r="AC447" i="15" s="1"/>
  <c r="AP447" i="15" s="1"/>
  <c r="Z380" i="15"/>
  <c r="AB380" i="15" s="1"/>
  <c r="AO380" i="15" s="1"/>
  <c r="AA99" i="30"/>
  <c r="AC99" i="30" s="1"/>
  <c r="AP99" i="30" s="1"/>
  <c r="Z398" i="15"/>
  <c r="AB398" i="15" s="1"/>
  <c r="AO398" i="15" s="1"/>
  <c r="AA467" i="15"/>
  <c r="AC467" i="15" s="1"/>
  <c r="AP467" i="15" s="1"/>
  <c r="AA278" i="15"/>
  <c r="AC278" i="15" s="1"/>
  <c r="AP278" i="15" s="1"/>
  <c r="AA247" i="15"/>
  <c r="AC247" i="15" s="1"/>
  <c r="AP247" i="15" s="1"/>
  <c r="Z456" i="15"/>
  <c r="AB456" i="15" s="1"/>
  <c r="AO456" i="15" s="1"/>
  <c r="Z396" i="15"/>
  <c r="AB396" i="15" s="1"/>
  <c r="AO396" i="15" s="1"/>
  <c r="Z44" i="13"/>
  <c r="AB44" i="13" s="1"/>
  <c r="AO44" i="13" s="1"/>
  <c r="AA50" i="13"/>
  <c r="AC50" i="13" s="1"/>
  <c r="AP50" i="13" s="1"/>
  <c r="I7" i="68"/>
  <c r="O14" i="68"/>
  <c r="R14" i="68" s="1"/>
  <c r="R8" i="68"/>
  <c r="V8" i="68" s="1"/>
  <c r="G9" i="2" s="1"/>
  <c r="AA48" i="13"/>
  <c r="AC48" i="13" s="1"/>
  <c r="AP48" i="13" s="1"/>
  <c r="N7" i="68"/>
  <c r="D8" i="2" s="1"/>
  <c r="AA96" i="30"/>
  <c r="AC96" i="30" s="1"/>
  <c r="AP96" i="30" s="1"/>
  <c r="AA45" i="30"/>
  <c r="AC45" i="30" s="1"/>
  <c r="AP45" i="30" s="1"/>
  <c r="AA110" i="30"/>
  <c r="AC110" i="30" s="1"/>
  <c r="AP110" i="30" s="1"/>
  <c r="AA38" i="30"/>
  <c r="AC38" i="30" s="1"/>
  <c r="AP38" i="30" s="1"/>
  <c r="AA53" i="30"/>
  <c r="AC53" i="30" s="1"/>
  <c r="AP53" i="30" s="1"/>
  <c r="Z39" i="60"/>
  <c r="AB39" i="60" s="1"/>
  <c r="AO39" i="60" s="1"/>
  <c r="AA43" i="30"/>
  <c r="AC43" i="30" s="1"/>
  <c r="AP43" i="30" s="1"/>
  <c r="Z74" i="30"/>
  <c r="AB74" i="30" s="1"/>
  <c r="AO74" i="30" s="1"/>
  <c r="AA103" i="30"/>
  <c r="AC103" i="30" s="1"/>
  <c r="AP103" i="30" s="1"/>
  <c r="AA27" i="60"/>
  <c r="AC27" i="60" s="1"/>
  <c r="AP27" i="60" s="1"/>
  <c r="Z40" i="13"/>
  <c r="AB40" i="13" s="1"/>
  <c r="AO40" i="13" s="1"/>
  <c r="Z50" i="30"/>
  <c r="AB50" i="30" s="1"/>
  <c r="AO50" i="30" s="1"/>
  <c r="AA42" i="13"/>
  <c r="AC42" i="13" s="1"/>
  <c r="AP42" i="13" s="1"/>
  <c r="AA47" i="13"/>
  <c r="AC47" i="13" s="1"/>
  <c r="AP47" i="13" s="1"/>
  <c r="AA90" i="30"/>
  <c r="AC90" i="30" s="1"/>
  <c r="AP90" i="30" s="1"/>
  <c r="AA108" i="30"/>
  <c r="AC108" i="30" s="1"/>
  <c r="AP108" i="30" s="1"/>
  <c r="Z25" i="60"/>
  <c r="AB25" i="60" s="1"/>
  <c r="AO25" i="60" s="1"/>
  <c r="Z45" i="60"/>
  <c r="AB45" i="60" s="1"/>
  <c r="AO45" i="60" s="1"/>
  <c r="AA267" i="15"/>
  <c r="AC267" i="15" s="1"/>
  <c r="AP267" i="15" s="1"/>
  <c r="Z56" i="15"/>
  <c r="AB56" i="15" s="1"/>
  <c r="AO56" i="15" s="1"/>
  <c r="AA23" i="38"/>
  <c r="AC23" i="38" s="1"/>
  <c r="AP23" i="38" s="1"/>
  <c r="AA466" i="15"/>
  <c r="AC466" i="15" s="1"/>
  <c r="AP466" i="15" s="1"/>
  <c r="AA347" i="15"/>
  <c r="AC347" i="15" s="1"/>
  <c r="AP347" i="15" s="1"/>
  <c r="Z7" i="15"/>
  <c r="AB7" i="15" s="1"/>
  <c r="AO7" i="15" s="1"/>
  <c r="Z16" i="55"/>
  <c r="AB16" i="55" s="1"/>
  <c r="AO16" i="55" s="1"/>
  <c r="Z108" i="15"/>
  <c r="AB108" i="15" s="1"/>
  <c r="AO108" i="15" s="1"/>
  <c r="Z424" i="15"/>
  <c r="AB424" i="15" s="1"/>
  <c r="AO424" i="15" s="1"/>
  <c r="AA387" i="15"/>
  <c r="AC387" i="15" s="1"/>
  <c r="AP387" i="15" s="1"/>
  <c r="Z201" i="15"/>
  <c r="AB201" i="15" s="1"/>
  <c r="AO201" i="15" s="1"/>
  <c r="AA370" i="15"/>
  <c r="AC370" i="15" s="1"/>
  <c r="AP370" i="15" s="1"/>
  <c r="Z52" i="13"/>
  <c r="AB52" i="13" s="1"/>
  <c r="AO52" i="13" s="1"/>
  <c r="Z49" i="15"/>
  <c r="AB49" i="15" s="1"/>
  <c r="AO49" i="15" s="1"/>
  <c r="AA327" i="15"/>
  <c r="AC327" i="15" s="1"/>
  <c r="AP327" i="15" s="1"/>
  <c r="Z217" i="15"/>
  <c r="AB217" i="15" s="1"/>
  <c r="AO217" i="15" s="1"/>
  <c r="Z486" i="15"/>
  <c r="AB486" i="15" s="1"/>
  <c r="AO486" i="15" s="1"/>
  <c r="AA103" i="15"/>
  <c r="AC103" i="15" s="1"/>
  <c r="AP103" i="15" s="1"/>
  <c r="Z340" i="15"/>
  <c r="AB340" i="15" s="1"/>
  <c r="AO340" i="15" s="1"/>
  <c r="Z114" i="15"/>
  <c r="AB114" i="15" s="1"/>
  <c r="AO114" i="15" s="1"/>
  <c r="Z22" i="55"/>
  <c r="AB22" i="55" s="1"/>
  <c r="AO22" i="55" s="1"/>
  <c r="Z381" i="15"/>
  <c r="AB381" i="15" s="1"/>
  <c r="AO381" i="15" s="1"/>
  <c r="AA506" i="15"/>
  <c r="AC506" i="15" s="1"/>
  <c r="AP506" i="15" s="1"/>
  <c r="AA410" i="15"/>
  <c r="AC410" i="15" s="1"/>
  <c r="AP410" i="15" s="1"/>
  <c r="AA415" i="15"/>
  <c r="AC415" i="15" s="1"/>
  <c r="AP415" i="15" s="1"/>
  <c r="AA223" i="15"/>
  <c r="AC223" i="15" s="1"/>
  <c r="AP223" i="15" s="1"/>
  <c r="Z392" i="15"/>
  <c r="AB392" i="15" s="1"/>
  <c r="AO392" i="15" s="1"/>
  <c r="Z17" i="18"/>
  <c r="AB17" i="18" s="1"/>
  <c r="AO17" i="18" s="1"/>
  <c r="AA37" i="60"/>
  <c r="AC37" i="60" s="1"/>
  <c r="AP37" i="60" s="1"/>
  <c r="AA306" i="15"/>
  <c r="AC306" i="15" s="1"/>
  <c r="AP306" i="15" s="1"/>
  <c r="Z500" i="15"/>
  <c r="AB500" i="15" s="1"/>
  <c r="AO500" i="15" s="1"/>
  <c r="AA73" i="30"/>
  <c r="AC73" i="30" s="1"/>
  <c r="AP73" i="30" s="1"/>
  <c r="Z49" i="13"/>
  <c r="AB49" i="13" s="1"/>
  <c r="AO49" i="13" s="1"/>
  <c r="AA263" i="15"/>
  <c r="AC263" i="15" s="1"/>
  <c r="AP263" i="15" s="1"/>
  <c r="Z220" i="15"/>
  <c r="AB220" i="15" s="1"/>
  <c r="AO220" i="15" s="1"/>
  <c r="Z422" i="15"/>
  <c r="AB422" i="15" s="1"/>
  <c r="AO422" i="15" s="1"/>
  <c r="Z320" i="15"/>
  <c r="AB320" i="15" s="1"/>
  <c r="AO320" i="15" s="1"/>
  <c r="Z293" i="15"/>
  <c r="AB293" i="15" s="1"/>
  <c r="AO293" i="15" s="1"/>
  <c r="Z168" i="15"/>
  <c r="AB168" i="15" s="1"/>
  <c r="AO168" i="15" s="1"/>
  <c r="AA12" i="72"/>
  <c r="AC12" i="72" s="1"/>
  <c r="AP12" i="72" s="1"/>
  <c r="Z38" i="13"/>
  <c r="AB38" i="13" s="1"/>
  <c r="AO38" i="13" s="1"/>
  <c r="AA470" i="15"/>
  <c r="AC470" i="15" s="1"/>
  <c r="AP470" i="15" s="1"/>
  <c r="AA75" i="15"/>
  <c r="AC75" i="15" s="1"/>
  <c r="AP75" i="15" s="1"/>
  <c r="AA31" i="15"/>
  <c r="AC31" i="15" s="1"/>
  <c r="AP31" i="15" s="1"/>
  <c r="Z437" i="15"/>
  <c r="AB437" i="15" s="1"/>
  <c r="AO437" i="15" s="1"/>
  <c r="Z85" i="15"/>
  <c r="AB85" i="15" s="1"/>
  <c r="AO85" i="15" s="1"/>
  <c r="AA367" i="15"/>
  <c r="AC367" i="15" s="1"/>
  <c r="AP367" i="15" s="1"/>
  <c r="Q14" i="68"/>
  <c r="U14" i="68" s="1"/>
  <c r="F15" i="2" s="1"/>
  <c r="Z332" i="15"/>
  <c r="AB332" i="15" s="1"/>
  <c r="AO332" i="15" s="1"/>
  <c r="AA102" i="30"/>
  <c r="AC102" i="30" s="1"/>
  <c r="AP102" i="30" s="1"/>
  <c r="Z289" i="15"/>
  <c r="AB289" i="15" s="1"/>
  <c r="AO289" i="15" s="1"/>
  <c r="Z193" i="15"/>
  <c r="AB193" i="15" s="1"/>
  <c r="AO193" i="15" s="1"/>
  <c r="AA231" i="15"/>
  <c r="AC231" i="15" s="1"/>
  <c r="AP231" i="15" s="1"/>
  <c r="AA71" i="15"/>
  <c r="AC71" i="15" s="1"/>
  <c r="AP71" i="15" s="1"/>
  <c r="Z348" i="15"/>
  <c r="AB348" i="15" s="1"/>
  <c r="AO348" i="15" s="1"/>
  <c r="AA182" i="15"/>
  <c r="AC182" i="15" s="1"/>
  <c r="AP182" i="15" s="1"/>
  <c r="Z5" i="55"/>
  <c r="AB5" i="55" s="1"/>
  <c r="AO5" i="55" s="1"/>
  <c r="AA290" i="15"/>
  <c r="AC290" i="15" s="1"/>
  <c r="AP290" i="15" s="1"/>
  <c r="Z504" i="15"/>
  <c r="AB504" i="15" s="1"/>
  <c r="AO504" i="15" s="1"/>
  <c r="AA362" i="15"/>
  <c r="AC362" i="15" s="1"/>
  <c r="AP362" i="15" s="1"/>
  <c r="Z488" i="15"/>
  <c r="AB488" i="15" s="1"/>
  <c r="AO488" i="15" s="1"/>
  <c r="Z308" i="15"/>
  <c r="AB308" i="15" s="1"/>
  <c r="AO308" i="15" s="1"/>
  <c r="AA51" i="13"/>
  <c r="AC51" i="13" s="1"/>
  <c r="AP51" i="13" s="1"/>
  <c r="Z324" i="15"/>
  <c r="AB324" i="15" s="1"/>
  <c r="AO324" i="15" s="1"/>
  <c r="Z425" i="15"/>
  <c r="AB425" i="15" s="1"/>
  <c r="AO425" i="15" s="1"/>
  <c r="Z105" i="15"/>
  <c r="AB105" i="15" s="1"/>
  <c r="AO105" i="15" s="1"/>
  <c r="Z438" i="15"/>
  <c r="AB438" i="15" s="1"/>
  <c r="AO438" i="15" s="1"/>
  <c r="AA167" i="15"/>
  <c r="AC167" i="15" s="1"/>
  <c r="AP167" i="15" s="1"/>
  <c r="Z421" i="15"/>
  <c r="AB421" i="15" s="1"/>
  <c r="AO421" i="15" s="1"/>
  <c r="AA37" i="13"/>
  <c r="AC37" i="13" s="1"/>
  <c r="AP37" i="13" s="1"/>
  <c r="AA39" i="13"/>
  <c r="AC39" i="13" s="1"/>
  <c r="AP39" i="13" s="1"/>
  <c r="U13" i="68"/>
  <c r="F14" i="2" s="1"/>
  <c r="U21" i="68"/>
  <c r="F22" i="2" s="1"/>
  <c r="AA122" i="32"/>
  <c r="AC122" i="32" s="1"/>
  <c r="AP122" i="32" s="1"/>
  <c r="Z21" i="38"/>
  <c r="AB21" i="38" s="1"/>
  <c r="AO21" i="38" s="1"/>
  <c r="Z16" i="18"/>
  <c r="AB16" i="18" s="1"/>
  <c r="AO16" i="18" s="1"/>
  <c r="AA10" i="38"/>
  <c r="AC10" i="38" s="1"/>
  <c r="AP10" i="38" s="1"/>
  <c r="Z21" i="30"/>
  <c r="AB21" i="30" s="1"/>
  <c r="AO21" i="30" s="1"/>
  <c r="Z109" i="30"/>
  <c r="AB109" i="30" s="1"/>
  <c r="AO109" i="30" s="1"/>
  <c r="Z148" i="65"/>
  <c r="AB148" i="65" s="1"/>
  <c r="AO148" i="65" s="1"/>
  <c r="Z116" i="66"/>
  <c r="AB116" i="66" s="1"/>
  <c r="AO116" i="66" s="1"/>
  <c r="AA33" i="60"/>
  <c r="AC33" i="60" s="1"/>
  <c r="AP33" i="60" s="1"/>
  <c r="Z15" i="70"/>
  <c r="AB15" i="70" s="1"/>
  <c r="AO15" i="70" s="1"/>
  <c r="AA36" i="30"/>
  <c r="AC36" i="30" s="1"/>
  <c r="AP36" i="30" s="1"/>
  <c r="Z43" i="60"/>
  <c r="AB43" i="60" s="1"/>
  <c r="AO43" i="60" s="1"/>
  <c r="AA36" i="60"/>
  <c r="AC36" i="60" s="1"/>
  <c r="AP36" i="60" s="1"/>
  <c r="Z132" i="32"/>
  <c r="AB132" i="32" s="1"/>
  <c r="AO132" i="32" s="1"/>
  <c r="Z15" i="18"/>
  <c r="AB15" i="18" s="1"/>
  <c r="AO15" i="18" s="1"/>
  <c r="AA65" i="30"/>
  <c r="AC65" i="30" s="1"/>
  <c r="AP65" i="30" s="1"/>
  <c r="AA17" i="38"/>
  <c r="AC17" i="38" s="1"/>
  <c r="AP17" i="38" s="1"/>
  <c r="Z43" i="66"/>
  <c r="AB43" i="66" s="1"/>
  <c r="AO43" i="66" s="1"/>
  <c r="AA85" i="30"/>
  <c r="AC85" i="30" s="1"/>
  <c r="AP85" i="30" s="1"/>
  <c r="AA24" i="60"/>
  <c r="AC24" i="60" s="1"/>
  <c r="AP24" i="60" s="1"/>
  <c r="AA34" i="60"/>
  <c r="AC34" i="60" s="1"/>
  <c r="AP34" i="60" s="1"/>
  <c r="AA35" i="13"/>
  <c r="AC35" i="13" s="1"/>
  <c r="AP35" i="13" s="1"/>
  <c r="AA6" i="18"/>
  <c r="AC6" i="18" s="1"/>
  <c r="AP6" i="18" s="1"/>
  <c r="Z61" i="66"/>
  <c r="AB61" i="66" s="1"/>
  <c r="AO61" i="66" s="1"/>
  <c r="Z181" i="65"/>
  <c r="AB181" i="65" s="1"/>
  <c r="AO181" i="65" s="1"/>
  <c r="Z12" i="34"/>
  <c r="AB12" i="34" s="1"/>
  <c r="AO12" i="34" s="1"/>
  <c r="AA8" i="46"/>
  <c r="AC8" i="46" s="1"/>
  <c r="AP8" i="46" s="1"/>
  <c r="AA49" i="30"/>
  <c r="AC49" i="30" s="1"/>
  <c r="AP49" i="30" s="1"/>
  <c r="Z20" i="26"/>
  <c r="AB20" i="26" s="1"/>
  <c r="AO20" i="26" s="1"/>
  <c r="Z37" i="28"/>
  <c r="AB37" i="28" s="1"/>
  <c r="AO37" i="28" s="1"/>
  <c r="AA42" i="60"/>
  <c r="AC42" i="60" s="1"/>
  <c r="AP42" i="60" s="1"/>
  <c r="AA26" i="60"/>
  <c r="AC26" i="60" s="1"/>
  <c r="AP26" i="60" s="1"/>
  <c r="AA35" i="60"/>
  <c r="AC35" i="60" s="1"/>
  <c r="AP35" i="60" s="1"/>
  <c r="Z31" i="60"/>
  <c r="AB31" i="60" s="1"/>
  <c r="AO31" i="60" s="1"/>
  <c r="AA46" i="13"/>
  <c r="AC46" i="13" s="1"/>
  <c r="AP46" i="13" s="1"/>
  <c r="AA45" i="13"/>
  <c r="AC45" i="13" s="1"/>
  <c r="AP45" i="13" s="1"/>
  <c r="AA43" i="13"/>
  <c r="AC43" i="13" s="1"/>
  <c r="AP43" i="13" s="1"/>
  <c r="Z6" i="70"/>
  <c r="AB6" i="70" s="1"/>
  <c r="AO6" i="70" s="1"/>
  <c r="AA29" i="20"/>
  <c r="AC29" i="20" s="1"/>
  <c r="AP29" i="20" s="1"/>
  <c r="AP120" i="15"/>
  <c r="AP108" i="65"/>
  <c r="AP114" i="15"/>
  <c r="AP27" i="69"/>
  <c r="AP140" i="32"/>
  <c r="AP20" i="23"/>
  <c r="AP29" i="15"/>
  <c r="AP28" i="32"/>
  <c r="AP10" i="40"/>
  <c r="Z19" i="6"/>
  <c r="AB19" i="6" s="1"/>
  <c r="AO19" i="6" s="1"/>
  <c r="AP32" i="5"/>
  <c r="AP27" i="5"/>
  <c r="Z107" i="30"/>
  <c r="AB107" i="30" s="1"/>
  <c r="AO107" i="30" s="1"/>
  <c r="AA100" i="30"/>
  <c r="AC100" i="30" s="1"/>
  <c r="AP100" i="30" s="1"/>
  <c r="Z82" i="30"/>
  <c r="AB82" i="30" s="1"/>
  <c r="AO82" i="30" s="1"/>
  <c r="AA61" i="30"/>
  <c r="AC61" i="30" s="1"/>
  <c r="AP61" i="30" s="1"/>
  <c r="AA68" i="30"/>
  <c r="AC68" i="30" s="1"/>
  <c r="AP68" i="30" s="1"/>
  <c r="Z63" i="30"/>
  <c r="AB63" i="30" s="1"/>
  <c r="AO63" i="30" s="1"/>
  <c r="AA62" i="30"/>
  <c r="AC62" i="30" s="1"/>
  <c r="AP62" i="30" s="1"/>
  <c r="AA46" i="30"/>
  <c r="AC46" i="30" s="1"/>
  <c r="AP46" i="30" s="1"/>
  <c r="Z76" i="30"/>
  <c r="AB76" i="30" s="1"/>
  <c r="AO76" i="30" s="1"/>
  <c r="AA77" i="30"/>
  <c r="AC77" i="30" s="1"/>
  <c r="AP77" i="30" s="1"/>
  <c r="AA55" i="30"/>
  <c r="AC55" i="30" s="1"/>
  <c r="AP55" i="30" s="1"/>
  <c r="Z75" i="30"/>
  <c r="AB75" i="30" s="1"/>
  <c r="AO75" i="30" s="1"/>
  <c r="AA28" i="30"/>
  <c r="AC28" i="30" s="1"/>
  <c r="AP28" i="30" s="1"/>
  <c r="AA79" i="30"/>
  <c r="AC79" i="30" s="1"/>
  <c r="AP79" i="30" s="1"/>
  <c r="Z57" i="30"/>
  <c r="AB57" i="30" s="1"/>
  <c r="AO57" i="30" s="1"/>
  <c r="AA14" i="30"/>
  <c r="AC14" i="30" s="1"/>
  <c r="AP14" i="30" s="1"/>
  <c r="Z7" i="30"/>
  <c r="AB7" i="30" s="1"/>
  <c r="AO7" i="30" s="1"/>
  <c r="Z10" i="30"/>
  <c r="AB10" i="30" s="1"/>
  <c r="AO10" i="30" s="1"/>
  <c r="AA69" i="30"/>
  <c r="AC69" i="30" s="1"/>
  <c r="AP69" i="30" s="1"/>
  <c r="AA91" i="30"/>
  <c r="AC91" i="30" s="1"/>
  <c r="AP91" i="30" s="1"/>
  <c r="AA111" i="30"/>
  <c r="AC111" i="30" s="1"/>
  <c r="AP111" i="30" s="1"/>
  <c r="AA52" i="30"/>
  <c r="AC52" i="30" s="1"/>
  <c r="AP52" i="30" s="1"/>
  <c r="Z18" i="30"/>
  <c r="AB18" i="30" s="1"/>
  <c r="AO18" i="30" s="1"/>
  <c r="AA80" i="30"/>
  <c r="AC80" i="30" s="1"/>
  <c r="AP80" i="30" s="1"/>
  <c r="Z37" i="30"/>
  <c r="AB37" i="30" s="1"/>
  <c r="AO37" i="30" s="1"/>
  <c r="AA56" i="30"/>
  <c r="AC56" i="30" s="1"/>
  <c r="AP56" i="30" s="1"/>
  <c r="AA95" i="30"/>
  <c r="AC95" i="30" s="1"/>
  <c r="AP95" i="30" s="1"/>
  <c r="AA34" i="30"/>
  <c r="AC34" i="30" s="1"/>
  <c r="AP34" i="30" s="1"/>
  <c r="AA84" i="30"/>
  <c r="AC84" i="30" s="1"/>
  <c r="AP84" i="30" s="1"/>
  <c r="AA41" i="30"/>
  <c r="AC41" i="30" s="1"/>
  <c r="AP41" i="30" s="1"/>
  <c r="AA42" i="30"/>
  <c r="AC42" i="30" s="1"/>
  <c r="AP42" i="30" s="1"/>
  <c r="AA29" i="30"/>
  <c r="AC29" i="30" s="1"/>
  <c r="AP29" i="30" s="1"/>
  <c r="Z94" i="30"/>
  <c r="AB94" i="30" s="1"/>
  <c r="AO94" i="30" s="1"/>
  <c r="AA58" i="30"/>
  <c r="AC58" i="30" s="1"/>
  <c r="AP58" i="30" s="1"/>
  <c r="AA97" i="30"/>
  <c r="AC97" i="30" s="1"/>
  <c r="AP97" i="30" s="1"/>
  <c r="Z32" i="30"/>
  <c r="AB32" i="30" s="1"/>
  <c r="AO32" i="30" s="1"/>
  <c r="AP21" i="30"/>
  <c r="AA83" i="30"/>
  <c r="AC83" i="30" s="1"/>
  <c r="AP83" i="30" s="1"/>
  <c r="Z71" i="30"/>
  <c r="AB71" i="30" s="1"/>
  <c r="AO71" i="30" s="1"/>
  <c r="Z48" i="30"/>
  <c r="AB48" i="30" s="1"/>
  <c r="AO48" i="30" s="1"/>
  <c r="Z11" i="30"/>
  <c r="AB11" i="30" s="1"/>
  <c r="AO11" i="30" s="1"/>
  <c r="Z59" i="30"/>
  <c r="AB59" i="30" s="1"/>
  <c r="AO59" i="30" s="1"/>
  <c r="AA89" i="30"/>
  <c r="AC89" i="30" s="1"/>
  <c r="AP89" i="30" s="1"/>
  <c r="AA87" i="30"/>
  <c r="AC87" i="30" s="1"/>
  <c r="AP87" i="30" s="1"/>
  <c r="Z25" i="30"/>
  <c r="AB25" i="30" s="1"/>
  <c r="AO25" i="30" s="1"/>
  <c r="AA98" i="30"/>
  <c r="AC98" i="30" s="1"/>
  <c r="AP98" i="30" s="1"/>
  <c r="AA35" i="30"/>
  <c r="AC35" i="30" s="1"/>
  <c r="AP35" i="30" s="1"/>
  <c r="AA44" i="30"/>
  <c r="AC44" i="30" s="1"/>
  <c r="AP44" i="30" s="1"/>
  <c r="AA86" i="30"/>
  <c r="AC86" i="30" s="1"/>
  <c r="AP86" i="30" s="1"/>
  <c r="AA66" i="30"/>
  <c r="AC66" i="30" s="1"/>
  <c r="AP66" i="30" s="1"/>
  <c r="AA51" i="30"/>
  <c r="AC51" i="30" s="1"/>
  <c r="AP51" i="30" s="1"/>
  <c r="Z93" i="30"/>
  <c r="AB93" i="30" s="1"/>
  <c r="AO93" i="30" s="1"/>
  <c r="AA47" i="30"/>
  <c r="AC47" i="30" s="1"/>
  <c r="AP47" i="30" s="1"/>
  <c r="Z70" i="30"/>
  <c r="AB70" i="30" s="1"/>
  <c r="AO70" i="30" s="1"/>
  <c r="Z40" i="30"/>
  <c r="AB40" i="30" s="1"/>
  <c r="AO40" i="30" s="1"/>
  <c r="Z106" i="30"/>
  <c r="AB106" i="30" s="1"/>
  <c r="AO106" i="30" s="1"/>
  <c r="Z81" i="30"/>
  <c r="AB81" i="30" s="1"/>
  <c r="AO81" i="30" s="1"/>
  <c r="AA54" i="30"/>
  <c r="AC54" i="30" s="1"/>
  <c r="AP54" i="30" s="1"/>
  <c r="AA92" i="30"/>
  <c r="AC92" i="30" s="1"/>
  <c r="AP92" i="30" s="1"/>
  <c r="AA31" i="30"/>
  <c r="AC31" i="30" s="1"/>
  <c r="AP31" i="30" s="1"/>
  <c r="AA104" i="30"/>
  <c r="AC104" i="30" s="1"/>
  <c r="AP104" i="30" s="1"/>
  <c r="AA39" i="30"/>
  <c r="AC39" i="30" s="1"/>
  <c r="AP39" i="30" s="1"/>
  <c r="AA26" i="30"/>
  <c r="AC26" i="30" s="1"/>
  <c r="AP26" i="30" s="1"/>
  <c r="AA72" i="30"/>
  <c r="AC72" i="30" s="1"/>
  <c r="AP72" i="30" s="1"/>
  <c r="V14" i="67"/>
  <c r="O14" i="2" s="1"/>
  <c r="AP32" i="32"/>
  <c r="AP16" i="70"/>
  <c r="V47" i="68"/>
  <c r="G46" i="2" s="1"/>
  <c r="AP22" i="46"/>
  <c r="AP125" i="66"/>
  <c r="AP21" i="13"/>
  <c r="AP35" i="32"/>
  <c r="AP6" i="44"/>
  <c r="AP92" i="32"/>
  <c r="AP41" i="46"/>
  <c r="U22" i="68"/>
  <c r="F23" i="2" s="1"/>
  <c r="AA6" i="30"/>
  <c r="AC6" i="30" s="1"/>
  <c r="AP6" i="30" s="1"/>
  <c r="AA18" i="38"/>
  <c r="AC18" i="38" s="1"/>
  <c r="AP18" i="38" s="1"/>
  <c r="Z125" i="66"/>
  <c r="AB125" i="66" s="1"/>
  <c r="AO125" i="66" s="1"/>
  <c r="Z5" i="38"/>
  <c r="AB5" i="38" s="1"/>
  <c r="AO5" i="38" s="1"/>
  <c r="Z74" i="46"/>
  <c r="AB74" i="46" s="1"/>
  <c r="AO74" i="46" s="1"/>
  <c r="Z6" i="38"/>
  <c r="AB6" i="38" s="1"/>
  <c r="AO6" i="38" s="1"/>
  <c r="AA8" i="6"/>
  <c r="AC8" i="6" s="1"/>
  <c r="AP8" i="6" s="1"/>
  <c r="Z66" i="46"/>
  <c r="AB66" i="46" s="1"/>
  <c r="AO66" i="46" s="1"/>
  <c r="AP194" i="65"/>
  <c r="U11" i="68"/>
  <c r="F12" i="2" s="1"/>
  <c r="AA6" i="6"/>
  <c r="AC6" i="6" s="1"/>
  <c r="AP6" i="6" s="1"/>
  <c r="AA10" i="6"/>
  <c r="AC10" i="6" s="1"/>
  <c r="AP10" i="6" s="1"/>
  <c r="AP66" i="46"/>
  <c r="AP37" i="46"/>
  <c r="AP26" i="46"/>
  <c r="AP25" i="57"/>
  <c r="AP29" i="53"/>
  <c r="AP51" i="20"/>
  <c r="AP66" i="15"/>
  <c r="AP12" i="22"/>
  <c r="AP27" i="12"/>
  <c r="AP9" i="30"/>
  <c r="AP28" i="22"/>
  <c r="AP24" i="12"/>
  <c r="AP10" i="21"/>
  <c r="U9" i="68"/>
  <c r="F10" i="2" s="1"/>
  <c r="AP7" i="24"/>
  <c r="AP55" i="20"/>
  <c r="AP41" i="15"/>
  <c r="AP11" i="59"/>
  <c r="S31" i="67"/>
  <c r="S24" i="67"/>
  <c r="AP9" i="53"/>
  <c r="AP14" i="53"/>
  <c r="Z11" i="53"/>
  <c r="AB11" i="53" s="1"/>
  <c r="AO11" i="53" s="1"/>
  <c r="AA22" i="53"/>
  <c r="AC22" i="53" s="1"/>
  <c r="AP22" i="53" s="1"/>
  <c r="AP26" i="53"/>
  <c r="AP20" i="53"/>
  <c r="K65" i="67"/>
  <c r="AP52" i="46"/>
  <c r="S23" i="67"/>
  <c r="AP47" i="66"/>
  <c r="AP83" i="66"/>
  <c r="U6" i="67"/>
  <c r="N6" i="2" s="1"/>
  <c r="AP36" i="66"/>
  <c r="AP59" i="66"/>
  <c r="AP104" i="66"/>
  <c r="AP81" i="66"/>
  <c r="AP67" i="66"/>
  <c r="AP32" i="66"/>
  <c r="AP20" i="66"/>
  <c r="AP77" i="32"/>
  <c r="AP7" i="32"/>
  <c r="AP79" i="32"/>
  <c r="AP29" i="32"/>
  <c r="AP57" i="32"/>
  <c r="AP27" i="32"/>
  <c r="AP11" i="28"/>
  <c r="AP22" i="28"/>
  <c r="AP11" i="27"/>
  <c r="AP7" i="26"/>
  <c r="AP6" i="26"/>
  <c r="AP9" i="25"/>
  <c r="AP12" i="23"/>
  <c r="AP48" i="20"/>
  <c r="AP30" i="20"/>
  <c r="AP22" i="20"/>
  <c r="AP34" i="20"/>
  <c r="AP13" i="20"/>
  <c r="AP23" i="20"/>
  <c r="AP12" i="20"/>
  <c r="AP21" i="20"/>
  <c r="AP27" i="20"/>
  <c r="AP9" i="18"/>
  <c r="AP18" i="12"/>
  <c r="AP17" i="12"/>
  <c r="AP20" i="12"/>
  <c r="AP10" i="12"/>
  <c r="AP9" i="12"/>
  <c r="Z23" i="6"/>
  <c r="AB23" i="6" s="1"/>
  <c r="AO23" i="6" s="1"/>
  <c r="AP21" i="65"/>
  <c r="AP161" i="65"/>
  <c r="AP136" i="65"/>
  <c r="AP17" i="65"/>
  <c r="AP41" i="65"/>
  <c r="AP32" i="65"/>
  <c r="AP86" i="65"/>
  <c r="AP50" i="65"/>
  <c r="D50" i="2"/>
  <c r="D51" i="2" s="1"/>
  <c r="Z12" i="23"/>
  <c r="AB12" i="23" s="1"/>
  <c r="AO12" i="23" s="1"/>
  <c r="Z9" i="30"/>
  <c r="AB9" i="30" s="1"/>
  <c r="AO9" i="30" s="1"/>
  <c r="AA17" i="6"/>
  <c r="AC17" i="6" s="1"/>
  <c r="AP17" i="6" s="1"/>
  <c r="Z11" i="38"/>
  <c r="AB11" i="38" s="1"/>
  <c r="AO11" i="38" s="1"/>
  <c r="Z20" i="34"/>
  <c r="AB20" i="34" s="1"/>
  <c r="AO20" i="34" s="1"/>
  <c r="AA22" i="38"/>
  <c r="AC22" i="38" s="1"/>
  <c r="AP22" i="38" s="1"/>
  <c r="AA18" i="6"/>
  <c r="AC18" i="6" s="1"/>
  <c r="AP18" i="6" s="1"/>
  <c r="Z20" i="38"/>
  <c r="AB20" i="38" s="1"/>
  <c r="AO20" i="38" s="1"/>
  <c r="AA17" i="30"/>
  <c r="AC17" i="30" s="1"/>
  <c r="AP17" i="30" s="1"/>
  <c r="AA12" i="6"/>
  <c r="AC12" i="6" s="1"/>
  <c r="AP12" i="6" s="1"/>
  <c r="Z19" i="30"/>
  <c r="AB19" i="30" s="1"/>
  <c r="AO19" i="30" s="1"/>
  <c r="AA24" i="6"/>
  <c r="AC24" i="6" s="1"/>
  <c r="AP24" i="6" s="1"/>
  <c r="AA5" i="6"/>
  <c r="AC5" i="6" s="1"/>
  <c r="AA16" i="30"/>
  <c r="AC16" i="30" s="1"/>
  <c r="AP16" i="30" s="1"/>
  <c r="AA11" i="32"/>
  <c r="AC11" i="32" s="1"/>
  <c r="AP11" i="32" s="1"/>
  <c r="AA15" i="30"/>
  <c r="AC15" i="30" s="1"/>
  <c r="AP15" i="30" s="1"/>
  <c r="Z61" i="65"/>
  <c r="AB61" i="65" s="1"/>
  <c r="AO61" i="65" s="1"/>
  <c r="Z25" i="20"/>
  <c r="AB25" i="20" s="1"/>
  <c r="AO25" i="20" s="1"/>
  <c r="AA107" i="65"/>
  <c r="AC107" i="65" s="1"/>
  <c r="AP107" i="65" s="1"/>
  <c r="AA32" i="28"/>
  <c r="AC32" i="28" s="1"/>
  <c r="AP32" i="28" s="1"/>
  <c r="Z19" i="71"/>
  <c r="AB19" i="71" s="1"/>
  <c r="AO19" i="71" s="1"/>
  <c r="Z131" i="66"/>
  <c r="AB131" i="66" s="1"/>
  <c r="AO131" i="66" s="1"/>
  <c r="AA133" i="65"/>
  <c r="AC133" i="65" s="1"/>
  <c r="AP133" i="65" s="1"/>
  <c r="Z34" i="28"/>
  <c r="AB34" i="28" s="1"/>
  <c r="AO34" i="28" s="1"/>
  <c r="AP29" i="28"/>
  <c r="AA11" i="3"/>
  <c r="AC11" i="3" s="1"/>
  <c r="AP11" i="3" s="1"/>
  <c r="Z11" i="6"/>
  <c r="AB11" i="6" s="1"/>
  <c r="AO11" i="6" s="1"/>
  <c r="Z40" i="12"/>
  <c r="AB40" i="12" s="1"/>
  <c r="AO40" i="12" s="1"/>
  <c r="Z19" i="32"/>
  <c r="AB19" i="32" s="1"/>
  <c r="AO19" i="32" s="1"/>
  <c r="Z22" i="30"/>
  <c r="AB22" i="30" s="1"/>
  <c r="AO22" i="30" s="1"/>
  <c r="AA25" i="23"/>
  <c r="AC25" i="23" s="1"/>
  <c r="AP25" i="23" s="1"/>
  <c r="Z113" i="65"/>
  <c r="AB113" i="65" s="1"/>
  <c r="AO113" i="65" s="1"/>
  <c r="AA145" i="65"/>
  <c r="AC145" i="65" s="1"/>
  <c r="AP145" i="65" s="1"/>
  <c r="AA8" i="25"/>
  <c r="AC8" i="25" s="1"/>
  <c r="AP8" i="25" s="1"/>
  <c r="Z18" i="12"/>
  <c r="AB18" i="12" s="1"/>
  <c r="AO18" i="12" s="1"/>
  <c r="Z36" i="53"/>
  <c r="AB36" i="53" s="1"/>
  <c r="AO36" i="53" s="1"/>
  <c r="AA8" i="28"/>
  <c r="AC8" i="28" s="1"/>
  <c r="AP8" i="28" s="1"/>
  <c r="AA14" i="38"/>
  <c r="AC14" i="38" s="1"/>
  <c r="AP14" i="38" s="1"/>
  <c r="AA10" i="71"/>
  <c r="AC10" i="71" s="1"/>
  <c r="AP10" i="71" s="1"/>
  <c r="AA41" i="28"/>
  <c r="AC41" i="28" s="1"/>
  <c r="AP41" i="28" s="1"/>
  <c r="Z124" i="65"/>
  <c r="AB124" i="65" s="1"/>
  <c r="AO124" i="65" s="1"/>
  <c r="AA105" i="66"/>
  <c r="AC105" i="66" s="1"/>
  <c r="AP105" i="66" s="1"/>
  <c r="Z65" i="66"/>
  <c r="AB65" i="66" s="1"/>
  <c r="AO65" i="66" s="1"/>
  <c r="AA23" i="26"/>
  <c r="AC23" i="26" s="1"/>
  <c r="AP23" i="26" s="1"/>
  <c r="Z106" i="66"/>
  <c r="AB106" i="66" s="1"/>
  <c r="AO106" i="66" s="1"/>
  <c r="Z47" i="12"/>
  <c r="AB47" i="12" s="1"/>
  <c r="AO47" i="12" s="1"/>
  <c r="Z29" i="53"/>
  <c r="AB29" i="53" s="1"/>
  <c r="AO29" i="53" s="1"/>
  <c r="Z42" i="12"/>
  <c r="AB42" i="12" s="1"/>
  <c r="AO42" i="12" s="1"/>
  <c r="Z17" i="20"/>
  <c r="AB17" i="20" s="1"/>
  <c r="AO17" i="20" s="1"/>
  <c r="AA47" i="28"/>
  <c r="AC47" i="28" s="1"/>
  <c r="AP47" i="28" s="1"/>
  <c r="Z53" i="53"/>
  <c r="AB53" i="53" s="1"/>
  <c r="AO53" i="53" s="1"/>
  <c r="Z28" i="66"/>
  <c r="AB28" i="66" s="1"/>
  <c r="AO28" i="66" s="1"/>
  <c r="AA119" i="65"/>
  <c r="AC119" i="65" s="1"/>
  <c r="AP119" i="65" s="1"/>
  <c r="Z57" i="20"/>
  <c r="AB57" i="20" s="1"/>
  <c r="AO57" i="20" s="1"/>
  <c r="AA6" i="36"/>
  <c r="AC6" i="36" s="1"/>
  <c r="AP6" i="36" s="1"/>
  <c r="AA42" i="53"/>
  <c r="AC42" i="53" s="1"/>
  <c r="AP42" i="53" s="1"/>
  <c r="AA141" i="65"/>
  <c r="AC141" i="65" s="1"/>
  <c r="AP141" i="65" s="1"/>
  <c r="Z110" i="32"/>
  <c r="AB110" i="32" s="1"/>
  <c r="AO110" i="32" s="1"/>
  <c r="Z102" i="65"/>
  <c r="AB102" i="65" s="1"/>
  <c r="AO102" i="65" s="1"/>
  <c r="AA6" i="27"/>
  <c r="AC6" i="27" s="1"/>
  <c r="AP6" i="27" s="1"/>
  <c r="Z40" i="53"/>
  <c r="AB40" i="53" s="1"/>
  <c r="AO40" i="53" s="1"/>
  <c r="Z6" i="66"/>
  <c r="AB6" i="66" s="1"/>
  <c r="AO6" i="66" s="1"/>
  <c r="AA62" i="65"/>
  <c r="AC62" i="65" s="1"/>
  <c r="AP62" i="65" s="1"/>
  <c r="AA66" i="66"/>
  <c r="AC66" i="66" s="1"/>
  <c r="AP66" i="66" s="1"/>
  <c r="AA10" i="28"/>
  <c r="AC10" i="28" s="1"/>
  <c r="AP10" i="28" s="1"/>
  <c r="AA76" i="46"/>
  <c r="AC76" i="46" s="1"/>
  <c r="AP76" i="46" s="1"/>
  <c r="Z91" i="65"/>
  <c r="AB91" i="65" s="1"/>
  <c r="AO91" i="65" s="1"/>
  <c r="Z14" i="3"/>
  <c r="AB14" i="3" s="1"/>
  <c r="AO14" i="3" s="1"/>
  <c r="AA10" i="36"/>
  <c r="AC10" i="36" s="1"/>
  <c r="AP10" i="36" s="1"/>
  <c r="Z8" i="30"/>
  <c r="AB8" i="30" s="1"/>
  <c r="AO8" i="30" s="1"/>
  <c r="AA37" i="20"/>
  <c r="AC37" i="20" s="1"/>
  <c r="AP37" i="20" s="1"/>
  <c r="Z86" i="65"/>
  <c r="AB86" i="65" s="1"/>
  <c r="AO86" i="65" s="1"/>
  <c r="AA94" i="66"/>
  <c r="AC94" i="66" s="1"/>
  <c r="AP94" i="66" s="1"/>
  <c r="Z126" i="65"/>
  <c r="AB126" i="65" s="1"/>
  <c r="AO126" i="65" s="1"/>
  <c r="Z35" i="66"/>
  <c r="AB35" i="66" s="1"/>
  <c r="AO35" i="66" s="1"/>
  <c r="Z108" i="65"/>
  <c r="AB108" i="65" s="1"/>
  <c r="AO108" i="65" s="1"/>
  <c r="AA12" i="27"/>
  <c r="AC12" i="27" s="1"/>
  <c r="AP12" i="27" s="1"/>
  <c r="AA118" i="32"/>
  <c r="AC118" i="32" s="1"/>
  <c r="AP118" i="32" s="1"/>
  <c r="AA118" i="66"/>
  <c r="AC118" i="66" s="1"/>
  <c r="AP118" i="66" s="1"/>
  <c r="AA68" i="32"/>
  <c r="AC68" i="32" s="1"/>
  <c r="AP68" i="32" s="1"/>
  <c r="L6" i="2"/>
  <c r="AA173" i="65"/>
  <c r="AC173" i="65" s="1"/>
  <c r="AP173" i="65" s="1"/>
  <c r="AA52" i="53"/>
  <c r="AC52" i="53" s="1"/>
  <c r="AP52" i="53" s="1"/>
  <c r="Z59" i="65"/>
  <c r="AB59" i="65" s="1"/>
  <c r="AO59" i="65" s="1"/>
  <c r="Z68" i="66"/>
  <c r="AB68" i="66" s="1"/>
  <c r="AO68" i="66" s="1"/>
  <c r="Z50" i="12"/>
  <c r="AB50" i="12" s="1"/>
  <c r="AO50" i="12" s="1"/>
  <c r="Z189" i="65"/>
  <c r="AB189" i="65" s="1"/>
  <c r="AO189" i="65" s="1"/>
  <c r="Z137" i="32"/>
  <c r="AB137" i="32" s="1"/>
  <c r="AO137" i="32" s="1"/>
  <c r="Z43" i="65"/>
  <c r="AB43" i="65" s="1"/>
  <c r="AO43" i="65" s="1"/>
  <c r="AA88" i="65"/>
  <c r="AC88" i="65" s="1"/>
  <c r="AP88" i="65" s="1"/>
  <c r="AA30" i="66"/>
  <c r="AC30" i="66" s="1"/>
  <c r="AP30" i="66" s="1"/>
  <c r="AA66" i="65"/>
  <c r="AC66" i="65" s="1"/>
  <c r="AP66" i="65" s="1"/>
  <c r="AA110" i="66"/>
  <c r="AC110" i="66" s="1"/>
  <c r="AP110" i="66" s="1"/>
  <c r="AA110" i="65"/>
  <c r="AC110" i="65" s="1"/>
  <c r="AP110" i="65" s="1"/>
  <c r="Z33" i="66"/>
  <c r="AB33" i="66" s="1"/>
  <c r="AO33" i="66" s="1"/>
  <c r="AA5" i="36"/>
  <c r="AC5" i="36" s="1"/>
  <c r="AA118" i="65"/>
  <c r="AC118" i="65" s="1"/>
  <c r="AP118" i="65" s="1"/>
  <c r="AA23" i="30"/>
  <c r="AC23" i="30" s="1"/>
  <c r="AP23" i="30" s="1"/>
  <c r="Z14" i="53"/>
  <c r="AB14" i="53" s="1"/>
  <c r="AO14" i="53" s="1"/>
  <c r="Z119" i="66"/>
  <c r="AB119" i="66" s="1"/>
  <c r="AO119" i="66" s="1"/>
  <c r="Z24" i="38"/>
  <c r="AB24" i="38" s="1"/>
  <c r="AO24" i="38" s="1"/>
  <c r="Z67" i="20"/>
  <c r="AB67" i="20" s="1"/>
  <c r="AO67" i="20" s="1"/>
  <c r="Z21" i="66"/>
  <c r="AB21" i="66" s="1"/>
  <c r="AO21" i="66" s="1"/>
  <c r="AA96" i="65"/>
  <c r="AC96" i="65" s="1"/>
  <c r="AP96" i="65" s="1"/>
  <c r="AA7" i="65"/>
  <c r="AC7" i="65" s="1"/>
  <c r="AP7" i="65" s="1"/>
  <c r="AA44" i="20"/>
  <c r="AC44" i="20" s="1"/>
  <c r="AP44" i="20" s="1"/>
  <c r="Z36" i="66"/>
  <c r="AB36" i="66" s="1"/>
  <c r="AO36" i="66" s="1"/>
  <c r="Z43" i="12"/>
  <c r="AB43" i="12" s="1"/>
  <c r="AO43" i="12" s="1"/>
  <c r="AA12" i="16"/>
  <c r="AC12" i="16" s="1"/>
  <c r="AP12" i="16" s="1"/>
  <c r="AA90" i="65"/>
  <c r="AC90" i="65" s="1"/>
  <c r="AP90" i="65" s="1"/>
  <c r="Z103" i="32"/>
  <c r="AB103" i="32" s="1"/>
  <c r="AO103" i="32" s="1"/>
  <c r="AA54" i="65"/>
  <c r="AC54" i="65" s="1"/>
  <c r="AP54" i="65" s="1"/>
  <c r="Z104" i="66"/>
  <c r="AB104" i="66" s="1"/>
  <c r="AO104" i="66" s="1"/>
  <c r="AA8" i="53"/>
  <c r="AC8" i="53" s="1"/>
  <c r="AP8" i="53" s="1"/>
  <c r="AA15" i="38"/>
  <c r="AC15" i="38" s="1"/>
  <c r="AP15" i="38" s="1"/>
  <c r="Z46" i="66"/>
  <c r="AB46" i="66" s="1"/>
  <c r="AO46" i="66" s="1"/>
  <c r="Z50" i="65"/>
  <c r="AB50" i="65" s="1"/>
  <c r="AO50" i="65" s="1"/>
  <c r="Z21" i="16"/>
  <c r="AB21" i="16" s="1"/>
  <c r="AO21" i="16" s="1"/>
  <c r="AA98" i="66"/>
  <c r="AC98" i="66" s="1"/>
  <c r="AP98" i="66" s="1"/>
  <c r="Z10" i="70"/>
  <c r="AB10" i="70" s="1"/>
  <c r="AO10" i="70" s="1"/>
  <c r="AA6" i="25"/>
  <c r="AC6" i="25" s="1"/>
  <c r="AP6" i="25" s="1"/>
  <c r="Z13" i="6"/>
  <c r="AB13" i="6" s="1"/>
  <c r="AO13" i="6" s="1"/>
  <c r="AA18" i="53"/>
  <c r="AC18" i="53" s="1"/>
  <c r="AP18" i="53" s="1"/>
  <c r="AA28" i="20"/>
  <c r="AC28" i="20" s="1"/>
  <c r="AP28" i="20" s="1"/>
  <c r="Z7" i="6"/>
  <c r="AB7" i="6" s="1"/>
  <c r="AO7" i="6" s="1"/>
  <c r="AA18" i="20"/>
  <c r="AC18" i="20" s="1"/>
  <c r="AP18" i="20" s="1"/>
  <c r="AA101" i="66"/>
  <c r="AC101" i="66" s="1"/>
  <c r="AP101" i="66" s="1"/>
  <c r="Z63" i="66"/>
  <c r="AB63" i="66" s="1"/>
  <c r="AO63" i="66" s="1"/>
  <c r="Z52" i="46"/>
  <c r="AB52" i="46" s="1"/>
  <c r="AO52" i="46" s="1"/>
  <c r="Z63" i="20"/>
  <c r="AB63" i="20" s="1"/>
  <c r="AO63" i="20" s="1"/>
  <c r="Z63" i="65"/>
  <c r="AB63" i="65" s="1"/>
  <c r="AO63" i="65" s="1"/>
  <c r="Z72" i="66"/>
  <c r="AB72" i="66" s="1"/>
  <c r="AO72" i="66" s="1"/>
  <c r="Z12" i="20"/>
  <c r="AB12" i="20" s="1"/>
  <c r="AO12" i="20" s="1"/>
  <c r="Z45" i="46"/>
  <c r="AB45" i="46" s="1"/>
  <c r="AO45" i="46" s="1"/>
  <c r="Z60" i="66"/>
  <c r="AB60" i="66" s="1"/>
  <c r="AO60" i="66" s="1"/>
  <c r="Z19" i="38"/>
  <c r="AB19" i="38" s="1"/>
  <c r="AO19" i="38" s="1"/>
  <c r="Z159" i="65"/>
  <c r="AB159" i="65" s="1"/>
  <c r="AO159" i="65" s="1"/>
  <c r="Z59" i="66"/>
  <c r="AB59" i="66" s="1"/>
  <c r="AO59" i="66" s="1"/>
  <c r="AA179" i="65"/>
  <c r="AC179" i="65" s="1"/>
  <c r="AP179" i="65" s="1"/>
  <c r="Z85" i="66"/>
  <c r="AB85" i="66" s="1"/>
  <c r="AO85" i="66" s="1"/>
  <c r="AA158" i="65"/>
  <c r="AC158" i="65" s="1"/>
  <c r="AP158" i="65" s="1"/>
  <c r="Z29" i="28"/>
  <c r="AB29" i="28" s="1"/>
  <c r="AO29" i="28" s="1"/>
  <c r="T25" i="68"/>
  <c r="E26" i="2" s="1"/>
  <c r="E27" i="2"/>
  <c r="C44" i="2"/>
  <c r="C55" i="2" s="1"/>
  <c r="AP143" i="65"/>
  <c r="AA22" i="6"/>
  <c r="AC22" i="6" s="1"/>
  <c r="AP22" i="6" s="1"/>
  <c r="Z12" i="38"/>
  <c r="AB12" i="38" s="1"/>
  <c r="AO12" i="38" s="1"/>
  <c r="D40" i="2"/>
  <c r="AA5" i="30"/>
  <c r="AC5" i="30" s="1"/>
  <c r="AP5" i="30" s="1"/>
  <c r="AA15" i="6"/>
  <c r="AC15" i="6" s="1"/>
  <c r="AP15" i="6" s="1"/>
  <c r="AA9" i="28"/>
  <c r="AC9" i="28" s="1"/>
  <c r="AP9" i="28" s="1"/>
  <c r="Z7" i="66"/>
  <c r="AB7" i="66" s="1"/>
  <c r="AO7" i="66" s="1"/>
  <c r="Z20" i="30"/>
  <c r="AB20" i="30" s="1"/>
  <c r="AO20" i="30" s="1"/>
  <c r="Q10" i="68"/>
  <c r="U10" i="68" s="1"/>
  <c r="F11" i="2" s="1"/>
  <c r="Z14" i="66"/>
  <c r="AB14" i="66" s="1"/>
  <c r="AO14" i="66" s="1"/>
  <c r="Q16" i="67"/>
  <c r="U16" i="67" s="1"/>
  <c r="N16" i="2" s="1"/>
  <c r="Z42" i="28"/>
  <c r="AB42" i="28" s="1"/>
  <c r="AO42" i="28" s="1"/>
  <c r="AA32" i="53"/>
  <c r="AC32" i="53" s="1"/>
  <c r="AP32" i="53" s="1"/>
  <c r="Z26" i="46"/>
  <c r="AB26" i="46" s="1"/>
  <c r="AO26" i="46" s="1"/>
  <c r="Z23" i="12"/>
  <c r="AB23" i="12" s="1"/>
  <c r="AO23" i="12" s="1"/>
  <c r="AA23" i="28"/>
  <c r="AC23" i="28" s="1"/>
  <c r="AP23" i="28" s="1"/>
  <c r="AA16" i="36"/>
  <c r="AC16" i="36" s="1"/>
  <c r="AP16" i="36" s="1"/>
  <c r="AA44" i="28"/>
  <c r="AC44" i="28" s="1"/>
  <c r="AP44" i="28" s="1"/>
  <c r="AA43" i="46"/>
  <c r="AC43" i="46" s="1"/>
  <c r="AP43" i="46" s="1"/>
  <c r="AA19" i="66"/>
  <c r="AC19" i="66" s="1"/>
  <c r="AP19" i="66" s="1"/>
  <c r="AP153" i="65"/>
  <c r="Z7" i="71"/>
  <c r="AB7" i="71" s="1"/>
  <c r="AO7" i="71" s="1"/>
  <c r="Z19" i="25"/>
  <c r="AB19" i="25" s="1"/>
  <c r="AO19" i="25" s="1"/>
  <c r="AA21" i="70"/>
  <c r="AC21" i="70" s="1"/>
  <c r="AP21" i="70" s="1"/>
  <c r="Z153" i="65"/>
  <c r="AB153" i="65" s="1"/>
  <c r="AO153" i="65" s="1"/>
  <c r="AA21" i="36"/>
  <c r="AC21" i="36" s="1"/>
  <c r="AP21" i="36" s="1"/>
  <c r="Z109" i="66"/>
  <c r="AB109" i="66" s="1"/>
  <c r="AO109" i="66" s="1"/>
  <c r="AA82" i="65"/>
  <c r="AC82" i="65" s="1"/>
  <c r="AP82" i="65" s="1"/>
  <c r="AA73" i="32"/>
  <c r="AC73" i="32" s="1"/>
  <c r="AP73" i="32" s="1"/>
  <c r="Z21" i="12"/>
  <c r="AB21" i="12" s="1"/>
  <c r="AO21" i="12" s="1"/>
  <c r="Z7" i="36"/>
  <c r="AB7" i="36" s="1"/>
  <c r="AO7" i="36" s="1"/>
  <c r="Z9" i="18"/>
  <c r="AB9" i="18" s="1"/>
  <c r="AO9" i="18" s="1"/>
  <c r="AA126" i="66"/>
  <c r="AC126" i="66" s="1"/>
  <c r="AP126" i="66" s="1"/>
  <c r="Z17" i="36"/>
  <c r="AB17" i="36" s="1"/>
  <c r="AO17" i="36" s="1"/>
  <c r="Z186" i="65"/>
  <c r="AB186" i="65" s="1"/>
  <c r="AO186" i="65" s="1"/>
  <c r="Z45" i="12"/>
  <c r="AB45" i="12" s="1"/>
  <c r="AO45" i="12" s="1"/>
  <c r="AA18" i="71"/>
  <c r="AC18" i="71" s="1"/>
  <c r="AP18" i="71" s="1"/>
  <c r="Z38" i="12"/>
  <c r="AB38" i="12" s="1"/>
  <c r="AO38" i="12" s="1"/>
  <c r="Z32" i="66"/>
  <c r="AB32" i="66" s="1"/>
  <c r="AO32" i="66" s="1"/>
  <c r="Z69" i="65"/>
  <c r="AB69" i="65" s="1"/>
  <c r="AO69" i="65" s="1"/>
  <c r="Z23" i="25"/>
  <c r="AB23" i="25" s="1"/>
  <c r="AO23" i="25" s="1"/>
  <c r="AA162" i="65"/>
  <c r="AC162" i="65" s="1"/>
  <c r="AP162" i="65" s="1"/>
  <c r="AA80" i="65"/>
  <c r="AC80" i="65" s="1"/>
  <c r="AP80" i="65" s="1"/>
  <c r="AA16" i="3"/>
  <c r="AC16" i="3" s="1"/>
  <c r="AP16" i="3" s="1"/>
  <c r="Q39" i="68"/>
  <c r="U39" i="68" s="1"/>
  <c r="F38" i="2" s="1"/>
  <c r="AA11" i="65"/>
  <c r="AC11" i="65" s="1"/>
  <c r="AP11" i="65" s="1"/>
  <c r="Z24" i="28"/>
  <c r="AB24" i="28" s="1"/>
  <c r="AO24" i="28" s="1"/>
  <c r="Z29" i="12"/>
  <c r="AB29" i="12" s="1"/>
  <c r="AO29" i="12" s="1"/>
  <c r="AA116" i="65"/>
  <c r="AC116" i="65" s="1"/>
  <c r="AP116" i="65" s="1"/>
  <c r="AA56" i="65"/>
  <c r="AC56" i="65" s="1"/>
  <c r="AP56" i="65" s="1"/>
  <c r="AA6" i="16"/>
  <c r="AC6" i="16" s="1"/>
  <c r="AP6" i="16" s="1"/>
  <c r="AA72" i="65"/>
  <c r="AC72" i="65" s="1"/>
  <c r="AP72" i="65" s="1"/>
  <c r="AA13" i="65"/>
  <c r="AC13" i="65" s="1"/>
  <c r="AP13" i="65" s="1"/>
  <c r="AA32" i="12"/>
  <c r="AC32" i="12" s="1"/>
  <c r="AP32" i="12" s="1"/>
  <c r="Z72" i="20"/>
  <c r="AB72" i="20" s="1"/>
  <c r="AO72" i="20" s="1"/>
  <c r="AA55" i="32"/>
  <c r="AC55" i="32" s="1"/>
  <c r="AP55" i="32" s="1"/>
  <c r="AA58" i="20"/>
  <c r="AC58" i="20" s="1"/>
  <c r="AP58" i="20" s="1"/>
  <c r="AA67" i="32"/>
  <c r="AC67" i="32" s="1"/>
  <c r="AP67" i="32" s="1"/>
  <c r="AA23" i="5"/>
  <c r="AC23" i="5" s="1"/>
  <c r="AP23" i="5" s="1"/>
  <c r="Z20" i="28"/>
  <c r="AB20" i="28" s="1"/>
  <c r="AO20" i="28" s="1"/>
  <c r="Z29" i="32"/>
  <c r="AB29" i="32" s="1"/>
  <c r="AO29" i="32" s="1"/>
  <c r="AA5" i="66"/>
  <c r="AC5" i="66" s="1"/>
  <c r="AP5" i="66" s="1"/>
  <c r="AA31" i="53"/>
  <c r="AC31" i="53" s="1"/>
  <c r="AP31" i="53" s="1"/>
  <c r="AA49" i="20"/>
  <c r="AC49" i="20" s="1"/>
  <c r="AP49" i="20" s="1"/>
  <c r="Z164" i="65"/>
  <c r="AB164" i="65" s="1"/>
  <c r="AO164" i="65" s="1"/>
  <c r="AA38" i="53"/>
  <c r="AC38" i="53" s="1"/>
  <c r="AP38" i="53" s="1"/>
  <c r="AA23" i="18"/>
  <c r="AC23" i="18" s="1"/>
  <c r="AP23" i="18" s="1"/>
  <c r="AA164" i="32"/>
  <c r="AC164" i="32" s="1"/>
  <c r="AP164" i="32" s="1"/>
  <c r="Z41" i="53"/>
  <c r="AB41" i="53" s="1"/>
  <c r="AO41" i="53" s="1"/>
  <c r="AA28" i="12"/>
  <c r="AC28" i="12" s="1"/>
  <c r="AP28" i="12" s="1"/>
  <c r="Z7" i="16"/>
  <c r="AB7" i="16" s="1"/>
  <c r="AO7" i="16" s="1"/>
  <c r="Z49" i="65"/>
  <c r="AB49" i="65" s="1"/>
  <c r="AO49" i="65" s="1"/>
  <c r="AA117" i="66"/>
  <c r="AC117" i="66" s="1"/>
  <c r="AP117" i="66" s="1"/>
  <c r="AA5" i="53"/>
  <c r="AC5" i="53" s="1"/>
  <c r="AP5" i="53" s="1"/>
  <c r="Z71" i="65"/>
  <c r="AB71" i="65" s="1"/>
  <c r="AO71" i="65" s="1"/>
  <c r="AA19" i="3"/>
  <c r="AC19" i="3" s="1"/>
  <c r="AP19" i="3" s="1"/>
  <c r="Z35" i="65"/>
  <c r="AB35" i="65" s="1"/>
  <c r="AO35" i="65" s="1"/>
  <c r="Z90" i="66"/>
  <c r="AB90" i="66" s="1"/>
  <c r="AO90" i="66" s="1"/>
  <c r="Z10" i="16"/>
  <c r="AB10" i="16" s="1"/>
  <c r="AO10" i="16" s="1"/>
  <c r="Z133" i="32"/>
  <c r="AB133" i="32" s="1"/>
  <c r="AO133" i="32" s="1"/>
  <c r="Z18" i="16"/>
  <c r="AB18" i="16" s="1"/>
  <c r="AO18" i="16" s="1"/>
  <c r="Z97" i="66"/>
  <c r="AB97" i="66" s="1"/>
  <c r="AO97" i="66" s="1"/>
  <c r="Z136" i="65"/>
  <c r="AB136" i="65" s="1"/>
  <c r="AO136" i="65" s="1"/>
  <c r="AA50" i="32"/>
  <c r="AC50" i="32" s="1"/>
  <c r="AP50" i="32" s="1"/>
  <c r="Z26" i="53"/>
  <c r="AB26" i="53" s="1"/>
  <c r="AO26" i="53" s="1"/>
  <c r="Z40" i="20"/>
  <c r="AB40" i="20" s="1"/>
  <c r="AO40" i="20" s="1"/>
  <c r="AA26" i="12"/>
  <c r="AC26" i="12" s="1"/>
  <c r="AP26" i="12" s="1"/>
  <c r="Z19" i="53"/>
  <c r="AB19" i="53" s="1"/>
  <c r="AO19" i="53" s="1"/>
  <c r="Z74" i="65"/>
  <c r="AB74" i="65" s="1"/>
  <c r="AO74" i="65" s="1"/>
  <c r="AA9" i="26"/>
  <c r="AC9" i="26" s="1"/>
  <c r="AP9" i="26" s="1"/>
  <c r="Z84" i="66"/>
  <c r="AB84" i="66" s="1"/>
  <c r="AO84" i="66" s="1"/>
  <c r="AA6" i="20"/>
  <c r="AC6" i="20" s="1"/>
  <c r="AP6" i="20" s="1"/>
  <c r="Z76" i="66"/>
  <c r="AB76" i="66" s="1"/>
  <c r="AO76" i="66" s="1"/>
  <c r="AA75" i="20"/>
  <c r="AC75" i="20" s="1"/>
  <c r="AP75" i="20" s="1"/>
  <c r="Z53" i="65"/>
  <c r="AB53" i="65" s="1"/>
  <c r="AO53" i="65" s="1"/>
  <c r="Z111" i="66"/>
  <c r="AB111" i="66" s="1"/>
  <c r="AO111" i="66" s="1"/>
  <c r="Z43" i="20"/>
  <c r="AB43" i="20" s="1"/>
  <c r="AO43" i="20" s="1"/>
  <c r="AA150" i="65"/>
  <c r="AC150" i="65" s="1"/>
  <c r="AP150" i="65" s="1"/>
  <c r="AA45" i="28"/>
  <c r="AC45" i="28" s="1"/>
  <c r="AP45" i="28" s="1"/>
  <c r="Z35" i="20"/>
  <c r="AB35" i="20" s="1"/>
  <c r="AO35" i="20" s="1"/>
  <c r="Z5" i="28"/>
  <c r="AB5" i="28" s="1"/>
  <c r="AO5" i="28" s="1"/>
  <c r="Z42" i="20"/>
  <c r="AB42" i="20" s="1"/>
  <c r="AO42" i="20" s="1"/>
  <c r="Z30" i="28"/>
  <c r="AB30" i="28" s="1"/>
  <c r="AO30" i="28" s="1"/>
  <c r="AA55" i="46"/>
  <c r="AC55" i="46" s="1"/>
  <c r="AP55" i="46" s="1"/>
  <c r="AA114" i="66"/>
  <c r="AC114" i="66" s="1"/>
  <c r="AP114" i="66" s="1"/>
  <c r="Z18" i="36"/>
  <c r="AB18" i="36" s="1"/>
  <c r="AO18" i="36" s="1"/>
  <c r="Z87" i="65"/>
  <c r="AB87" i="65" s="1"/>
  <c r="AO87" i="65" s="1"/>
  <c r="Z67" i="66"/>
  <c r="AB67" i="66" s="1"/>
  <c r="AO67" i="66" s="1"/>
  <c r="Z17" i="12"/>
  <c r="AB17" i="12" s="1"/>
  <c r="AO17" i="12" s="1"/>
  <c r="AA8" i="71"/>
  <c r="AC8" i="71" s="1"/>
  <c r="AP8" i="71" s="1"/>
  <c r="AA17" i="25"/>
  <c r="AC17" i="25" s="1"/>
  <c r="AP17" i="25" s="1"/>
  <c r="Z34" i="66"/>
  <c r="AB34" i="66" s="1"/>
  <c r="AO34" i="66" s="1"/>
  <c r="AA20" i="65"/>
  <c r="AC20" i="65" s="1"/>
  <c r="AP20" i="65" s="1"/>
  <c r="AA48" i="65"/>
  <c r="AC48" i="65" s="1"/>
  <c r="AP48" i="65" s="1"/>
  <c r="AA38" i="20"/>
  <c r="AC38" i="20" s="1"/>
  <c r="AP38" i="20" s="1"/>
  <c r="AA16" i="65"/>
  <c r="AC16" i="65" s="1"/>
  <c r="AP16" i="65" s="1"/>
  <c r="Z28" i="65"/>
  <c r="AB28" i="65" s="1"/>
  <c r="AO28" i="65" s="1"/>
  <c r="AA9" i="55"/>
  <c r="AC9" i="55" s="1"/>
  <c r="AP9" i="55" s="1"/>
  <c r="Z87" i="66"/>
  <c r="AB87" i="66" s="1"/>
  <c r="AO87" i="66" s="1"/>
  <c r="AA42" i="66"/>
  <c r="AC42" i="66" s="1"/>
  <c r="AP42" i="66" s="1"/>
  <c r="AA54" i="66"/>
  <c r="AC54" i="66" s="1"/>
  <c r="AP54" i="66" s="1"/>
  <c r="AA99" i="66"/>
  <c r="AC99" i="66" s="1"/>
  <c r="AP99" i="66" s="1"/>
  <c r="Z79" i="65"/>
  <c r="AB79" i="65" s="1"/>
  <c r="AO79" i="65" s="1"/>
  <c r="Z55" i="65"/>
  <c r="AB55" i="65" s="1"/>
  <c r="AO55" i="65" s="1"/>
  <c r="AA5" i="16"/>
  <c r="AC5" i="16" s="1"/>
  <c r="AP5" i="16" s="1"/>
  <c r="Z5" i="3"/>
  <c r="AB5" i="3" s="1"/>
  <c r="AO5" i="3" s="1"/>
  <c r="AA78" i="66"/>
  <c r="AC78" i="66" s="1"/>
  <c r="AP78" i="66" s="1"/>
  <c r="Z149" i="65"/>
  <c r="AB149" i="65" s="1"/>
  <c r="AO149" i="65" s="1"/>
  <c r="U27" i="67"/>
  <c r="N27" i="2" s="1"/>
  <c r="AA114" i="32"/>
  <c r="AC114" i="32" s="1"/>
  <c r="AP114" i="32" s="1"/>
  <c r="Z37" i="46"/>
  <c r="AB37" i="46" s="1"/>
  <c r="AO37" i="46" s="1"/>
  <c r="AA71" i="66"/>
  <c r="AC71" i="66" s="1"/>
  <c r="AP71" i="66" s="1"/>
  <c r="AA11" i="14"/>
  <c r="AC11" i="14" s="1"/>
  <c r="AP11" i="14" s="1"/>
  <c r="AA13" i="18"/>
  <c r="AC13" i="18" s="1"/>
  <c r="AP13" i="18" s="1"/>
  <c r="AA58" i="75"/>
  <c r="AC58" i="75" s="1"/>
  <c r="AP58" i="75" s="1"/>
  <c r="AA20" i="18"/>
  <c r="AC20" i="18" s="1"/>
  <c r="AP20" i="18" s="1"/>
  <c r="AA182" i="65"/>
  <c r="AC182" i="65" s="1"/>
  <c r="AP182" i="65" s="1"/>
  <c r="Z41" i="66"/>
  <c r="AB41" i="66" s="1"/>
  <c r="AO41" i="66" s="1"/>
  <c r="Z20" i="32"/>
  <c r="AB20" i="32" s="1"/>
  <c r="AO20" i="32" s="1"/>
  <c r="Z45" i="65"/>
  <c r="AB45" i="65" s="1"/>
  <c r="AO45" i="65" s="1"/>
  <c r="AA25" i="12"/>
  <c r="AC25" i="12" s="1"/>
  <c r="AP25" i="12" s="1"/>
  <c r="AA36" i="28"/>
  <c r="AC36" i="28" s="1"/>
  <c r="AP36" i="28" s="1"/>
  <c r="AA36" i="20"/>
  <c r="AC36" i="20" s="1"/>
  <c r="AP36" i="20" s="1"/>
  <c r="Z77" i="65"/>
  <c r="AB77" i="65" s="1"/>
  <c r="AO77" i="65" s="1"/>
  <c r="AA105" i="65"/>
  <c r="AC105" i="65" s="1"/>
  <c r="AP105" i="65" s="1"/>
  <c r="U27" i="68"/>
  <c r="F28" i="2" s="1"/>
  <c r="AA13" i="74"/>
  <c r="AC13" i="74" s="1"/>
  <c r="AP13" i="74" s="1"/>
  <c r="Z106" i="65"/>
  <c r="AB106" i="65" s="1"/>
  <c r="AO106" i="65" s="1"/>
  <c r="Z22" i="75"/>
  <c r="AB22" i="75" s="1"/>
  <c r="AO22" i="75" s="1"/>
  <c r="Z23" i="65"/>
  <c r="AB23" i="65" s="1"/>
  <c r="AO23" i="65" s="1"/>
  <c r="Z7" i="60"/>
  <c r="AB7" i="60" s="1"/>
  <c r="AO7" i="60" s="1"/>
  <c r="Z11" i="19"/>
  <c r="AB11" i="19" s="1"/>
  <c r="AO11" i="19" s="1"/>
  <c r="AA5" i="25"/>
  <c r="AC5" i="25" s="1"/>
  <c r="AP5" i="25" s="1"/>
  <c r="Z185" i="65"/>
  <c r="AB185" i="65" s="1"/>
  <c r="AO185" i="65" s="1"/>
  <c r="Z8" i="3"/>
  <c r="AB8" i="3" s="1"/>
  <c r="AO8" i="3" s="1"/>
  <c r="AA122" i="66"/>
  <c r="AC122" i="66" s="1"/>
  <c r="AP122" i="66" s="1"/>
  <c r="Z19" i="12"/>
  <c r="AB19" i="12" s="1"/>
  <c r="AO19" i="12" s="1"/>
  <c r="AA12" i="65"/>
  <c r="AC12" i="65" s="1"/>
  <c r="AP12" i="65" s="1"/>
  <c r="AA144" i="65"/>
  <c r="AC144" i="65" s="1"/>
  <c r="AP144" i="65" s="1"/>
  <c r="Z121" i="66"/>
  <c r="AB121" i="66" s="1"/>
  <c r="AO121" i="66" s="1"/>
  <c r="Z31" i="66"/>
  <c r="AB31" i="66" s="1"/>
  <c r="AO31" i="66" s="1"/>
  <c r="AA16" i="71"/>
  <c r="AC16" i="71" s="1"/>
  <c r="AP16" i="71" s="1"/>
  <c r="AA69" i="66"/>
  <c r="AC69" i="66" s="1"/>
  <c r="AP69" i="66" s="1"/>
  <c r="Z41" i="39"/>
  <c r="AB41" i="39" s="1"/>
  <c r="AO41" i="39" s="1"/>
  <c r="Z83" i="66"/>
  <c r="AB83" i="66" s="1"/>
  <c r="AO83" i="66" s="1"/>
  <c r="AP33" i="65"/>
  <c r="AA17" i="71"/>
  <c r="AC17" i="71" s="1"/>
  <c r="AP17" i="71" s="1"/>
  <c r="AA18" i="66"/>
  <c r="AC18" i="66" s="1"/>
  <c r="AP18" i="66" s="1"/>
  <c r="AA112" i="65"/>
  <c r="AC112" i="65" s="1"/>
  <c r="AP112" i="65" s="1"/>
  <c r="Q80" i="68"/>
  <c r="I52" i="68"/>
  <c r="Z85" i="32"/>
  <c r="AB85" i="32" s="1"/>
  <c r="AO85" i="32" s="1"/>
  <c r="AA138" i="65"/>
  <c r="AC138" i="65" s="1"/>
  <c r="AP138" i="65" s="1"/>
  <c r="Z134" i="65"/>
  <c r="AB134" i="65" s="1"/>
  <c r="AO134" i="65" s="1"/>
  <c r="Z35" i="28"/>
  <c r="AB35" i="28" s="1"/>
  <c r="AO35" i="28" s="1"/>
  <c r="Z23" i="66"/>
  <c r="AB23" i="66" s="1"/>
  <c r="AO23" i="66" s="1"/>
  <c r="Z21" i="25"/>
  <c r="AB21" i="25" s="1"/>
  <c r="AO21" i="25" s="1"/>
  <c r="AA21" i="53"/>
  <c r="AC21" i="53" s="1"/>
  <c r="AP21" i="53" s="1"/>
  <c r="Z31" i="65"/>
  <c r="AB31" i="65" s="1"/>
  <c r="AO31" i="65" s="1"/>
  <c r="AA64" i="66"/>
  <c r="AC64" i="66" s="1"/>
  <c r="AP64" i="66" s="1"/>
  <c r="Z7" i="12"/>
  <c r="AB7" i="12" s="1"/>
  <c r="AO7" i="12" s="1"/>
  <c r="AA27" i="65"/>
  <c r="AC27" i="65" s="1"/>
  <c r="AP27" i="65" s="1"/>
  <c r="AA7" i="25"/>
  <c r="AC7" i="25" s="1"/>
  <c r="AP7" i="25" s="1"/>
  <c r="AA41" i="12"/>
  <c r="AC41" i="12" s="1"/>
  <c r="AP41" i="12" s="1"/>
  <c r="Z19" i="45"/>
  <c r="AB19" i="45" s="1"/>
  <c r="AO19" i="45" s="1"/>
  <c r="AA139" i="32"/>
  <c r="AC139" i="32" s="1"/>
  <c r="AP139" i="32" s="1"/>
  <c r="Z109" i="65"/>
  <c r="AB109" i="65" s="1"/>
  <c r="AO109" i="65" s="1"/>
  <c r="AA120" i="65"/>
  <c r="AC120" i="65" s="1"/>
  <c r="AP120" i="65" s="1"/>
  <c r="Z10" i="12"/>
  <c r="AB10" i="12" s="1"/>
  <c r="AO10" i="12" s="1"/>
  <c r="AA146" i="65"/>
  <c r="AC146" i="65" s="1"/>
  <c r="AP146" i="65" s="1"/>
  <c r="Z71" i="20"/>
  <c r="AB71" i="20" s="1"/>
  <c r="AO71" i="20" s="1"/>
  <c r="AA9" i="20"/>
  <c r="AC9" i="20" s="1"/>
  <c r="AP9" i="20" s="1"/>
  <c r="AA176" i="65"/>
  <c r="AC176" i="65" s="1"/>
  <c r="AP176" i="65" s="1"/>
  <c r="Z54" i="20"/>
  <c r="AB54" i="20" s="1"/>
  <c r="AO54" i="20" s="1"/>
  <c r="Z115" i="65"/>
  <c r="AB115" i="65" s="1"/>
  <c r="AO115" i="65" s="1"/>
  <c r="Z33" i="28"/>
  <c r="AB33" i="28" s="1"/>
  <c r="AO33" i="28" s="1"/>
  <c r="Z27" i="20"/>
  <c r="AB27" i="20" s="1"/>
  <c r="AO27" i="20" s="1"/>
  <c r="Z10" i="3"/>
  <c r="AB10" i="3" s="1"/>
  <c r="AO10" i="3" s="1"/>
  <c r="Z131" i="65"/>
  <c r="AB131" i="65" s="1"/>
  <c r="AO131" i="65" s="1"/>
  <c r="AA50" i="20"/>
  <c r="AC50" i="20" s="1"/>
  <c r="AP50" i="20" s="1"/>
  <c r="AA19" i="65"/>
  <c r="AC19" i="65" s="1"/>
  <c r="AP19" i="65" s="1"/>
  <c r="AA21" i="18"/>
  <c r="AC21" i="18" s="1"/>
  <c r="AP21" i="18" s="1"/>
  <c r="Z14" i="65"/>
  <c r="AB14" i="65" s="1"/>
  <c r="AO14" i="65" s="1"/>
  <c r="Z16" i="26"/>
  <c r="AB16" i="26" s="1"/>
  <c r="AO16" i="26" s="1"/>
  <c r="Z18" i="54"/>
  <c r="AB18" i="54" s="1"/>
  <c r="AO18" i="54" s="1"/>
  <c r="Z170" i="65"/>
  <c r="AB170" i="65" s="1"/>
  <c r="AO170" i="65" s="1"/>
  <c r="Z25" i="28"/>
  <c r="AB25" i="28" s="1"/>
  <c r="AO25" i="28" s="1"/>
  <c r="Z20" i="71"/>
  <c r="AB20" i="71" s="1"/>
  <c r="AO20" i="71" s="1"/>
  <c r="Z7" i="18"/>
  <c r="AB7" i="18" s="1"/>
  <c r="AO7" i="18" s="1"/>
  <c r="Z23" i="53"/>
  <c r="AB23" i="53" s="1"/>
  <c r="AO23" i="53" s="1"/>
  <c r="AA184" i="65"/>
  <c r="AC184" i="65" s="1"/>
  <c r="AP184" i="65" s="1"/>
  <c r="AA29" i="13"/>
  <c r="AC29" i="13" s="1"/>
  <c r="AP29" i="13" s="1"/>
  <c r="AA42" i="5"/>
  <c r="AC42" i="5" s="1"/>
  <c r="AP42" i="5" s="1"/>
  <c r="Z80" i="20"/>
  <c r="AB80" i="20" s="1"/>
  <c r="AO80" i="20" s="1"/>
  <c r="AA51" i="32"/>
  <c r="AC51" i="32" s="1"/>
  <c r="AP51" i="32" s="1"/>
  <c r="AA49" i="5"/>
  <c r="AC49" i="5" s="1"/>
  <c r="AP49" i="5" s="1"/>
  <c r="Z99" i="65"/>
  <c r="AB99" i="65" s="1"/>
  <c r="AO99" i="65" s="1"/>
  <c r="Z52" i="66"/>
  <c r="AB52" i="66" s="1"/>
  <c r="AO52" i="66" s="1"/>
  <c r="AA14" i="18"/>
  <c r="AC14" i="18" s="1"/>
  <c r="AP14" i="18" s="1"/>
  <c r="Z33" i="65"/>
  <c r="AB33" i="65" s="1"/>
  <c r="AO33" i="65" s="1"/>
  <c r="AA22" i="45"/>
  <c r="AC22" i="45" s="1"/>
  <c r="AP22" i="45" s="1"/>
  <c r="Z89" i="66"/>
  <c r="AB89" i="66" s="1"/>
  <c r="AO89" i="66" s="1"/>
  <c r="Z17" i="44"/>
  <c r="AB17" i="44" s="1"/>
  <c r="AO17" i="44" s="1"/>
  <c r="Z115" i="32"/>
  <c r="AB115" i="32" s="1"/>
  <c r="AO115" i="32" s="1"/>
  <c r="Z20" i="33"/>
  <c r="AB20" i="33" s="1"/>
  <c r="AO20" i="33" s="1"/>
  <c r="Z16" i="39"/>
  <c r="AB16" i="39" s="1"/>
  <c r="AO16" i="39" s="1"/>
  <c r="AA23" i="44"/>
  <c r="AC23" i="44" s="1"/>
  <c r="AP23" i="44" s="1"/>
  <c r="Z72" i="32"/>
  <c r="AB72" i="32" s="1"/>
  <c r="AO72" i="32" s="1"/>
  <c r="Z50" i="66"/>
  <c r="AB50" i="66" s="1"/>
  <c r="AO50" i="66" s="1"/>
  <c r="AA12" i="14"/>
  <c r="AC12" i="14" s="1"/>
  <c r="AP12" i="14" s="1"/>
  <c r="Z123" i="32"/>
  <c r="AB123" i="32" s="1"/>
  <c r="AO123" i="32" s="1"/>
  <c r="Z16" i="61"/>
  <c r="AB16" i="61" s="1"/>
  <c r="AO16" i="61" s="1"/>
  <c r="Z11" i="54"/>
  <c r="AB11" i="54" s="1"/>
  <c r="AO11" i="54" s="1"/>
  <c r="Z22" i="20"/>
  <c r="AB22" i="20" s="1"/>
  <c r="AO22" i="20" s="1"/>
  <c r="AA5" i="45"/>
  <c r="AC5" i="45" s="1"/>
  <c r="AP5" i="45" s="1"/>
  <c r="AA15" i="60"/>
  <c r="AC15" i="60" s="1"/>
  <c r="AP15" i="60" s="1"/>
  <c r="AA57" i="22"/>
  <c r="AC57" i="22" s="1"/>
  <c r="AP57" i="22" s="1"/>
  <c r="AA51" i="22"/>
  <c r="AC51" i="22" s="1"/>
  <c r="AP51" i="22" s="1"/>
  <c r="Z174" i="65"/>
  <c r="AB174" i="65" s="1"/>
  <c r="AO174" i="65" s="1"/>
  <c r="Z14" i="28"/>
  <c r="AB14" i="28" s="1"/>
  <c r="AO14" i="28" s="1"/>
  <c r="Z155" i="65"/>
  <c r="AB155" i="65" s="1"/>
  <c r="AO155" i="65" s="1"/>
  <c r="Z40" i="66"/>
  <c r="AB40" i="66" s="1"/>
  <c r="AO40" i="66" s="1"/>
  <c r="Z98" i="65"/>
  <c r="AB98" i="65" s="1"/>
  <c r="AO98" i="65" s="1"/>
  <c r="Z19" i="28"/>
  <c r="AB19" i="28" s="1"/>
  <c r="AO19" i="28" s="1"/>
  <c r="AA60" i="65"/>
  <c r="AC60" i="65" s="1"/>
  <c r="AP60" i="65" s="1"/>
  <c r="AA172" i="65"/>
  <c r="AC172" i="65" s="1"/>
  <c r="AP172" i="65" s="1"/>
  <c r="AA10" i="32"/>
  <c r="AC10" i="32" s="1"/>
  <c r="AP10" i="32" s="1"/>
  <c r="Z121" i="65"/>
  <c r="AB121" i="65" s="1"/>
  <c r="AO121" i="65" s="1"/>
  <c r="Z39" i="22"/>
  <c r="AB39" i="22" s="1"/>
  <c r="AO39" i="22" s="1"/>
  <c r="AA142" i="65"/>
  <c r="AC142" i="65" s="1"/>
  <c r="AP142" i="65" s="1"/>
  <c r="AA5" i="20"/>
  <c r="AC5" i="20" s="1"/>
  <c r="AP5" i="20" s="1"/>
  <c r="Z156" i="65"/>
  <c r="AB156" i="65" s="1"/>
  <c r="AO156" i="65" s="1"/>
  <c r="Z157" i="65"/>
  <c r="AB157" i="65" s="1"/>
  <c r="AO157" i="65" s="1"/>
  <c r="Q19" i="68"/>
  <c r="U19" i="68" s="1"/>
  <c r="F20" i="2" s="1"/>
  <c r="AA23" i="32"/>
  <c r="AC23" i="32" s="1"/>
  <c r="AP23" i="32" s="1"/>
  <c r="AA8" i="19"/>
  <c r="AC8" i="19" s="1"/>
  <c r="AP8" i="19" s="1"/>
  <c r="Z89" i="32"/>
  <c r="AB89" i="32" s="1"/>
  <c r="AO89" i="32" s="1"/>
  <c r="Z75" i="65"/>
  <c r="AB75" i="65" s="1"/>
  <c r="AO75" i="65" s="1"/>
  <c r="AA147" i="65"/>
  <c r="AC147" i="65" s="1"/>
  <c r="AP147" i="65" s="1"/>
  <c r="AA46" i="5"/>
  <c r="AC46" i="5" s="1"/>
  <c r="AP46" i="5" s="1"/>
  <c r="Z11" i="71"/>
  <c r="AB11" i="71" s="1"/>
  <c r="AO11" i="71" s="1"/>
  <c r="Z27" i="32"/>
  <c r="AB27" i="32" s="1"/>
  <c r="AO27" i="32" s="1"/>
  <c r="Z12" i="28"/>
  <c r="AB12" i="28" s="1"/>
  <c r="AO12" i="28" s="1"/>
  <c r="N38" i="68"/>
  <c r="Q38" i="68" s="1"/>
  <c r="AA62" i="20"/>
  <c r="AC62" i="20" s="1"/>
  <c r="AP62" i="20" s="1"/>
  <c r="R77" i="68"/>
  <c r="R80" i="68" s="1"/>
  <c r="O80" i="68"/>
  <c r="Z5" i="33"/>
  <c r="AB5" i="33" s="1"/>
  <c r="AO5" i="33" s="1"/>
  <c r="AA12" i="19"/>
  <c r="AC12" i="19" s="1"/>
  <c r="AP12" i="19" s="1"/>
  <c r="N80" i="68"/>
  <c r="D57" i="2" s="1"/>
  <c r="AA19" i="37"/>
  <c r="AC19" i="37" s="1"/>
  <c r="AP19" i="37" s="1"/>
  <c r="Q28" i="68"/>
  <c r="U28" i="68" s="1"/>
  <c r="F29" i="2" s="1"/>
  <c r="D29" i="2"/>
  <c r="Q25" i="67"/>
  <c r="L25" i="2"/>
  <c r="Q26" i="67"/>
  <c r="U26" i="67" s="1"/>
  <c r="N26" i="2" s="1"/>
  <c r="L26" i="2"/>
  <c r="Q32" i="68"/>
  <c r="U32" i="68" s="1"/>
  <c r="F32" i="2" s="1"/>
  <c r="D32" i="2"/>
  <c r="AP11" i="18"/>
  <c r="AP107" i="15"/>
  <c r="AP110" i="15"/>
  <c r="AP37" i="15"/>
  <c r="Z9" i="16"/>
  <c r="AB9" i="16" s="1"/>
  <c r="AO9" i="16" s="1"/>
  <c r="Z11" i="16"/>
  <c r="AB11" i="16" s="1"/>
  <c r="AO11" i="16" s="1"/>
  <c r="S25" i="68"/>
  <c r="E8" i="2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P13" i="53" s="1"/>
  <c r="AA21" i="26"/>
  <c r="AC21" i="26" s="1"/>
  <c r="AP21" i="26" s="1"/>
  <c r="AA10" i="18"/>
  <c r="AC10" i="18" s="1"/>
  <c r="AP10" i="18" s="1"/>
  <c r="AA46" i="65"/>
  <c r="AC46" i="65" s="1"/>
  <c r="AP46" i="65" s="1"/>
  <c r="AA13" i="26"/>
  <c r="AC13" i="26" s="1"/>
  <c r="AP13" i="26" s="1"/>
  <c r="AA78" i="32"/>
  <c r="AC78" i="32" s="1"/>
  <c r="AP78" i="32" s="1"/>
  <c r="AA14" i="54"/>
  <c r="AC14" i="54" s="1"/>
  <c r="AP14" i="54" s="1"/>
  <c r="Z97" i="65"/>
  <c r="AB97" i="65" s="1"/>
  <c r="AO97" i="65" s="1"/>
  <c r="AA24" i="18"/>
  <c r="AC24" i="18" s="1"/>
  <c r="AP24" i="18" s="1"/>
  <c r="N24" i="67"/>
  <c r="L24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3" i="32" s="1"/>
  <c r="AP188" i="65"/>
  <c r="Z25" i="65"/>
  <c r="AB25" i="65" s="1"/>
  <c r="AO25" i="65" s="1"/>
  <c r="AA12" i="66"/>
  <c r="AC12" i="66" s="1"/>
  <c r="AP12" i="66" s="1"/>
  <c r="Z81" i="65"/>
  <c r="AB81" i="65" s="1"/>
  <c r="AO81" i="65" s="1"/>
  <c r="Z108" i="66"/>
  <c r="AB108" i="66" s="1"/>
  <c r="AO108" i="66" s="1"/>
  <c r="AA45" i="66"/>
  <c r="AC45" i="66" s="1"/>
  <c r="AP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AP139" i="65" s="1"/>
  <c r="Z7" i="26"/>
  <c r="AB7" i="26" s="1"/>
  <c r="AO7" i="26" s="1"/>
  <c r="AA14" i="70"/>
  <c r="AC14" i="70" s="1"/>
  <c r="AP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AP92" i="65" s="1"/>
  <c r="Z180" i="65"/>
  <c r="AB180" i="65" s="1"/>
  <c r="AO180" i="65" s="1"/>
  <c r="Z140" i="65"/>
  <c r="AB140" i="65" s="1"/>
  <c r="AO140" i="65" s="1"/>
  <c r="AA152" i="65"/>
  <c r="AC152" i="65" s="1"/>
  <c r="AP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AP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P30" i="65" s="1"/>
  <c r="AA17" i="13"/>
  <c r="AC17" i="13" s="1"/>
  <c r="AP17" i="13" s="1"/>
  <c r="Z96" i="66"/>
  <c r="AB96" i="66" s="1"/>
  <c r="AO96" i="66" s="1"/>
  <c r="AA17" i="66"/>
  <c r="AC17" i="66" s="1"/>
  <c r="AP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P14" i="13" s="1"/>
  <c r="AA16" i="25"/>
  <c r="AC16" i="25" s="1"/>
  <c r="AP16" i="25" s="1"/>
  <c r="AA13" i="12"/>
  <c r="AC13" i="12" s="1"/>
  <c r="AP13" i="12" s="1"/>
  <c r="AA104" i="65"/>
  <c r="AC104" i="65" s="1"/>
  <c r="AP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4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P132" i="65" s="1"/>
  <c r="AA84" i="65"/>
  <c r="AC84" i="65" s="1"/>
  <c r="AP84" i="65" s="1"/>
  <c r="Z30" i="53"/>
  <c r="AB30" i="53" s="1"/>
  <c r="AO30" i="53" s="1"/>
  <c r="AA165" i="65"/>
  <c r="AC165" i="65" s="1"/>
  <c r="AP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U6" i="68" s="1"/>
  <c r="F6" i="2" s="1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P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AO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AP114" i="65" s="1"/>
  <c r="Z13" i="25"/>
  <c r="AB13" i="25" s="1"/>
  <c r="AO13" i="25" s="1"/>
  <c r="Z34" i="12"/>
  <c r="AB34" i="12" s="1"/>
  <c r="AO34" i="12" s="1"/>
  <c r="Z6" i="65"/>
  <c r="AB6" i="65" s="1"/>
  <c r="AO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AP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AP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6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P175" i="65" s="1"/>
  <c r="AA123" i="66"/>
  <c r="AC123" i="66" s="1"/>
  <c r="AP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AP17" i="70" s="1"/>
  <c r="Z19" i="36"/>
  <c r="AB19" i="36" s="1"/>
  <c r="AO19" i="36" s="1"/>
  <c r="Z33" i="12"/>
  <c r="AB33" i="12" s="1"/>
  <c r="AO33" i="12" s="1"/>
  <c r="AA130" i="65"/>
  <c r="AC130" i="65" s="1"/>
  <c r="AP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P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AP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P5" i="18" s="1"/>
  <c r="AA12" i="3"/>
  <c r="AC12" i="3" s="1"/>
  <c r="AP12" i="3" s="1"/>
  <c r="AA85" i="65"/>
  <c r="AC85" i="65" s="1"/>
  <c r="AP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5" i="68"/>
  <c r="D26" i="2" s="1"/>
  <c r="AA70" i="65"/>
  <c r="AC70" i="65" s="1"/>
  <c r="AP70" i="65" s="1"/>
  <c r="Z171" i="32"/>
  <c r="AB171" i="32" s="1"/>
  <c r="AO171" i="32" s="1"/>
  <c r="Z34" i="20"/>
  <c r="AB34" i="20" s="1"/>
  <c r="AO34" i="20" s="1"/>
  <c r="Z13" i="20"/>
  <c r="AB13" i="20" s="1"/>
  <c r="AO13" i="20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2" i="2"/>
  <c r="AA58" i="66"/>
  <c r="AC58" i="66" s="1"/>
  <c r="AP58" i="66" s="1"/>
  <c r="AA6" i="28"/>
  <c r="AC6" i="28" s="1"/>
  <c r="AP6" i="28" s="1"/>
  <c r="AA167" i="65"/>
  <c r="AC167" i="65" s="1"/>
  <c r="AP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AP64" i="65" s="1"/>
  <c r="Z18" i="25"/>
  <c r="AB18" i="25" s="1"/>
  <c r="AO18" i="25" s="1"/>
  <c r="AA5" i="12"/>
  <c r="AC5" i="12" s="1"/>
  <c r="AP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5" i="68"/>
  <c r="AA5" i="26"/>
  <c r="AC5" i="26" s="1"/>
  <c r="AP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P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P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9" i="27"/>
  <c r="AP7" i="51"/>
  <c r="AP26" i="15"/>
  <c r="AP34" i="46"/>
  <c r="AP26" i="28"/>
  <c r="AP43" i="20"/>
  <c r="AP20" i="28"/>
  <c r="AP81" i="15"/>
  <c r="AP13" i="23"/>
  <c r="AP104" i="15"/>
  <c r="AP16" i="43"/>
  <c r="AP18" i="45"/>
  <c r="AP9" i="39"/>
  <c r="AP115" i="65"/>
  <c r="AP103" i="66"/>
  <c r="AP16" i="20"/>
  <c r="AP43" i="65"/>
  <c r="AP108" i="15"/>
  <c r="AP154" i="15"/>
  <c r="AP27" i="66"/>
  <c r="AP11" i="21"/>
  <c r="AP52" i="29"/>
  <c r="D36" i="2"/>
  <c r="AP79" i="66"/>
  <c r="AP84" i="32"/>
  <c r="AP9" i="21"/>
  <c r="AP50" i="15"/>
  <c r="AP89" i="32"/>
  <c r="AP39" i="20"/>
  <c r="AP59" i="15"/>
  <c r="AP11" i="13"/>
  <c r="AP37" i="57"/>
  <c r="AP36" i="15"/>
  <c r="AP16" i="69"/>
  <c r="AP16" i="46"/>
  <c r="AP9" i="40"/>
  <c r="AP20" i="32"/>
  <c r="AP82" i="66"/>
  <c r="AP18" i="30"/>
  <c r="AP32" i="29"/>
  <c r="AP14" i="69"/>
  <c r="AP60" i="15"/>
  <c r="AP58" i="22"/>
  <c r="AP83" i="32"/>
  <c r="AP25" i="20"/>
  <c r="AP12" i="44"/>
  <c r="AP8" i="24"/>
  <c r="AP23" i="12"/>
  <c r="AP6" i="73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4" i="2"/>
  <c r="AA77" i="20"/>
  <c r="AC77" i="20" s="1"/>
  <c r="AP77" i="20" s="1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5" i="67"/>
  <c r="U35" i="67" s="1"/>
  <c r="N34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5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72" i="32"/>
  <c r="AP31" i="20"/>
  <c r="AP13" i="5"/>
  <c r="AP15" i="27"/>
  <c r="AP37" i="22"/>
  <c r="AP80" i="32"/>
  <c r="AP21" i="12"/>
  <c r="AP13" i="25"/>
  <c r="AP21" i="23"/>
  <c r="AP34" i="15"/>
  <c r="AP12" i="29"/>
  <c r="AP14" i="3"/>
  <c r="AP17" i="43"/>
  <c r="AP24" i="5"/>
  <c r="AP91" i="32"/>
  <c r="AP20" i="20"/>
  <c r="AP24" i="57"/>
  <c r="AP33" i="5"/>
  <c r="AP28" i="46"/>
  <c r="AP51" i="66"/>
  <c r="AP35" i="57"/>
  <c r="AP15" i="15"/>
  <c r="AP18" i="57"/>
  <c r="AP29" i="5"/>
  <c r="AP7" i="13"/>
  <c r="AP28" i="57"/>
  <c r="AP24" i="23"/>
  <c r="AP53" i="32"/>
  <c r="U36" i="68"/>
  <c r="F36" i="2" s="1"/>
  <c r="Q26" i="68"/>
  <c r="U20" i="68"/>
  <c r="F21" i="2" s="1"/>
  <c r="V27" i="68"/>
  <c r="G28" i="2" s="1"/>
  <c r="AP60" i="32"/>
  <c r="AP71" i="32"/>
  <c r="AP47" i="57"/>
  <c r="AP20" i="5"/>
  <c r="AP55" i="66"/>
  <c r="AP54" i="20"/>
  <c r="AP16" i="27"/>
  <c r="AP40" i="20"/>
  <c r="AP20" i="46"/>
  <c r="AP6" i="13"/>
  <c r="AP19" i="23"/>
  <c r="AP23" i="53"/>
  <c r="V19" i="68"/>
  <c r="G20" i="2" s="1"/>
  <c r="AP40" i="29"/>
  <c r="U42" i="68"/>
  <c r="F41" i="2" s="1"/>
  <c r="AP29" i="29"/>
  <c r="O49" i="68"/>
  <c r="R49" i="68" s="1"/>
  <c r="K75" i="68"/>
  <c r="V36" i="68"/>
  <c r="G36" i="2" s="1"/>
  <c r="AP30" i="29"/>
  <c r="V35" i="68"/>
  <c r="G35" i="2" s="1"/>
  <c r="AP9" i="29"/>
  <c r="AP37" i="29"/>
  <c r="V44" i="68"/>
  <c r="G43" i="2" s="1"/>
  <c r="AP49" i="29"/>
  <c r="AP28" i="29"/>
  <c r="AP15" i="29"/>
  <c r="V39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2" i="68"/>
  <c r="G41" i="2" s="1"/>
  <c r="T48" i="68"/>
  <c r="E47" i="2" s="1"/>
  <c r="U35" i="68"/>
  <c r="F35" i="2" s="1"/>
  <c r="AP13" i="29"/>
  <c r="AP5" i="29"/>
  <c r="AP53" i="29"/>
  <c r="AP35" i="29"/>
  <c r="AP21" i="29"/>
  <c r="S23" i="68"/>
  <c r="S24" i="68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6" i="67"/>
  <c r="AP19" i="57"/>
  <c r="AP33" i="57"/>
  <c r="AP30" i="57"/>
  <c r="AP31" i="57"/>
  <c r="AP27" i="57"/>
  <c r="V30" i="67"/>
  <c r="O30" i="2" s="1"/>
  <c r="Z9" i="54"/>
  <c r="AB9" i="54" s="1"/>
  <c r="AO9" i="54" s="1"/>
  <c r="K46" i="2"/>
  <c r="V27" i="67"/>
  <c r="O26" i="2" s="1"/>
  <c r="AP19" i="53"/>
  <c r="K44" i="2"/>
  <c r="A22" i="50"/>
  <c r="A24" i="50"/>
  <c r="AA12" i="45"/>
  <c r="AC12" i="45" s="1"/>
  <c r="AP12" i="45" s="1"/>
  <c r="H65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AP5" i="40" s="1"/>
  <c r="Z33" i="39"/>
  <c r="AB33" i="39" s="1"/>
  <c r="AO33" i="39" s="1"/>
  <c r="AP111" i="66"/>
  <c r="AP89" i="66"/>
  <c r="AP34" i="66"/>
  <c r="AP91" i="66"/>
  <c r="AP41" i="66"/>
  <c r="AP35" i="66"/>
  <c r="AP31" i="66"/>
  <c r="AP63" i="66"/>
  <c r="AP40" i="66"/>
  <c r="AP96" i="66"/>
  <c r="AP65" i="66"/>
  <c r="AP28" i="66"/>
  <c r="AP95" i="66"/>
  <c r="AP23" i="66"/>
  <c r="AP73" i="66"/>
  <c r="AP125" i="65"/>
  <c r="AP174" i="65"/>
  <c r="AP87" i="65"/>
  <c r="AP164" i="65"/>
  <c r="AP178" i="65"/>
  <c r="AA9" i="65"/>
  <c r="AC9" i="65" s="1"/>
  <c r="AP9" i="65" s="1"/>
  <c r="AP63" i="65"/>
  <c r="AP39" i="65"/>
  <c r="AP170" i="65"/>
  <c r="AP98" i="65"/>
  <c r="AA34" i="65"/>
  <c r="AC34" i="65" s="1"/>
  <c r="AP34" i="65" s="1"/>
  <c r="AP95" i="65"/>
  <c r="AP71" i="65"/>
  <c r="AP151" i="65"/>
  <c r="AP127" i="65"/>
  <c r="AA8" i="65"/>
  <c r="AC8" i="65" s="1"/>
  <c r="AP8" i="65" s="1"/>
  <c r="AP160" i="65"/>
  <c r="AP61" i="65"/>
  <c r="AP155" i="65"/>
  <c r="AP113" i="65"/>
  <c r="AP35" i="65"/>
  <c r="AP163" i="65"/>
  <c r="AP135" i="65"/>
  <c r="AP159" i="65"/>
  <c r="AP65" i="65"/>
  <c r="AP23" i="65"/>
  <c r="AP38" i="65"/>
  <c r="AA29" i="65"/>
  <c r="AC29" i="65" s="1"/>
  <c r="AP29" i="65" s="1"/>
  <c r="AP157" i="65"/>
  <c r="AP74" i="65"/>
  <c r="AP154" i="65"/>
  <c r="H75" i="68"/>
  <c r="E46" i="68" s="1"/>
  <c r="AP193" i="65"/>
  <c r="AP189" i="65"/>
  <c r="AP123" i="65"/>
  <c r="AP59" i="65"/>
  <c r="AP166" i="65"/>
  <c r="AP52" i="65"/>
  <c r="AP180" i="65"/>
  <c r="AP47" i="65"/>
  <c r="AP131" i="65"/>
  <c r="AP134" i="65"/>
  <c r="AP148" i="65"/>
  <c r="AP99" i="65"/>
  <c r="AP140" i="65"/>
  <c r="AP169" i="65"/>
  <c r="AP106" i="65"/>
  <c r="AP25" i="65"/>
  <c r="AP79" i="65"/>
  <c r="AP109" i="66"/>
  <c r="AP14" i="66"/>
  <c r="AP72" i="66"/>
  <c r="AP131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20" i="68"/>
  <c r="G21" i="2" s="1"/>
  <c r="AP6" i="5"/>
  <c r="AP59" i="32"/>
  <c r="AP63" i="32"/>
  <c r="V15" i="67"/>
  <c r="O15" i="2" s="1"/>
  <c r="D21" i="2"/>
  <c r="D37" i="2"/>
  <c r="U41" i="68"/>
  <c r="F40" i="2" s="1"/>
  <c r="V34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3" i="68"/>
  <c r="N24" i="68" s="1"/>
  <c r="D25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P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2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8" i="68"/>
  <c r="AA26" i="39"/>
  <c r="AC26" i="39" s="1"/>
  <c r="AP26" i="39" s="1"/>
  <c r="Q49" i="68"/>
  <c r="Q52" i="68" s="1"/>
  <c r="U52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3" i="68"/>
  <c r="U43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6" i="68"/>
  <c r="R25" i="68" s="1"/>
  <c r="AA11" i="75"/>
  <c r="AC11" i="75" s="1"/>
  <c r="AP11" i="75" s="1"/>
  <c r="O48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9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9" i="2"/>
  <c r="L41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83" i="65"/>
  <c r="AP67" i="65"/>
  <c r="AP45" i="65"/>
  <c r="AP44" i="65"/>
  <c r="AP93" i="65"/>
  <c r="AP109" i="65"/>
  <c r="AP28" i="65"/>
  <c r="V6" i="68"/>
  <c r="G6" i="2" s="1"/>
  <c r="AP137" i="65"/>
  <c r="AP177" i="65"/>
  <c r="AP77" i="65"/>
  <c r="AP55" i="65"/>
  <c r="AP76" i="32"/>
  <c r="AP57" i="20"/>
  <c r="AP44" i="32"/>
  <c r="AP136" i="15"/>
  <c r="AP16" i="51"/>
  <c r="AP24" i="20"/>
  <c r="V18" i="67"/>
  <c r="O18" i="2" s="1"/>
  <c r="V33" i="68"/>
  <c r="G33" i="2" s="1"/>
  <c r="AP23" i="29"/>
  <c r="AP23" i="15"/>
  <c r="AP23" i="46"/>
  <c r="V29" i="67"/>
  <c r="O29" i="2" s="1"/>
  <c r="V28" i="67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8" i="68"/>
  <c r="AP13" i="30"/>
  <c r="S45" i="68"/>
  <c r="AP20" i="29"/>
  <c r="U40" i="68"/>
  <c r="F39" i="2" s="1"/>
  <c r="AP39" i="29"/>
  <c r="AP43" i="29"/>
  <c r="V40" i="68"/>
  <c r="G39" i="2" s="1"/>
  <c r="AP14" i="29"/>
  <c r="AP24" i="29"/>
  <c r="V37" i="68"/>
  <c r="G37" i="2" s="1"/>
  <c r="V28" i="68"/>
  <c r="G29" i="2" s="1"/>
  <c r="Z16" i="70"/>
  <c r="AB16" i="70" s="1"/>
  <c r="AO16" i="70" s="1"/>
  <c r="AP16" i="22"/>
  <c r="AP10" i="22"/>
  <c r="V22" i="68"/>
  <c r="G23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9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2" i="67"/>
  <c r="N23" i="67" s="1"/>
  <c r="L23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R7" i="67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2" i="67"/>
  <c r="O23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5" i="68"/>
  <c r="Q45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3" i="68"/>
  <c r="I24" i="68" s="1"/>
  <c r="I45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7" i="67"/>
  <c r="R39" i="67" s="1"/>
  <c r="V39" i="67" s="1"/>
  <c r="AA9" i="44"/>
  <c r="AC9" i="44" s="1"/>
  <c r="AP9" i="44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4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6" i="67"/>
  <c r="Z13" i="45"/>
  <c r="AB13" i="45" s="1"/>
  <c r="AO13" i="45" s="1"/>
  <c r="O38" i="68"/>
  <c r="R38" i="68" s="1"/>
  <c r="Z22" i="44"/>
  <c r="AB22" i="44" s="1"/>
  <c r="AO22" i="44" s="1"/>
  <c r="Z31" i="39"/>
  <c r="AB31" i="39" s="1"/>
  <c r="AO31" i="39" s="1"/>
  <c r="O36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8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2" i="67"/>
  <c r="I23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1" i="67"/>
  <c r="AA68" i="22"/>
  <c r="AC68" i="22" s="1"/>
  <c r="AP68" i="22" s="1"/>
  <c r="Z68" i="22"/>
  <c r="AB68" i="22" s="1"/>
  <c r="AO68" i="22" s="1"/>
  <c r="V34" i="67"/>
  <c r="O33" i="2" s="1"/>
  <c r="V33" i="67"/>
  <c r="O32" i="2" s="1"/>
  <c r="AP21" i="57"/>
  <c r="T31" i="67"/>
  <c r="M31" i="2"/>
  <c r="M35" i="2" s="1"/>
  <c r="T24" i="67"/>
  <c r="M24" i="2" s="1"/>
  <c r="T36" i="67"/>
  <c r="V21" i="67"/>
  <c r="O21" i="2" s="1"/>
  <c r="V13" i="67"/>
  <c r="O13" i="2" s="1"/>
  <c r="V12" i="67"/>
  <c r="O12" i="2" s="1"/>
  <c r="V11" i="67"/>
  <c r="O11" i="2" s="1"/>
  <c r="M8" i="2"/>
  <c r="V9" i="67"/>
  <c r="O10" i="2" s="1"/>
  <c r="M6" i="2"/>
  <c r="M22" i="2" s="1"/>
  <c r="T22" i="67"/>
  <c r="T23" i="67" s="1"/>
  <c r="V6" i="67"/>
  <c r="O6" i="2" s="1"/>
  <c r="V43" i="68"/>
  <c r="G42" i="2" s="1"/>
  <c r="V41" i="68"/>
  <c r="G40" i="2" s="1"/>
  <c r="AP16" i="29"/>
  <c r="E38" i="2"/>
  <c r="T38" i="68"/>
  <c r="T45" i="68"/>
  <c r="AP7" i="20"/>
  <c r="V21" i="68"/>
  <c r="G22" i="2" s="1"/>
  <c r="AP46" i="15"/>
  <c r="V13" i="68"/>
  <c r="G14" i="2" s="1"/>
  <c r="AP9" i="14"/>
  <c r="V12" i="68"/>
  <c r="G13" i="2" s="1"/>
  <c r="V11" i="68"/>
  <c r="G12" i="2" s="1"/>
  <c r="V10" i="68"/>
  <c r="G11" i="2" s="1"/>
  <c r="E9" i="2"/>
  <c r="T23" i="68"/>
  <c r="T24" i="68" s="1"/>
  <c r="E6" i="2"/>
  <c r="O45" i="68"/>
  <c r="R45" i="68" s="1"/>
  <c r="R36" i="67"/>
  <c r="I38" i="68"/>
  <c r="Q57" i="67"/>
  <c r="R57" i="67"/>
  <c r="Q67" i="68"/>
  <c r="N67" i="68"/>
  <c r="D52" i="2" s="1"/>
  <c r="AP5" i="24"/>
  <c r="A24" i="24"/>
  <c r="A24" i="42"/>
  <c r="AP5" i="42"/>
  <c r="AP5" i="64"/>
  <c r="A24" i="64"/>
  <c r="AP5" i="33"/>
  <c r="U32" i="67"/>
  <c r="N31" i="2" s="1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22" i="29"/>
  <c r="R68" i="68"/>
  <c r="R74" i="68" s="1"/>
  <c r="Q47" i="68"/>
  <c r="U47" i="68" s="1"/>
  <c r="F46" i="2" s="1"/>
  <c r="D46" i="2"/>
  <c r="AP5" i="47"/>
  <c r="A24" i="47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4" i="2" s="1"/>
  <c r="R24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P5" i="73"/>
  <c r="A24" i="73"/>
  <c r="AP5" i="54"/>
  <c r="AP5" i="3"/>
  <c r="A22" i="75"/>
  <c r="AO5" i="75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1" i="67"/>
  <c r="O42" i="67"/>
  <c r="AP5" i="51"/>
  <c r="A24" i="51"/>
  <c r="AO5" i="25"/>
  <c r="AP5" i="19"/>
  <c r="R55" i="68"/>
  <c r="R67" i="68" s="1"/>
  <c r="O67" i="68"/>
  <c r="U8" i="68"/>
  <c r="F9" i="2" s="1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O5" i="56"/>
  <c r="A22" i="56"/>
  <c r="A24" i="58"/>
  <c r="AP5" i="58"/>
  <c r="AP5" i="39"/>
  <c r="AO5" i="30"/>
  <c r="AO5" i="51"/>
  <c r="A22" i="51"/>
  <c r="A22" i="57"/>
  <c r="AO5" i="57"/>
  <c r="AP5" i="44"/>
  <c r="AO5" i="46"/>
  <c r="AP5" i="71"/>
  <c r="AO5" i="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O5" i="21"/>
  <c r="A22" i="21"/>
  <c r="N57" i="67"/>
  <c r="AP5" i="38"/>
  <c r="A22" i="74"/>
  <c r="AO5" i="74"/>
  <c r="R48" i="68"/>
  <c r="V46" i="68"/>
  <c r="G45" i="2" s="1"/>
  <c r="A24" i="29"/>
  <c r="O57" i="67"/>
  <c r="AO5" i="53"/>
  <c r="AO5" i="45"/>
  <c r="A22" i="49"/>
  <c r="AO5" i="49"/>
  <c r="A22" i="41"/>
  <c r="AO5" i="41"/>
  <c r="AO5" i="59"/>
  <c r="A22" i="59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7" i="2"/>
  <c r="L38" i="2" s="1"/>
  <c r="Q41" i="67"/>
  <c r="N42" i="67"/>
  <c r="AO5" i="6"/>
  <c r="AP5" i="13"/>
  <c r="AO5" i="42"/>
  <c r="A22" i="42"/>
  <c r="U37" i="67"/>
  <c r="Q39" i="67"/>
  <c r="U39" i="67" s="1"/>
  <c r="AP6" i="65"/>
  <c r="AP5" i="34"/>
  <c r="A22" i="64"/>
  <c r="AO5" i="64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U8" i="67"/>
  <c r="N9" i="2" s="1"/>
  <c r="AO5" i="63"/>
  <c r="A22" i="63"/>
  <c r="AP5" i="23"/>
  <c r="V32" i="67"/>
  <c r="O31" i="2" s="1"/>
  <c r="R31" i="67"/>
  <c r="AO5" i="18"/>
  <c r="A24" i="49"/>
  <c r="AP5" i="49"/>
  <c r="A24" i="41"/>
  <c r="AP5" i="41"/>
  <c r="A24" i="59"/>
  <c r="AP5" i="59"/>
  <c r="AP5" i="28"/>
  <c r="AP5" i="32"/>
  <c r="Q68" i="68"/>
  <c r="Q74" i="68" s="1"/>
  <c r="U46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U7" i="67" l="1"/>
  <c r="N8" i="2" s="1"/>
  <c r="R22" i="67"/>
  <c r="A22" i="72"/>
  <c r="D44" i="2"/>
  <c r="D47" i="2"/>
  <c r="I75" i="68"/>
  <c r="O23" i="68"/>
  <c r="O24" i="68" s="1"/>
  <c r="A24" i="72"/>
  <c r="O7" i="68"/>
  <c r="R7" i="68" s="1"/>
  <c r="V7" i="68" s="1"/>
  <c r="G8" i="2" s="1"/>
  <c r="A22" i="55"/>
  <c r="V14" i="68"/>
  <c r="G15" i="2" s="1"/>
  <c r="R23" i="68"/>
  <c r="V23" i="68" s="1"/>
  <c r="S65" i="67"/>
  <c r="A24" i="15"/>
  <c r="A22" i="36"/>
  <c r="A24" i="36"/>
  <c r="S75" i="68"/>
  <c r="E24" i="2"/>
  <c r="A22" i="6"/>
  <c r="A24" i="6"/>
  <c r="AP5" i="36"/>
  <c r="A24" i="55"/>
  <c r="AP5" i="6"/>
  <c r="A24" i="30"/>
  <c r="A22" i="38"/>
  <c r="A22" i="30"/>
  <c r="A24" i="23"/>
  <c r="A24" i="38"/>
  <c r="E44" i="2"/>
  <c r="A22" i="18"/>
  <c r="U38" i="68"/>
  <c r="A24" i="25"/>
  <c r="A22" i="3"/>
  <c r="Q25" i="68"/>
  <c r="U25" i="68" s="1"/>
  <c r="F26" i="2" s="1"/>
  <c r="Q24" i="67"/>
  <c r="U24" i="67" s="1"/>
  <c r="N24" i="2" s="1"/>
  <c r="A22" i="71"/>
  <c r="Q31" i="67"/>
  <c r="U31" i="67" s="1"/>
  <c r="Q36" i="67"/>
  <c r="U36" i="67" s="1"/>
  <c r="N35" i="2" s="1"/>
  <c r="U25" i="67"/>
  <c r="N25" i="2" s="1"/>
  <c r="A24" i="71"/>
  <c r="O28" i="2"/>
  <c r="O27" i="2"/>
  <c r="A22" i="25"/>
  <c r="L35" i="2"/>
  <c r="Q23" i="68"/>
  <c r="U23" i="68" s="1"/>
  <c r="A22" i="12"/>
  <c r="A24" i="16"/>
  <c r="A24" i="12"/>
  <c r="A24" i="3"/>
  <c r="A22" i="26"/>
  <c r="A22" i="16"/>
  <c r="A22" i="28"/>
  <c r="A24" i="18"/>
  <c r="A24" i="60"/>
  <c r="A24" i="20"/>
  <c r="A24" i="28"/>
  <c r="A22" i="23"/>
  <c r="A24" i="66"/>
  <c r="U26" i="68"/>
  <c r="F27" i="2" s="1"/>
  <c r="C58" i="2"/>
  <c r="A22" i="20"/>
  <c r="Q22" i="67"/>
  <c r="U22" i="67" s="1"/>
  <c r="A22" i="53"/>
  <c r="AO5" i="79"/>
  <c r="A22" i="79"/>
  <c r="A24" i="26"/>
  <c r="AP5" i="79"/>
  <c r="A24" i="79"/>
  <c r="A24" i="53"/>
  <c r="A24" i="44"/>
  <c r="V26" i="68"/>
  <c r="G27" i="2" s="1"/>
  <c r="O52" i="68"/>
  <c r="O75" i="68" s="1"/>
  <c r="A24" i="19"/>
  <c r="A22" i="66"/>
  <c r="V48" i="68"/>
  <c r="G47" i="2" s="1"/>
  <c r="A24" i="37"/>
  <c r="A24" i="45"/>
  <c r="A22" i="45"/>
  <c r="A22" i="46"/>
  <c r="A24" i="70"/>
  <c r="A22" i="60"/>
  <c r="V31" i="67"/>
  <c r="M46" i="2"/>
  <c r="A22" i="54"/>
  <c r="A24" i="54"/>
  <c r="A24" i="46"/>
  <c r="A22" i="40"/>
  <c r="A24" i="40"/>
  <c r="A24" i="39"/>
  <c r="A22" i="65"/>
  <c r="E16" i="68"/>
  <c r="E14" i="68"/>
  <c r="E13" i="68"/>
  <c r="E50" i="68"/>
  <c r="E9" i="68"/>
  <c r="E26" i="68"/>
  <c r="E10" i="68"/>
  <c r="E15" i="68"/>
  <c r="E11" i="68"/>
  <c r="E36" i="68"/>
  <c r="E49" i="68"/>
  <c r="E33" i="68"/>
  <c r="E27" i="68"/>
  <c r="E28" i="68"/>
  <c r="E30" i="68"/>
  <c r="E12" i="68"/>
  <c r="E6" i="68"/>
  <c r="E38" i="68"/>
  <c r="V24" i="67"/>
  <c r="A22" i="34"/>
  <c r="A24" i="34"/>
  <c r="AP5" i="74"/>
  <c r="V37" i="67"/>
  <c r="D24" i="2"/>
  <c r="U49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5" i="68"/>
  <c r="F44" i="2" s="1"/>
  <c r="A22" i="33"/>
  <c r="A22" i="19"/>
  <c r="A22" i="39"/>
  <c r="A24" i="32"/>
  <c r="A22" i="32"/>
  <c r="A22" i="27"/>
  <c r="A24" i="27"/>
  <c r="V25" i="68"/>
  <c r="G26" i="2" s="1"/>
  <c r="A22" i="70"/>
  <c r="A22" i="22"/>
  <c r="A24" i="22"/>
  <c r="A24" i="13"/>
  <c r="A22" i="13"/>
  <c r="A22" i="5"/>
  <c r="L22" i="2"/>
  <c r="I65" i="67"/>
  <c r="A22" i="44"/>
  <c r="A24" i="61"/>
  <c r="L8" i="2"/>
  <c r="AO5" i="34"/>
  <c r="V38" i="68"/>
  <c r="AP5" i="75"/>
  <c r="R64" i="67"/>
  <c r="Q64" i="67"/>
  <c r="V36" i="67"/>
  <c r="O35" i="2" s="1"/>
  <c r="V7" i="67"/>
  <c r="O8" i="2" s="1"/>
  <c r="T65" i="67"/>
  <c r="M23" i="2"/>
  <c r="V45" i="68"/>
  <c r="G44" i="2" s="1"/>
  <c r="E25" i="2"/>
  <c r="T75" i="68"/>
  <c r="Q48" i="68"/>
  <c r="U48" i="68" s="1"/>
  <c r="F47" i="2" s="1"/>
  <c r="AP5" i="35"/>
  <c r="A24" i="35"/>
  <c r="U41" i="67"/>
  <c r="N37" i="2" s="1"/>
  <c r="N38" i="2" s="1"/>
  <c r="Q42" i="67"/>
  <c r="U42" i="67" s="1"/>
  <c r="O64" i="67"/>
  <c r="O65" i="67" s="1"/>
  <c r="D53" i="2"/>
  <c r="N75" i="68"/>
  <c r="A24" i="31"/>
  <c r="AP5" i="31"/>
  <c r="N64" i="67"/>
  <c r="N65" i="67" s="1"/>
  <c r="L42" i="2"/>
  <c r="V49" i="68"/>
  <c r="G48" i="2" s="1"/>
  <c r="R52" i="68"/>
  <c r="V52" i="68" s="1"/>
  <c r="G51" i="2" s="1"/>
  <c r="AO5" i="35"/>
  <c r="A22" i="35"/>
  <c r="A22" i="31"/>
  <c r="AO5" i="31"/>
  <c r="V22" i="67"/>
  <c r="R23" i="67"/>
  <c r="V41" i="67"/>
  <c r="O37" i="2" s="1"/>
  <c r="O38" i="2" s="1"/>
  <c r="R42" i="67"/>
  <c r="V42" i="67" s="1"/>
  <c r="R24" i="68" l="1"/>
  <c r="V24" i="68" s="1"/>
  <c r="G25" i="2" s="1"/>
  <c r="D58" i="2"/>
  <c r="E58" i="2"/>
  <c r="Q24" i="68"/>
  <c r="U24" i="68" s="1"/>
  <c r="F25" i="2" s="1"/>
  <c r="L44" i="2"/>
  <c r="D55" i="2"/>
  <c r="Q23" i="67"/>
  <c r="U23" i="67" s="1"/>
  <c r="N23" i="2" s="1"/>
  <c r="M44" i="2"/>
  <c r="E55" i="2"/>
  <c r="Q75" i="68"/>
  <c r="U75" i="68" s="1"/>
  <c r="F55" i="2" s="1"/>
  <c r="L46" i="2"/>
  <c r="V23" i="67"/>
  <c r="O23" i="2" s="1"/>
  <c r="R65" i="67"/>
  <c r="R75" i="68"/>
  <c r="Q65" i="67" l="1"/>
  <c r="U65" i="67" s="1"/>
  <c r="N44" i="2" s="1"/>
  <c r="V65" i="67"/>
  <c r="O44" i="2" s="1"/>
  <c r="V75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Per Rich Perlot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<sst xmlns="http://schemas.openxmlformats.org/spreadsheetml/2006/main" count="12618" uniqueCount="2029">
  <si>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</si>
  <si>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</si>
  <si>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</si>
  <si>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</si>
  <si>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</si>
  <si>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</si>
  <si>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</si>
  <si>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</si>
  <si>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</si>
  <si>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</si>
  <si>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</si>
  <si>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</si>
  <si>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</si>
  <si>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</si>
  <si>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</si>
  <si>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</si>
  <si>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</si>
  <si>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</si>
  <si>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</si>
  <si>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</si>
  <si>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</si>
  <si>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</si>
  <si>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</si>
  <si>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</si>
  <si>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</si>
  <si>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</si>
  <si>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</si>
  <si>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</si>
  <si>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</si>
  <si>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</si>
  <si>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</si>
  <si>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</si>
  <si>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</si>
  <si>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</si>
  <si>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</si>
  <si>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</si>
  <si>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</si>
  <si>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</si>
  <si>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</si>
  <si>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</si>
  <si>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</si>
  <si>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</si>
  <si>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</si>
  <si>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</si>
  <si>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</si>
  <si>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</si>
  <si>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</si>
  <si>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</si>
  <si>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</si>
  <si>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</si>
  <si>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</si>
  <si>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</si>
  <si>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</si>
  <si>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</si>
  <si>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</si>
  <si>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</si>
  <si>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</si>
  <si>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</si>
  <si>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</si>
  <si>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</si>
  <si>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</si>
  <si>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</si>
  <si>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</si>
  <si>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</si>
  <si>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</si>
  <si>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</si>
  <si>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</si>
  <si>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</si>
  <si>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</si>
  <si>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</si>
  <si>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</si>
  <si>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</si>
  <si>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</si>
  <si>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</si>
  <si>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</si>
  <si>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</si>
  <si>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</si>
  <si>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</si>
  <si>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</si>
  <si>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</si>
  <si>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</si>
  <si>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</si>
  <si>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</si>
  <si>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</si>
  <si>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</si>
  <si>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</si>
  <si>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</si>
  <si>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</si>
  <si>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</si>
  <si>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</si>
  <si>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</si>
  <si>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</si>
  <si>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</si>
  <si>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</si>
  <si>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</si>
  <si>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</si>
  <si>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</si>
  <si>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</si>
  <si>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</si>
  <si>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</si>
  <si>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</si>
  <si>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</si>
  <si>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</si>
  <si>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</si>
  <si>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</si>
  <si>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</si>
  <si>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</si>
  <si>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</si>
  <si>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</si>
  <si>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</si>
  <si>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</si>
  <si>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</si>
  <si>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</si>
  <si>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</si>
  <si>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</si>
  <si>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</si>
  <si>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</si>
  <si>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</si>
  <si>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</si>
  <si>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</si>
  <si>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</si>
  <si>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</si>
  <si>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</si>
  <si>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</si>
  <si>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</si>
  <si>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</si>
  <si>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</si>
  <si>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</si>
  <si>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</si>
  <si>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</si>
  <si>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</si>
  <si>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</si>
  <si>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</si>
  <si>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</si>
  <si>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</si>
  <si>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</si>
  <si>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</si>
  <si>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</si>
  <si>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</si>
  <si>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</si>
  <si>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</si>
  <si>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</si>
  <si>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</si>
  <si>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</si>
  <si>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</si>
  <si>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</si>
  <si>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</si>
  <si>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</si>
  <si>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</si>
  <si>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</si>
  <si>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</si>
  <si>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</si>
  <si>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</si>
  <si>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</si>
  <si>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</si>
  <si>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</si>
  <si>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</si>
  <si>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</si>
  <si>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</si>
  <si>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</si>
  <si>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</si>
  <si>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</si>
  <si>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</si>
  <si>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</si>
  <si>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</si>
  <si>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</si>
  <si>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</si>
  <si>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</si>
  <si>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</si>
  <si>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</si>
  <si>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</si>
  <si>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</si>
  <si>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</si>
  <si>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</si>
  <si>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</si>
  <si>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</si>
  <si>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</si>
  <si>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</si>
  <si>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</si>
  <si>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</si>
  <si>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</si>
  <si>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</si>
  <si>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</si>
  <si>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</si>
  <si>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</si>
  <si>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</si>
  <si>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</si>
  <si>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</si>
  <si>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</si>
  <si>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</si>
  <si>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</si>
  <si>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</si>
  <si>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</si>
  <si>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</si>
  <si>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</si>
  <si>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</si>
  <si>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</si>
  <si>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</si>
  <si>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</si>
  <si>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</si>
  <si>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</si>
  <si>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</si>
  <si>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</si>
  <si>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</si>
  <si>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</si>
  <si>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</si>
  <si>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</si>
  <si>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</si>
  <si>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</si>
  <si>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</si>
  <si>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</si>
  <si>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</si>
  <si>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</si>
  <si>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</si>
  <si>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</si>
  <si>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</si>
  <si>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</si>
  <si>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</si>
  <si>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</si>
  <si>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</si>
  <si>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</si>
  <si>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</si>
  <si>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</si>
  <si>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</si>
  <si>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</si>
  <si>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</si>
  <si>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</si>
  <si>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</si>
  <si>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</si>
  <si>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</si>
  <si>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</si>
  <si>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</si>
  <si>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</si>
  <si>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</si>
  <si>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</si>
  <si>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</si>
  <si>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</si>
  <si>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</si>
  <si>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</si>
  <si>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</si>
  <si>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</si>
  <si>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</si>
  <si>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</si>
  <si>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</si>
  <si>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</si>
  <si>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</si>
  <si>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</si>
  <si>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</si>
  <si>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</si>
  <si>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</si>
  <si>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</si>
  <si>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</si>
  <si>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</si>
  <si>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</si>
  <si>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</si>
  <si>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</si>
  <si>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</si>
  <si>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</si>
  <si>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</si>
  <si>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</si>
  <si>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</si>
  <si>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</si>
  <si>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</si>
  <si>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</si>
  <si>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</si>
  <si>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</si>
  <si>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</si>
  <si>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</si>
  <si>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</si>
  <si>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</si>
  <si>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</si>
  <si>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</si>
  <si>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</si>
  <si>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</si>
  <si>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</si>
  <si>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</si>
  <si>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</si>
  <si>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</si>
  <si>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</si>
  <si>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</si>
  <si>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</si>
  <si>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</si>
  <si>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</si>
  <si>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</si>
  <si>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</si>
  <si>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</si>
  <si>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</si>
  <si>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</si>
  <si>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</si>
  <si>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</si>
  <si>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</si>
  <si>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</si>
  <si>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</si>
  <si>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</si>
  <si>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</si>
  <si>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</si>
  <si>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</si>
  <si>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</si>
  <si>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</si>
  <si>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</si>
  <si>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</si>
  <si>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</si>
  <si>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</si>
  <si>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</si>
  <si>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</si>
  <si>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</si>
  <si>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</si>
  <si>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</si>
  <si>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</si>
  <si>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</si>
  <si>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</si>
  <si>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</si>
  <si>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</si>
  <si>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</si>
  <si>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</si>
  <si>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</si>
  <si>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</si>
  <si>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</si>
  <si>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</si>
  <si>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</si>
  <si>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</si>
  <si>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</si>
  <si>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</si>
  <si>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</si>
  <si>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</si>
  <si>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</si>
  <si>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</si>
  <si>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</si>
  <si>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</si>
  <si>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</si>
  <si>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</si>
  <si>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</si>
  <si>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</si>
  <si>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</si>
  <si>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</si>
  <si>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</si>
  <si>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</si>
  <si>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</si>
  <si>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</si>
  <si>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</si>
  <si>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</si>
  <si>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</si>
  <si>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</si>
  <si>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</si>
  <si>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</si>
  <si>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</si>
  <si>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</si>
  <si>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</si>
  <si>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</si>
  <si>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</si>
  <si>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</si>
  <si>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</si>
  <si>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</si>
  <si>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</si>
  <si>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</si>
  <si>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</si>
  <si>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</si>
  <si>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</si>
  <si>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</si>
  <si>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</si>
  <si>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</si>
  <si>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</si>
  <si>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</si>
  <si>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</si>
  <si>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</si>
  <si>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</si>
  <si>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</si>
  <si>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</si>
  <si>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</si>
  <si>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</si>
  <si>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</si>
  <si>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</si>
  <si>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</si>
  <si>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</si>
  <si>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</si>
  <si>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</si>
  <si>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</si>
  <si>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</si>
  <si>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</si>
  <si>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</si>
  <si>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</si>
  <si>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</si>
  <si>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</si>
  <si>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</si>
  <si>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</si>
  <si>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</si>
  <si>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</si>
  <si>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</si>
  <si>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</si>
  <si>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</si>
  <si>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</si>
  <si>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</si>
  <si>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</si>
  <si>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</si>
  <si>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</si>
  <si>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</si>
  <si>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</si>
  <si>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</si>
  <si>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</si>
  <si>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</si>
  <si>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</si>
  <si>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</si>
  <si>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</si>
  <si>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</si>
  <si>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</si>
  <si>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</si>
  <si>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</si>
  <si>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</si>
  <si>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</si>
  <si>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</si>
  <si>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</si>
  <si>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</si>
  <si>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</si>
  <si>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</si>
  <si>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</si>
  <si>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</si>
  <si>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</si>
  <si>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</si>
  <si>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</si>
  <si>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</si>
  <si>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</si>
  <si>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</si>
  <si>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</si>
  <si>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</si>
  <si>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</si>
  <si>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</si>
  <si>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</si>
  <si>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</si>
  <si>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</si>
  <si>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</si>
  <si>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</si>
  <si>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</si>
  <si>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</si>
  <si>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</si>
  <si>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</si>
  <si>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</si>
  <si>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</si>
  <si>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</si>
  <si>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</si>
  <si>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</si>
  <si>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</si>
  <si>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</si>
  <si>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</si>
  <si>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</si>
  <si>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</si>
  <si>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</si>
  <si>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</si>
  <si>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</si>
  <si>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</si>
  <si>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</si>
  <si>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</si>
  <si>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</si>
  <si>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</si>
  <si>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</si>
  <si>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</si>
  <si>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</si>
  <si>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</si>
  <si>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</si>
  <si>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</si>
  <si>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</si>
  <si>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</si>
  <si>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</si>
  <si>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</si>
  <si>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</si>
  <si>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</si>
  <si>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</si>
  <si>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</si>
  <si>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</si>
  <si>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</si>
  <si>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</si>
  <si>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</si>
  <si>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</si>
  <si>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</si>
  <si>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</si>
  <si>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</si>
  <si>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</si>
  <si>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</si>
  <si>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</si>
  <si>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</si>
  <si>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</si>
  <si>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</si>
  <si>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</si>
  <si>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</si>
  <si>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</si>
  <si>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</si>
  <si>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</si>
  <si>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</si>
  <si>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</si>
  <si>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</si>
  <si>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</si>
  <si>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</si>
  <si>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</si>
  <si>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</si>
  <si>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</si>
  <si>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</si>
  <si>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</si>
  <si>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</si>
  <si>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</si>
  <si>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</si>
  <si>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</si>
  <si>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</si>
  <si>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</si>
  <si>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</si>
  <si>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</si>
  <si>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</si>
  <si>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</si>
  <si>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</si>
  <si>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</si>
  <si>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</si>
  <si>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</si>
  <si>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</si>
  <si>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</si>
  <si>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</si>
  <si>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</si>
  <si>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</si>
  <si>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</si>
  <si>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</si>
  <si>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</si>
  <si>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</si>
  <si>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</si>
  <si>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</si>
  <si>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</si>
  <si>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</si>
  <si>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</si>
  <si>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</si>
  <si>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</si>
  <si>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</si>
  <si>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</si>
  <si>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</si>
  <si>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</si>
  <si>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</si>
  <si>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</si>
  <si>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</si>
  <si>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</si>
  <si>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</si>
  <si>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</si>
  <si>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</si>
  <si>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</si>
  <si>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</si>
  <si>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</si>
  <si>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</si>
  <si>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</si>
  <si>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</si>
  <si>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</si>
  <si>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</si>
  <si>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</si>
  <si>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</si>
  <si>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</si>
  <si>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</si>
  <si>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</si>
  <si>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</si>
  <si>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</si>
  <si>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</si>
  <si>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</si>
  <si>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</si>
  <si>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</si>
  <si>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</si>
  <si>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</si>
  <si>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</si>
  <si>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</si>
  <si>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</si>
  <si>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</si>
  <si>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</si>
  <si>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</si>
  <si>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</si>
  <si>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</si>
  <si>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</si>
  <si>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</si>
  <si>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</si>
  <si>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</si>
  <si>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</si>
  <si>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Water Heater - Heat Pump - NEEA Specs - Tier 3 - EH - Res</t>
  </si>
  <si>
    <t>Water Heater - Heat Pump - NEEA Specs - Tier 3 - EH - Res - MI</t>
  </si>
  <si>
    <t>Water Heater - Tankless - Energy Star - 0.9 EF - GH - Res - MI</t>
  </si>
  <si>
    <t>Water Heater - Heat Pump - NEEA Specs - Tier 3 - RP - Any - Res - E or B</t>
  </si>
  <si>
    <t>Water Heater - Tankless - Energy Star - 0.9 EF - GH - MH</t>
  </si>
  <si>
    <t>Water Heater - Tankless - Energy Star - 0.9 EF - GH - SF or DX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</si>
  <si>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</si>
  <si>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</si>
  <si>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</si>
  <si>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</si>
  <si>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</si>
  <si>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</si>
  <si>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</si>
  <si>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</si>
  <si>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Clothes Washer - Front Load - Energy Star - Any WH - Any Dryer - Res - MI - C</t>
  </si>
  <si>
    <t>Clothes Washer - Front Load - Energy Star - Any WH - Any Dryer - Res - MI - EO</t>
  </si>
  <si>
    <t>Thermostat - Smart - EH - Res</t>
  </si>
  <si>
    <t>Thermostat - Smart - EH - Res - MI</t>
  </si>
  <si>
    <t>Thermostat - Smart - GH - Res</t>
  </si>
  <si>
    <t>Thermostat - Smart - GH - Res - MI</t>
  </si>
  <si>
    <t>Thermostat - ELV - Smart - SF or MH or DX</t>
  </si>
  <si>
    <t>Thermostat - ELV - Smart - SF or MH or DX - LTO</t>
  </si>
  <si>
    <t>Thermostat - ELV - Smart - SF or MH or DX - NQC</t>
  </si>
  <si>
    <t>Thermostat - Smart - EH - Res - LTO - ecobee - b</t>
  </si>
  <si>
    <t>Thermostat - Smart - EH - Res - LTO - Emerson - a</t>
  </si>
  <si>
    <t>Thermostat - Smart - EH - Res - LTO - Emerson - b</t>
  </si>
  <si>
    <t>Thermostat - Smart - EH - Res - LTO - Nest - a</t>
  </si>
  <si>
    <t>Thermostat - Smart - EH - Res - LTO - Nest - b</t>
  </si>
  <si>
    <t>Thermostat - Smart - GH - Res - LTO - ecobee - a</t>
  </si>
  <si>
    <t>Thermostat - Smart - GH - Res - LTO - ecobee - b</t>
  </si>
  <si>
    <t>Thermostat - Smart - GH - Res - LTO - Emerson - a</t>
  </si>
  <si>
    <t>Thermostat - Smart - GH - Res - LTO - Emerson - b</t>
  </si>
  <si>
    <t>Thermostat - Smart - GH - Res - LTO - Nest - a</t>
  </si>
  <si>
    <t>Thermostat - Smart - GH - Res - LTO - Nest - b</t>
  </si>
  <si>
    <t>Insulation - Attic - R0 to R22 - ER - MH - Pre HUD</t>
  </si>
  <si>
    <t>Insulation - Attic - R0 to R22 - HP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</si>
  <si>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</si>
  <si>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</si>
  <si>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</si>
  <si>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</si>
  <si>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- 3 Bundle - Wx - GH - Res</t>
  </si>
  <si>
    <t>Incentive - Add On - 4 Bundle - Wx - EH - Res</t>
  </si>
  <si>
    <t>Incentive - Add On - 4 Bundle - Wx - GH - Res</t>
  </si>
  <si>
    <t>Fan - Ventilation - Energy Star - Res</t>
  </si>
  <si>
    <t>Insulation - Attic - R0 to R49 - GH - SF or DX - MI</t>
  </si>
  <si>
    <t>Insulation - Attic - R11 to R49 - E FAF - SF or DX - MI</t>
  </si>
  <si>
    <t>Insulation - Attic - R11 to R49 - GH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</si>
  <si>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</si>
  <si>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</si>
  <si>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</si>
  <si>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</si>
  <si>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</si>
  <si>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E FAF - SF or DX - MI</t>
  </si>
  <si>
    <t>Insulation - Wall - R0 to R13 - GH - SF or DX - MI</t>
  </si>
  <si>
    <t>Windows - Single Pane - to U30 - GH - SF or DX - MI</t>
  </si>
  <si>
    <t>Windows - Single Pane - to U30 - HP - MH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</si>
  <si>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</si>
  <si>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</si>
  <si>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</si>
  <si>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</si>
  <si>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</si>
  <si>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</si>
  <si>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</si>
  <si>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</si>
  <si>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</si>
  <si>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</si>
  <si>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</si>
  <si>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</si>
  <si>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</si>
  <si>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Windows - Double Pane - Metal Frame - to U22 - E FAF - SF or DX</t>
  </si>
  <si>
    <t>Windows - Double Pane - Metal Frame - to U22 - GH - SF or DX</t>
  </si>
  <si>
    <t>Windows - Double Pane - Metal Frame - to U22 - HP - SF or DX</t>
  </si>
  <si>
    <t>Windows - Double Pane - Metal Frame - to U22 - Zonal - SF or DX</t>
  </si>
  <si>
    <t>Windows - Single Pane - to U22 - E FAF - SF or DX</t>
  </si>
  <si>
    <t>Windows - Single Pane - to U22 - GH - SF or DX</t>
  </si>
  <si>
    <t>Windows - Single Pane - to U22 - HP - SF or DX</t>
  </si>
  <si>
    <t>Windows - Single Pane - to U22 - Zonal - SF or DX</t>
  </si>
  <si>
    <t>Windows - Single Pane - to U22 - Zonal - SF or DX - MI</t>
  </si>
  <si>
    <t>Incentive - Sales - NEEM 2.0</t>
  </si>
  <si>
    <t>NEEM 1.1 - Energy Star Rated - EH</t>
  </si>
  <si>
    <t>NEEM 1.1 - Energy Star Rated - GH</t>
  </si>
  <si>
    <t>NEEM 2.0 - Energy Star with NEEM Plus Rated - EH</t>
  </si>
  <si>
    <t>MFRFT: Insulation - Attic - R11 to R38 - NG</t>
  </si>
  <si>
    <t>MFRFT: Insulation - Attic - R11 to R38 - E</t>
  </si>
  <si>
    <t>MFRFT: Insulation - Floor - R0 to R30 - E</t>
  </si>
  <si>
    <t>MFRFT: Insulation - Floor - R11 to R30 - E</t>
  </si>
  <si>
    <t>MFRFT: Insulation - Wall - R0 to R11  - NG</t>
  </si>
  <si>
    <t>MFRFT: Insulation - Wall - R0 to R11 - E</t>
  </si>
  <si>
    <t>MFRFT: Sealing - Air</t>
  </si>
  <si>
    <t>MFRFT: Boiler - Replacement - Combined Space and Water Heating</t>
  </si>
  <si>
    <t>MFRFT: Boiler - Replacement - Space Heating</t>
  </si>
  <si>
    <t>MFRFT: Lighting - Common Area</t>
  </si>
  <si>
    <t>MFRFT: Thermostat - Electronic Line Voltage - kWh</t>
  </si>
  <si>
    <t>MFRFT: Tub Spout - DI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</si>
  <si>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</si>
  <si>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</si>
  <si>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</si>
  <si>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</si>
  <si>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</si>
  <si>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SP U120 - EH - MF</t>
  </si>
  <si>
    <t>Integrated Heating System - Space and Water - GH - Res</t>
  </si>
  <si>
    <t>Furnace - 95pc - GH - Res</t>
  </si>
  <si>
    <t>Adapter - Thermostatic Restrictor Valve - DI - EWH - MF</t>
  </si>
  <si>
    <t>Adapter - Thermostatic Restrictor Valve - DI - GWH - MF</t>
  </si>
  <si>
    <t>Thermostat - ELV - Smart - Zonal - MF - MI</t>
  </si>
  <si>
    <t>Lamp - TLED - 4 ft - 2x - from 4 ft T12 2x - DI - MF</t>
  </si>
  <si>
    <t>Lamp - TLED - 4 ft - 2x - from 4 ft T8 32w 2x - DI - MF</t>
  </si>
  <si>
    <t>Power Strip - Advanced - Load Sensing - Tier 1 - MFCA</t>
  </si>
  <si>
    <t>Power Strip - Advanced - Load Sensing - Tier 1 - Res</t>
  </si>
  <si>
    <t>Insulation - Attic - R0 to R49 - EH - MF</t>
  </si>
  <si>
    <t>Insulation - Attic - R0 to R49 - GH - MF</t>
  </si>
  <si>
    <t>Insulation - Attic - R11 to R49 - EH - MF</t>
  </si>
  <si>
    <t>Windows - Double Pane - from U60 to U30 - EH - MF - MI</t>
  </si>
  <si>
    <t>Thermostat - ELV - Zonal - MF</t>
  </si>
  <si>
    <t>Thermostat - ELV - Zonal - MF - MI</t>
  </si>
  <si>
    <t>Water Heater - Tankless - Energy Star - 0.9 EF - GH - MF</t>
  </si>
  <si>
    <t>Fixture - LED - 40W or less - from HID 100W - Comm</t>
  </si>
  <si>
    <t>Fixture - LED - 50W or less - from HID 150W - Comm</t>
  </si>
  <si>
    <t>Fixture - LED - 90W or less - from HID 250W - Comm</t>
  </si>
  <si>
    <t>Fixture - LED - 155W or less - from HID 400W - Comm</t>
  </si>
  <si>
    <t>Fixture - LED - 315W or less - from HID 1000W - Comm</t>
  </si>
  <si>
    <t>LTGO: Lamp - TLED - 2 3 or 4 foot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</si>
  <si>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</si>
  <si>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</si>
  <si>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</si>
  <si>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</si>
  <si>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</si>
  <si>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</si>
  <si>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</si>
  <si>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</si>
  <si>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</si>
  <si>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- 105W or less - from HID 320W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</si>
  <si>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</si>
  <si>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</si>
  <si>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</si>
  <si>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</si>
  <si>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- 50w or less - Comm</t>
  </si>
  <si>
    <t>High Bay - LED - 51w to 125 w - Comm</t>
  </si>
  <si>
    <t>High Bay - LED - over 125w - Comm</t>
  </si>
  <si>
    <t>Thermostat - Web Enabled - ER Heating - Comm - Grocery</t>
  </si>
  <si>
    <t>Thermostat - Web Enabled - GP Heating - wo AC - Comm - Grocery</t>
  </si>
  <si>
    <t>Thermostat - Web Enabled - ER Heating - Comm</t>
  </si>
  <si>
    <t>Thermostat - Web Enabled - HP Heating - Comm</t>
  </si>
  <si>
    <t>Thermostat - Web Enabled - GP Heating - Comm</t>
  </si>
  <si>
    <t>Supply Fan VFD and Controller - RTU - 10 to 20 Tons - Gas Pack - Comm</t>
  </si>
  <si>
    <t>Supply Fan VFD and Controller - RTU - 5 to under 10 Tons - Gas Pack - Comm</t>
  </si>
  <si>
    <t>Supply Fan VFD and Controller - RTU - Less than 5 Tons - Gas Pack - Comm</t>
  </si>
  <si>
    <t>Supply Fan VFD and Controller - with DCV - RTU - 10 to 20 Tons - Gas Pack - Comm - C</t>
  </si>
  <si>
    <t>Supply Fan VFD and Controller - with DCV - RTU - 5 to under 10 Tons - Gas Pack - Comm - C</t>
  </si>
  <si>
    <t>Supply Fan VFD and Controller - with DCV - RTU - More than 20 Tons - Gas Pack - Comm - C</t>
  </si>
  <si>
    <t>Incentive - Sales - Distributor - EH or EWH - Comm</t>
  </si>
  <si>
    <t>SBDI: Controls - ASH - Compressor - Mid Temp</t>
  </si>
  <si>
    <t>SBDI: Lamp - TLED - 3 ft - 1x - from 3 ft 1x T8 25w</t>
  </si>
  <si>
    <t>SBDI: Lamp - TLED - 3 ft - 1x - from 3 ft T12 1x</t>
  </si>
  <si>
    <t>SBDI: Lamp - TLED - 4 ft - 1x - from 4 ft T12 1x</t>
  </si>
  <si>
    <t>SBDI: Lamp - TLED - 4 ft - 2x - from 4 ft T12 2x</t>
  </si>
  <si>
    <t>SBDI: Lamp - TLED - 4 ft - 2x - from 4 ft T12 HO 2x</t>
  </si>
  <si>
    <t>SBDI: Lamp - TLED - 4 ft - 3x - from 4 ft T12 HO 3x</t>
  </si>
  <si>
    <t>SBDI: Lamp - TLED - 4 ft - 3x from 4 ft T12 3x</t>
  </si>
  <si>
    <t>SBDI: Lamp - TLED - 4 ft - 4x - from 4 ft T12 4x</t>
  </si>
  <si>
    <t>SBDI: Lamp - TLED - 4 ft - 4x - from 4 ft T12 HO 4x</t>
  </si>
  <si>
    <t>SBDI: Occupancy Sensor - 100w to 150w</t>
  </si>
  <si>
    <t>SBDI: Sprayhead - EWH - 0.65 gpm - from 2.6</t>
  </si>
  <si>
    <t>SBDI: Sprayhead - EWH - 0.65 gpm - not PI</t>
  </si>
  <si>
    <t>SBDI: Sprayhead - GWH - 0.65 gpm - from 2.2</t>
  </si>
  <si>
    <t>SBDI: Sprayhead - GWH - 0.65 gpm - from 2.2 - EIE</t>
  </si>
  <si>
    <t>SBDI: Sprayhead - GWH - 0.65 gpm - from 2.6</t>
  </si>
  <si>
    <t>SBDI: Sprayhead - GWH - 0.65 gpm - from 2.6 - EIE</t>
  </si>
  <si>
    <t>SBDI: Lamp - TLED - 4 ft - 1x - from 4 ft T8 28w BBF 1x</t>
  </si>
  <si>
    <t>SBDI: Lamp - TLED - 4 ft - 1x - from 4ft T8 32w BBF 1x</t>
  </si>
  <si>
    <t>SBDI: Lamp - TLED - 4 ft - 2x - from 4 ft T8 28w BBF 2x</t>
  </si>
  <si>
    <t>SBDI: Lamp - TLED - 4 ft - 2x - from 4 ft T8 32w BBF 2x</t>
  </si>
  <si>
    <t>SBDI: Lamp - TLED - 4 ft - 3x - from 4 ft T8 28w BBF 3x</t>
  </si>
  <si>
    <t>SBDI: Lamp - TLED - 4 ft - 3x - from 4 ft T8 32w BBF 3x</t>
  </si>
  <si>
    <t>SBDI: Lamp - TLED - 4 ft - 4x - from 4 ft T8 28w BBF 4x</t>
  </si>
  <si>
    <t>SBDI: Lamp - TLED - 4 ft - 4x - from 4 ft T8 32w BBF 4x</t>
  </si>
  <si>
    <t>SBDI: Fixture - Volumetric - LED - 24w - from 4 ft T12 4x</t>
  </si>
  <si>
    <t>SBDI: Fixture - LED - 35w - from 175w HID</t>
  </si>
  <si>
    <t>SBDI: Lamp - TLED - 4 ft - 1x - from 4 ft T12 1x - LCA</t>
  </si>
  <si>
    <t>SBDI: Lamp - TLED - 4 ft - 2x - from 4 ft T12 2x - LCA</t>
  </si>
  <si>
    <t>SBDI: Lamp - TLED - 4 ft - 2x - from 4 ft T12 HO 2x - LCA</t>
  </si>
  <si>
    <t>SBDI: Lamp - TLED - 4 ft - 4x - from 4 ft T12 4x - LCA</t>
  </si>
  <si>
    <t>SBDI: Lamp - TLED - 4 ft - 1x - from 4ft T8 32w NLO 1x - LCA</t>
  </si>
  <si>
    <t>SBDI: Lamp - TLED - 4 ft - 2x - from 4 ft T8 32w NLO 2x - LCA</t>
  </si>
  <si>
    <t>SBDI: Lamp - TLED - 4 ft - 2x - from 4 ft T8 32w HLO 2x - LCA</t>
  </si>
  <si>
    <t>SBDI: Lamp - TLED - 4 ft - 3x - from 4 ft T8 32w NLO 3x - LCA</t>
  </si>
  <si>
    <t>SBDI: Lamp - TLED - 4 ft - 4x - from 4 ft T8 32w NLO 4x - LCA</t>
  </si>
  <si>
    <t>SBDI: Lamp - TLED - 4 ft - 4x - from 4 ft T8 32w HLO 4x - LCA</t>
  </si>
  <si>
    <t>SBDI: Fixture - LED - 35w - from 250w HID</t>
  </si>
  <si>
    <t>SBDI: Fixture - LED - 60w - from 250w HID</t>
  </si>
  <si>
    <t>SBDI: Fixture - LED - 60w - from 400w HID</t>
  </si>
  <si>
    <t>SBDI: Fixture - LED - 80w - from 400w HID</t>
  </si>
  <si>
    <t>Fixture - LED - 150w - from 4 ft T5 HLO 6x - SMB</t>
  </si>
  <si>
    <t>Fixture - LED - 300w - from 1000w MH - SMB</t>
  </si>
  <si>
    <t>Lamp - TLED - 4 ft - 2x - DLR from 4 ft T12 3x - DI - SMB</t>
  </si>
  <si>
    <t>Lamp - TLED - 4 ft - 2x - DLR from 4 ft T12 4x - DI - SMB</t>
  </si>
  <si>
    <t>Lamp - TLED - 4 ft - 2x - DLR from 4 ft T8 32w BBF 3x - DI - SMB</t>
  </si>
  <si>
    <t>Lamp - TLED - 4 ft - 2x - DLR from 4 ft T8 32w BBF 4x - DI - SMB</t>
  </si>
  <si>
    <t>Lamp - TLED - 4 ft - 2x - DLR from 8 ft T12 F96 2x - DI - SMB</t>
  </si>
  <si>
    <t>Lamp - TLED - 4 ft - 2x - from 8 ft T12 F96 1x - DI - SMB</t>
  </si>
  <si>
    <t>Lamp - TLED - 4 ft - 2x - from 8 ft T12 HO F96 1x - DI - SMB</t>
  </si>
  <si>
    <t>Lamp - TLED - 4 ft - 4x - from 8 ft T12 F96 2x - DI - SMB</t>
  </si>
  <si>
    <t>Lamp - TLED - 4 ft - 4x - from 8 ft T12 HO F96 2x - DI - SMB</t>
  </si>
  <si>
    <t>Case Lighting - LED - Low Power - Refrigerated Space - Med Temp - from Single T8 - Restaurant</t>
  </si>
  <si>
    <t>Case Lighting - LED - Low Power - Refrigerated Space - Med Temp - from Single T8 - Grocery</t>
  </si>
  <si>
    <t>Case Lighting - LED - Low Power - Refrigerated Space - Med Temp - from Single T12 - Grocery</t>
  </si>
  <si>
    <t>Case Lighting - LED - Low Power - Refrigerated Space - Low Temp - from Single T12 - Grocery</t>
  </si>
  <si>
    <t>Energy Audit - EH - SMB</t>
  </si>
  <si>
    <t>Energy Audit - GH - SMB</t>
  </si>
  <si>
    <t>Thermostat Control - Occupancy Based - Setback - 5 Degrees - Lodging</t>
  </si>
  <si>
    <t>Heat Pump - Packaged Terminal - Lodging</t>
  </si>
  <si>
    <t>Residential Midstream HVAC and Water Heat</t>
  </si>
  <si>
    <t>Energy Display - Res - E or C</t>
  </si>
  <si>
    <t>Furnace - 95pc - GH - Res - MI</t>
  </si>
  <si>
    <t>Boiler - Energy Star - 95pc AFUE - GH - Res</t>
  </si>
  <si>
    <t>Furnace - 95pc - GH - MH</t>
  </si>
  <si>
    <t>SMB Virtual Commissioning</t>
  </si>
  <si>
    <t>Commercial Foodservice</t>
  </si>
  <si>
    <t>Industrial Optimization</t>
  </si>
  <si>
    <t>Telecommunications Efficiency</t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</si>
  <si>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</si>
  <si>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</si>
  <si>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Electric Vehicle Chargers</t>
  </si>
  <si>
    <t>Equity Support</t>
  </si>
  <si>
    <t>Demand Response Administration</t>
  </si>
  <si>
    <t>Equity Support {G}</t>
  </si>
  <si>
    <t>Equity Support {E}</t>
  </si>
  <si>
    <t>Biennial Conservation Acquisition Review {G}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</si>
  <si>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2024-2025</t>
    </r>
  </si>
  <si>
    <t xml:space="preserve">Includes Energy, Capacity, Social Cost of Carbon, Renewable Premium and Equity Premium and does NOT apply the conservation Credit to energy or capacity </t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</si>
  <si>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2024-2025</t>
    </r>
  </si>
  <si>
    <t>Includes Both Capacity, Energy, Social Cost of Carbon and CCA price, but does not include 10% conservation credit</t>
  </si>
  <si>
    <t>EV Chargers</t>
  </si>
  <si>
    <t>EV Chargers {E}</t>
  </si>
  <si>
    <t>Residential Midstream HVAC &amp; Water Heat</t>
  </si>
  <si>
    <t>Residential Midstream HVAC &amp; Water Heat {G}</t>
  </si>
  <si>
    <t>0 - 1</t>
  </si>
  <si>
    <t>2024 - Midstream Program Planning Line - Incentives</t>
  </si>
  <si>
    <t>2025 - Midstream Program Planning Line - Incentives</t>
  </si>
  <si>
    <t>2024 - Midstream Program Planning Line - SPIFFS ONLY</t>
  </si>
  <si>
    <t>2025 - Midstream Program Planning Line - SPIFFS ONLY</t>
  </si>
  <si>
    <t>2024 - Downstream Program Planning Line</t>
  </si>
  <si>
    <t>2025 - Downstream Program Planning Line</t>
  </si>
  <si>
    <t>13025 - 3</t>
  </si>
  <si>
    <t>13026 - 3</t>
  </si>
  <si>
    <t>Supply Fan VFD and Controller - RTU - 10 to 20 Tons - Heat Pump - Comm</t>
  </si>
  <si>
    <t>13027 - 3</t>
  </si>
  <si>
    <t>13028 - 3</t>
  </si>
  <si>
    <t>Supply Fan VFD and Controller - RTU - 5 to under 10 Tons - Heat Pump - Comm</t>
  </si>
  <si>
    <t>13029 - 3</t>
  </si>
  <si>
    <t>13030 - 3</t>
  </si>
  <si>
    <t>Supply Fan VFD and Controller - RTU - Less than 5 Tons - Heat Pump - Comm</t>
  </si>
  <si>
    <t>13031 - 3</t>
  </si>
  <si>
    <t>Supply Fan VFD and Controller - RTU - More than 20 Tons - Gas Pack - Comm</t>
  </si>
  <si>
    <t>13032 - 3</t>
  </si>
  <si>
    <t>Supply Fan VFD and Controller - RTU - More than 20 Tons - Heat Pump - Comm</t>
  </si>
  <si>
    <t>13033 - 3</t>
  </si>
  <si>
    <t>13034 - 3</t>
  </si>
  <si>
    <t>Supply Fan VFD and Controller - with DCV - RTU - 10 to 20 Tons - Heat Pump - Comm - EO</t>
  </si>
  <si>
    <t>13035 - 3</t>
  </si>
  <si>
    <t>13036 - 3</t>
  </si>
  <si>
    <t>Supply Fan VFD and Controller - with DCV - RTU - 5 to under 10 Tons - Heat Pump - Comm - EO</t>
  </si>
  <si>
    <t>13037 - 3</t>
  </si>
  <si>
    <t>13038 - 3</t>
  </si>
  <si>
    <t>Supply Fan VFD and Controller - with DCV - RTU - More than 20 Tons - Heat Pump - Comm - EO</t>
  </si>
  <si>
    <t>13815 - 1</t>
  </si>
  <si>
    <t>Heat Pump - Ductless - from Zonal - Comm</t>
  </si>
  <si>
    <t>12350 - 2</t>
  </si>
  <si>
    <t>12351 - 2</t>
  </si>
  <si>
    <t>Thermostat - Web Enabled - HP Heating - Comm - Grocery</t>
  </si>
  <si>
    <t>12352 - 2</t>
  </si>
  <si>
    <t>Thermostat - Web Enabled - GP Heating - Comm - Grocery</t>
  </si>
  <si>
    <t>12353 - 2</t>
  </si>
  <si>
    <t>Thermostat - Web Enabled - ER Heating - wo AC - Comm - Grocery</t>
  </si>
  <si>
    <t>12354 - 2</t>
  </si>
  <si>
    <t>Thermostat - Web Enabled - HP Heating - wo AC - Comm - Grocery</t>
  </si>
  <si>
    <t>12355 - 2</t>
  </si>
  <si>
    <t>12356 - 2</t>
  </si>
  <si>
    <t>12357 - 2</t>
  </si>
  <si>
    <t>12358 - 2</t>
  </si>
  <si>
    <t>12359 - 2</t>
  </si>
  <si>
    <t>Thermostat - Web Enabled - ER Heating - wo AC - Comm</t>
  </si>
  <si>
    <t>12360 - 2</t>
  </si>
  <si>
    <t>Thermostat - Web Enabled - HP Heating - wo AC - Comm</t>
  </si>
  <si>
    <t>12361 - 2</t>
  </si>
  <si>
    <t>Thermostat - Web Enabled - GP Heating - wo AC - Comm</t>
  </si>
  <si>
    <t>NEW - 1</t>
  </si>
  <si>
    <t>Insulation - Attic - R26 - EH - Comm</t>
  </si>
  <si>
    <t>Insulation - Attic - R26 - GH - Comm</t>
  </si>
  <si>
    <t>Insulation - Attic - R48 or higher - EH - Comm</t>
  </si>
  <si>
    <t>Insulation - Attic - R48 or higher - GH - Comm</t>
  </si>
  <si>
    <t>Insulation - Wall - R14 - EH - Comm</t>
  </si>
  <si>
    <t>Insulation - Wall - R18 - EH - Comm</t>
  </si>
  <si>
    <t>Insulation - Wall - R14 - GH - Comm</t>
  </si>
  <si>
    <t>Insulation - Wall - R18 - GH - Comm</t>
  </si>
  <si>
    <t>Windows - Any Pane - U26 - from SP U116 - EH -Comm</t>
  </si>
  <si>
    <t>Windows - Any Pane - U26 - from SP U116 - GH - Comm</t>
  </si>
  <si>
    <t>Windows - Any pane - U26 - from DP U63 - EH - Comm</t>
  </si>
  <si>
    <t>Windows - Any pane - U26 - from DP U63 -GH - Comm</t>
  </si>
  <si>
    <t>Insulation - Attic - R26 - GH ONLY - Comm</t>
  </si>
  <si>
    <t>Insulation - Attic - R48 or higher - GH ONLY - Comm</t>
  </si>
  <si>
    <t>Insulation - Wall - R14 - GH ONLY - Comm</t>
  </si>
  <si>
    <t>Insulation - Wall - R18 - GH ONLY - Comm</t>
  </si>
  <si>
    <t>Windows - Any Pane - U26 - from SP U116 - GH ONLY - Comm</t>
  </si>
  <si>
    <t>Windows - Any pane - U26 - from DP U63 -GH ONLY - Comm</t>
  </si>
  <si>
    <t xml:space="preserve">13683 - </t>
  </si>
  <si>
    <t>Air Conditioner - AC - Tier 0 - 135k to 240k Btuh - Comm</t>
  </si>
  <si>
    <t xml:space="preserve">13684 - </t>
  </si>
  <si>
    <t>Air Conditioner - AC - Tier 0 - 240k to 760k Btuh - Comm</t>
  </si>
  <si>
    <t xml:space="preserve">13685 - </t>
  </si>
  <si>
    <t>Air Conditioner - AC - Tier 0 - 65k to 135k Btuh - Comm</t>
  </si>
  <si>
    <t xml:space="preserve">13686 - </t>
  </si>
  <si>
    <t>Air Conditioner - AC - Tier 1 - 135k to 240k Btuh - Comm</t>
  </si>
  <si>
    <t xml:space="preserve">13687 - </t>
  </si>
  <si>
    <t>Air Conditioner - AC - Tier 1 - 240k to 760k Btuh - Comm</t>
  </si>
  <si>
    <t xml:space="preserve">0 - </t>
  </si>
  <si>
    <t>Air Conditioner - AC - Tier 1 - 65k to 135k Btuh - Comm</t>
  </si>
  <si>
    <t xml:space="preserve">13689 - </t>
  </si>
  <si>
    <t>Air Conditioner - AC - Tier 1 - 760k Btuh or more - Comm</t>
  </si>
  <si>
    <t xml:space="preserve">13690 - </t>
  </si>
  <si>
    <t>Air Conditioner - AC - Tier 2 - 135k to 240k Btuh - Comm</t>
  </si>
  <si>
    <t xml:space="preserve">13691 - </t>
  </si>
  <si>
    <t>Air Conditioner - AC - Tier 2 - 240k to 760k Btuh - Comm</t>
  </si>
  <si>
    <t xml:space="preserve">13692 - </t>
  </si>
  <si>
    <t>Air Conditioner - AC - Tier 2 - 65k to 135k Btuh - Comm</t>
  </si>
  <si>
    <t xml:space="preserve">13693 - </t>
  </si>
  <si>
    <t>Air Conditioner - AC - Tier 2 - 760k Btuh or more - Comm</t>
  </si>
  <si>
    <t xml:space="preserve">13694 - </t>
  </si>
  <si>
    <t>Air Conditioner - AC - Tier 3 - 760k Btuh or more - Comm</t>
  </si>
  <si>
    <t xml:space="preserve">13695 - </t>
  </si>
  <si>
    <t>Air Conditioner - EC - Tier 1 - 135k to 240k Btuh - Comm</t>
  </si>
  <si>
    <t xml:space="preserve">13696 - </t>
  </si>
  <si>
    <t>Air Conditioner - EC - Tier 1 - 240k to 760k Btuh - Comm</t>
  </si>
  <si>
    <t xml:space="preserve">13697 - </t>
  </si>
  <si>
    <t>Air Conditioner - EC - Tier 1 - 65k Btuh or less - Comm</t>
  </si>
  <si>
    <t xml:space="preserve">13698 - </t>
  </si>
  <si>
    <t>Air Conditioner - EC - Tier 1 - 65k to 135k Btuh - Comm</t>
  </si>
  <si>
    <t xml:space="preserve">13699 - </t>
  </si>
  <si>
    <t>Air Conditioner - EC - Tier 1 - 760k Btuh or more - Comm</t>
  </si>
  <si>
    <t xml:space="preserve">13700 - </t>
  </si>
  <si>
    <t>Air Conditioner - WC - Tier 1 - 135k to 240k Btuh - Comm</t>
  </si>
  <si>
    <t xml:space="preserve">13701 - </t>
  </si>
  <si>
    <t>Air Conditioner - WC - Tier 1 - 240k to 760k Btuh - Comm</t>
  </si>
  <si>
    <t xml:space="preserve">13702 - </t>
  </si>
  <si>
    <t>Air Conditioner - WC - Tier 1 - 65k Btuh or less - Comm</t>
  </si>
  <si>
    <t xml:space="preserve">13703 - </t>
  </si>
  <si>
    <t>Air Conditioner - WC - Tier 1 - 65k to 135k Btuh - Comm</t>
  </si>
  <si>
    <t xml:space="preserve">13704 - </t>
  </si>
  <si>
    <t>Air Conditioner - WC - Tier 1 - 760k Btuh or more - Comm</t>
  </si>
  <si>
    <t xml:space="preserve">13706 - </t>
  </si>
  <si>
    <t>Heat Pump - AC - Tier 1 - 135k to 240k Btuh - Comm</t>
  </si>
  <si>
    <t xml:space="preserve">13707 - </t>
  </si>
  <si>
    <t>Heat Pump - AC - Tier 1 - 240k Btuh or more - Comm</t>
  </si>
  <si>
    <t xml:space="preserve">13708 - </t>
  </si>
  <si>
    <t>Heat Pump - AC - Tier 1 - 65k Btuh or less - Comm</t>
  </si>
  <si>
    <t xml:space="preserve">13709 - </t>
  </si>
  <si>
    <t>Heat Pump - AC - Tier 1 - 65k to 135k Btuh - Comm</t>
  </si>
  <si>
    <t xml:space="preserve">13710 - </t>
  </si>
  <si>
    <t>Heat Pump - AC - Tier 2 - 135k to 240k Btuh - Comm</t>
  </si>
  <si>
    <t xml:space="preserve">13711 - </t>
  </si>
  <si>
    <t>Heat Pump - AC - Tier 2 - 240k Btuh or more - Comm</t>
  </si>
  <si>
    <t xml:space="preserve">13712 - </t>
  </si>
  <si>
    <t>Heat Pump - AC - Tier 2 - 65k Btuh or less - Comm</t>
  </si>
  <si>
    <t xml:space="preserve">13713 - </t>
  </si>
  <si>
    <t>Heat Pump - AC - Tier 2 - 65k to 135k Btuh - Comm</t>
  </si>
  <si>
    <t xml:space="preserve">13714 - </t>
  </si>
  <si>
    <t>Heat Pump - AC - Tier 3 - 135k to 240k Btuh - Comm</t>
  </si>
  <si>
    <t xml:space="preserve">13715 - </t>
  </si>
  <si>
    <t>Heat Pump - AC - Tier 3 - 240k Btuh or more - Comm</t>
  </si>
  <si>
    <t xml:space="preserve">13716 - </t>
  </si>
  <si>
    <t>Heat Pump - AC - Tier 3 - 65k Btuh or less - Comm</t>
  </si>
  <si>
    <t xml:space="preserve">13717 - </t>
  </si>
  <si>
    <t>Heat Pump - AC - Tier 3 - 65k to 135k Btuh - Comm</t>
  </si>
  <si>
    <t>13718 - 1</t>
  </si>
  <si>
    <t>Heat Pump - Ductless - Tier 1 - 65k Btuh or less - Comm</t>
  </si>
  <si>
    <t>13719 - 1</t>
  </si>
  <si>
    <t>Heat Pump - Ductless - Tier 2 - 65k Btuh or less - Comm</t>
  </si>
  <si>
    <t>13720 - 1</t>
  </si>
  <si>
    <t>Heat Pump - Packaged - Tier 1 - 65k Btuh or less - Comm</t>
  </si>
  <si>
    <t>13721 - 1</t>
  </si>
  <si>
    <t>Heat Pump - Packaged - Tier 2 - 65k Btuh or less - Comm</t>
  </si>
  <si>
    <t>13722 - 1</t>
  </si>
  <si>
    <t>Heat Pump - Split - Tier 1 - 65k Btuh or less - Comm</t>
  </si>
  <si>
    <t>13723 - 1</t>
  </si>
  <si>
    <t>Heat Pump - Split - Tier 2 - 65k Btuh or less - Comm</t>
  </si>
  <si>
    <t>13724 - 1</t>
  </si>
  <si>
    <t>Heat Pump - WC - GL - Tier 1 - 135k Btuh or less - Comm</t>
  </si>
  <si>
    <t>13725 - 1</t>
  </si>
  <si>
    <t>Heat Pump - WC - GS - Tier 1 - 135k Btuh or less - Comm</t>
  </si>
  <si>
    <t>13726 - 1</t>
  </si>
  <si>
    <t>Heat Pump - WC - WL - Tier 1 - 17k Btuh or less - Comm</t>
  </si>
  <si>
    <t>13727 - 1</t>
  </si>
  <si>
    <t>Heat Pump - WC - WL - Tier 1 - 17k Btuh or more - Comm</t>
  </si>
  <si>
    <t>13728 - 1</t>
  </si>
  <si>
    <t>Heat Pump - WC - WL - Tier 2 - 17k Btuh or less - Comm</t>
  </si>
  <si>
    <t>13729 - 1</t>
  </si>
  <si>
    <t>Heat Pump - WC - WL - Tier 2 - 17k Btuh or more - Comm</t>
  </si>
  <si>
    <t>13730 - 1</t>
  </si>
  <si>
    <t>Heat Pump - WC - WL - Tier 3 - 17k Btuh or less - Comm</t>
  </si>
  <si>
    <t>13731 - 1</t>
  </si>
  <si>
    <t>Heat Pump - WC - WL - Tier 3 - 17k Btuh or more - Comm</t>
  </si>
  <si>
    <t>13291 - 1</t>
  </si>
  <si>
    <t>Incentive - Sales - Contractor - EH or EWH - Comm</t>
  </si>
  <si>
    <t>12893 - 1</t>
  </si>
  <si>
    <t>13738 - 1</t>
  </si>
  <si>
    <t>Water Heater - Boiler - Domestic - GH - Comm</t>
  </si>
  <si>
    <t>13739 - 1</t>
  </si>
  <si>
    <t>Water Heater - Boiler - Domestic - GH - MFHR</t>
  </si>
  <si>
    <t>13740 - 1</t>
  </si>
  <si>
    <t>Water Heater - Boiler - Domestic - GH - MFLR</t>
  </si>
  <si>
    <t>13741 - 1</t>
  </si>
  <si>
    <t>Water Heater - Condensing - Storage - GH - Comm</t>
  </si>
  <si>
    <t>13742 - 1</t>
  </si>
  <si>
    <t>Water Heater - Condensing - Storage - GH - MFHR</t>
  </si>
  <si>
    <t>13743 - 1</t>
  </si>
  <si>
    <t>Water Heater - Condensing - Storage - GH - MFLR</t>
  </si>
  <si>
    <t>13744 - 1</t>
  </si>
  <si>
    <t>Water Heater - Condensing - Tankless - GH - MFHR</t>
  </si>
  <si>
    <t>13745 - 1</t>
  </si>
  <si>
    <t>Water Heater - Condensing - Tankless - GH - MFLR</t>
  </si>
  <si>
    <t>13748 - 1</t>
  </si>
  <si>
    <t>Water Heater - Tankless - GH - Comm</t>
  </si>
  <si>
    <t>12993 - 3</t>
  </si>
  <si>
    <t xml:space="preserve">Clothes Washer - Front Load - Energy Star - Any WH - Any Dryer - Res - C </t>
  </si>
  <si>
    <t>12995 - 3</t>
  </si>
  <si>
    <t xml:space="preserve">Clothes Washer - Front Load - Energy Star - Any WH - Any Dryer - Res - EO </t>
  </si>
  <si>
    <t>12601 - 3</t>
  </si>
  <si>
    <t>12602 - 3</t>
  </si>
  <si>
    <t>13213 - 2</t>
  </si>
  <si>
    <t>13214 - 2</t>
  </si>
  <si>
    <t>13751 - 3</t>
  </si>
  <si>
    <t>Clothes Dryer - Vented - Energy Star - EH - Res -MI</t>
  </si>
  <si>
    <t>13572 - 3</t>
  </si>
  <si>
    <t>Clothes Dryer - Ventless - Energy Star - EH - Res - MI</t>
  </si>
  <si>
    <t>12595 - 2</t>
  </si>
  <si>
    <t>12596 - 2</t>
  </si>
  <si>
    <t>New - 2</t>
  </si>
  <si>
    <t>Clothes Dryer - HP - Vented - EH - Res -MI</t>
  </si>
  <si>
    <t>Clothes Dryer - HP - Ventless - EH - Res -MI</t>
  </si>
  <si>
    <t>13353 - 2</t>
  </si>
  <si>
    <t>Energy Reports - E - Res</t>
  </si>
  <si>
    <t>13354 - 2</t>
  </si>
  <si>
    <t>Energy Reports - G - Res</t>
  </si>
  <si>
    <t>13527 - 2</t>
  </si>
  <si>
    <t>13527 - 3</t>
  </si>
  <si>
    <t>12941 - 1</t>
  </si>
  <si>
    <t>12942 - 1</t>
  </si>
  <si>
    <t>12943 - 1</t>
  </si>
  <si>
    <t>12944 - 1</t>
  </si>
  <si>
    <t>12945 - 1</t>
  </si>
  <si>
    <t>Fixture - LED - 50W or less - from HID 175W - Comm</t>
  </si>
  <si>
    <t>12946 - 1</t>
  </si>
  <si>
    <t>12947 - 1</t>
  </si>
  <si>
    <t>12948 - 1</t>
  </si>
  <si>
    <t>12949 - 1</t>
  </si>
  <si>
    <t>13192 - 1</t>
  </si>
  <si>
    <t>13193 - 1</t>
  </si>
  <si>
    <t>13196 - 1</t>
  </si>
  <si>
    <t>13197 - 1</t>
  </si>
  <si>
    <t>13198 - 1</t>
  </si>
  <si>
    <t>13199 - 1</t>
  </si>
  <si>
    <t>13200 - 1</t>
  </si>
  <si>
    <t>N/A - 1</t>
  </si>
  <si>
    <t>L2G Planning Measures 2024</t>
  </si>
  <si>
    <t>L2G Planning Measures 2025</t>
  </si>
  <si>
    <t>10628 - 5</t>
  </si>
  <si>
    <t>12771 - 1</t>
  </si>
  <si>
    <t>12773 - 1</t>
  </si>
  <si>
    <t>12774 - 1</t>
  </si>
  <si>
    <t>12775 - 1</t>
  </si>
  <si>
    <t>12777 - 1</t>
  </si>
  <si>
    <t>12779 - 1</t>
  </si>
  <si>
    <t>12818 - 1</t>
  </si>
  <si>
    <t>13022 - 3</t>
  </si>
  <si>
    <t>13064 - 4</t>
  </si>
  <si>
    <t>0 - 0</t>
  </si>
  <si>
    <t>BCP Planning Line</t>
  </si>
  <si>
    <t>13944 - 2</t>
  </si>
  <si>
    <t>Sealing - Air - Prescriptive - EH - MH - LI</t>
  </si>
  <si>
    <t>13945 - 2</t>
  </si>
  <si>
    <t>Sealing - Air - Prescriptive - EH - SF - LI</t>
  </si>
  <si>
    <t>13952 - 2</t>
  </si>
  <si>
    <t>Sealing - Duct - EH - MH - LI</t>
  </si>
  <si>
    <t>13953 - 2</t>
  </si>
  <si>
    <t>Sealing - Duct - EH - SF - LI</t>
  </si>
  <si>
    <t>13956 - 2</t>
  </si>
  <si>
    <t>Sealing - Shell - EH - MH - LI</t>
  </si>
  <si>
    <t>13957 - 2</t>
  </si>
  <si>
    <t>Sealing - Shell - EH - SF - LI</t>
  </si>
  <si>
    <t>13940 - 2</t>
  </si>
  <si>
    <t>Sealing - Air - Ceiling - EH - MF - LI</t>
  </si>
  <si>
    <t>13941 - 2</t>
  </si>
  <si>
    <t>Sealing - Air - Floor - EH - MF - LI</t>
  </si>
  <si>
    <t>13942 - 2</t>
  </si>
  <si>
    <t>Sealing - Air - Package - EH - MF - LI</t>
  </si>
  <si>
    <t>13950 - 2</t>
  </si>
  <si>
    <t>Sealing - Air - Wall - EH - MF - LI</t>
  </si>
  <si>
    <t>14030 - 1</t>
  </si>
  <si>
    <t>Insulation - SIR - Res - LI</t>
  </si>
  <si>
    <t>14031 - 1</t>
  </si>
  <si>
    <t>Insulation - Slab On - SIR - EH - Res - LI</t>
  </si>
  <si>
    <t>14038 - 1</t>
  </si>
  <si>
    <t>Insulation - Wall - Rigid - SIR - EH - Res - LI</t>
  </si>
  <si>
    <t>13988 - 2</t>
  </si>
  <si>
    <t>Insulation - Attic - R0 to R22 - EH - MH - LI</t>
  </si>
  <si>
    <t>13990 - 2</t>
  </si>
  <si>
    <t>Insulation - Attic - R0 to R30 - EH - MH - LI</t>
  </si>
  <si>
    <t>13993 - 2</t>
  </si>
  <si>
    <t>Insulation - Attic - R0 to R38 - EH - SF - LI</t>
  </si>
  <si>
    <t>13997 - 2</t>
  </si>
  <si>
    <t>Insulation - Attic - R0 to R49 - EH - SF - LI</t>
  </si>
  <si>
    <t>14001 - 2</t>
  </si>
  <si>
    <t>Insulation - Attic - R11 to R38 - EH - SF - LI</t>
  </si>
  <si>
    <t>14003 - 2</t>
  </si>
  <si>
    <t>Insulation - Attic - R11 to R49 - EH - SF - LI</t>
  </si>
  <si>
    <t>14006 - 2</t>
  </si>
  <si>
    <t>Insulation - Attic - R19 to R38 - EH - SF - LI</t>
  </si>
  <si>
    <t>14013 - 2</t>
  </si>
  <si>
    <t>Insulation - Floor - R0 to R19 - EH - SF - LI</t>
  </si>
  <si>
    <t>14014 - 2</t>
  </si>
  <si>
    <t>Insulation - Floor - R0 to R22 - EH - MH - LI</t>
  </si>
  <si>
    <t>14017 - 2</t>
  </si>
  <si>
    <t>Insulation - Floor - R0 to R30 - EH - MH - LI</t>
  </si>
  <si>
    <t>14018 - 2</t>
  </si>
  <si>
    <t>Insulation - Floor - R0 to R30 - EH - SF - LI</t>
  </si>
  <si>
    <t>14022 - 2</t>
  </si>
  <si>
    <t>Insulation - Floor - R11 to R22 - EH - MH - LI</t>
  </si>
  <si>
    <t>14009 - 2</t>
  </si>
  <si>
    <t>Insulation - Duct - R0 to R11 - EH - SF - LI</t>
  </si>
  <si>
    <t>14025 - 2</t>
  </si>
  <si>
    <t>Insulation - Pipe - Water Heater - EH - MH - LI</t>
  </si>
  <si>
    <t>14026 - 2</t>
  </si>
  <si>
    <t>Insulation - Pipe - Water Heater - EH - SF - LI</t>
  </si>
  <si>
    <t>14033 - 2</t>
  </si>
  <si>
    <t>Insulation - Wall - R0 to R11 - EH - MH - LI</t>
  </si>
  <si>
    <t>14034 - 2</t>
  </si>
  <si>
    <t>Insulation - Wall - R0 to R11 - EH - SF - LI</t>
  </si>
  <si>
    <t>13992 - 2</t>
  </si>
  <si>
    <t>Insulation - Attic - R0 to R38 - EH - MF - LI</t>
  </si>
  <si>
    <t>13996 - 2</t>
  </si>
  <si>
    <t>Insulation - Attic - R0 to R49 - EH - MF - LI</t>
  </si>
  <si>
    <t>14000 - 2</t>
  </si>
  <si>
    <t>Insulation - Attic - R11 to R38 - EH - MF - LI</t>
  </si>
  <si>
    <t>14005 - 2</t>
  </si>
  <si>
    <t>Insulation - Attic - R19 to R38 - EH - MF - LI</t>
  </si>
  <si>
    <t>14007 - 2</t>
  </si>
  <si>
    <t>Insulation - Attic - R19 to R49 - EH - MF - LI</t>
  </si>
  <si>
    <t>14008 - 2</t>
  </si>
  <si>
    <t>Insulation - Duct - R0 to R11 - EH - MF - LI</t>
  </si>
  <si>
    <t>14012 - 2</t>
  </si>
  <si>
    <t>Insulation - Floor - R0 to R19 - EH - MF - LI</t>
  </si>
  <si>
    <t>14016 - 2</t>
  </si>
  <si>
    <t>Insulation - Floor - R0 to R30 - EH - MF - LI</t>
  </si>
  <si>
    <t>14023 - 2</t>
  </si>
  <si>
    <t>Insulation - Floor - R11 to R30 - EH - MF - LI</t>
  </si>
  <si>
    <t>14024 - 2</t>
  </si>
  <si>
    <t>Insulation - Pipe - Water Heater - EH - MF - LI</t>
  </si>
  <si>
    <t>14032 - 2</t>
  </si>
  <si>
    <t>Insulation - Wall - R0 to R11 - EH - MF - LI</t>
  </si>
  <si>
    <t>13983 - 1</t>
  </si>
  <si>
    <t>Heat Pump - Ductless - SIR - EH - Res - LI</t>
  </si>
  <si>
    <t>13986 - 1</t>
  </si>
  <si>
    <t>Heat Pump - SIR - EH - Res - LI</t>
  </si>
  <si>
    <t>13981 - 2</t>
  </si>
  <si>
    <t>Heat Pump - Ductless - EH - MH - LI</t>
  </si>
  <si>
    <t>13982 - 2</t>
  </si>
  <si>
    <t>Heat Pump - Ductless - EH - SF - LI</t>
  </si>
  <si>
    <t>13984 - 2</t>
  </si>
  <si>
    <t>Heat Pump - from E FAF - MH - LI</t>
  </si>
  <si>
    <t>13985 - 2</t>
  </si>
  <si>
    <t>Heat Pump - from E FAF - SF - LI</t>
  </si>
  <si>
    <t>14049 - 1</t>
  </si>
  <si>
    <t>Thermostat - SIR - EH - Res - LI</t>
  </si>
  <si>
    <t>14047 - 2</t>
  </si>
  <si>
    <t>Thermostat - ELV - EH - MF - LI</t>
  </si>
  <si>
    <t>14048 - 2</t>
  </si>
  <si>
    <t>Thermostat - ELV - EH - SF - LI</t>
  </si>
  <si>
    <t>14050 - 2</t>
  </si>
  <si>
    <t>Thermostat - Smart - EH - MF - LI</t>
  </si>
  <si>
    <t>14051 - 2</t>
  </si>
  <si>
    <t>Thermostat - Smart - EH - SF - LI</t>
  </si>
  <si>
    <t>14078 - 2</t>
  </si>
  <si>
    <t>Thermostat - Smart - EH - MH - LI</t>
  </si>
  <si>
    <t>14060 - 2</t>
  </si>
  <si>
    <t>Windows - Double Pane - from DP - EH - MH - LI</t>
  </si>
  <si>
    <t>14061 - 2</t>
  </si>
  <si>
    <t>Windows - Double Pane - from DP - EH - SF - LI</t>
  </si>
  <si>
    <t>14063 - 2</t>
  </si>
  <si>
    <t>Windows - Double Pane - from SP - EH - MH - LI</t>
  </si>
  <si>
    <t>14064 - 2</t>
  </si>
  <si>
    <t>Windows - Double Pane - from SP - EH - SF - LI</t>
  </si>
  <si>
    <t>14059 - 2</t>
  </si>
  <si>
    <t>Windows - Double Pane - from DP - EH - MF - LI</t>
  </si>
  <si>
    <t>14062 - 2</t>
  </si>
  <si>
    <t>Windows - Double Pane - from SP - EH - MF - LI</t>
  </si>
  <si>
    <t>14056 - 2</t>
  </si>
  <si>
    <t>Ventilation - Whole House - MF - LI</t>
  </si>
  <si>
    <t>14057 - 2</t>
  </si>
  <si>
    <t>Ventilation - Whole House - MH - LI</t>
  </si>
  <si>
    <t>14058 - 2</t>
  </si>
  <si>
    <t>Ventilation - Whole House - SF - LI</t>
  </si>
  <si>
    <t>13980 - 2</t>
  </si>
  <si>
    <t>Heat Pump - Ductless - EH - MF - LI</t>
  </si>
  <si>
    <t>Repairs - Year 1</t>
  </si>
  <si>
    <t>Repairs - Year 2</t>
  </si>
  <si>
    <t>13946 - 2</t>
  </si>
  <si>
    <t>Sealing - Air - Prescriptive - GH - MH - LI</t>
  </si>
  <si>
    <t>13947 - 2</t>
  </si>
  <si>
    <t>Sealing - Air - Prescriptive - GH - SF - LI</t>
  </si>
  <si>
    <t>13954 - 2</t>
  </si>
  <si>
    <t>Sealing - Duct - GH - MH - LI</t>
  </si>
  <si>
    <t>13955 - 2</t>
  </si>
  <si>
    <t>Sealing - Duct - GH - SF - LI</t>
  </si>
  <si>
    <t>13958 - 2</t>
  </si>
  <si>
    <t>Sealing - Shell - GH - MH - LI</t>
  </si>
  <si>
    <t>13959 - 2</t>
  </si>
  <si>
    <t>Sealing - Shell - GH - SF - LI</t>
  </si>
  <si>
    <t>13991 - 2</t>
  </si>
  <si>
    <t>Insulation - Attic - R0 to R30 - GH - MH - LI</t>
  </si>
  <si>
    <t>13995 - 2</t>
  </si>
  <si>
    <t>Insulation - Attic - R0 to R38 - GH - SF - LI</t>
  </si>
  <si>
    <t>13999 - 2</t>
  </si>
  <si>
    <t>Insulation - Attic - R0 to R49 - GH - SF - LI</t>
  </si>
  <si>
    <t>14002 - 2</t>
  </si>
  <si>
    <t>Insulation - Attic - R11 to R38 - GH - SF - LI</t>
  </si>
  <si>
    <t>14004 - 2</t>
  </si>
  <si>
    <t>Insulation - Attic - R11 to R49 - GH - SF - LI</t>
  </si>
  <si>
    <t>14015 - 2</t>
  </si>
  <si>
    <t>Insulation - Floor - R0 to R22 - GH - MH - LI</t>
  </si>
  <si>
    <t>14020 - 2</t>
  </si>
  <si>
    <t>Insulation - Floor - R0 to R30 - GH - MH - LI</t>
  </si>
  <si>
    <t>14021 - 2</t>
  </si>
  <si>
    <t>Insulation - Floor - R0 to R30 - GH - SF - LI</t>
  </si>
  <si>
    <t>14029 - 2</t>
  </si>
  <si>
    <t>Insulation - Pipe - Water Heater - GH - SF - LI</t>
  </si>
  <si>
    <t>14036 - 2</t>
  </si>
  <si>
    <t>Insulation - Wall - R0 to R11 - GH - MH - LI</t>
  </si>
  <si>
    <t>14037 - 2</t>
  </si>
  <si>
    <t>Insulation - Wall - R0 to R11 - GH - SF - LI</t>
  </si>
  <si>
    <t>13994 - 2</t>
  </si>
  <si>
    <t>Insulation - Attic - R0 to R38 - GH - MF - LI</t>
  </si>
  <si>
    <t>13998 - 2</t>
  </si>
  <si>
    <t>Insulation - Attic - R0 to R49 - GH - MF - LI</t>
  </si>
  <si>
    <t>14010 - 2</t>
  </si>
  <si>
    <t>Insulation - Duct - R0 to R11 - GH - MF - LI</t>
  </si>
  <si>
    <t>14019 - 2</t>
  </si>
  <si>
    <t>Insulation - Floor - R0 to R30 - GH - MF - LI</t>
  </si>
  <si>
    <t>14027 - 2</t>
  </si>
  <si>
    <t>Insulation - Pipe - Water Heater - GH - MF - LI</t>
  </si>
  <si>
    <t>14035 - 2</t>
  </si>
  <si>
    <t>Insulation - Wall - R0 to R11 - GH - MF - LI</t>
  </si>
  <si>
    <t>13989 - 2</t>
  </si>
  <si>
    <t>Insulation - Attic - R0 to R22 - GH - MH - LI</t>
  </si>
  <si>
    <t>14052 - 2</t>
  </si>
  <si>
    <t>Thermostat - Smart - GH - MF - LI</t>
  </si>
  <si>
    <t>14053 - 2</t>
  </si>
  <si>
    <t>Thermostat - Smart - GH - SF - LI</t>
  </si>
  <si>
    <t>14079 - 2</t>
  </si>
  <si>
    <t>Thermostat - Smart - GH - MH - LI</t>
  </si>
  <si>
    <t>14065 - 2</t>
  </si>
  <si>
    <t>Windows - Double Pane - from SP - GH - SF - LI</t>
  </si>
  <si>
    <t>13960 - 2</t>
  </si>
  <si>
    <t>Furnace - 95pc - GH - MF - LI</t>
  </si>
  <si>
    <t>13961 - 2</t>
  </si>
  <si>
    <t>Furnace - 95pc - GH - SF - LI</t>
  </si>
  <si>
    <t>13987 - 1</t>
  </si>
  <si>
    <t>Boiler - SIR - GH - Res - LI</t>
  </si>
  <si>
    <t>14011 - 2</t>
  </si>
  <si>
    <t>Insulation - Duct - R0 to R11 - GH - SF - LI</t>
  </si>
  <si>
    <t>13325 - 2</t>
  </si>
  <si>
    <t>13327 - 2</t>
  </si>
  <si>
    <t>NEEM 2.0 - Energy Star with NEEM Plus Rated - GH</t>
  </si>
  <si>
    <t>12891 - 3</t>
  </si>
  <si>
    <t xml:space="preserve">Incentive - Sales - NEEM 1.1 </t>
  </si>
  <si>
    <t>12892 - 4</t>
  </si>
  <si>
    <t>13324 - 2</t>
  </si>
  <si>
    <t>13326 - 2</t>
  </si>
  <si>
    <t>11248 - 5</t>
  </si>
  <si>
    <t>MFRFT: Insulation - Attic - R0 to R38 - E</t>
  </si>
  <si>
    <t>11250 - 5</t>
  </si>
  <si>
    <t>11263 - 6</t>
  </si>
  <si>
    <t>11264 - 5</t>
  </si>
  <si>
    <t>11293 - 6</t>
  </si>
  <si>
    <t>12989 - 2</t>
  </si>
  <si>
    <t>12991 - 2</t>
  </si>
  <si>
    <t>New - 1</t>
  </si>
  <si>
    <t>Insulation - Attic - R19 to R49 - EH - MF</t>
  </si>
  <si>
    <t>12649 - 2</t>
  </si>
  <si>
    <t>12650 - 2</t>
  </si>
  <si>
    <t>12657 - 2</t>
  </si>
  <si>
    <t>Windows - Triple Pane - U22 - from DP U60 - EH - MF</t>
  </si>
  <si>
    <t>12658 - 2</t>
  </si>
  <si>
    <t>12997 - 1</t>
  </si>
  <si>
    <t>Windows - Triple Pane - U22 - from DP U30 - EH - MF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</si>
  <si>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</si>
  <si>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</si>
  <si>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</si>
  <si>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</si>
  <si>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11307 - 4</t>
  </si>
  <si>
    <t>MFRFT: Lighting - Common Area - MI</t>
  </si>
  <si>
    <t>13190 - 1</t>
  </si>
  <si>
    <t>Fixture - LED - 30w or less - from T8 59w - MFIU</t>
  </si>
  <si>
    <t>13191 - 1</t>
  </si>
  <si>
    <t>Fixture - LED - 30w or less - from T12 75w - MFIU</t>
  </si>
  <si>
    <t>13180 - 1</t>
  </si>
  <si>
    <t>Lamp - TLED - 4 ft - 1x - w Ext Driver - from 4 ft T12 37w 1x - MFIU</t>
  </si>
  <si>
    <t>13181 - 1</t>
  </si>
  <si>
    <t>Lamp - TLED - 4 ft - 1x - w Ext Driver - from 4 ft T8 31w 1x - MFIU</t>
  </si>
  <si>
    <t>13182 - 1</t>
  </si>
  <si>
    <t>Lamp - TLED - 4 ft - 2x - w Ext Driver - from 4 ft T12 75w 2x - MFIU</t>
  </si>
  <si>
    <t>13183 - 1</t>
  </si>
  <si>
    <t>Lamp - TLED - 4 ft - 2x - w Ext Driver - from 4 ft T8 59w 2x - MFIU</t>
  </si>
  <si>
    <t>13184 - 1</t>
  </si>
  <si>
    <t>Lamp - TLED - 4 ft - 3x - w Ext Driver - from 4 ft T12 112w 3x - MFIU</t>
  </si>
  <si>
    <t>13185 - 1</t>
  </si>
  <si>
    <t>Lamp - TLED - 4 ft - 3x - w Ext Driver - from 4 ft T8 90w 3x - MFIU</t>
  </si>
  <si>
    <t>13186 - 1</t>
  </si>
  <si>
    <t>Lamp - TLED - 4 ft - 4x - w Ext Driver - from 4 ft T12 150w 4x - MFIU</t>
  </si>
  <si>
    <t>13187 - 1</t>
  </si>
  <si>
    <t>Lamp - TLED - 4 ft - 4x - w Ext Driver - from 4 ft T8 114w 4x - MFIU</t>
  </si>
  <si>
    <t>12801 - 2</t>
  </si>
  <si>
    <t>12802 - 2</t>
  </si>
  <si>
    <t>11969 - 4</t>
  </si>
  <si>
    <t>12733 - 2</t>
  </si>
  <si>
    <t>Thermostat - ELV - Smart - Zonal - MF</t>
  </si>
  <si>
    <t>12735 - 1</t>
  </si>
  <si>
    <t>Thermostat - ELV - Smart - Zonal and DHP - MF</t>
  </si>
  <si>
    <t>12736 - 2</t>
  </si>
  <si>
    <t>12737 - 2</t>
  </si>
  <si>
    <t>12974 - 1</t>
  </si>
  <si>
    <t>Thermostat - ELV - Smart - Zonal - MF - LTO</t>
  </si>
  <si>
    <t>13020 - 1</t>
  </si>
  <si>
    <t>Thermostat - Smart - EH - Res - LTO</t>
  </si>
  <si>
    <t>11302 - 6</t>
  </si>
  <si>
    <t>12291 - 2</t>
  </si>
  <si>
    <t>MFRFT: HVAC - Central - Upgrade</t>
  </si>
  <si>
    <t>12984 - 1</t>
  </si>
  <si>
    <t>12983 - 1</t>
  </si>
  <si>
    <t>11309 - 3</t>
  </si>
  <si>
    <t>MFRFT: Ventilator - Heat Recovery</t>
  </si>
  <si>
    <t>12603 - 2</t>
  </si>
  <si>
    <t>12604 - 2</t>
  </si>
  <si>
    <t>12682 - 2</t>
  </si>
  <si>
    <t>12687 - 3</t>
  </si>
  <si>
    <t>Water Heater - Storage - Energy Star - 0.67 EF - GH - MF</t>
  </si>
  <si>
    <t>12685 - 3</t>
  </si>
  <si>
    <t>Water Heater - Storage - Energy Star - 0.67 EF - GH - Res - MI</t>
  </si>
  <si>
    <t>12618 - 2</t>
  </si>
  <si>
    <t>Clothes Washer - non GWH - E Dryer - MFCA</t>
  </si>
  <si>
    <t>12619 - 2</t>
  </si>
  <si>
    <t>Clothes Washer - EWH - non G Dryer - MFCA</t>
  </si>
  <si>
    <t>12620 - 2</t>
  </si>
  <si>
    <t>Clothes Washer - EWH - E Dryer - MFCA</t>
  </si>
  <si>
    <t>12621 - 2</t>
  </si>
  <si>
    <t>Clothes Washer - EWH - G Dryer - MFCA</t>
  </si>
  <si>
    <t>12624 - 2</t>
  </si>
  <si>
    <t>Clothes Washer - GWH - E Dryer - MFCA</t>
  </si>
  <si>
    <t>12962 - 1</t>
  </si>
  <si>
    <t>12963 - 1</t>
  </si>
  <si>
    <t>12993 - 1</t>
  </si>
  <si>
    <t>12994 - 1</t>
  </si>
  <si>
    <t>12995 - 1</t>
  </si>
  <si>
    <t>12996 - 1</t>
  </si>
  <si>
    <t>12595 - 1</t>
  </si>
  <si>
    <t>12596 - 1</t>
  </si>
  <si>
    <t>12601 - 2</t>
  </si>
  <si>
    <t>12602 - 2</t>
  </si>
  <si>
    <t>13067 - 1</t>
  </si>
  <si>
    <t>Clothes Dryer - Vented - Energy Star - EH - Res - LTO</t>
  </si>
  <si>
    <t>13069 - 1</t>
  </si>
  <si>
    <t>Clothes Dryer - Ventless - Energy Star - EH - Res - LTO</t>
  </si>
  <si>
    <t>12066 - 3</t>
  </si>
  <si>
    <t>12692 - 2</t>
  </si>
  <si>
    <t>12530 - 2</t>
  </si>
  <si>
    <t>12071 - 1</t>
  </si>
  <si>
    <t>MFRFT: Strategic Energy Management</t>
  </si>
  <si>
    <t>Incentive - Sales - Property Owner - E Wx - MF</t>
  </si>
  <si>
    <t>11248 - 6</t>
  </si>
  <si>
    <t>11263 - 7</t>
  </si>
  <si>
    <t>11293 - 7</t>
  </si>
  <si>
    <t>12989 - 3</t>
  </si>
  <si>
    <t>12649 - 3</t>
  </si>
  <si>
    <t>12650 - 3</t>
  </si>
  <si>
    <t>12657 - 3</t>
  </si>
  <si>
    <t>12658 - 3</t>
  </si>
  <si>
    <t>12997 - 2</t>
  </si>
  <si>
    <t>13234 - 2</t>
  </si>
  <si>
    <t>13244 - 2</t>
  </si>
  <si>
    <t>13256 - 2</t>
  </si>
  <si>
    <t>13258 - 2</t>
  </si>
  <si>
    <t>13254 - 2</t>
  </si>
  <si>
    <t>12603 - 3</t>
  </si>
  <si>
    <t>12604 - 3</t>
  </si>
  <si>
    <t>12071 - 2</t>
  </si>
  <si>
    <t>Air Sealing - Door Kit - EH - MF</t>
  </si>
  <si>
    <t>Heat Pump - Package Terminal - MF</t>
  </si>
  <si>
    <t>Heat Pump - Ductless - from Zonal - 9.0 or greater HSPF - MF - MI</t>
  </si>
  <si>
    <t>12530 - 3</t>
  </si>
  <si>
    <t>11302 - 7</t>
  </si>
  <si>
    <t>12291 - 3</t>
  </si>
  <si>
    <t>13264 - 2</t>
  </si>
  <si>
    <t>13265 - 2</t>
  </si>
  <si>
    <t>Thermostat - ELV - Any</t>
  </si>
  <si>
    <t>12733 - 4</t>
  </si>
  <si>
    <t>12734 - 3</t>
  </si>
  <si>
    <t>12735 - 2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</si>
  <si>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</si>
  <si>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</si>
  <si>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</si>
  <si>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</si>
  <si>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11247 - 5</t>
  </si>
  <si>
    <t>MFRFT: Insulation - Attic - R0 to R38 - NG</t>
  </si>
  <si>
    <t>11249 - 5</t>
  </si>
  <si>
    <t>11262 - 5</t>
  </si>
  <si>
    <t>MFRFT: Insulation - Floor - R0 to R30 - NG</t>
  </si>
  <si>
    <t>11292 - 6</t>
  </si>
  <si>
    <t>12642 - 3</t>
  </si>
  <si>
    <t>Insulation - Floor - R11 to R30 - GH - MF</t>
  </si>
  <si>
    <t>12990 - 2</t>
  </si>
  <si>
    <t>12992 - 2</t>
  </si>
  <si>
    <t>Insulation - Attic - R11 to R49 - GH - MF</t>
  </si>
  <si>
    <t>Insulation - Attic - R19 to R49 - GH - MF</t>
  </si>
  <si>
    <t>12651 - 2</t>
  </si>
  <si>
    <t>12659 - 2</t>
  </si>
  <si>
    <t>Windows - Triple Pane - U22 - from SP U120 - GH - MF</t>
  </si>
  <si>
    <t>12906 - 2</t>
  </si>
  <si>
    <t>Windows - Double Pane - from U60 to U30 - GH - MF</t>
  </si>
  <si>
    <t>12907 - 2</t>
  </si>
  <si>
    <t>Windows - Triple Pane - U22 - from DP U60 - GH - MF</t>
  </si>
  <si>
    <t>12998 - 1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</si>
  <si>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</si>
  <si>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</si>
  <si>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</si>
  <si>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</si>
  <si>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</si>
  <si>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</si>
  <si>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12738 - 2</t>
  </si>
  <si>
    <t>12739 - 2</t>
  </si>
  <si>
    <t>13021 - 1</t>
  </si>
  <si>
    <t>Thermostat - Smart - GH - Res - LTO</t>
  </si>
  <si>
    <t>11306 - 3</t>
  </si>
  <si>
    <t>11303 - 4</t>
  </si>
  <si>
    <t>12680 - 2</t>
  </si>
  <si>
    <t>12681 - 2</t>
  </si>
  <si>
    <t>Boiler - Energy Star - 95pc AFUE - GH - Res - MI</t>
  </si>
  <si>
    <t>12622 - 2</t>
  </si>
  <si>
    <t>Clothes Washer - non EWH - G Dryer - MFCA</t>
  </si>
  <si>
    <t>12623 - 2</t>
  </si>
  <si>
    <t>Clothes Washer - GWH - non E Dryer - MFCA</t>
  </si>
  <si>
    <t>12625 - 2</t>
  </si>
  <si>
    <t>Clothes Washer - GWH - G Dryer - MFCA</t>
  </si>
  <si>
    <t>12693 - 2</t>
  </si>
  <si>
    <t>12669 - 2</t>
  </si>
  <si>
    <t>12670 - 2</t>
  </si>
  <si>
    <t>12660 - 2</t>
  </si>
  <si>
    <t>Incentive - Sales - Property Owner - G Wx - MF</t>
  </si>
  <si>
    <t>MFRFT: Air Sealing - G</t>
  </si>
  <si>
    <t>Air Sealing - Door Kit - GH - MF</t>
  </si>
  <si>
    <t>11247 - 6</t>
  </si>
  <si>
    <t>11262 - 6</t>
  </si>
  <si>
    <t>11292 - 7</t>
  </si>
  <si>
    <t>12990 - 3</t>
  </si>
  <si>
    <t>13261 - 2</t>
  </si>
  <si>
    <t>12651 - 3</t>
  </si>
  <si>
    <t>12659 - 3</t>
  </si>
  <si>
    <t>12906 - 3</t>
  </si>
  <si>
    <t>12907 - 3</t>
  </si>
  <si>
    <t>12998 - 2</t>
  </si>
  <si>
    <t>13245 - 2</t>
  </si>
  <si>
    <t>13259 - 2</t>
  </si>
  <si>
    <t>13235 - 2</t>
  </si>
  <si>
    <t>13257 - 2</t>
  </si>
  <si>
    <t>13255 - 2</t>
  </si>
  <si>
    <t>12687 - 4</t>
  </si>
  <si>
    <t>13288 - 2</t>
  </si>
  <si>
    <t>13285 - 2</t>
  </si>
  <si>
    <t>12685 - 4</t>
  </si>
  <si>
    <t>12738 - 3</t>
  </si>
  <si>
    <t>12739 - 3</t>
  </si>
  <si>
    <t>13021 - 2</t>
  </si>
  <si>
    <t>Place Holder for  "Water Heat Loop – Control – GH - MF"</t>
  </si>
  <si>
    <t xml:space="preserve">x - </t>
  </si>
  <si>
    <t>2024 RETL Savings Roll Up</t>
  </si>
  <si>
    <t>13879 - 1</t>
  </si>
  <si>
    <t>Sealing - Duct - Advanced - E FAF - SF or DX</t>
  </si>
  <si>
    <t>13880 - 1</t>
  </si>
  <si>
    <t>Sealing - Duct - Advanced - GH - SF or DX</t>
  </si>
  <si>
    <t>13881 - 1</t>
  </si>
  <si>
    <t>Sealing - Duct - Advanced - HP - SF or DX</t>
  </si>
  <si>
    <t>12321 - 5</t>
  </si>
  <si>
    <t>12322 - 4</t>
  </si>
  <si>
    <t>12326 - 4</t>
  </si>
  <si>
    <t>12547 - 6</t>
  </si>
  <si>
    <t>12764 - 4</t>
  </si>
  <si>
    <t>12766 - 4</t>
  </si>
  <si>
    <t>12767 - 4</t>
  </si>
  <si>
    <t>12768 - 4</t>
  </si>
  <si>
    <t>12769 - 4</t>
  </si>
  <si>
    <t>13225 - 2</t>
  </si>
  <si>
    <t>13226 - 2</t>
  </si>
  <si>
    <t>13227 - 2</t>
  </si>
  <si>
    <t>13806 - 1</t>
  </si>
  <si>
    <t>Heat Pump - Ductless - from E FAF - HZ1 - MH - LTO</t>
  </si>
  <si>
    <t>13807 - 1</t>
  </si>
  <si>
    <t>Heat Pump - Ductless - from E FAF - HZ1 - SF or DX - LTO</t>
  </si>
  <si>
    <t>13808 - 1</t>
  </si>
  <si>
    <t>Heat Pump - Ductless - from E FAF - HZ1 - SF or DX - MI - LTO</t>
  </si>
  <si>
    <t>13812 - 1</t>
  </si>
  <si>
    <t>Heat Pump - Ductless - from Zonal - 9.0 or greater HSPF - HZ1CZ1 - MH - LTO</t>
  </si>
  <si>
    <t>13813 - 1</t>
  </si>
  <si>
    <t>Heat Pump - Ductless - from Zonal - 9.0 or greater HSPF - HZ1CZ1 - SF or DX - LTO</t>
  </si>
  <si>
    <t>13814 - 1</t>
  </si>
  <si>
    <t>Heat Pump - Ductless - from Zonal - 9.0 or greater HSPF - HZ1CZ1 - SF or DX - MI - LTO</t>
  </si>
  <si>
    <t>13824 - 1</t>
  </si>
  <si>
    <t>Heat Pump - from E FAF - MH - LTO</t>
  </si>
  <si>
    <t>13825 - 1</t>
  </si>
  <si>
    <t>Heat Pump - from E FAF - SF or DX - LTO</t>
  </si>
  <si>
    <t>13826 - 1</t>
  </si>
  <si>
    <t>Heat Pump - from E FAF - SF or DX - MI - LTO</t>
  </si>
  <si>
    <t>13837 - 1</t>
  </si>
  <si>
    <t>Heat Pump - with AC - from E FAF - MH - LTO</t>
  </si>
  <si>
    <t>13838 - 1</t>
  </si>
  <si>
    <t>Heat Pump - with AC - from E FAF - SF or DX - LTO</t>
  </si>
  <si>
    <t>13839 - 1</t>
  </si>
  <si>
    <t>Heat Pump - with AC - from E FAF - SF or DX - MI - LTO</t>
  </si>
  <si>
    <t>13924 - 1</t>
  </si>
  <si>
    <t>Heat Pump - Air Source - Hybrid System - SF or MH or DX</t>
  </si>
  <si>
    <t>13660 - 2</t>
  </si>
  <si>
    <t>Heat Pump - Ductless - from Zonal - 9.0 or greater HSPF - HZ1CZ1 - MH - TDSM - Bainbridge</t>
  </si>
  <si>
    <t>13661 - 2</t>
  </si>
  <si>
    <t>Heat Pump - Ductless - from Zonal - 9.0 or greater HSPF - HZ1CZ1 - SF or DX - TDSM - Bainbridge</t>
  </si>
  <si>
    <t>13662 - 2</t>
  </si>
  <si>
    <t>Heat Pump - from E FAF - SF or DX - TDSM - Bainbridge</t>
  </si>
  <si>
    <t>13663 - 2</t>
  </si>
  <si>
    <t>Heat Pump - from E FAF - MH - TDSM - Bainbridge</t>
  </si>
  <si>
    <t>13664 - 2</t>
  </si>
  <si>
    <t>Heat Pump - with AC - from E FAF - MH - TDSM - Bainbridge</t>
  </si>
  <si>
    <t>13665 - 2</t>
  </si>
  <si>
    <t>Heat Pump - with AC - from E FAF - SF or DX - TDSM - Bainbridge</t>
  </si>
  <si>
    <t>13666 - 2</t>
  </si>
  <si>
    <t>Heat Pump - Ductless - from E FAF - HZ1 - MH - TDSM - Bainbridge</t>
  </si>
  <si>
    <t>13667 - 2</t>
  </si>
  <si>
    <t>Heat Pump - Ductless - from E FAF - HZ1 - SF or DX - TDSM - Bainbridge</t>
  </si>
  <si>
    <t>12736 - 5</t>
  </si>
  <si>
    <t>12737 - 5</t>
  </si>
  <si>
    <t>13266 - 3</t>
  </si>
  <si>
    <t>Thermostat - Smart - EH - Res - LTO - a</t>
  </si>
  <si>
    <t>13267 - 4</t>
  </si>
  <si>
    <t>Thermostat - Smart - EH - Res - LTO - b</t>
  </si>
  <si>
    <t>12972 - 3</t>
  </si>
  <si>
    <t>13263 - 2</t>
  </si>
  <si>
    <t>Thermostat - ELV - Smart - SF or MH or DX - MI</t>
  </si>
  <si>
    <t>13841 - 1</t>
  </si>
  <si>
    <t>Thermostat - ELV - Smart - SF or MH or DX - LTO - Mysa</t>
  </si>
  <si>
    <t>13842 - 1</t>
  </si>
  <si>
    <t>Thermostat - ELV - Smart - SF or MH or DX - LTO - Sinope</t>
  </si>
  <si>
    <t>12669 - 3</t>
  </si>
  <si>
    <t>12670 - 3</t>
  </si>
  <si>
    <t>13223 - 2</t>
  </si>
  <si>
    <t>13655 - 2</t>
  </si>
  <si>
    <t>Furnace - 95pc - GH - Res - TDSM - Duvall</t>
  </si>
  <si>
    <t>13921 - 1</t>
  </si>
  <si>
    <t>Furnace - Hybrid System - GH - SF or DX</t>
  </si>
  <si>
    <t>12738 - 4</t>
  </si>
  <si>
    <t>12739 - 4</t>
  </si>
  <si>
    <t>13274 - 3</t>
  </si>
  <si>
    <t>Thermostat - Smart - GH - Res - LTO - a</t>
  </si>
  <si>
    <t>13275 - 4</t>
  </si>
  <si>
    <t>Thermostat - Smart - GH - Res - LTO - b</t>
  </si>
  <si>
    <t>12965 - 3</t>
  </si>
  <si>
    <t>12683 - 3</t>
  </si>
  <si>
    <t>12548 - 4</t>
  </si>
  <si>
    <t>Heat Pump Water Heater - Tier 3 - NEEA Specs - MH</t>
  </si>
  <si>
    <t>13628 - 1</t>
  </si>
  <si>
    <t>Water Heater - Heat Pump - NEEA Specs - Tier 3 - EH - Res - TDSM - Bainbridge</t>
  </si>
  <si>
    <t>13290 - 1</t>
  </si>
  <si>
    <t>13289 - 1</t>
  </si>
  <si>
    <t>12687 - 1</t>
  </si>
  <si>
    <t>14067 - 1</t>
  </si>
  <si>
    <t>Water Heater - Tankless - Energy Star - 0.9 EF - GH - SF or DX - LTO</t>
  </si>
  <si>
    <t>Water Heater - Heat Pump - NEEA Specs - Tier 3 - RP - Any - Res - E or B - Downstream</t>
  </si>
  <si>
    <t>Water Heater - Heat Pump - NEEA Specs - Tier 4 - RP - Any - Res - E or B - Downstream</t>
  </si>
  <si>
    <t>Water Heater - Heat Pump - NEEA Specs - Tier 4 - RP - Any - Res - E or B</t>
  </si>
  <si>
    <t>Water Heater - Heat Pump - NEEA Specs - Tier 4 - EH - Res - MI</t>
  </si>
  <si>
    <t>Heat Pump Water Heater - Tier 4 - NEEA Specs - MH</t>
  </si>
  <si>
    <t>12699 - 4</t>
  </si>
  <si>
    <t>12701 - 2</t>
  </si>
  <si>
    <t>12702 - 2</t>
  </si>
  <si>
    <t>12705 - 2</t>
  </si>
  <si>
    <t>12706 - 2</t>
  </si>
  <si>
    <t>12713 - 3</t>
  </si>
  <si>
    <t>Sealing - Duct - E FAF - SF or DX - MI</t>
  </si>
  <si>
    <t>12714 - 3</t>
  </si>
  <si>
    <t>12716 - 4</t>
  </si>
  <si>
    <t>Sealing - Duct - GH - SF or DX - MI</t>
  </si>
  <si>
    <t>12717 - 3</t>
  </si>
  <si>
    <t>Sealing - Duct - HP - SF or DX - MI</t>
  </si>
  <si>
    <t>13874 - 1</t>
  </si>
  <si>
    <t>Duct Sealing and Insulation - EH - SF or DX</t>
  </si>
  <si>
    <t>13882 - 2</t>
  </si>
  <si>
    <t>Sealing - Duct - E FAF - SF or DX</t>
  </si>
  <si>
    <t>13883 - 2</t>
  </si>
  <si>
    <t>Sealing - Duct - GH - SF or DX</t>
  </si>
  <si>
    <t>13884 - 2</t>
  </si>
  <si>
    <t>Sealing - Duct - HP - SF or DX</t>
  </si>
  <si>
    <t>12549 - 5</t>
  </si>
  <si>
    <t>12550 - 5</t>
  </si>
  <si>
    <t>12551 - 6</t>
  </si>
  <si>
    <t>Insulation - Attic - R0 to R22 - NG - MH - Pre HUD</t>
  </si>
  <si>
    <t>12552 - 5</t>
  </si>
  <si>
    <t>Insulation - Attic - R0 to R30 - ER - MH - HUD</t>
  </si>
  <si>
    <t>12553 - 5</t>
  </si>
  <si>
    <t>Insulation - Attic - R0 to R30 - HP - MH - HUD</t>
  </si>
  <si>
    <t>12554 - 6</t>
  </si>
  <si>
    <t>Insulation - Attic - R0 to R30 - NG - MH - HUD</t>
  </si>
  <si>
    <t>12630 - 5</t>
  </si>
  <si>
    <t>Insulation - Attic - R0 to R49 - E FAF - SF or DX - MI</t>
  </si>
  <si>
    <t>12631 - 5</t>
  </si>
  <si>
    <t>12632 - 5</t>
  </si>
  <si>
    <t>Insulation - Attic - R0 to R49 - HP - SF or DX - MI</t>
  </si>
  <si>
    <t>12633 - 5</t>
  </si>
  <si>
    <t>Insulation - Attic - R0 to R49 - Zonal - SF or DX - MI</t>
  </si>
  <si>
    <t>12634 - 5</t>
  </si>
  <si>
    <t>12635 - 5</t>
  </si>
  <si>
    <t>12636 - 5</t>
  </si>
  <si>
    <t>Insulation - Attic - R11 to R49 - HP - SF or DX - MI</t>
  </si>
  <si>
    <t>12637 - 5</t>
  </si>
  <si>
    <t>12638 - 5</t>
  </si>
  <si>
    <t>12639 - 5</t>
  </si>
  <si>
    <t>12640 - 5</t>
  </si>
  <si>
    <t>12641 - 5</t>
  </si>
  <si>
    <t>12643 - 5</t>
  </si>
  <si>
    <t>12644 - 5</t>
  </si>
  <si>
    <t>12645 - 5</t>
  </si>
  <si>
    <t>Insulation - Wall - R0 to R13 - Zonal - SF or DX - MI</t>
  </si>
  <si>
    <t>12646 - 5</t>
  </si>
  <si>
    <t>Insulation - Wall - R0 to R13 - HP - SF or DX - MI</t>
  </si>
  <si>
    <t>13887 - 2</t>
  </si>
  <si>
    <t>Insulation - Attic - R0 to R49 - E FAF - SF or DX</t>
  </si>
  <si>
    <t>13888 - 2</t>
  </si>
  <si>
    <t>Insulation - Attic - R0 to R49 - GH - SF or DX</t>
  </si>
  <si>
    <t>13889 - 2</t>
  </si>
  <si>
    <t>Insulation - Attic - R0 to R49 - HP - SF or DX</t>
  </si>
  <si>
    <t>13890 - 2</t>
  </si>
  <si>
    <t>Insulation - Attic - R0 to R49 - Zonal - SF or DX</t>
  </si>
  <si>
    <t>13893 - 2</t>
  </si>
  <si>
    <t>Insulation - Attic - R11 to R49 - E FAF - SF or DX</t>
  </si>
  <si>
    <t>13894 - 2</t>
  </si>
  <si>
    <t>Insulation - Attic - R11 to R49 - GH - SF or DX</t>
  </si>
  <si>
    <t>13895 - 2</t>
  </si>
  <si>
    <t>Insulation - Attic - R11 to R49 - HP - SF or DX</t>
  </si>
  <si>
    <t>13896 - 2</t>
  </si>
  <si>
    <t>Insulation - Attic - R11 to R49 - Zonal - SF or DX</t>
  </si>
  <si>
    <t>13897 - 2</t>
  </si>
  <si>
    <t>Insulation - Floor - R0 to R22 - GH - MH</t>
  </si>
  <si>
    <t>13898 - 2</t>
  </si>
  <si>
    <t>Insulation - Floor - R0 to R22 - HP - MH</t>
  </si>
  <si>
    <t>13899 - 2</t>
  </si>
  <si>
    <t>Insulation - Floor - R0 to R22 - Zonal - MH</t>
  </si>
  <si>
    <t>13900 - 2</t>
  </si>
  <si>
    <t>Insulation - Floor - R0 to R30 - E FAF - SF or DX</t>
  </si>
  <si>
    <t>13903 - 2</t>
  </si>
  <si>
    <t>Insulation - Floor - R0 to R30 - GH - SF or DX</t>
  </si>
  <si>
    <t>13904 - 2</t>
  </si>
  <si>
    <t>Insulation - Floor - R0 to R30 - HP - SF or DX</t>
  </si>
  <si>
    <t>13905 - 2</t>
  </si>
  <si>
    <t>Insulation - Floor - R0 to R30 - Zonal - SF or DX</t>
  </si>
  <si>
    <t>13909 - 2</t>
  </si>
  <si>
    <t>Insulation - Wall - R0 to R13 - E FAF - SF or DX</t>
  </si>
  <si>
    <t>13910 - 2</t>
  </si>
  <si>
    <t>Insulation - Wall - R0 to R13 - GH - SF or DX</t>
  </si>
  <si>
    <t>13911 - 2</t>
  </si>
  <si>
    <t>Insulation - Wall - R0 to R13 - HP - SF or DX</t>
  </si>
  <si>
    <t>13912 - 2</t>
  </si>
  <si>
    <t>Insulation - Wall - R0 to R13 - Zonal - SF or DX</t>
  </si>
  <si>
    <t>12555 - 4</t>
  </si>
  <si>
    <t>12556 - 4</t>
  </si>
  <si>
    <t>12557 - 5</t>
  </si>
  <si>
    <t>12652 - 4</t>
  </si>
  <si>
    <t>Windows - Single Pane - to U30 - E FAF - SF or DX - MI</t>
  </si>
  <si>
    <t>12653 - 4</t>
  </si>
  <si>
    <t>12654 - 4</t>
  </si>
  <si>
    <t>12655 - 4</t>
  </si>
  <si>
    <t>Windows - Single Pane - to U30 - HP - SF or DX - MI</t>
  </si>
  <si>
    <t>12656 - 4</t>
  </si>
  <si>
    <t>13236 - 3</t>
  </si>
  <si>
    <t>13237 - 3</t>
  </si>
  <si>
    <t>Windows - Double Pane - Metal Frame - to U22 - E FAF - SF or DX - MI</t>
  </si>
  <si>
    <t>13238 - 3</t>
  </si>
  <si>
    <t>13239 - 3</t>
  </si>
  <si>
    <t>Windows - Double Pane - Metal Frame - to U22 - GH - SF or DX - MI</t>
  </si>
  <si>
    <t>13240 - 3</t>
  </si>
  <si>
    <t>13241 - 3</t>
  </si>
  <si>
    <t>Windows - Double Pane - Metal Frame - to U22 - HP - SF or DX - MI</t>
  </si>
  <si>
    <t>13242 - 3</t>
  </si>
  <si>
    <t>13243 - 3</t>
  </si>
  <si>
    <t>Windows - Double Pane - Metal Frame - to U22 - Zonal - SF or DX - MI</t>
  </si>
  <si>
    <t>13246 - 3</t>
  </si>
  <si>
    <t>13247 - 3</t>
  </si>
  <si>
    <t>Windows - Single Pane - to U22 - E FAF - SF or DX - MI</t>
  </si>
  <si>
    <t>13248 - 3</t>
  </si>
  <si>
    <t>13249 - 3</t>
  </si>
  <si>
    <t>Windows - Single Pane - to U22 - GH - SF or DX - MI</t>
  </si>
  <si>
    <t>13250 - 3</t>
  </si>
  <si>
    <t>13251 - 3</t>
  </si>
  <si>
    <t>Windows - Single Pane - to U22 - HP - SF or DX - MI</t>
  </si>
  <si>
    <t>13252 - 3</t>
  </si>
  <si>
    <t>13253 - 3</t>
  </si>
  <si>
    <t>13767 - 2</t>
  </si>
  <si>
    <t>Windows - Single Pane - to U30 - E FAF - SF or DX</t>
  </si>
  <si>
    <t>13768 - 2</t>
  </si>
  <si>
    <t>Windows - Single Pane - to U30 - ER - MH</t>
  </si>
  <si>
    <t>13769 - 2</t>
  </si>
  <si>
    <t>Windows - Single Pane - to U30 - GH - MH</t>
  </si>
  <si>
    <t>13770 - 2</t>
  </si>
  <si>
    <t>Windows - Single Pane - to U30 - GH - SF or DX</t>
  </si>
  <si>
    <t>13771 - 2</t>
  </si>
  <si>
    <t>Windows - Single Pane - to U30 - HP - SF or DX</t>
  </si>
  <si>
    <t>13772 - 2</t>
  </si>
  <si>
    <t>Windows - Single Pane - to U30 - Zonal - SF or DX</t>
  </si>
  <si>
    <t>12562 - 4</t>
  </si>
  <si>
    <t>12564 - 4</t>
  </si>
  <si>
    <t>12700 - 4</t>
  </si>
  <si>
    <t>12703 - 2</t>
  </si>
  <si>
    <t>12704 - 2</t>
  </si>
  <si>
    <t>12707 - 2</t>
  </si>
  <si>
    <t>12708 - 2</t>
  </si>
  <si>
    <t>12715 - 3</t>
  </si>
  <si>
    <t>13875 - 2</t>
  </si>
  <si>
    <t>Duct Sealing and Insulation - GH - SF or DX</t>
  </si>
  <si>
    <t>12563 - 4</t>
  </si>
  <si>
    <t>12565 - 4</t>
  </si>
  <si>
    <t>13917 - 1</t>
  </si>
  <si>
    <t>Detector - Carbon Monoxide - Res</t>
  </si>
  <si>
    <t>11315 - 5</t>
  </si>
  <si>
    <t>SBDI: Aerator - EWH - All Others</t>
  </si>
  <si>
    <t>11317 - 4</t>
  </si>
  <si>
    <t>SBDI: Aerator - EWH - Small Office</t>
  </si>
  <si>
    <t>11319 - 5</t>
  </si>
  <si>
    <t>SBDI: Aerator - EWH - Restaurant</t>
  </si>
  <si>
    <t>11321 - 5</t>
  </si>
  <si>
    <t>SBDI: Aerator - EWH - Retail</t>
  </si>
  <si>
    <t>11323 - 3</t>
  </si>
  <si>
    <t>SBDI: Aerator - EWH - School</t>
  </si>
  <si>
    <t>11986 - 3</t>
  </si>
  <si>
    <t>SBDI: Aerator - EWH - Commercial Kitchen - 1.0 gpm</t>
  </si>
  <si>
    <t>12119 - 3</t>
  </si>
  <si>
    <t>SBDI: Aerator - EWH - Lodging Guest Rooms - 0.5 gpm</t>
  </si>
  <si>
    <t>12120 - 3</t>
  </si>
  <si>
    <t>SBDI: Aerator - EWH - Lodging Guest Rooms - 1.0 gpm</t>
  </si>
  <si>
    <t xml:space="preserve">12959 - </t>
  </si>
  <si>
    <t>11207 - 3</t>
  </si>
  <si>
    <t>SBDI: Sealing - Strip Curtain - Cooler - Grocery</t>
  </si>
  <si>
    <t>11209 - 3</t>
  </si>
  <si>
    <t>SBDI: Sealing - Strip Curtain - Freezer - Grocery</t>
  </si>
  <si>
    <t>11210 - 3</t>
  </si>
  <si>
    <t>SBDI: Sealing - Strip Curtain - Freezer - Restaurant</t>
  </si>
  <si>
    <t>10952 - 4</t>
  </si>
  <si>
    <t>SBDI: Controls - ASH - Compressor - Low Temp</t>
  </si>
  <si>
    <t>10953 - 4</t>
  </si>
  <si>
    <t>11219 - 6</t>
  </si>
  <si>
    <t>SBDI: Sprayhead - EWH - 0.65 gpm - from 1.6</t>
  </si>
  <si>
    <t>11220 - 5</t>
  </si>
  <si>
    <t>SBDI: Sprayhead - EWH - 0.65 gpm - from 2.2</t>
  </si>
  <si>
    <t>11221 - 5</t>
  </si>
  <si>
    <t>11222 - 5</t>
  </si>
  <si>
    <t>11224 - 3</t>
  </si>
  <si>
    <t>SBDI: Sprayhead - GWH - 0.65 gpm - from 1.6 - EIE</t>
  </si>
  <si>
    <t>11226 - 3</t>
  </si>
  <si>
    <t>11228 - 3</t>
  </si>
  <si>
    <t>11230 - 3</t>
  </si>
  <si>
    <t>SBDI: Sprayhead - GWH - 0.65 gpm - not PI - EIE</t>
  </si>
  <si>
    <t>13022 - 2</t>
  </si>
  <si>
    <t>SBDI Planning Measure 2023</t>
  </si>
  <si>
    <t>SBDI Planning Measure 2024</t>
  </si>
  <si>
    <t>11106 - 7</t>
  </si>
  <si>
    <t>11107 - 8</t>
  </si>
  <si>
    <t>11108 - 8</t>
  </si>
  <si>
    <t>11114 - 9</t>
  </si>
  <si>
    <t>11115 - 9</t>
  </si>
  <si>
    <t>11121 - 8</t>
  </si>
  <si>
    <t>11127 - 8</t>
  </si>
  <si>
    <t>11128 - 8</t>
  </si>
  <si>
    <t>11129 - 8</t>
  </si>
  <si>
    <t>12106 - 7</t>
  </si>
  <si>
    <t>12107 - 7</t>
  </si>
  <si>
    <t>12108 - 8</t>
  </si>
  <si>
    <t>12109 - 8</t>
  </si>
  <si>
    <t>12110 - 6</t>
  </si>
  <si>
    <t>12111 - 7</t>
  </si>
  <si>
    <t>12113 - 6</t>
  </si>
  <si>
    <t>12114 - 7</t>
  </si>
  <si>
    <t>12140 - 2</t>
  </si>
  <si>
    <t>SBDI: Lamp - TLED - 3 ft - 1x - from 3 ft T12 1x - LCA</t>
  </si>
  <si>
    <t>12141 - 2</t>
  </si>
  <si>
    <t>SBDI: Lamp - TLED - 3 ft - 1x - from 3 ft 1x T8 25w - LCA</t>
  </si>
  <si>
    <t>12142 - 2</t>
  </si>
  <si>
    <t>12143 - 3</t>
  </si>
  <si>
    <t>12144 - 3</t>
  </si>
  <si>
    <t>12145 - 2</t>
  </si>
  <si>
    <t>SBDI: Lamp - TLED - 4 ft - 3x from 4 ft T12 3x - LCA</t>
  </si>
  <si>
    <t>12146 - 2</t>
  </si>
  <si>
    <t>SBDI: Lamp - TLED - 4 ft - 3x - from 4 ft T12 HO 3x - LCA</t>
  </si>
  <si>
    <t>12149 - 2</t>
  </si>
  <si>
    <t>12150 - 2</t>
  </si>
  <si>
    <t>SBDI: Lamp - TLED - 4 ft - 4x - from 4 ft T12 HO 4x - LCA</t>
  </si>
  <si>
    <t>12155 - 2</t>
  </si>
  <si>
    <t>SBDI: Lamp - TLED - 4 ft - 1x - from 4ft T8 32w LLO 1x - LCA</t>
  </si>
  <si>
    <t>12156 - 2</t>
  </si>
  <si>
    <t>12157 - 2</t>
  </si>
  <si>
    <t>SBDI: Lamp - TLED - 4 ft - 1x - from 4ft T8 32w HLO 1x - LCA</t>
  </si>
  <si>
    <t>12158 - 2</t>
  </si>
  <si>
    <t>SBDI: Lamp - TLED - 4 ft - 1x - from 4 ft T8 28w LLO 1x - LCA</t>
  </si>
  <si>
    <t>12159 - 2</t>
  </si>
  <si>
    <t>SBDI: Lamp - TLED - 4 ft - 1x - from 4 ft T8 28w NLO 1x - LCA</t>
  </si>
  <si>
    <t>12160 - 3</t>
  </si>
  <si>
    <t>SBDI: Lamp - TLED - 4 ft - 2x - from 4 ft T8 32w LLO 2x - LCA</t>
  </si>
  <si>
    <t>12161 - 3</t>
  </si>
  <si>
    <t>12162 - 3</t>
  </si>
  <si>
    <t>12163 - 3</t>
  </si>
  <si>
    <t>SBDI: Lamp - TLED - 4 ft - 2x - from 4 ft T8 28w LLO 2x - LCA</t>
  </si>
  <si>
    <t>12164 - 3</t>
  </si>
  <si>
    <t>SBDI: Lamp - TLED - 4 ft - 2x - from 4 ft T8 28w NLO 2x - LCA</t>
  </si>
  <si>
    <t>12165 - 2</t>
  </si>
  <si>
    <t>SBDI: Lamp - TLED - 4 ft - 3x - from 4 ft T8 32w LLO 3x - LCA</t>
  </si>
  <si>
    <t>12166 - 3</t>
  </si>
  <si>
    <t>12167 - 2</t>
  </si>
  <si>
    <t>SBDI: Lamp - TLED - 4 ft - 3x - from 4 ft T8 32w HLO 3x - LCA</t>
  </si>
  <si>
    <t>12168 - 2</t>
  </si>
  <si>
    <t>SBDI: Lamp - TLED - 4 ft - 3x - from 4 ft T8 28w LLO 3x - LCA</t>
  </si>
  <si>
    <t>12169 - 2</t>
  </si>
  <si>
    <t>SBDI: Lamp - TLED - 4 ft - 3x - from 4 ft T8 28w NLO 3x - LCA</t>
  </si>
  <si>
    <t>12173 - 2</t>
  </si>
  <si>
    <t>SBDI: Lamp - TLED - 4 ft - 4x - from 4 ft T8 28w LLO 4x - LCA</t>
  </si>
  <si>
    <t>12174 - 2</t>
  </si>
  <si>
    <t>SBDI: Lamp - TLED - 4 ft - 4x - from 4 ft T8 28w NLO 4x - LCA</t>
  </si>
  <si>
    <t>12175 - 2</t>
  </si>
  <si>
    <t>SBDI: Lamp - TLED - 4 ft - 4x - from 4 ft T8 32w LLO 4x - LCA</t>
  </si>
  <si>
    <t>12176 - 2</t>
  </si>
  <si>
    <t>12177 - 2</t>
  </si>
  <si>
    <t>12783 - 2</t>
  </si>
  <si>
    <t>Lamp - TLED - 4 ft - 2x - DLR from 4 ft T12 3x - DI - LCA</t>
  </si>
  <si>
    <t>12784 - 4</t>
  </si>
  <si>
    <t>12785 - 2</t>
  </si>
  <si>
    <t>Lamp - TLED - 4 ft - 2x - DLR from 4 ft T12 4x - DI - LCA</t>
  </si>
  <si>
    <t>12786 - 4</t>
  </si>
  <si>
    <t>12787 - 2</t>
  </si>
  <si>
    <t>Lamp - TLED - 4 ft - 2x - DLR from 4 ft T12 HO 3x - DI - LCA</t>
  </si>
  <si>
    <t>12788 - 4</t>
  </si>
  <si>
    <t>Lamp - TLED - 4 ft - 2x - DLR from 4 ft T12 HO 3x - DI - SMB</t>
  </si>
  <si>
    <t>12789 - 2</t>
  </si>
  <si>
    <t>Lamp - TLED - 4 ft - 2x - DLR from 4 ft T12 HO 4x - DI - LCA</t>
  </si>
  <si>
    <t>12790 - 4</t>
  </si>
  <si>
    <t>Lamp - TLED - 4 ft - 2x - DLR from 4 ft T12 HO 4x - DI - SMB</t>
  </si>
  <si>
    <t>12791 - 2</t>
  </si>
  <si>
    <t>Lamp - TLED - 4 ft - 2x - DLR from 4 ft T8 28w NLO 4x - DI - LCA</t>
  </si>
  <si>
    <t>12792 - 4</t>
  </si>
  <si>
    <t>12793 - 12793</t>
  </si>
  <si>
    <t>12794 - 12794</t>
  </si>
  <si>
    <t>Lamp - TLED - 4 ft - 2x - DLR from 4 ft T8 32w HLO 3x - DI - LCA</t>
  </si>
  <si>
    <t>12795 - 12795</t>
  </si>
  <si>
    <t>Lamp - TLED - 4 ft - 2x - DLR from 4 ft T8 32w HLO 4x - DI - LCA</t>
  </si>
  <si>
    <t>12796 - 12796</t>
  </si>
  <si>
    <t>Lamp - TLED - 4 ft - 2x - DLR from 4 ft T8 32w LLO 3x - DI - LCA</t>
  </si>
  <si>
    <t>12797 - 12797</t>
  </si>
  <si>
    <t>Lamp - TLED - 4 ft - 2x - DLR from 4 ft T8 32w NLO 3x - DI - LCA</t>
  </si>
  <si>
    <t>12798 - 12798</t>
  </si>
  <si>
    <t>Lamp - TLED - 4 ft - 2x - DLR from 4 ft T8 32w NLO 4x - DI - LCA</t>
  </si>
  <si>
    <t>12799 - 12799</t>
  </si>
  <si>
    <t>Lamp - TLED - 4 ft - 2x - DLR from 8 ft T12 F96 2x - DI - LCA</t>
  </si>
  <si>
    <t>12800 - 12800</t>
  </si>
  <si>
    <t>12803 - 12803</t>
  </si>
  <si>
    <t>Lamp - TLED - 4 ft - 2x - from 8 ft T12 F96 1x - DI - LCA</t>
  </si>
  <si>
    <t>12804 - 12804</t>
  </si>
  <si>
    <t>12805 - 12805</t>
  </si>
  <si>
    <t>Lamp - TLED - 4 ft - 2x - from 8 ft T12 HO F96 1x - DI - LCA</t>
  </si>
  <si>
    <t>12806 - 4</t>
  </si>
  <si>
    <t>12807 - 2</t>
  </si>
  <si>
    <t>Lamp - TLED - 4 ft - 3x - DLR from 4 ft T12 4x - DI - LCA</t>
  </si>
  <si>
    <t>12808 - 4</t>
  </si>
  <si>
    <t>Lamp - TLED - 4 ft - 3x - DLR from 4 ft T12 4x - DI - SMB</t>
  </si>
  <si>
    <t>12809 - 2</t>
  </si>
  <si>
    <t>Lamp - TLED - 4 ft - 3x - DLR from 4 ft T12 HO 4x - DI - LCA</t>
  </si>
  <si>
    <t>12810 - 4</t>
  </si>
  <si>
    <t>Lamp - TLED - 4 ft - 3x - DLR from 4 ft T12 HO 4x - DI - SMB</t>
  </si>
  <si>
    <t>12811 - 2</t>
  </si>
  <si>
    <t>Lamp - TLED - 4 ft - 3x - DLR from 4 ft T8 28w LLO 4x - DI - LCA</t>
  </si>
  <si>
    <t>12812 - 4</t>
  </si>
  <si>
    <t>Lamp - TLED - 4 ft - 3x - DLR from 4 ft T8 28w LLO 4x - DI - SMB</t>
  </si>
  <si>
    <t>12813 - 2</t>
  </si>
  <si>
    <t>Lamp - TLED - 4 ft - 3x - DLR from 4 ft T8 32w LLO 4x - DI - LCA</t>
  </si>
  <si>
    <t>12814 - 2</t>
  </si>
  <si>
    <t>Lamp - TLED - 4 ft - 4x - from 8 ft T12 F96 2x - DI - LCA</t>
  </si>
  <si>
    <t>12815 - 4</t>
  </si>
  <si>
    <t>12816 - 2</t>
  </si>
  <si>
    <t>Lamp - TLED - 4 ft - 4x - from 8 ft T12 HO F96 2x - DI - LCA</t>
  </si>
  <si>
    <t>12817 - 4</t>
  </si>
  <si>
    <t>12917 - 2</t>
  </si>
  <si>
    <t>12918 - 2</t>
  </si>
  <si>
    <t>Case Lighting - LED - Low Power - Refrigerated Space - Med Temp - from Single T12 - Restaurant</t>
  </si>
  <si>
    <t>12919 - 2</t>
  </si>
  <si>
    <t>Case Lighting - Refrigerated Space - Med Temp - Delamp - from Single T8 or T12 - Restaurant</t>
  </si>
  <si>
    <t>12920 - 2</t>
  </si>
  <si>
    <t>Case Lighting - Refrigerated Space - Med Temp - Delamp - from Double T8 or T12 - Restaurant</t>
  </si>
  <si>
    <t>12921 - 2</t>
  </si>
  <si>
    <t>Case Lighting - LED - Low Power - Outside Refrigerated Space - w HVAC Interaction - from Single T8 - Restaurant</t>
  </si>
  <si>
    <t>12922 - 2</t>
  </si>
  <si>
    <t>Case Lighting - LED - Low Power - Outside Refrigerated Space - w HVAC Interaction - from Single T12 - Restaurant</t>
  </si>
  <si>
    <t>12923 - 2</t>
  </si>
  <si>
    <t>Case Lighting - Outside Refrigerated Space - w HVAC Interaction - Delamp - from Single T8 or T12 - Restaurant</t>
  </si>
  <si>
    <t>12924 - 2</t>
  </si>
  <si>
    <t>Case Lighting - Outside Refrigerated Space - w HVAC Interaction - Delamp - from Double T8 or T12 - Restaurant</t>
  </si>
  <si>
    <t>12925 - 2</t>
  </si>
  <si>
    <t>Case Lighting - LED - Low Power - Refrigerated Space - Low Temp - from Single T8 - Restaurant</t>
  </si>
  <si>
    <t>12926 - 2</t>
  </si>
  <si>
    <t>Case Lighting - LED - Low Power - Refrigerated Space - Low Temp - from Single T12 - Restaurant</t>
  </si>
  <si>
    <t>12927 - 2</t>
  </si>
  <si>
    <t>Case Lighting - Refrigerated Space - Low Temp - Delamp - from Single T8 or T12 - Restaurant</t>
  </si>
  <si>
    <t>12928 - 2</t>
  </si>
  <si>
    <t>Case Lighting - Refrigerated Space - Low Temp - Delamp - from Double T8 or T12 - Restaurant</t>
  </si>
  <si>
    <t>12929 - 2</t>
  </si>
  <si>
    <t>12930 - 2</t>
  </si>
  <si>
    <t>12931 - 2</t>
  </si>
  <si>
    <t>Case Lighting - Refrigerated Space - Med Temp - Delamp - from Single T8 or T12 - Grocery</t>
  </si>
  <si>
    <t>12932 - 2</t>
  </si>
  <si>
    <t>Case Lighting - Refrigerated Space - Med Temp - Delamp - from Double T8 or T12 - Grocery</t>
  </si>
  <si>
    <t>12933 - 2</t>
  </si>
  <si>
    <t>Case Lighting - LED - Low Power - Outside Refrigerated Space - w HVAC Interaction - from Single T8 - Grocery</t>
  </si>
  <si>
    <t>12934 - 2</t>
  </si>
  <si>
    <t>Case Lighting - LED - Low Power - Outside Refrigerated Space - w HVAC Interaction - from Single T12 - Grocery</t>
  </si>
  <si>
    <t>12935 - 2</t>
  </si>
  <si>
    <t>Case Lighting - Outside Refrigerated Space - w HVAC Interaction - Delamp - from Single T8 or T12 - Grocery</t>
  </si>
  <si>
    <t>12936 - 2</t>
  </si>
  <si>
    <t>Case Lighting - Outside Refrigerated Space - w HVAC Interaction - Delamp - from Double T8 or T12 - Grocery</t>
  </si>
  <si>
    <t>12937 - 2</t>
  </si>
  <si>
    <t>Case Lighting - LED - Low Power - Refrigerated Space - Low Temp - from Single T8 - Grocery</t>
  </si>
  <si>
    <t>12938 - 2</t>
  </si>
  <si>
    <t>12939 - 2</t>
  </si>
  <si>
    <t>Case Lighting - Refrigerated Space - Low Temp - Delamp - from Single T8 or T12 - Grocery</t>
  </si>
  <si>
    <t>12940 - 2</t>
  </si>
  <si>
    <t>Case Lighting - Refrigerated Space - Low Temp - Delamp - from Double T8 or T12 - Grocery</t>
  </si>
  <si>
    <t>12115 - 7</t>
  </si>
  <si>
    <t>12116 - 7</t>
  </si>
  <si>
    <t>SBDI: Fixture - Volumetric - LED - 24w - from 4 ft T8 32w 4x</t>
  </si>
  <si>
    <t>12117 - 8</t>
  </si>
  <si>
    <t>SBDI: Fixture - Volumetric - LED - 24w - from 4 ft T8 32w 3x</t>
  </si>
  <si>
    <t>12118 - 3</t>
  </si>
  <si>
    <t>12188 - 3</t>
  </si>
  <si>
    <t>12189 - 4</t>
  </si>
  <si>
    <t>12190 - 3</t>
  </si>
  <si>
    <t>12191 - 5</t>
  </si>
  <si>
    <t>12192 - 3</t>
  </si>
  <si>
    <t>SBDI: Fixture - LED - High Output - from 320w HID</t>
  </si>
  <si>
    <t>12193 - 3</t>
  </si>
  <si>
    <t>SBDI: Fixture - LED - High Output - from 400w HID</t>
  </si>
  <si>
    <t>12194 - 3</t>
  </si>
  <si>
    <t>SBDI: Fixture - LED - Low to Med Output - from 320w HID</t>
  </si>
  <si>
    <t>12195 - 3</t>
  </si>
  <si>
    <t>SBDI: Fixture - LED - Low to Med Output - from 400w HID</t>
  </si>
  <si>
    <t>12730 - 4</t>
  </si>
  <si>
    <t>Fixture - LED - 100w - from 4 ft T8 32w HBF 6x - SMB</t>
  </si>
  <si>
    <t>12731 - 3</t>
  </si>
  <si>
    <t>12732 - 3</t>
  </si>
  <si>
    <t>13023 - 2</t>
  </si>
  <si>
    <t>Open Sign - LED - Lodging</t>
  </si>
  <si>
    <t>11137 - 6</t>
  </si>
  <si>
    <t>11138 - 6</t>
  </si>
  <si>
    <t>SBDI: Occupancy Sensor - 151w to 200w</t>
  </si>
  <si>
    <t>11139 - 6</t>
  </si>
  <si>
    <t>SBDI: Occupancy Sensor - 201w to 450w</t>
  </si>
  <si>
    <t>11141 - 6</t>
  </si>
  <si>
    <t>SBDI: Occupancy Sensor - over 450w</t>
  </si>
  <si>
    <t>New  - 1</t>
  </si>
  <si>
    <t>Water Heater - Heat Pump - 50 to 80 gal Tank - EH - Comm</t>
  </si>
  <si>
    <t>Water Heater - Heat Pump - 81 to under 120 gal Tank - EH - Comm</t>
  </si>
  <si>
    <t>11316 - 3</t>
  </si>
  <si>
    <t>SBDI: Aerator - GWH - All Others</t>
  </si>
  <si>
    <t>11318 - 3</t>
  </si>
  <si>
    <t>SBDI: Aerator - GWH - Small</t>
  </si>
  <si>
    <t>11320 - 4</t>
  </si>
  <si>
    <t>SBDI: Aerator - GWH - Restaurant</t>
  </si>
  <si>
    <t>11322 - 3</t>
  </si>
  <si>
    <t>SBDI: Aerator - GWH - Retail</t>
  </si>
  <si>
    <t>11324 - 3</t>
  </si>
  <si>
    <t>SBDI: Aerator - GWH - School</t>
  </si>
  <si>
    <t>11987 - 3</t>
  </si>
  <si>
    <t>SBDI: Aerator - GWH - Commercial Kitchen - 1.0 gpm</t>
  </si>
  <si>
    <t>12121 - 2</t>
  </si>
  <si>
    <t>SBDI: Aerator - GWH - Lodging Guest Rooms - 0.5 gpm</t>
  </si>
  <si>
    <t>12122 - 2</t>
  </si>
  <si>
    <t>SBDI: Aerator - GWH - Lodging Guest Rooms - 1.0 gpm</t>
  </si>
  <si>
    <t>12960 - 1</t>
  </si>
  <si>
    <t>11223 - 3</t>
  </si>
  <si>
    <t>SBDI: Sprayhead - GWH - 0.65 gpm - from 1.6</t>
  </si>
  <si>
    <t>11225 - 3</t>
  </si>
  <si>
    <t>11227 - 3</t>
  </si>
  <si>
    <t>11229 - 3</t>
  </si>
  <si>
    <t>SBDI: Sprayhead - GWH - 0.65 gpm - not PI</t>
  </si>
  <si>
    <t>x - 1</t>
  </si>
  <si>
    <t>HVAC Tune-up</t>
  </si>
  <si>
    <t>12736 - 4</t>
  </si>
  <si>
    <t>12737 - 4</t>
  </si>
  <si>
    <t>12973 - 4</t>
  </si>
  <si>
    <t>13262 - 2</t>
  </si>
  <si>
    <t>13266 - 2</t>
  </si>
  <si>
    <t>13267 - 3</t>
  </si>
  <si>
    <t>13268 - 2</t>
  </si>
  <si>
    <t>Thermostat - Smart - EH - Res - LTO - ecobee - a</t>
  </si>
  <si>
    <t>13269 - 2</t>
  </si>
  <si>
    <t>13270 - 2</t>
  </si>
  <si>
    <t>13271 - 2</t>
  </si>
  <si>
    <t>13272 - 2</t>
  </si>
  <si>
    <t>13273 - 2</t>
  </si>
  <si>
    <t>13851 - 1</t>
  </si>
  <si>
    <t>Thermostat - Smart - EH - Res - LTO - Honeywell - a</t>
  </si>
  <si>
    <t>13852 - 1</t>
  </si>
  <si>
    <t>Thermostat - Smart - EH - Res - LTO - Honeywell - b</t>
  </si>
  <si>
    <t>13856 - 1</t>
  </si>
  <si>
    <t>Thermostat - Smart - SF or MH or DX - NQC</t>
  </si>
  <si>
    <t>12973 - 5</t>
  </si>
  <si>
    <t>13268 - 3</t>
  </si>
  <si>
    <t>13269 - 3</t>
  </si>
  <si>
    <t>13270 - 3</t>
  </si>
  <si>
    <t>13271 - 3</t>
  </si>
  <si>
    <t>13272 - 3</t>
  </si>
  <si>
    <t>13273 - 3</t>
  </si>
  <si>
    <t>13851 - 2</t>
  </si>
  <si>
    <t>13852 - 2</t>
  </si>
  <si>
    <t>13525 - 3</t>
  </si>
  <si>
    <t>Thermostat - Smart - EH - Res - TDSM - Bainbridge</t>
  </si>
  <si>
    <t>13524 - 2</t>
  </si>
  <si>
    <t>Thermostat - ELV - Smart - SF or MH or DX - TDSM - Bainbridge</t>
  </si>
  <si>
    <t>13274 - 2</t>
  </si>
  <si>
    <t>13275 - 3</t>
  </si>
  <si>
    <t>13276 - 2</t>
  </si>
  <si>
    <t>13277 - 2</t>
  </si>
  <si>
    <t>13278 - 2</t>
  </si>
  <si>
    <t>13279 - 2</t>
  </si>
  <si>
    <t>13280 - 2</t>
  </si>
  <si>
    <t>13281 - 2</t>
  </si>
  <si>
    <t>13853 - 1</t>
  </si>
  <si>
    <t>Thermostat - Smart - GH - Res - LTO - Honeywell - a</t>
  </si>
  <si>
    <t>13854 - 1</t>
  </si>
  <si>
    <t>Thermostat - Smart - GH - Res - LTO - Honeywell - b</t>
  </si>
  <si>
    <t>13526 - 2</t>
  </si>
  <si>
    <t>Thermostat - Smart - GH - Res - TDSM - Duvall</t>
  </si>
  <si>
    <t>Planning measure</t>
  </si>
  <si>
    <t>Planning Measure</t>
  </si>
  <si>
    <t>Exhibit 2: 2024-2025 Biennial Cost Effectiveness Estimate</t>
  </si>
  <si>
    <t xml:space="preserve">2024-2025 Electric Cost-Effectiveness Tests:  </t>
  </si>
  <si>
    <t xml:space="preserve">2024-2025 Gas Cost-Effectiveness Tests:  </t>
  </si>
  <si>
    <t xml:space="preserve">Equity Support </t>
  </si>
  <si>
    <t>Technlogy Evaluation</t>
  </si>
  <si>
    <t>Energy Efficiency Technology Evaluation {E}</t>
  </si>
  <si>
    <t>Energy Efficiency Technology Evaluation {G}</t>
  </si>
  <si>
    <t>Biennial Conservation Acquisition Review</t>
  </si>
  <si>
    <t>Demand Response Pilot {G}</t>
  </si>
  <si>
    <t>Demand Response Pilot {E}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</si>
</sst>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_(* #,##0_);_(* \(#,##0\);_(* &quot;-&quot;??_);_(@_)"/>
    <numFmt numFmtId="169" formatCode="&quot;$&quot;#,##0"/>
    <numFmt numFmtId="170" formatCode="###.0\ &quot;aMW&quot;"/>
    <numFmt numFmtId="171" formatCode="_(&quot;$&quot;* #,##0.0000_);_(&quot;$&quot;* \(#,##0.0000\);_(&quot;$&quot;* &quot;-&quot;??_);_(@_)"/>
    <numFmt numFmtId="172" formatCode="0.000%"/>
    <numFmt numFmtId="173" formatCode="0.00000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5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8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8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69" fontId="24" fillId="0" borderId="0" xfId="0" applyNumberFormat="1" applyFont="1" applyFill="1" applyProtection="1"/>
    <xf numFmtId="169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69" fontId="26" fillId="15" borderId="31" xfId="16" applyNumberFormat="1" applyFont="1" applyFill="1" applyBorder="1" applyAlignment="1" applyProtection="1">
      <alignment horizontal="center"/>
    </xf>
    <xf numFmtId="169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69" fontId="0" fillId="0" borderId="0" xfId="0" applyNumberFormat="1" applyFill="1" applyBorder="1" applyProtection="1"/>
    <xf numFmtId="169" fontId="0" fillId="0" borderId="0" xfId="0" applyNumberFormat="1" applyFill="1" applyProtection="1"/>
    <xf numFmtId="169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8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8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8" fontId="21" fillId="17" borderId="37" xfId="16" applyNumberFormat="1" applyFont="1" applyFill="1" applyBorder="1" applyAlignment="1" applyProtection="1">
      <alignment horizontal="center"/>
    </xf>
    <xf numFmtId="169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8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69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69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8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69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0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8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8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8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8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69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69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8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69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69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8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1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69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2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8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44" fontId="0" fillId="0" borderId="0" xfId="2" applyFont="1"/>
    <xf numFmtId="44" fontId="1" fillId="0" borderId="0" xfId="2"/>
    <xf numFmtId="0" fontId="0" fillId="8" borderId="0" xfId="0" applyFill="1"/>
    <xf numFmtId="167" fontId="0" fillId="0" borderId="0" xfId="0" applyNumberFormat="1"/>
    <xf numFmtId="0" fontId="13" fillId="9" borderId="0" xfId="0" applyFont="1" applyFill="1" applyAlignment="1" applyProtection="1">
      <alignment horizontal="center" vertical="center"/>
      <protection hidden="1"/>
    </xf>
    <xf numFmtId="173" fontId="13" fillId="26" borderId="19" xfId="13" applyNumberFormat="1" applyFont="1" applyFill="1" applyBorder="1" applyAlignment="1" applyProtection="1">
      <alignment horizontal="center" vertical="center"/>
      <protection hidden="1"/>
    </xf>
    <xf numFmtId="173" fontId="13" fillId="26" borderId="26" xfId="13" applyNumberFormat="1" applyFont="1" applyFill="1" applyBorder="1" applyAlignment="1" applyProtection="1">
      <alignment horizontal="center" vertical="center"/>
      <protection hidden="1"/>
    </xf>
    <xf numFmtId="173" fontId="13" fillId="26" borderId="24" xfId="13" applyNumberFormat="1" applyFont="1" applyFill="1" applyBorder="1" applyAlignment="1" applyProtection="1">
      <alignment horizontal="center" vertical="center"/>
      <protection hidden="1"/>
    </xf>
    <xf numFmtId="173" fontId="13" fillId="26" borderId="22" xfId="13" applyNumberFormat="1" applyFont="1" applyFill="1" applyBorder="1" applyAlignment="1" applyProtection="1">
      <alignment horizontal="center" vertical="center"/>
      <protection hidden="1"/>
    </xf>
    <xf numFmtId="44" fontId="4" fillId="0" borderId="10" xfId="2" applyNumberFormat="1" applyFont="1" applyFill="1" applyBorder="1" applyProtection="1"/>
    <xf numFmtId="164" fontId="0" fillId="0" borderId="0" xfId="0" applyNumberFormat="1" applyFont="1" applyFill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  <xf numFmtId="44" fontId="0" fillId="0" borderId="0" xfId="0" applyNumberFormat="1"/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5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B10" sqref="B10"/>
    </sheetView>
  </sheetViews>
  <sheetFormatPr defaultRowHeight="15" x14ac:dyDescent="0.2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 x14ac:dyDescent="0.25">
      <c r="B1" s="385" t="s">
        <v>2019</v>
      </c>
    </row>
    <row r="2" spans="2:16" ht="18" x14ac:dyDescent="0.25">
      <c r="B2" s="386" t="s">
        <v>465</v>
      </c>
    </row>
    <row r="4" spans="2:16" ht="15.75" thickBot="1" x14ac:dyDescent="0.3">
      <c r="B4" s="122" t="s">
        <v>466</v>
      </c>
      <c r="J4" s="122" t="s">
        <v>467</v>
      </c>
      <c r="O4" s="387"/>
    </row>
    <row r="5" spans="2:16" ht="45.75" thickBot="1" x14ac:dyDescent="0.3">
      <c r="B5" s="388" t="s">
        <v>468</v>
      </c>
      <c r="C5" s="389" t="s">
        <v>469</v>
      </c>
      <c r="D5" s="389" t="s">
        <v>470</v>
      </c>
      <c r="E5" s="389" t="s">
        <v>471</v>
      </c>
      <c r="F5" s="389" t="s">
        <v>472</v>
      </c>
      <c r="G5" s="390" t="s">
        <v>473</v>
      </c>
      <c r="H5" s="391"/>
      <c r="J5" s="388" t="s">
        <v>468</v>
      </c>
      <c r="K5" s="389" t="s">
        <v>469</v>
      </c>
      <c r="L5" s="389" t="s">
        <v>470</v>
      </c>
      <c r="M5" s="389" t="s">
        <v>471</v>
      </c>
      <c r="N5" s="389" t="s">
        <v>472</v>
      </c>
      <c r="O5" s="390" t="s">
        <v>474</v>
      </c>
    </row>
    <row r="6" spans="2:16" ht="15.75" thickTop="1" x14ac:dyDescent="0.25">
      <c r="B6" s="392" t="s">
        <v>365</v>
      </c>
      <c r="C6" s="393">
        <f>'Electric CE'!H6</f>
        <v>4307511.4000000004</v>
      </c>
      <c r="D6" s="394">
        <f>'Electric CE'!N6</f>
        <v>21532137.599999998</v>
      </c>
      <c r="E6" s="394">
        <f>'Electric CE'!T6</f>
        <v>9074061.9487562105</v>
      </c>
      <c r="F6" s="395">
        <f>'Electric CE'!U6</f>
        <v>0.48095656958147864</v>
      </c>
      <c r="G6" s="396">
        <f>'Electric CE'!V6</f>
        <v>1.2570298121983234</v>
      </c>
      <c r="H6" s="397"/>
      <c r="J6" s="392" t="s">
        <v>365</v>
      </c>
      <c r="K6" s="393">
        <f>'Gas CE'!H6</f>
        <v>43836</v>
      </c>
      <c r="L6" s="394">
        <f>'Gas CE'!N6</f>
        <v>3170372.7</v>
      </c>
      <c r="M6" s="394">
        <f>'Gas CE'!T6</f>
        <v>1136340.6283130131</v>
      </c>
      <c r="N6" s="395">
        <f>'Gas CE'!U6</f>
        <v>0.38951309560210345</v>
      </c>
      <c r="O6" s="396">
        <f>'Gas CE'!V6</f>
        <v>1.0303555635382509</v>
      </c>
      <c r="P6" s="397"/>
    </row>
    <row r="7" spans="2:16" x14ac:dyDescent="0.25">
      <c r="B7" s="392"/>
      <c r="C7" s="393"/>
      <c r="D7" s="394"/>
      <c r="E7" s="394"/>
      <c r="F7" s="398"/>
      <c r="G7" s="399" t="s">
        <v>475</v>
      </c>
      <c r="H7" s="397"/>
      <c r="I7" s="387"/>
      <c r="J7" s="392"/>
      <c r="K7" s="393"/>
      <c r="L7" s="394"/>
      <c r="M7" s="394"/>
      <c r="N7" s="398"/>
      <c r="O7" s="399" t="s">
        <v>475</v>
      </c>
      <c r="P7" s="397"/>
    </row>
    <row r="8" spans="2:16" x14ac:dyDescent="0.25">
      <c r="B8" s="392" t="s">
        <v>540</v>
      </c>
      <c r="C8" s="393">
        <f>'Electric CE'!H7</f>
        <v>133749484.83137999</v>
      </c>
      <c r="D8" s="394">
        <f>'Electric CE'!N7</f>
        <v>45307568.18</v>
      </c>
      <c r="E8" s="394">
        <f>'Electric CE'!T7</f>
        <v>7475154.42255715</v>
      </c>
      <c r="F8" s="398">
        <f>'Electric CE'!U7</f>
        <v>2.5361026631750736</v>
      </c>
      <c r="G8" s="400">
        <f>'Electric CE'!V7</f>
        <v>1.8232587889801837</v>
      </c>
      <c r="H8" s="397"/>
      <c r="J8" s="392" t="s">
        <v>541</v>
      </c>
      <c r="K8" s="393">
        <f>'Gas CE'!H7</f>
        <v>4413376.8885999992</v>
      </c>
      <c r="L8" s="394">
        <f>'Gas CE'!N7</f>
        <v>28227635.180000003</v>
      </c>
      <c r="M8" s="394">
        <f>'Gas CE'!T7</f>
        <v>8008196.7095083194</v>
      </c>
      <c r="N8" s="398">
        <f>'Gas CE'!U7</f>
        <v>1.6379032782689043</v>
      </c>
      <c r="O8" s="400">
        <f>'Gas CE'!V7</f>
        <v>1.5023154263005953</v>
      </c>
      <c r="P8" s="397"/>
    </row>
    <row r="9" spans="2:16" x14ac:dyDescent="0.25">
      <c r="B9" s="524" t="s">
        <v>368</v>
      </c>
      <c r="C9" s="520">
        <f>'Electric CE'!H8</f>
        <v>140173</v>
      </c>
      <c r="D9" s="521">
        <f>'Electric CE'!N8</f>
        <v>166272.29999999999</v>
      </c>
      <c r="E9" s="521">
        <f>'Electric CE'!T8</f>
        <v>0</v>
      </c>
      <c r="F9" s="522">
        <f>'Electric CE'!U8</f>
        <v>0.1214722094574871</v>
      </c>
      <c r="G9" s="523">
        <f>'Electric CE'!V8</f>
        <v>0.68594288909720047</v>
      </c>
      <c r="H9" s="401"/>
      <c r="J9" s="524" t="s">
        <v>476</v>
      </c>
      <c r="K9" s="520">
        <f>'Gas CE'!H8</f>
        <v>420207.4</v>
      </c>
      <c r="L9" s="521">
        <f>'Gas CE'!N8</f>
        <v>3210655.2</v>
      </c>
      <c r="M9" s="521">
        <f>'Gas CE'!T8</f>
        <v>3159504.0777500519</v>
      </c>
      <c r="N9" s="522">
        <f>'Gas CE'!U8</f>
        <v>2.793256778412462</v>
      </c>
      <c r="O9" s="523">
        <f>'Gas CE'!V8</f>
        <v>3.5741634093496031</v>
      </c>
    </row>
    <row r="10" spans="2:16" x14ac:dyDescent="0.25">
      <c r="B10" s="524" t="s">
        <v>476</v>
      </c>
      <c r="C10" s="520">
        <f>'Electric CE'!H9</f>
        <v>17215268.046</v>
      </c>
      <c r="D10" s="521">
        <f>'Electric CE'!N9</f>
        <v>13182525.899999999</v>
      </c>
      <c r="E10" s="521">
        <f>'Electric CE'!T9</f>
        <v>2589939.0611218987</v>
      </c>
      <c r="F10" s="522">
        <f>'Electric CE'!U9</f>
        <v>2.4487007178877809</v>
      </c>
      <c r="G10" s="523">
        <f>'Electric CE'!V9</f>
        <v>1.4041979358641687</v>
      </c>
      <c r="H10" s="401"/>
      <c r="J10" s="524" t="s">
        <v>477</v>
      </c>
      <c r="K10" s="520">
        <f>'Gas CE'!H9</f>
        <v>122462.2</v>
      </c>
      <c r="L10" s="521">
        <f>'Gas CE'!N9</f>
        <v>1329189.6000000001</v>
      </c>
      <c r="M10" s="521">
        <f>'Gas CE'!T9</f>
        <v>385038.03588512016</v>
      </c>
      <c r="N10" s="522">
        <f>'Gas CE'!U9</f>
        <v>1.8581741150681472</v>
      </c>
      <c r="O10" s="523">
        <f>'Gas CE'!V9</f>
        <v>1.7379534530112739</v>
      </c>
    </row>
    <row r="11" spans="2:16" x14ac:dyDescent="0.25">
      <c r="B11" s="524" t="s">
        <v>477</v>
      </c>
      <c r="C11" s="520">
        <f>'Electric CE'!H10</f>
        <v>1434501.0857800003</v>
      </c>
      <c r="D11" s="521">
        <f>'Electric CE'!N10</f>
        <v>1686057</v>
      </c>
      <c r="E11" s="521">
        <f>'Electric CE'!T10</f>
        <v>396800.47387074807</v>
      </c>
      <c r="F11" s="522">
        <f>'Electric CE'!U10</f>
        <v>1.13592822982192</v>
      </c>
      <c r="G11" s="523">
        <f>'Electric CE'!V10</f>
        <v>1.320389147356454</v>
      </c>
      <c r="H11" s="401"/>
      <c r="J11" s="524" t="s">
        <v>373</v>
      </c>
      <c r="K11" s="520">
        <f>'Gas CE'!H11</f>
        <v>9672</v>
      </c>
      <c r="L11" s="521">
        <f>'Gas CE'!N11</f>
        <v>0</v>
      </c>
      <c r="M11" s="521">
        <f>'Gas CE'!T11</f>
        <v>677083.0089399959</v>
      </c>
      <c r="N11" s="522">
        <f>'Gas CE'!U11</f>
        <v>0</v>
      </c>
      <c r="O11" s="523">
        <f>'Gas CE'!V11</f>
        <v>0</v>
      </c>
    </row>
    <row r="12" spans="2:16" x14ac:dyDescent="0.25">
      <c r="B12" s="524" t="s">
        <v>373</v>
      </c>
      <c r="C12" s="520">
        <f>'Electric CE'!H11</f>
        <v>1377153.4000000001</v>
      </c>
      <c r="D12" s="521">
        <f>'Electric CE'!N11</f>
        <v>1761911</v>
      </c>
      <c r="E12" s="521">
        <f>'Electric CE'!T11</f>
        <v>1387087.554672583</v>
      </c>
      <c r="F12" s="522">
        <f>'Electric CE'!U11</f>
        <v>1.0730619785670481</v>
      </c>
      <c r="G12" s="523">
        <f>'Electric CE'!V11</f>
        <v>1.3819471907591809</v>
      </c>
      <c r="H12" s="401"/>
      <c r="J12" s="524" t="s">
        <v>446</v>
      </c>
      <c r="K12" s="520">
        <f>'Gas CE'!H12</f>
        <v>553597.80000000005</v>
      </c>
      <c r="L12" s="521">
        <f>'Gas CE'!N12</f>
        <v>4356049.8</v>
      </c>
      <c r="M12" s="521">
        <f>'Gas CE'!T12</f>
        <v>580966.06883226358</v>
      </c>
      <c r="N12" s="522">
        <f>'Gas CE'!U12</f>
        <v>1.1260860030263067</v>
      </c>
      <c r="O12" s="523">
        <f>'Gas CE'!V12</f>
        <v>1.1542742268735657</v>
      </c>
    </row>
    <row r="13" spans="2:16" x14ac:dyDescent="0.25">
      <c r="B13" s="524" t="s">
        <v>446</v>
      </c>
      <c r="C13" s="520">
        <f>'Electric CE'!H12</f>
        <v>1828000.4350000001</v>
      </c>
      <c r="D13" s="521">
        <f>'Electric CE'!N12</f>
        <v>1817199.53</v>
      </c>
      <c r="E13" s="521">
        <f>'Electric CE'!T12</f>
        <v>463033.70525136671</v>
      </c>
      <c r="F13" s="522">
        <f>'Electric CE'!U12</f>
        <v>1.2292031842523123</v>
      </c>
      <c r="G13" s="523">
        <f>'Electric CE'!V12</f>
        <v>1.4325353413039044</v>
      </c>
      <c r="H13" s="401"/>
      <c r="J13" s="524" t="s">
        <v>376</v>
      </c>
      <c r="K13" s="520">
        <f>'Gas CE'!H13</f>
        <v>0</v>
      </c>
      <c r="L13" s="521">
        <f>'Gas CE'!N13</f>
        <v>0</v>
      </c>
      <c r="M13" s="521">
        <f>'Gas CE'!T13</f>
        <v>0</v>
      </c>
      <c r="N13" s="522">
        <f>'Gas CE'!U13</f>
        <v>0</v>
      </c>
      <c r="O13" s="523">
        <f>'Gas CE'!V13</f>
        <v>0</v>
      </c>
    </row>
    <row r="14" spans="2:16" x14ac:dyDescent="0.25">
      <c r="B14" s="524" t="s">
        <v>376</v>
      </c>
      <c r="C14" s="520">
        <f>'Electric CE'!H13</f>
        <v>0</v>
      </c>
      <c r="D14" s="521">
        <f>'Electric CE'!N13</f>
        <v>0</v>
      </c>
      <c r="E14" s="521">
        <f>'Electric CE'!T13</f>
        <v>0</v>
      </c>
      <c r="F14" s="522">
        <f>'Electric CE'!U13</f>
        <v>0</v>
      </c>
      <c r="G14" s="523">
        <f>'Electric CE'!V13</f>
        <v>0</v>
      </c>
      <c r="H14" s="401"/>
      <c r="J14" s="524" t="s">
        <v>478</v>
      </c>
      <c r="K14" s="520">
        <f>'Gas CE'!H14</f>
        <v>669746.26860000007</v>
      </c>
      <c r="L14" s="521">
        <f>'Gas CE'!N14</f>
        <v>14256488.400000002</v>
      </c>
      <c r="M14" s="521">
        <f>'Gas CE'!T14</f>
        <v>3205489.2981257779</v>
      </c>
      <c r="N14" s="522">
        <f>'Gas CE'!U14</f>
        <v>1.6657760007385769</v>
      </c>
      <c r="O14" s="523">
        <f>'Gas CE'!V14</f>
        <v>1.3481345766733428</v>
      </c>
    </row>
    <row r="15" spans="2:16" x14ac:dyDescent="0.25">
      <c r="B15" s="524" t="s">
        <v>478</v>
      </c>
      <c r="C15" s="520">
        <f>'Electric CE'!H14</f>
        <v>3342753.8646000014</v>
      </c>
      <c r="D15" s="521">
        <f>'Electric CE'!N14</f>
        <v>7137287.2000000002</v>
      </c>
      <c r="E15" s="521">
        <f>'Electric CE'!T14</f>
        <v>2638293.6276405528</v>
      </c>
      <c r="F15" s="522">
        <f>'Electric CE'!U14</f>
        <v>1.5626665737145173</v>
      </c>
      <c r="G15" s="523">
        <f>'Electric CE'!V14</f>
        <v>1.331088589636072</v>
      </c>
      <c r="H15" s="401"/>
      <c r="J15" s="524" t="s">
        <v>378</v>
      </c>
      <c r="K15" s="520">
        <f>'Gas CE'!H15</f>
        <v>2489560.2199999997</v>
      </c>
      <c r="L15" s="521">
        <f>'Gas CE'!N15</f>
        <v>3871661.18</v>
      </c>
      <c r="M15" s="521">
        <f>'Gas CE'!T15</f>
        <v>0</v>
      </c>
      <c r="N15" s="522">
        <f>'Gas CE'!U15</f>
        <v>0.93042449076215983</v>
      </c>
      <c r="O15" s="523">
        <f>'Gas CE'!V15</f>
        <v>1.023466939838376</v>
      </c>
    </row>
    <row r="16" spans="2:16" x14ac:dyDescent="0.25">
      <c r="B16" s="524" t="s">
        <v>378</v>
      </c>
      <c r="C16" s="520">
        <f>'Electric CE'!H15</f>
        <v>79608000</v>
      </c>
      <c r="D16" s="521">
        <f>'Electric CE'!N15</f>
        <v>4686953.4000000004</v>
      </c>
      <c r="E16" s="521">
        <f>'Electric CE'!T15</f>
        <v>0</v>
      </c>
      <c r="F16" s="522">
        <f>'Electric CE'!U15</f>
        <v>2.4473638717177457</v>
      </c>
      <c r="G16" s="523">
        <f>'Electric CE'!V15</f>
        <v>2.6921002588895204</v>
      </c>
      <c r="H16" s="401"/>
      <c r="J16" s="524" t="s">
        <v>542</v>
      </c>
      <c r="K16" s="520">
        <f>'Gas CE'!H16</f>
        <v>0</v>
      </c>
      <c r="L16" s="521">
        <f>'Gas CE'!N16</f>
        <v>153100</v>
      </c>
      <c r="M16" s="521">
        <f>'Gas CE'!T16</f>
        <v>0</v>
      </c>
      <c r="N16" s="522">
        <f>'Gas CE'!U16</f>
        <v>0</v>
      </c>
      <c r="O16" s="523">
        <f>'Gas CE'!V16</f>
        <v>0</v>
      </c>
    </row>
    <row r="17" spans="1:19" x14ac:dyDescent="0.25">
      <c r="B17" s="524" t="s">
        <v>542</v>
      </c>
      <c r="C17" s="520">
        <f>'Electric CE'!H16</f>
        <v>0</v>
      </c>
      <c r="D17" s="521">
        <f>'Electric CE'!N16</f>
        <v>175991.2</v>
      </c>
      <c r="E17" s="521">
        <f>'Electric CE'!T16</f>
        <v>0</v>
      </c>
      <c r="F17" s="522">
        <f>'Electric CE'!U16</f>
        <v>0</v>
      </c>
      <c r="G17" s="523">
        <f>'Electric CE'!V16</f>
        <v>0</v>
      </c>
      <c r="H17" s="401"/>
      <c r="J17" s="524" t="s">
        <v>782</v>
      </c>
      <c r="K17" s="520">
        <f>'Gas CE'!H17</f>
        <v>148131</v>
      </c>
      <c r="L17" s="521">
        <f>'Gas CE'!N17</f>
        <v>1050491</v>
      </c>
      <c r="M17" s="521">
        <f>'Gas CE'!T17</f>
        <v>116.21997511064404</v>
      </c>
      <c r="N17" s="522">
        <f>'Gas CE'!U17</f>
        <v>2.279996451966916</v>
      </c>
      <c r="O17" s="523">
        <f>'Gas CE'!V17</f>
        <v>0.91220235112090775</v>
      </c>
    </row>
    <row r="18" spans="1:19" x14ac:dyDescent="0.25">
      <c r="A18" s="387"/>
      <c r="B18" s="524" t="s">
        <v>782</v>
      </c>
      <c r="C18" s="520">
        <f>'Electric CE'!H17</f>
        <v>28513235</v>
      </c>
      <c r="D18" s="521">
        <f>'Electric CE'!N17</f>
        <v>14652102.65</v>
      </c>
      <c r="E18" s="521">
        <f>'Electric CE'!T17</f>
        <v>0</v>
      </c>
      <c r="F18" s="522">
        <f>'Electric CE'!U17</f>
        <v>3.6691490952535277</v>
      </c>
      <c r="G18" s="523">
        <f>'Electric CE'!V17</f>
        <v>3.1224789311307473</v>
      </c>
      <c r="H18" s="401"/>
      <c r="J18" s="392" t="s">
        <v>379</v>
      </c>
      <c r="K18" s="393">
        <f>'Gas CE'!H18</f>
        <v>0</v>
      </c>
      <c r="L18" s="394">
        <f>'Gas CE'!N18</f>
        <v>0</v>
      </c>
      <c r="M18" s="394">
        <f>'Gas CE'!T18</f>
        <v>0</v>
      </c>
      <c r="N18" s="398">
        <f>'Gas CE'!U18</f>
        <v>0</v>
      </c>
      <c r="O18" s="400">
        <f>'Gas CE'!V18</f>
        <v>0</v>
      </c>
    </row>
    <row r="19" spans="1:19" x14ac:dyDescent="0.25">
      <c r="B19" s="524" t="s">
        <v>803</v>
      </c>
      <c r="C19" s="520">
        <f>'Electric CE'!H18</f>
        <v>290400</v>
      </c>
      <c r="D19" s="521">
        <f>'Electric CE'!N18</f>
        <v>41268</v>
      </c>
      <c r="E19" s="521">
        <f>'Electric CE'!T18</f>
        <v>0</v>
      </c>
      <c r="F19" s="522">
        <f>'Electric CE'!U18</f>
        <v>4.3658426162451871</v>
      </c>
      <c r="G19" s="523">
        <f>'Electric CE'!V18</f>
        <v>0.57467365019638539</v>
      </c>
      <c r="H19" s="401"/>
      <c r="J19" s="392" t="s">
        <v>448</v>
      </c>
      <c r="K19" s="393">
        <f>'Gas CE'!H19</f>
        <v>1094.8</v>
      </c>
      <c r="L19" s="394">
        <f>'Gas CE'!N19</f>
        <v>29600</v>
      </c>
      <c r="M19" s="394">
        <f>'Gas CE'!T19</f>
        <v>0</v>
      </c>
      <c r="N19" s="398">
        <f>'Gas CE'!U19</f>
        <v>0.6329658511403401</v>
      </c>
      <c r="O19" s="400">
        <f>'Gas CE'!V19</f>
        <v>0.68097995766393504</v>
      </c>
    </row>
    <row r="20" spans="1:19" x14ac:dyDescent="0.25">
      <c r="B20" s="392" t="s">
        <v>379</v>
      </c>
      <c r="C20" s="393">
        <f>'Electric CE'!H19</f>
        <v>630000</v>
      </c>
      <c r="D20" s="394">
        <f>'Electric CE'!N19</f>
        <v>1566664</v>
      </c>
      <c r="E20" s="394">
        <f>'Electric CE'!T19</f>
        <v>0</v>
      </c>
      <c r="F20" s="398">
        <f>'Electric CE'!U19</f>
        <v>1.0310013990402147</v>
      </c>
      <c r="G20" s="400">
        <f>'Electric CE'!V19</f>
        <v>1.1341015389442364</v>
      </c>
      <c r="H20" s="401"/>
      <c r="J20" s="392" t="s">
        <v>449</v>
      </c>
      <c r="K20" s="393">
        <f>'Gas CE'!H20</f>
        <v>30050.12</v>
      </c>
      <c r="L20" s="394">
        <f>'Gas CE'!N20</f>
        <v>569784.46</v>
      </c>
      <c r="M20" s="394">
        <f>'Gas CE'!T20</f>
        <v>39254.575063344353</v>
      </c>
      <c r="N20" s="398">
        <f>'Gas CE'!U20</f>
        <v>1.4611688056259367</v>
      </c>
      <c r="O20" s="400">
        <f>'Gas CE'!V20</f>
        <v>1.1518509780469135</v>
      </c>
    </row>
    <row r="21" spans="1:19" x14ac:dyDescent="0.25">
      <c r="A21" s="387"/>
      <c r="B21" s="392" t="s">
        <v>448</v>
      </c>
      <c r="C21" s="393">
        <f>'Electric CE'!H20</f>
        <v>372256</v>
      </c>
      <c r="D21" s="394">
        <f>'Electric CE'!N20</f>
        <v>658377.4</v>
      </c>
      <c r="E21" s="394">
        <f>'Electric CE'!T20</f>
        <v>179087.68646427689</v>
      </c>
      <c r="F21" s="398">
        <f>'Electric CE'!U20</f>
        <v>2.2472543637363733</v>
      </c>
      <c r="G21" s="400">
        <f>'Electric CE'!V20</f>
        <v>2.6351949613339012</v>
      </c>
      <c r="H21" s="401"/>
      <c r="J21" s="392" t="s">
        <v>382</v>
      </c>
      <c r="K21" s="393">
        <f>'Gas CE'!H21</f>
        <v>7200</v>
      </c>
      <c r="L21" s="394">
        <f>'Gas CE'!N21</f>
        <v>72289</v>
      </c>
      <c r="M21" s="394">
        <f>'Gas CE'!T21</f>
        <v>0</v>
      </c>
      <c r="N21" s="398">
        <f>'Gas CE'!U21</f>
        <v>1.6469182735884496</v>
      </c>
      <c r="O21" s="400">
        <f>'Gas CE'!V21</f>
        <v>1.8116101009472945</v>
      </c>
    </row>
    <row r="22" spans="1:19" x14ac:dyDescent="0.25">
      <c r="B22" s="392" t="s">
        <v>449</v>
      </c>
      <c r="C22" s="393">
        <f>'Electric CE'!H21</f>
        <v>11026104.399999999</v>
      </c>
      <c r="D22" s="394">
        <f>'Electric CE'!N21</f>
        <v>13256298.960000001</v>
      </c>
      <c r="E22" s="394">
        <f>'Electric CE'!T21</f>
        <v>705864.88301144424</v>
      </c>
      <c r="F22" s="398">
        <f>'Electric CE'!U21</f>
        <v>1.6736481822337774</v>
      </c>
      <c r="G22" s="400">
        <f>'Electric CE'!V21</f>
        <v>1.6605613258112222</v>
      </c>
      <c r="H22" s="401"/>
      <c r="J22" s="403" t="s">
        <v>479</v>
      </c>
      <c r="K22" s="404">
        <f>SUM(K6,K9:K21)</f>
        <v>4495557.8085999992</v>
      </c>
      <c r="L22" s="405">
        <f>SUM(L6,L9:L21)</f>
        <v>32069681.340000004</v>
      </c>
      <c r="M22" s="406">
        <f>SUM(M6,M9:M21)</f>
        <v>9183791.912884675</v>
      </c>
      <c r="N22" s="407"/>
      <c r="O22" s="408"/>
      <c r="P22" s="414"/>
    </row>
    <row r="23" spans="1:19" x14ac:dyDescent="0.25">
      <c r="A23" s="387"/>
      <c r="B23" s="392" t="s">
        <v>382</v>
      </c>
      <c r="C23" s="393">
        <f>'Electric CE'!H22</f>
        <v>8015000</v>
      </c>
      <c r="D23" s="394">
        <f>'Electric CE'!N22</f>
        <v>5150281.5999999996</v>
      </c>
      <c r="E23" s="394">
        <f>'Electric CE'!T22</f>
        <v>0</v>
      </c>
      <c r="F23" s="398">
        <f>'Electric CE'!U22</f>
        <v>2.2058337327022652</v>
      </c>
      <c r="G23" s="400">
        <f>'Electric CE'!V22</f>
        <v>2.4264171059724919</v>
      </c>
      <c r="H23" s="412"/>
      <c r="I23" s="387"/>
      <c r="J23" s="413" t="s">
        <v>480</v>
      </c>
      <c r="K23" s="404">
        <f>'Gas CE'!H23</f>
        <v>4451721.8085999992</v>
      </c>
      <c r="L23" s="405">
        <f>'Gas CE'!N23</f>
        <v>28899308.640000004</v>
      </c>
      <c r="M23" s="406">
        <f>'Gas CE'!T23</f>
        <v>8047451.2845716635</v>
      </c>
      <c r="N23" s="407">
        <f>'Gas CE'!U23</f>
        <v>1.6334119937014608</v>
      </c>
      <c r="O23" s="408">
        <f>'Gas CE'!V23</f>
        <v>1.4950550379096645</v>
      </c>
      <c r="P23" s="387"/>
    </row>
    <row r="24" spans="1:19" s="387" customFormat="1" ht="16.350000000000001" customHeight="1" x14ac:dyDescent="0.25">
      <c r="A24" s="424"/>
      <c r="B24" s="403" t="s">
        <v>479</v>
      </c>
      <c r="C24" s="409">
        <f>SUM(C6,C9:C23)</f>
        <v>158100356.63137999</v>
      </c>
      <c r="D24" s="406">
        <f>SUM(D6,D9:D23)</f>
        <v>87471327.74000001</v>
      </c>
      <c r="E24" s="406">
        <f>SUM(E6,E9:E23)</f>
        <v>17434168.940789081</v>
      </c>
      <c r="F24" s="410"/>
      <c r="G24" s="411"/>
      <c r="H24" s="412"/>
      <c r="I24"/>
      <c r="J24" s="418" t="s">
        <v>792</v>
      </c>
      <c r="K24" s="393">
        <f>'Gas CE'!H24</f>
        <v>782000</v>
      </c>
      <c r="L24" s="394">
        <f>'Gas CE'!N24</f>
        <v>5629956</v>
      </c>
      <c r="M24" s="417">
        <f>'Gas CE'!T24</f>
        <v>0</v>
      </c>
      <c r="N24" s="398">
        <f>'Gas CE'!U24</f>
        <v>2.1110823854828644</v>
      </c>
      <c r="O24" s="400">
        <f>'Gas CE'!V25</f>
        <v>0.93303269726110483</v>
      </c>
      <c r="P24" s="423"/>
      <c r="S24"/>
    </row>
    <row r="25" spans="1:19" x14ac:dyDescent="0.25">
      <c r="B25" s="413" t="s">
        <v>480</v>
      </c>
      <c r="C25" s="409">
        <f>'Electric CE'!H24</f>
        <v>153792845.23138002</v>
      </c>
      <c r="D25" s="406">
        <f>'Electric CE'!N24</f>
        <v>65939190.140000001</v>
      </c>
      <c r="E25" s="406">
        <f>'Electric CE'!T24</f>
        <v>8360106.9920328707</v>
      </c>
      <c r="F25" s="410">
        <f>'Electric CE'!U24</f>
        <v>2.2982760905348436</v>
      </c>
      <c r="G25" s="411">
        <f>'Electric CE'!V24</f>
        <v>1.9114766196862429</v>
      </c>
      <c r="J25" s="524" t="s">
        <v>385</v>
      </c>
      <c r="K25" s="520">
        <f>'Gas CE'!H25</f>
        <v>580000</v>
      </c>
      <c r="L25" s="521">
        <f>'Gas CE'!N25</f>
        <v>4865076</v>
      </c>
      <c r="M25" s="521">
        <f>'Gas CE'!T25</f>
        <v>0</v>
      </c>
      <c r="N25" s="522">
        <f>'Gas CE'!U25</f>
        <v>2.1723301490665485</v>
      </c>
      <c r="O25" s="523">
        <f>'Gas CE'!V26</f>
        <v>2.7909424447316931</v>
      </c>
      <c r="P25" s="423"/>
    </row>
    <row r="26" spans="1:19" x14ac:dyDescent="0.25">
      <c r="B26" s="418" t="s">
        <v>792</v>
      </c>
      <c r="C26" s="419">
        <f>'Electric CE'!H25</f>
        <v>86600000</v>
      </c>
      <c r="D26" s="394">
        <f>'Electric CE'!N25</f>
        <v>43331980.099999994</v>
      </c>
      <c r="E26" s="420">
        <f>'Electric CE'!T25</f>
        <v>0</v>
      </c>
      <c r="F26" s="421">
        <f>'Electric CE'!U25</f>
        <v>2.3817297820138563</v>
      </c>
      <c r="G26" s="422">
        <f>'Electric CE'!V25</f>
        <v>1.3715360102636445</v>
      </c>
      <c r="J26" s="524" t="s">
        <v>320</v>
      </c>
      <c r="K26" s="520">
        <f>'Gas CE'!H26</f>
        <v>150000</v>
      </c>
      <c r="L26" s="521">
        <f>'Gas CE'!N26</f>
        <v>368884.6</v>
      </c>
      <c r="M26" s="521">
        <f>'Gas CE'!T26</f>
        <v>0</v>
      </c>
      <c r="N26" s="522">
        <f>'Gas CE'!U26</f>
        <v>2.5372204043015389</v>
      </c>
      <c r="O26" s="523">
        <f>'Gas CE'!V27</f>
        <v>0.83219321781380884</v>
      </c>
      <c r="P26" s="423"/>
    </row>
    <row r="27" spans="1:19" x14ac:dyDescent="0.25">
      <c r="B27" s="525" t="s">
        <v>385</v>
      </c>
      <c r="C27" s="526">
        <f>'Electric CE'!H26</f>
        <v>16000000</v>
      </c>
      <c r="D27" s="527">
        <f>'Electric CE'!N26</f>
        <v>11111750.800000001</v>
      </c>
      <c r="E27" s="527">
        <f>'Electric CE'!T26</f>
        <v>0</v>
      </c>
      <c r="F27" s="528">
        <f>'Electric CE'!U26</f>
        <v>2.1406970903280538</v>
      </c>
      <c r="G27" s="529">
        <f>'Electric CE'!V26</f>
        <v>1.1897907585698664</v>
      </c>
      <c r="J27" s="524" t="s">
        <v>531</v>
      </c>
      <c r="K27" s="520">
        <f>'Gas CE'!H27</f>
        <v>52000</v>
      </c>
      <c r="L27" s="521">
        <f>'Gas CE'!N27</f>
        <v>395995.4</v>
      </c>
      <c r="M27" s="521">
        <f>'Gas CE'!T27</f>
        <v>0</v>
      </c>
      <c r="N27" s="522">
        <f>'Gas CE'!U27</f>
        <v>0.96164787871492907</v>
      </c>
      <c r="O27" s="523">
        <f>'Gas CE'!V28</f>
        <v>1.2716293098404765</v>
      </c>
      <c r="P27" s="423"/>
    </row>
    <row r="28" spans="1:19" x14ac:dyDescent="0.25">
      <c r="B28" s="525" t="s">
        <v>530</v>
      </c>
      <c r="C28" s="526">
        <f>'Electric CE'!H27</f>
        <v>34200000</v>
      </c>
      <c r="D28" s="527">
        <f>'Electric CE'!N27</f>
        <v>15606900</v>
      </c>
      <c r="E28" s="527">
        <f>'Electric CE'!T27</f>
        <v>0</v>
      </c>
      <c r="F28" s="528">
        <f>'Electric CE'!U27</f>
        <v>3.1844047728927967</v>
      </c>
      <c r="G28" s="529">
        <f>'Electric CE'!V27</f>
        <v>1.7017184334894913</v>
      </c>
      <c r="J28" s="415" t="str">
        <f>'Gas CE'!C28</f>
        <v>Commercial/Industrial New Construction</v>
      </c>
      <c r="K28" s="416">
        <f>'Gas CE'!H28</f>
        <v>40000</v>
      </c>
      <c r="L28" s="394">
        <f>'Gas CE'!N28</f>
        <v>520989.1</v>
      </c>
      <c r="M28" s="417">
        <f>'Gas CE'!T28</f>
        <v>0</v>
      </c>
      <c r="N28" s="398">
        <f>'Gas CE'!U28</f>
        <v>1.4605495169056459</v>
      </c>
      <c r="O28" s="400">
        <f>'Gas CE'!V28</f>
        <v>1.2716293098404765</v>
      </c>
      <c r="P28" s="423"/>
    </row>
    <row r="29" spans="1:19" x14ac:dyDescent="0.25">
      <c r="B29" s="525" t="s">
        <v>531</v>
      </c>
      <c r="C29" s="526">
        <f>'Electric CE'!H28</f>
        <v>16000000</v>
      </c>
      <c r="D29" s="527">
        <f>'Electric CE'!N28</f>
        <v>7323759.5999999996</v>
      </c>
      <c r="E29" s="527">
        <f>'Electric CE'!T28</f>
        <v>0</v>
      </c>
      <c r="F29" s="528">
        <f>'Electric CE'!U28</f>
        <v>1.3107989942420732</v>
      </c>
      <c r="G29" s="529">
        <f>'Electric CE'!V28</f>
        <v>0.99119698453922322</v>
      </c>
      <c r="J29" s="415" t="s">
        <v>387</v>
      </c>
      <c r="K29" s="416">
        <f>'Gas CE'!H29</f>
        <v>740000</v>
      </c>
      <c r="L29" s="394">
        <f>'Gas CE'!N29</f>
        <v>1568842.9</v>
      </c>
      <c r="M29" s="417">
        <f>'Gas CE'!T29</f>
        <v>0</v>
      </c>
      <c r="N29" s="398">
        <f>'Gas CE'!U29</f>
        <v>0</v>
      </c>
      <c r="O29" s="400">
        <f>'Gas CE'!V29</f>
        <v>0</v>
      </c>
      <c r="P29" s="423"/>
    </row>
    <row r="30" spans="1:19" x14ac:dyDescent="0.25">
      <c r="B30" s="525" t="s">
        <v>320</v>
      </c>
      <c r="C30" s="526">
        <f>'Electric CE'!H30</f>
        <v>2300000</v>
      </c>
      <c r="D30" s="527">
        <f>'Electric CE'!N30</f>
        <v>1145337.3999999999</v>
      </c>
      <c r="E30" s="527">
        <f>'Electric CE'!T30</f>
        <v>0</v>
      </c>
      <c r="F30" s="528">
        <f>'Electric CE'!U30</f>
        <v>1.5782871749190723</v>
      </c>
      <c r="G30" s="529">
        <f>'Electric CE'!V30</f>
        <v>1.7361158924109799</v>
      </c>
      <c r="J30" s="415" t="s">
        <v>388</v>
      </c>
      <c r="K30" s="416">
        <f>'Gas CE'!H30</f>
        <v>26004</v>
      </c>
      <c r="L30" s="394">
        <f>'Gas CE'!N30</f>
        <v>381499.5</v>
      </c>
      <c r="M30" s="417">
        <f>'Gas CE'!T30</f>
        <v>0</v>
      </c>
      <c r="N30" s="398">
        <f>'Gas CE'!U30</f>
        <v>1.1299060701487489</v>
      </c>
      <c r="O30" s="400">
        <f>'Gas CE'!V30</f>
        <v>0.80077506530147069</v>
      </c>
      <c r="P30" s="423"/>
    </row>
    <row r="31" spans="1:19" x14ac:dyDescent="0.25">
      <c r="B31" s="525" t="s">
        <v>787</v>
      </c>
      <c r="C31" s="526">
        <f>'Electric CE'!H31</f>
        <v>6000000</v>
      </c>
      <c r="D31" s="527">
        <f>'Electric CE'!N31</f>
        <v>1863157.5</v>
      </c>
      <c r="E31" s="527">
        <f>'Electric CE'!T31</f>
        <v>0</v>
      </c>
      <c r="F31" s="528">
        <f>'Electric CE'!U31</f>
        <v>2.5371717203751945</v>
      </c>
      <c r="G31" s="529">
        <f>'Electric CE'!V31</f>
        <v>2.7908888924127142</v>
      </c>
      <c r="J31" s="415" t="str">
        <f>'Gas CE'!C32</f>
        <v>Commercial Foodservice</v>
      </c>
      <c r="K31" s="416">
        <f>'Gas CE'!H32</f>
        <v>324300</v>
      </c>
      <c r="L31" s="394">
        <f>'Gas CE'!N32</f>
        <v>2966681.55</v>
      </c>
      <c r="M31" s="417">
        <f>'Gas CE'!T32</f>
        <v>5010316.8493479611</v>
      </c>
      <c r="N31" s="425">
        <f>'Gas CE'!U32</f>
        <v>1.4379749556956725</v>
      </c>
      <c r="O31" s="426">
        <f>'Gas CE'!V32</f>
        <v>3.6104728968458937</v>
      </c>
      <c r="P31" s="423"/>
    </row>
    <row r="32" spans="1:19" x14ac:dyDescent="0.25">
      <c r="B32" s="525" t="s">
        <v>790</v>
      </c>
      <c r="C32" s="526">
        <f>'Electric CE'!H32</f>
        <v>12100000</v>
      </c>
      <c r="D32" s="527">
        <f>'Electric CE'!N32</f>
        <v>6281074.7999999998</v>
      </c>
      <c r="E32" s="527">
        <f>'Electric CE'!T32</f>
        <v>0</v>
      </c>
      <c r="F32" s="528">
        <f>'Electric CE'!U32</f>
        <v>2.1627969619148448</v>
      </c>
      <c r="G32" s="529">
        <f>'Electric CE'!V32</f>
        <v>0.99667070589815776</v>
      </c>
      <c r="J32" s="415" t="str">
        <f>'Gas CE'!C33</f>
        <v>Commercial HVAC</v>
      </c>
      <c r="K32" s="416">
        <f>'Gas CE'!H33</f>
        <v>45157.1</v>
      </c>
      <c r="L32" s="394">
        <f>'Gas CE'!N33</f>
        <v>244364.79999999999</v>
      </c>
      <c r="M32" s="417">
        <f>'Gas CE'!T33</f>
        <v>104162.15436637448</v>
      </c>
      <c r="N32" s="425">
        <f>'Gas CE'!U33</f>
        <v>5.7531815100563923</v>
      </c>
      <c r="O32" s="426">
        <f>'Gas CE'!V33</f>
        <v>4.0532753325195507</v>
      </c>
      <c r="P32" s="423"/>
    </row>
    <row r="33" spans="1:19" x14ac:dyDescent="0.25">
      <c r="B33" s="418" t="s">
        <v>386</v>
      </c>
      <c r="C33" s="419">
        <f>'Electric CE'!H33</f>
        <v>6000000</v>
      </c>
      <c r="D33" s="420">
        <f>'Electric CE'!N33</f>
        <v>3926419.8</v>
      </c>
      <c r="E33" s="420">
        <f>'Electric CE'!T33</f>
        <v>0</v>
      </c>
      <c r="F33" s="421">
        <f>'Electric CE'!U33</f>
        <v>2.2718112635979244</v>
      </c>
      <c r="G33" s="422">
        <f>'Electric CE'!V33</f>
        <v>1.3645495128289244</v>
      </c>
      <c r="H33" s="423"/>
      <c r="J33" s="415" t="str">
        <f>'Gas CE'!C34</f>
        <v>Commercial Midstream</v>
      </c>
      <c r="K33" s="416">
        <f>'Gas CE'!H34</f>
        <v>527670</v>
      </c>
      <c r="L33" s="394">
        <f>'Gas CE'!N34</f>
        <v>3120600.1</v>
      </c>
      <c r="M33" s="417">
        <f>'Gas CE'!T34</f>
        <v>0</v>
      </c>
      <c r="N33" s="425">
        <f>'Gas CE'!U34</f>
        <v>2.379741490033167</v>
      </c>
      <c r="O33" s="426">
        <f>'Gas CE'!V34</f>
        <v>1.6307869734717277</v>
      </c>
      <c r="P33" s="423"/>
    </row>
    <row r="34" spans="1:19" x14ac:dyDescent="0.25">
      <c r="B34" s="418" t="s">
        <v>387</v>
      </c>
      <c r="C34" s="419">
        <f>'Electric CE'!H34</f>
        <v>27489000</v>
      </c>
      <c r="D34" s="420">
        <f>'Electric CE'!N34</f>
        <v>4307299.0999999996</v>
      </c>
      <c r="E34" s="420">
        <f>'Electric CE'!T34</f>
        <v>0</v>
      </c>
      <c r="F34" s="421">
        <f>'Electric CE'!U34</f>
        <v>2.4349136983610591</v>
      </c>
      <c r="G34" s="422">
        <f>'Electric CE'!V34</f>
        <v>2.4195578778304103</v>
      </c>
      <c r="H34" s="423"/>
      <c r="J34" s="415" t="str">
        <f>'Gas CE'!C35</f>
        <v>Small Business Direct Install</v>
      </c>
      <c r="K34" s="416">
        <f>'Gas CE'!H35</f>
        <v>58500</v>
      </c>
      <c r="L34" s="394">
        <f>'Gas CE'!N35</f>
        <v>720680</v>
      </c>
      <c r="M34" s="417">
        <f>'Gas CE'!T35</f>
        <v>0</v>
      </c>
      <c r="N34" s="425">
        <f>'Gas CE'!U35</f>
        <v>0.96007284676446925</v>
      </c>
      <c r="O34" s="426">
        <f>'Gas CE'!V35</f>
        <v>1.0560801314409163</v>
      </c>
    </row>
    <row r="35" spans="1:19" x14ac:dyDescent="0.25">
      <c r="B35" s="418" t="s">
        <v>388</v>
      </c>
      <c r="C35" s="419">
        <f>'Electric CE'!H35</f>
        <v>2000000</v>
      </c>
      <c r="D35" s="420">
        <f>'Electric CE'!N35</f>
        <v>1354951.5</v>
      </c>
      <c r="E35" s="420">
        <f>'Electric CE'!T35</f>
        <v>0</v>
      </c>
      <c r="F35" s="421">
        <f>'Electric CE'!U35</f>
        <v>1.9042945909603621</v>
      </c>
      <c r="G35" s="422">
        <f>'Electric CE'!V35</f>
        <v>1.381175903037124</v>
      </c>
      <c r="H35" s="423"/>
      <c r="I35" s="424"/>
      <c r="J35" s="427" t="s">
        <v>484</v>
      </c>
      <c r="K35" s="428">
        <f>SUM(K25:K34)</f>
        <v>2543631.1</v>
      </c>
      <c r="L35" s="428">
        <f t="shared" ref="L35:M35" si="0">SUM(L25:L34)</f>
        <v>15153613.950000001</v>
      </c>
      <c r="M35" s="428">
        <f t="shared" si="0"/>
        <v>5114479.0037143361</v>
      </c>
      <c r="N35" s="430">
        <f>'Gas CE'!U36</f>
        <v>1.7729965710418076</v>
      </c>
      <c r="O35" s="431">
        <f>'Gas CE'!V36</f>
        <v>1.3910864686792339</v>
      </c>
      <c r="P35" s="424"/>
      <c r="S35" s="424"/>
    </row>
    <row r="36" spans="1:19" s="424" customFormat="1" x14ac:dyDescent="0.25">
      <c r="A36"/>
      <c r="B36" s="418" t="s">
        <v>481</v>
      </c>
      <c r="C36" s="419">
        <f>'Electric CE'!H36</f>
        <v>8000000</v>
      </c>
      <c r="D36" s="420">
        <f>'Electric CE'!N36</f>
        <v>5733360.5</v>
      </c>
      <c r="E36" s="420">
        <f>'Electric CE'!T36</f>
        <v>0</v>
      </c>
      <c r="F36" s="421">
        <f>'Electric CE'!U36</f>
        <v>2.133387934035532</v>
      </c>
      <c r="G36" s="422">
        <f>'Electric CE'!V36</f>
        <v>1.6345159686081603</v>
      </c>
      <c r="H36" s="423"/>
      <c r="I36"/>
      <c r="J36" s="433" t="s">
        <v>399</v>
      </c>
      <c r="K36" s="434">
        <f>'Gas CE'!H40</f>
        <v>0</v>
      </c>
      <c r="L36" s="435">
        <f>'Gas CE'!N40</f>
        <v>0</v>
      </c>
      <c r="M36" s="435">
        <f>'Gas CE'!T40</f>
        <v>0</v>
      </c>
      <c r="N36" s="425">
        <f>'Gas CE'!U40</f>
        <v>0</v>
      </c>
      <c r="O36" s="426">
        <f>'Gas CE'!V40</f>
        <v>0</v>
      </c>
      <c r="P36"/>
      <c r="S36"/>
    </row>
    <row r="37" spans="1:19" x14ac:dyDescent="0.25">
      <c r="A37" s="432"/>
      <c r="B37" s="418" t="s">
        <v>482</v>
      </c>
      <c r="C37" s="419">
        <f>'Electric CE'!H37</f>
        <v>3964901</v>
      </c>
      <c r="D37" s="420">
        <f>'Electric CE'!N37</f>
        <v>2993611.6</v>
      </c>
      <c r="E37" s="420">
        <f>'Electric CE'!T37</f>
        <v>0</v>
      </c>
      <c r="F37" s="421">
        <f>'Electric CE'!U37</f>
        <v>1.7958032507976585</v>
      </c>
      <c r="G37" s="422">
        <f>'Electric CE'!V37</f>
        <v>1.4588928274871813</v>
      </c>
      <c r="H37" s="401"/>
      <c r="J37" s="433" t="s">
        <v>485</v>
      </c>
      <c r="K37" s="434">
        <f>'Gas CE'!H41</f>
        <v>0</v>
      </c>
      <c r="L37" s="435">
        <f>'Gas CE'!N41</f>
        <v>0</v>
      </c>
      <c r="M37" s="435">
        <f>'Gas CE'!T41</f>
        <v>0</v>
      </c>
      <c r="N37" s="425">
        <f>'Gas CE'!U41</f>
        <v>0</v>
      </c>
      <c r="O37" s="426">
        <f>'Gas CE'!V41</f>
        <v>0</v>
      </c>
    </row>
    <row r="38" spans="1:19" x14ac:dyDescent="0.25">
      <c r="A38" s="432"/>
      <c r="B38" s="418" t="s">
        <v>483</v>
      </c>
      <c r="C38" s="419">
        <f>'Electric CE'!H39</f>
        <v>27000000</v>
      </c>
      <c r="D38" s="420">
        <f>'Electric CE'!N39</f>
        <v>6481825.6799999997</v>
      </c>
      <c r="E38" s="420">
        <f>'Electric CE'!T39</f>
        <v>0</v>
      </c>
      <c r="F38" s="421">
        <f>'Electric CE'!U39</f>
        <v>6.0532028081234319</v>
      </c>
      <c r="G38" s="422">
        <f>'Electric CE'!V39</f>
        <v>6.6585230889357758</v>
      </c>
      <c r="H38" s="401"/>
      <c r="J38" s="427" t="s">
        <v>401</v>
      </c>
      <c r="K38" s="428">
        <f>SUM(K36:K37)</f>
        <v>0</v>
      </c>
      <c r="L38" s="428">
        <f>SUM(L36:L37)</f>
        <v>0</v>
      </c>
      <c r="M38" s="428">
        <f>SUM(M36:M37)</f>
        <v>0</v>
      </c>
      <c r="N38" s="430">
        <f>SUM(N36:N37)</f>
        <v>0</v>
      </c>
      <c r="O38" s="431">
        <f>SUM(O36:O37)</f>
        <v>0</v>
      </c>
    </row>
    <row r="39" spans="1:19" x14ac:dyDescent="0.25">
      <c r="A39" s="424"/>
      <c r="B39" s="418" t="s">
        <v>788</v>
      </c>
      <c r="C39" s="419">
        <f>'Electric CE'!H40</f>
        <v>2303750</v>
      </c>
      <c r="D39" s="420">
        <f>'Electric CE'!N40</f>
        <v>1864148.55</v>
      </c>
      <c r="E39" s="420">
        <f>'Electric CE'!T40</f>
        <v>454684.19488564454</v>
      </c>
      <c r="F39" s="421">
        <f>'Electric CE'!U40</f>
        <v>1.4870080675637605</v>
      </c>
      <c r="G39" s="422">
        <f>'Electric CE'!V40</f>
        <v>1.9162257077276894</v>
      </c>
      <c r="H39" s="401"/>
      <c r="J39" s="418" t="s">
        <v>486</v>
      </c>
      <c r="K39" s="419">
        <f>'Gas CE'!H37</f>
        <v>0</v>
      </c>
      <c r="L39" s="420">
        <f>'Gas CE'!N37</f>
        <v>3180472</v>
      </c>
      <c r="M39" s="420">
        <f>'Electric CE'!X44</f>
        <v>0</v>
      </c>
      <c r="N39" s="421">
        <f>'Electric CE'!AC44</f>
        <v>0</v>
      </c>
      <c r="O39" s="422">
        <f>'Electric CE'!AD44</f>
        <v>0</v>
      </c>
    </row>
    <row r="40" spans="1:19" x14ac:dyDescent="0.25">
      <c r="B40" s="418" t="s">
        <v>454</v>
      </c>
      <c r="C40" s="419">
        <f>'Electric CE'!H41</f>
        <v>1904066.7</v>
      </c>
      <c r="D40" s="420">
        <f>'Electric CE'!N41</f>
        <v>1361955.2</v>
      </c>
      <c r="E40" s="420">
        <f>'Electric CE'!T41</f>
        <v>148646.91376190452</v>
      </c>
      <c r="F40" s="421">
        <f>'Electric CE'!U41</f>
        <v>2.4994989992525456</v>
      </c>
      <c r="G40" s="422">
        <f>'Electric CE'!V41</f>
        <v>1.7432127058460709</v>
      </c>
      <c r="H40" s="401"/>
      <c r="J40" s="418" t="s">
        <v>406</v>
      </c>
      <c r="K40" s="419">
        <f>'Gas CE'!H38</f>
        <v>0</v>
      </c>
      <c r="L40" s="420">
        <f>'Gas CE'!N38</f>
        <v>563902</v>
      </c>
      <c r="M40" s="420"/>
      <c r="N40" s="421"/>
      <c r="O40" s="422"/>
    </row>
    <row r="41" spans="1:19" x14ac:dyDescent="0.25">
      <c r="B41" s="418" t="s">
        <v>394</v>
      </c>
      <c r="C41" s="419">
        <f>'Electric CE'!H42</f>
        <v>1248450</v>
      </c>
      <c r="D41" s="420">
        <f>'Electric CE'!N42</f>
        <v>1287597</v>
      </c>
      <c r="E41" s="420">
        <f>'Electric CE'!T42</f>
        <v>0</v>
      </c>
      <c r="F41" s="421">
        <f>'Electric CE'!U42</f>
        <v>1.7782792766691673</v>
      </c>
      <c r="G41" s="422">
        <f>'Electric CE'!V42</f>
        <v>1.3345953830453061</v>
      </c>
      <c r="H41" s="401"/>
      <c r="J41" s="427" t="s">
        <v>458</v>
      </c>
      <c r="K41" s="429">
        <f>SUM(K39:K40)</f>
        <v>0</v>
      </c>
      <c r="L41" s="429">
        <f>SUM(L39:L40)</f>
        <v>3744374</v>
      </c>
      <c r="M41" s="429">
        <f>SUM(M39:M40)</f>
        <v>0</v>
      </c>
      <c r="N41" s="430">
        <f>SUM(N39:N40)</f>
        <v>0</v>
      </c>
      <c r="O41" s="431">
        <f>SUM(O39:O40)</f>
        <v>0</v>
      </c>
    </row>
    <row r="42" spans="1:19" x14ac:dyDescent="0.25">
      <c r="B42" s="418" t="s">
        <v>395</v>
      </c>
      <c r="C42" s="419">
        <f>'Electric CE'!H43</f>
        <v>26000000</v>
      </c>
      <c r="D42" s="420">
        <f>'Electric CE'!N43</f>
        <v>15664385.300000001</v>
      </c>
      <c r="E42" s="420">
        <f>'Electric CE'!T43</f>
        <v>0</v>
      </c>
      <c r="F42" s="421">
        <f>'Electric CE'!U43</f>
        <v>2.4120083045882827</v>
      </c>
      <c r="G42" s="422">
        <f>'Electric CE'!V43</f>
        <v>2.6532091350471112</v>
      </c>
      <c r="H42" s="397"/>
      <c r="I42" s="423"/>
      <c r="J42" s="443" t="s">
        <v>487</v>
      </c>
      <c r="K42" s="444">
        <f>'Gas CE'!H59</f>
        <v>0</v>
      </c>
      <c r="L42" s="402">
        <f>'Gas CE'!N57</f>
        <v>5816538.2400000012</v>
      </c>
      <c r="M42" s="402">
        <f>'Gas CE'!T59</f>
        <v>0</v>
      </c>
      <c r="N42" s="445"/>
      <c r="O42" s="446"/>
      <c r="P42" s="423"/>
      <c r="S42" s="423"/>
    </row>
    <row r="43" spans="1:19" s="423" customFormat="1" x14ac:dyDescent="0.25">
      <c r="A43"/>
      <c r="B43" s="418" t="s">
        <v>396</v>
      </c>
      <c r="C43" s="419">
        <f>'Electric CE'!H44</f>
        <v>4000000</v>
      </c>
      <c r="D43" s="420">
        <f>'Electric CE'!N44</f>
        <v>5364183.8</v>
      </c>
      <c r="E43" s="420">
        <f>'Electric CE'!T44</f>
        <v>0</v>
      </c>
      <c r="F43" s="421">
        <f>'Electric CE'!U44</f>
        <v>1.23352870652279</v>
      </c>
      <c r="G43" s="422">
        <f>'Electric CE'!V44</f>
        <v>1.23079422343447</v>
      </c>
      <c r="H43" s="401"/>
      <c r="I43" s="432"/>
      <c r="J43" s="443" t="s">
        <v>489</v>
      </c>
      <c r="K43" s="444">
        <f>'Gas CE'!H63</f>
        <v>0</v>
      </c>
      <c r="L43" s="402">
        <f>'Gas CE'!I63</f>
        <v>1086009.7999999998</v>
      </c>
      <c r="M43" s="402">
        <f>'Gas CE'!T63</f>
        <v>0</v>
      </c>
      <c r="N43" s="445"/>
      <c r="O43" s="446"/>
      <c r="P43" s="432"/>
      <c r="S43" s="432"/>
    </row>
    <row r="44" spans="1:19" s="432" customFormat="1" ht="15.75" thickBot="1" x14ac:dyDescent="0.3">
      <c r="A44"/>
      <c r="B44" s="436" t="s">
        <v>484</v>
      </c>
      <c r="C44" s="437">
        <f>SUM(C27:C43)</f>
        <v>196510167.69999999</v>
      </c>
      <c r="D44" s="438">
        <f>SUM(D27:D43)</f>
        <v>93671718.129999995</v>
      </c>
      <c r="E44" s="438">
        <f>SUM(E27:E43)</f>
        <v>603331.10864754906</v>
      </c>
      <c r="F44" s="439">
        <f>'Electric CE'!U45</f>
        <v>2.507714485011574</v>
      </c>
      <c r="G44" s="440">
        <f>'Electric CE'!V45</f>
        <v>1.8101481517317193</v>
      </c>
      <c r="H44" s="401"/>
      <c r="J44" s="447" t="s">
        <v>490</v>
      </c>
      <c r="K44" s="448">
        <f>K23+K35+K38</f>
        <v>6995352.9085999988</v>
      </c>
      <c r="L44" s="448">
        <f>L23+L35+L38+L41+L42+L43</f>
        <v>54699844.630000003</v>
      </c>
      <c r="M44" s="448">
        <f>M23+M35</f>
        <v>13161930.288286</v>
      </c>
      <c r="N44" s="449">
        <f>'Gas CE'!U65</f>
        <v>1.3541497862659935</v>
      </c>
      <c r="O44" s="450">
        <f>'Gas CE'!V65</f>
        <v>1.2530871618184281</v>
      </c>
    </row>
    <row r="45" spans="1:19" s="432" customFormat="1" x14ac:dyDescent="0.25">
      <c r="A45"/>
      <c r="B45" s="418" t="str">
        <f>'Electric CE'!C46</f>
        <v>Residential Pilots</v>
      </c>
      <c r="C45" s="419">
        <f>'Electric CE'!H46</f>
        <v>0</v>
      </c>
      <c r="D45" s="420">
        <f>'Electric CE'!N46</f>
        <v>10920.4</v>
      </c>
      <c r="E45" s="435">
        <f>'Electric CE'!T46</f>
        <v>0</v>
      </c>
      <c r="F45" s="489">
        <f>IFERROR('Electric CE'!U46,"-")</f>
        <v>0</v>
      </c>
      <c r="G45" s="490">
        <f>IFERROR('Electric CE'!V46,"-")</f>
        <v>0</v>
      </c>
      <c r="H45" s="401"/>
      <c r="J45" s="451" t="s">
        <v>491</v>
      </c>
      <c r="K45" s="452">
        <f>'Gas CE'!H69</f>
        <v>0</v>
      </c>
      <c r="L45" s="453">
        <f>'Gas CE'!N69</f>
        <v>360000</v>
      </c>
      <c r="M45" s="453"/>
      <c r="N45" s="454" t="s">
        <v>492</v>
      </c>
      <c r="O45" s="455" t="s">
        <v>492</v>
      </c>
      <c r="S45" s="424"/>
    </row>
    <row r="46" spans="1:19" s="432" customFormat="1" ht="15.75" thickBot="1" x14ac:dyDescent="0.3">
      <c r="A46"/>
      <c r="B46" s="418" t="s">
        <v>485</v>
      </c>
      <c r="C46" s="419">
        <f>'Electric CE'!H47</f>
        <v>0</v>
      </c>
      <c r="D46" s="420">
        <f>'Electric CE'!N47</f>
        <v>0</v>
      </c>
      <c r="E46" s="435"/>
      <c r="F46" s="441">
        <f>'Electric CE'!U47</f>
        <v>0</v>
      </c>
      <c r="G46" s="442">
        <f>'Electric CE'!V47</f>
        <v>0</v>
      </c>
      <c r="H46" s="401"/>
      <c r="I46" s="424"/>
      <c r="J46" s="456" t="s">
        <v>493</v>
      </c>
      <c r="K46" s="457">
        <f>K22+K35+K38</f>
        <v>7039188.9085999988</v>
      </c>
      <c r="L46" s="457">
        <f>L22+L35+L41+L42+L43+L38+L45</f>
        <v>58230217.330000006</v>
      </c>
      <c r="M46" s="457">
        <f>M22+M35+M38</f>
        <v>14298270.916599011</v>
      </c>
      <c r="N46" s="458"/>
      <c r="O46" s="459"/>
      <c r="P46" s="424"/>
      <c r="S46" s="424"/>
    </row>
    <row r="47" spans="1:19" s="424" customFormat="1" x14ac:dyDescent="0.25">
      <c r="A47" s="423"/>
      <c r="B47" s="436" t="s">
        <v>488</v>
      </c>
      <c r="C47" s="437">
        <f>SUM(C45:C46)</f>
        <v>0</v>
      </c>
      <c r="D47" s="438">
        <f>SUM(D45:D46)</f>
        <v>10920.4</v>
      </c>
      <c r="E47" s="438">
        <f>'Electric CE'!T48</f>
        <v>0</v>
      </c>
      <c r="F47" s="439">
        <f>'Electric CE'!U48</f>
        <v>0</v>
      </c>
      <c r="G47" s="440">
        <f>'Electric CE'!V48</f>
        <v>0</v>
      </c>
      <c r="H47" s="401"/>
      <c r="I47"/>
      <c r="J47"/>
      <c r="K47"/>
      <c r="L47"/>
      <c r="M47"/>
      <c r="N47"/>
      <c r="O47"/>
      <c r="P47"/>
      <c r="S47"/>
    </row>
    <row r="48" spans="1:19" x14ac:dyDescent="0.25">
      <c r="B48" s="418" t="str">
        <f>'Electric CE'!C49</f>
        <v>Northwest Energy Efficiency Alliance</v>
      </c>
      <c r="C48" s="419">
        <f>'Electric CE'!H49</f>
        <v>35698422</v>
      </c>
      <c r="D48" s="420">
        <f>'Electric CE'!N49</f>
        <v>9715288</v>
      </c>
      <c r="E48" s="420">
        <f>'Electric CE'!P49</f>
        <v>0</v>
      </c>
      <c r="F48" s="421">
        <f>'Electric CE'!U49</f>
        <v>2.2046697178485624</v>
      </c>
      <c r="G48" s="422">
        <f>'Electric CE'!V49</f>
        <v>2.4251366896334186</v>
      </c>
      <c r="H48" s="401"/>
      <c r="L48" s="387"/>
      <c r="N48" s="387"/>
      <c r="O48" s="470"/>
    </row>
    <row r="49" spans="1:19" x14ac:dyDescent="0.25">
      <c r="B49" s="418" t="s">
        <v>406</v>
      </c>
      <c r="C49" s="419">
        <f>'Electric CE'!H51</f>
        <v>0</v>
      </c>
      <c r="D49" s="420">
        <f>'Electric CE'!N51</f>
        <v>1167084</v>
      </c>
      <c r="E49" s="420"/>
      <c r="F49" s="421"/>
      <c r="G49" s="422"/>
      <c r="H49" s="401"/>
    </row>
    <row r="50" spans="1:19" x14ac:dyDescent="0.25">
      <c r="B50" s="418" t="str">
        <f>'Electric CE'!C50</f>
        <v>Transmission &amp; Distribution</v>
      </c>
      <c r="C50" s="419">
        <f>'Electric CE'!H50</f>
        <v>17756000</v>
      </c>
      <c r="D50" s="420">
        <f>'Electric CE'!N50</f>
        <v>0</v>
      </c>
      <c r="E50" s="420">
        <f>'Electric CE'!T50</f>
        <v>0</v>
      </c>
      <c r="F50" s="421">
        <f>'Electric CE'!U50</f>
        <v>0</v>
      </c>
      <c r="G50" s="422">
        <f>'Electric CE'!V50</f>
        <v>0</v>
      </c>
      <c r="H50" s="401"/>
      <c r="J50" t="s">
        <v>494</v>
      </c>
    </row>
    <row r="51" spans="1:19" ht="15.75" thickBot="1" x14ac:dyDescent="0.3">
      <c r="B51" s="460" t="s">
        <v>458</v>
      </c>
      <c r="C51" s="461">
        <f>SUM(C48:C50)</f>
        <v>53454422</v>
      </c>
      <c r="D51" s="462">
        <f>SUM(D48:D50)</f>
        <v>10882372</v>
      </c>
      <c r="E51" s="462">
        <f>'Electric CE'!T52</f>
        <v>0</v>
      </c>
      <c r="F51" s="463">
        <f>'Electric CE'!U52</f>
        <v>4.7952060023636847</v>
      </c>
      <c r="G51" s="464">
        <f>'Electric CE'!V52</f>
        <v>4.7090366020864813</v>
      </c>
      <c r="H51" s="412"/>
      <c r="J51" s="2" t="s">
        <v>496</v>
      </c>
    </row>
    <row r="52" spans="1:19" ht="15.75" thickTop="1" x14ac:dyDescent="0.25">
      <c r="B52" s="465" t="s">
        <v>487</v>
      </c>
      <c r="C52" s="466">
        <f>'Electric CE'!H67</f>
        <v>0</v>
      </c>
      <c r="D52" s="467">
        <f>'Electric CE'!$N$67</f>
        <v>27452952.02</v>
      </c>
      <c r="E52" s="467"/>
      <c r="F52" s="468"/>
      <c r="G52" s="469"/>
      <c r="H52" s="397"/>
      <c r="J52" t="s">
        <v>497</v>
      </c>
    </row>
    <row r="53" spans="1:19" x14ac:dyDescent="0.25">
      <c r="B53" s="465" t="s">
        <v>489</v>
      </c>
      <c r="C53" s="466">
        <f>'Electric CE'!H74</f>
        <v>0</v>
      </c>
      <c r="D53" s="467">
        <f>'Electric CE'!$N$74</f>
        <v>7386248.9000000004</v>
      </c>
      <c r="E53" s="467"/>
      <c r="F53" s="468"/>
      <c r="G53" s="469"/>
      <c r="H53" s="401"/>
      <c r="I53" s="423"/>
      <c r="J53" s="474" t="s">
        <v>499</v>
      </c>
      <c r="K53" s="423"/>
      <c r="L53" s="423"/>
      <c r="M53" s="423"/>
      <c r="N53" s="423"/>
      <c r="O53" s="423"/>
      <c r="P53" s="423"/>
      <c r="S53" s="423"/>
    </row>
    <row r="54" spans="1:19" s="423" customFormat="1" x14ac:dyDescent="0.25">
      <c r="A54"/>
      <c r="B54" s="471"/>
      <c r="C54" s="452"/>
      <c r="D54" s="453"/>
      <c r="E54" s="453"/>
      <c r="F54" s="472"/>
      <c r="G54" s="473"/>
      <c r="H54" s="412"/>
      <c r="I54"/>
      <c r="J54" s="387"/>
      <c r="K54" s="387"/>
      <c r="L54" s="387"/>
      <c r="M54" s="387"/>
      <c r="N54" s="387"/>
      <c r="O54" s="387"/>
      <c r="P54"/>
      <c r="S54"/>
    </row>
    <row r="55" spans="1:19" ht="15.75" thickBot="1" x14ac:dyDescent="0.3">
      <c r="B55" s="447" t="s">
        <v>495</v>
      </c>
      <c r="C55" s="448">
        <f>C25+C44+C47+C51</f>
        <v>403757434.93138003</v>
      </c>
      <c r="D55" s="448">
        <f>D25+D44+D47+D51+D52+D53</f>
        <v>205343401.59</v>
      </c>
      <c r="E55" s="448">
        <f>E25+E44</f>
        <v>8963438.1006804202</v>
      </c>
      <c r="F55" s="449">
        <f>'Electric CE'!U75</f>
        <v>2.1208884603373606</v>
      </c>
      <c r="G55" s="450">
        <f>'Electric CE'!V75</f>
        <v>1.7309686710129868</v>
      </c>
      <c r="H55" s="401"/>
      <c r="J55" s="387" t="s">
        <v>501</v>
      </c>
      <c r="K55" s="387"/>
      <c r="L55" s="387"/>
      <c r="M55" s="387"/>
      <c r="N55" s="387"/>
      <c r="O55" s="387"/>
    </row>
    <row r="56" spans="1:19" x14ac:dyDescent="0.25">
      <c r="B56" s="471"/>
      <c r="C56" s="452"/>
      <c r="D56" s="453"/>
      <c r="E56" s="453"/>
      <c r="F56" s="472"/>
      <c r="G56" s="473"/>
      <c r="H56" s="401"/>
      <c r="J56" s="387" t="s">
        <v>502</v>
      </c>
      <c r="K56" s="387"/>
      <c r="L56" s="387"/>
      <c r="M56" s="387"/>
      <c r="N56" s="387"/>
      <c r="O56" s="387"/>
    </row>
    <row r="57" spans="1:19" x14ac:dyDescent="0.25">
      <c r="B57" s="471" t="s">
        <v>498</v>
      </c>
      <c r="C57" s="452">
        <f>'Electric CE'!H80</f>
        <v>0</v>
      </c>
      <c r="D57" s="453">
        <f>'Electric CE'!N80</f>
        <v>19411925</v>
      </c>
      <c r="E57" s="453"/>
      <c r="F57" s="454" t="s">
        <v>492</v>
      </c>
      <c r="G57" s="455" t="s">
        <v>492</v>
      </c>
      <c r="H57" s="412"/>
      <c r="J57" s="387" t="s">
        <v>503</v>
      </c>
      <c r="K57" s="387"/>
      <c r="L57" s="387"/>
      <c r="M57" s="387"/>
      <c r="N57" s="387"/>
      <c r="O57" s="387"/>
    </row>
    <row r="58" spans="1:19" ht="15.75" thickBot="1" x14ac:dyDescent="0.3">
      <c r="B58" s="475" t="s">
        <v>500</v>
      </c>
      <c r="C58" s="476">
        <f>C24+C44+C47+C51+C57</f>
        <v>408064946.33138001</v>
      </c>
      <c r="D58" s="476">
        <f>D24+D44+D47+D51+D52+D53+D57</f>
        <v>246287464.19000003</v>
      </c>
      <c r="E58" s="476">
        <f>E24+E44+E47+E51+E52+E53+E57</f>
        <v>18037500.049436629</v>
      </c>
      <c r="F58" s="477"/>
      <c r="G58" s="478"/>
      <c r="H58" s="397"/>
      <c r="J58" s="387" t="s">
        <v>504</v>
      </c>
      <c r="K58" s="387"/>
      <c r="L58" s="387"/>
      <c r="M58" s="387"/>
      <c r="N58" s="387"/>
      <c r="O58" s="387"/>
    </row>
    <row r="59" spans="1:19" x14ac:dyDescent="0.25">
      <c r="H59" s="397"/>
    </row>
    <row r="60" spans="1:19" x14ac:dyDescent="0.25">
      <c r="B60" s="423"/>
      <c r="D60" s="479"/>
      <c r="E60" s="480"/>
      <c r="H60" s="397"/>
    </row>
    <row r="61" spans="1:19" x14ac:dyDescent="0.25">
      <c r="D61" s="481"/>
      <c r="E61" s="480"/>
      <c r="H61" s="482"/>
    </row>
    <row r="62" spans="1:19" x14ac:dyDescent="0.25">
      <c r="E62" s="412"/>
      <c r="H62" s="397"/>
    </row>
    <row r="63" spans="1:19" x14ac:dyDescent="0.25">
      <c r="H63" s="483"/>
    </row>
    <row r="64" spans="1:19" x14ac:dyDescent="0.25">
      <c r="F64" s="484"/>
      <c r="G64" s="470" t="s">
        <v>505</v>
      </c>
      <c r="H64" s="482"/>
    </row>
  </sheetData>
  <pageMargins left="0.5" right="0.5" top="0.75" bottom="0.75" header="0.3" footer="0.3"/>
  <pageSetup paperSize="5" scale="51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I5" sqref="I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18230016</v>
      </c>
      <c r="D2" s="19" t="s">
        <v>804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18230016</v>
      </c>
      <c r="D5" s="60" t="s">
        <v>804</v>
      </c>
      <c r="E5" s="37"/>
      <c r="F5" s="38"/>
      <c r="G5" s="38">
        <v>5</v>
      </c>
      <c r="H5" s="38"/>
      <c r="I5" s="39" t="s">
        <v>267</v>
      </c>
      <c r="J5" s="40">
        <v>1</v>
      </c>
      <c r="K5" s="42">
        <v>290400</v>
      </c>
      <c r="L5" s="40"/>
      <c r="M5" s="41"/>
      <c r="N5" s="41"/>
      <c r="O5" s="42">
        <v>290400</v>
      </c>
      <c r="P5" s="43">
        <v>0</v>
      </c>
      <c r="Q5" s="43">
        <v>303600</v>
      </c>
      <c r="R5" s="44"/>
      <c r="S5" s="45"/>
      <c r="T5" s="38">
        <f t="shared" ref="T5:T50" si="0">G5+H5</f>
        <v>5</v>
      </c>
      <c r="U5" s="46">
        <f t="shared" ref="U5:U50" si="1">(O5/$A$10)*T5</f>
        <v>5</v>
      </c>
      <c r="V5" s="47">
        <f t="shared" ref="V5:V50" si="2">N5-M5</f>
        <v>0</v>
      </c>
      <c r="W5" s="48">
        <f t="shared" ref="W5:W50" si="3">(O5/A$10)</f>
        <v>1</v>
      </c>
      <c r="X5" s="43">
        <f t="shared" ref="X5:X50" si="4">W5*A$8</f>
        <v>41268</v>
      </c>
      <c r="Y5" s="43">
        <f t="shared" ref="Y5:Y50" si="5">Q5-P5</f>
        <v>303600</v>
      </c>
      <c r="Z5" s="43">
        <f t="shared" ref="Z5:Z50" si="6">X5+(A$6*W5)</f>
        <v>41268</v>
      </c>
      <c r="AA5" s="49">
        <f t="shared" ref="AA5:AA50" si="7">Q5+X5</f>
        <v>344868</v>
      </c>
      <c r="AB5" s="50">
        <f t="shared" ref="AB5:AC20" si="8">Z5/(1+ElecDiscountRate)^1</f>
        <v>38640.449438202246</v>
      </c>
      <c r="AC5" s="43">
        <f t="shared" si="8"/>
        <v>322910.11235955055</v>
      </c>
      <c r="AD5" s="43">
        <f t="shared" ref="AD5:AD50" si="9">-PV(ElecDiscountRate,T5,R5)*J5</f>
        <v>0</v>
      </c>
      <c r="AE5" s="43">
        <v>0</v>
      </c>
      <c r="AF5" s="51">
        <f>HLOOKUP(I5,ElecAvoidedCostsWOCC!$A$5:$Q$50,G5+1,FALSE)</f>
        <v>0.58091639417414176</v>
      </c>
      <c r="AG5" s="43">
        <f t="shared" ref="AG5:AG50" si="10">AF5*J5*K5</f>
        <v>168698.12086817078</v>
      </c>
      <c r="AH5" s="51">
        <f>HLOOKUP(I5,ElecAvoidedCostsWOCC!$A$5:$Q$50,T5+1,FALSE)</f>
        <v>0.58091639417414176</v>
      </c>
      <c r="AI5" s="43">
        <f t="shared" ref="AI5:AI50" si="11">AH5*J5*L5</f>
        <v>0</v>
      </c>
      <c r="AJ5" s="43">
        <f>AG5+AI5</f>
        <v>168698.12086817078</v>
      </c>
      <c r="AK5" s="43">
        <f>HLOOKUP(I5,ElecAvoidedCostsWOCC!$A$5:$Q$50,G5+1,FALSE)*J5*L5</f>
        <v>0</v>
      </c>
      <c r="AL5" s="43">
        <f>AG5+AI5-AK5</f>
        <v>168698.12086817078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168698.12086817078</v>
      </c>
      <c r="AN5" s="47">
        <f>AM5*1.1+AD5+AE5</f>
        <v>185567.93295498786</v>
      </c>
      <c r="AO5" s="46">
        <f>IFERROR(AM5/AB5,0)</f>
        <v>4.3658426162451871</v>
      </c>
      <c r="AP5" s="46">
        <f>AN5/AC5</f>
        <v>0.57467365019638539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18230017</v>
      </c>
      <c r="D6" s="60" t="s">
        <v>804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50" si="12">AG6+AI6</f>
        <v>#N/A</v>
      </c>
      <c r="AK6" s="43" t="e">
        <f>HLOOKUP(I6,ElecAvoidedCostsWOCC!$A$5:$Q$50,G6+1,FALSE)*J6*L6</f>
        <v>#N/A</v>
      </c>
      <c r="AL6" s="43" t="e">
        <f t="shared" ref="AL6:AL50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50" si="14">AM6*1.1+AD6+AE6</f>
        <v>0</v>
      </c>
      <c r="AO6" s="46">
        <f t="shared" ref="AO6:AO50" si="15">IFERROR(AM6/AB6,0)</f>
        <v>0</v>
      </c>
      <c r="AP6" s="46" t="e">
        <f t="shared" ref="AP6:AP50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18230018</v>
      </c>
      <c r="D7" s="60" t="s">
        <v>804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41268</v>
      </c>
      <c r="B8" s="88" t="s">
        <v>15</v>
      </c>
      <c r="C8" s="60">
        <v>18230019</v>
      </c>
      <c r="D8" s="60" t="s">
        <v>804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18230020</v>
      </c>
      <c r="D9" s="60" t="s">
        <v>804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50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290400</v>
      </c>
      <c r="B10" s="88" t="s">
        <v>15</v>
      </c>
      <c r="C10" s="60">
        <v>18230021</v>
      </c>
      <c r="D10" s="60" t="s">
        <v>804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18230022</v>
      </c>
      <c r="D11" s="60" t="s">
        <v>804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18230023</v>
      </c>
      <c r="D12" s="60" t="s">
        <v>804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18230024</v>
      </c>
      <c r="D13" s="60" t="s">
        <v>804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303600</v>
      </c>
      <c r="B14" s="88" t="s">
        <v>15</v>
      </c>
      <c r="C14" s="60">
        <v>18230025</v>
      </c>
      <c r="D14" s="60" t="s">
        <v>804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18230026</v>
      </c>
      <c r="D15" s="60" t="s">
        <v>804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88" t="s">
        <v>15</v>
      </c>
      <c r="C16" s="60">
        <v>18230027</v>
      </c>
      <c r="D16" s="60" t="s">
        <v>804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18230028</v>
      </c>
      <c r="D17" s="60" t="s">
        <v>804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41268</v>
      </c>
      <c r="B18" s="88" t="s">
        <v>15</v>
      </c>
      <c r="C18" s="60">
        <v>18230029</v>
      </c>
      <c r="D18" s="60" t="s">
        <v>804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18230030</v>
      </c>
      <c r="D19" s="60" t="s">
        <v>804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344868</v>
      </c>
      <c r="B20" s="88" t="s">
        <v>15</v>
      </c>
      <c r="C20" s="60">
        <v>18230031</v>
      </c>
      <c r="D20" s="60" t="s">
        <v>804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18230032</v>
      </c>
      <c r="D21" s="60" t="s">
        <v>804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4.3658426162451871</v>
      </c>
      <c r="B22" s="88" t="s">
        <v>15</v>
      </c>
      <c r="C22" s="60">
        <v>18230033</v>
      </c>
      <c r="D22" s="60" t="s">
        <v>804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18230034</v>
      </c>
      <c r="D23" s="60" t="s">
        <v>804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0.57467365019638539</v>
      </c>
      <c r="B24" s="88" t="s">
        <v>15</v>
      </c>
      <c r="C24" s="60">
        <v>18230035</v>
      </c>
      <c r="D24" s="60" t="s">
        <v>804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18230036</v>
      </c>
      <c r="D25" s="60" t="s">
        <v>804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 t="s">
        <v>15</v>
      </c>
      <c r="C26" s="60">
        <v>18230037</v>
      </c>
      <c r="D26" s="60" t="s">
        <v>804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 t="s">
        <v>15</v>
      </c>
      <c r="C27" s="60">
        <v>18230038</v>
      </c>
      <c r="D27" s="60" t="s">
        <v>804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 t="s">
        <v>15</v>
      </c>
      <c r="C28" s="60">
        <v>18230039</v>
      </c>
      <c r="D28" s="60" t="s">
        <v>804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50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</sheetData>
  <conditionalFormatting sqref="J6:L50 J5 L5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50 R5:S50">
    <cfRule type="expression" dxfId="317" priority="2">
      <formula>ISTEXT(M5)</formula>
    </cfRule>
  </conditionalFormatting>
  <conditionalFormatting sqref="M5:N50 R5:S50">
    <cfRule type="notContainsBlanks" dxfId="316" priority="3">
      <formula>LEN(TRIM(M5))&gt;0</formula>
    </cfRule>
  </conditionalFormatting>
  <conditionalFormatting sqref="R5:S50">
    <cfRule type="expression" dxfId="3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70" zoomScaleNormal="70" workbookViewId="0">
      <selection activeCell="M33" sqref="M33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18230023</v>
      </c>
      <c r="D2" s="19" t="s">
        <v>297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18230023</v>
      </c>
      <c r="D5" s="60" t="s">
        <v>297</v>
      </c>
      <c r="E5" s="37" t="s">
        <v>1971</v>
      </c>
      <c r="F5" s="38" t="s">
        <v>587</v>
      </c>
      <c r="G5" s="38">
        <v>7</v>
      </c>
      <c r="H5" s="38">
        <v>0</v>
      </c>
      <c r="I5" s="39" t="s">
        <v>273</v>
      </c>
      <c r="J5" s="40">
        <v>28.062999999999999</v>
      </c>
      <c r="K5" s="40">
        <v>245</v>
      </c>
      <c r="L5" s="40">
        <v>0</v>
      </c>
      <c r="M5" s="41">
        <v>75</v>
      </c>
      <c r="N5" s="41">
        <v>165.03</v>
      </c>
      <c r="O5" s="42">
        <v>6875.4349999999995</v>
      </c>
      <c r="P5" s="43">
        <v>2104.73</v>
      </c>
      <c r="Q5" s="43">
        <v>4631.2368900000001</v>
      </c>
      <c r="R5" s="44">
        <v>10.6281</v>
      </c>
      <c r="S5" s="45"/>
      <c r="T5" s="38">
        <f t="shared" ref="T5:T24" si="0">G5+H5</f>
        <v>7</v>
      </c>
      <c r="U5" s="46">
        <f t="shared" ref="U5:U24" si="1">(O5/$A$10)*T5</f>
        <v>2.6328245922983051E-2</v>
      </c>
      <c r="V5" s="47">
        <f t="shared" ref="V5:V24" si="2">N5-M5</f>
        <v>90.03</v>
      </c>
      <c r="W5" s="48">
        <f t="shared" ref="W5:W24" si="3">(O5/A$10)</f>
        <v>3.7611779889975788E-3</v>
      </c>
      <c r="X5" s="43">
        <f t="shared" ref="X5:X24" si="4">W5*A$8</f>
        <v>1990.7719514508758</v>
      </c>
      <c r="Y5" s="43">
        <f t="shared" ref="Y5:Y24" si="5">Q5-P5</f>
        <v>2526.5068900000001</v>
      </c>
      <c r="Z5" s="43">
        <f t="shared" ref="Z5:Z24" si="6">X5+(A$6*W5)</f>
        <v>6834.8108738527462</v>
      </c>
      <c r="AA5" s="49">
        <f t="shared" ref="AA5:AA24" si="7">Q5+X5</f>
        <v>6622.0088414508755</v>
      </c>
      <c r="AB5" s="50">
        <f t="shared" ref="AB5:AC20" si="8">Z5/(1+ElecDiscountRate)^1</f>
        <v>6399.6356496748558</v>
      </c>
      <c r="AC5" s="43">
        <f t="shared" si="8"/>
        <v>6200.3828103472615</v>
      </c>
      <c r="AD5" s="43">
        <f t="shared" ref="AD5:AD24" si="9">-PV(ElecDiscountRate,T5,R5)*J5</f>
        <v>1618.6586682594502</v>
      </c>
      <c r="AE5" s="43">
        <v>0</v>
      </c>
      <c r="AF5" s="51">
        <f>HLOOKUP(I5,ElecAvoidedCostsWOCC!$A$5:$Q$50,G5+1,FALSE)</f>
        <v>0.98146455242736486</v>
      </c>
      <c r="AG5" s="43">
        <f t="shared" ref="AG5:AG24" si="10">AF5*J5*K5</f>
        <v>6747.9957350184386</v>
      </c>
      <c r="AH5" s="51">
        <f>HLOOKUP(I5,ElecAvoidedCostsWOCC!$A$5:$Q$50,T5+1,FALSE)</f>
        <v>0.98146455242736486</v>
      </c>
      <c r="AI5" s="43">
        <f t="shared" ref="AI5:AI24" si="11">AH5*J5*L5</f>
        <v>0</v>
      </c>
      <c r="AJ5" s="43">
        <f>AG5+AI5</f>
        <v>6747.9957350184386</v>
      </c>
      <c r="AK5" s="43">
        <f>HLOOKUP(I5,ElecAvoidedCostsWOCC!$A$5:$Q$50,G5+1,FALSE)*J5*L5</f>
        <v>0</v>
      </c>
      <c r="AL5" s="43">
        <f>AG5+AI5-AK5</f>
        <v>6747.9957350184386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6747.9957350184386</v>
      </c>
      <c r="AN5" s="47">
        <f>AM5*1.1+AD5+AE5</f>
        <v>9041.4539767797341</v>
      </c>
      <c r="AO5" s="46">
        <f>IFERROR(AM5/AB5,0)</f>
        <v>1.0544343622689336</v>
      </c>
      <c r="AP5" s="46">
        <f>AN5/AC5</f>
        <v>1.4582089934336415</v>
      </c>
    </row>
    <row r="6" spans="1:42" ht="13.5" customHeight="1" x14ac:dyDescent="0.25">
      <c r="A6" s="52">
        <f>SUMIF('Program Costs'!D:D,C2,'Program Costs'!L:L)</f>
        <v>1287904.73</v>
      </c>
      <c r="B6" s="88" t="s">
        <v>15</v>
      </c>
      <c r="C6" s="60">
        <v>18230023</v>
      </c>
      <c r="D6" s="60" t="s">
        <v>297</v>
      </c>
      <c r="E6" s="37" t="s">
        <v>1972</v>
      </c>
      <c r="F6" s="38" t="s">
        <v>588</v>
      </c>
      <c r="G6" s="38">
        <v>7</v>
      </c>
      <c r="H6" s="38">
        <v>0</v>
      </c>
      <c r="I6" s="39" t="s">
        <v>273</v>
      </c>
      <c r="J6" s="40">
        <v>17</v>
      </c>
      <c r="K6" s="40">
        <v>245</v>
      </c>
      <c r="L6" s="40">
        <v>0</v>
      </c>
      <c r="M6" s="41">
        <v>175</v>
      </c>
      <c r="N6" s="41">
        <v>165.03</v>
      </c>
      <c r="O6" s="42">
        <v>4165</v>
      </c>
      <c r="P6" s="43">
        <v>2975</v>
      </c>
      <c r="Q6" s="43">
        <v>2805.51</v>
      </c>
      <c r="R6" s="44">
        <v>10.6281</v>
      </c>
      <c r="S6" s="45"/>
      <c r="T6" s="38">
        <f t="shared" si="0"/>
        <v>7</v>
      </c>
      <c r="U6" s="46">
        <f t="shared" si="1"/>
        <v>1.5949120931144638E-2</v>
      </c>
      <c r="V6" s="47">
        <f t="shared" si="2"/>
        <v>-9.9699999999999989</v>
      </c>
      <c r="W6" s="48">
        <f t="shared" si="3"/>
        <v>2.2784458473063766E-3</v>
      </c>
      <c r="X6" s="43">
        <f t="shared" si="4"/>
        <v>1205.9695390608592</v>
      </c>
      <c r="Y6" s="43">
        <f t="shared" si="5"/>
        <v>-169.48999999999978</v>
      </c>
      <c r="Z6" s="43">
        <f t="shared" si="6"/>
        <v>4140.3907228555991</v>
      </c>
      <c r="AA6" s="49">
        <f t="shared" si="7"/>
        <v>4011.4795390608597</v>
      </c>
      <c r="AB6" s="50">
        <f t="shared" si="8"/>
        <v>3876.7703397524333</v>
      </c>
      <c r="AC6" s="43">
        <f t="shared" si="8"/>
        <v>3756.0669841393815</v>
      </c>
      <c r="AD6" s="43">
        <f t="shared" si="9"/>
        <v>980.55080926524806</v>
      </c>
      <c r="AE6" s="43">
        <v>0</v>
      </c>
      <c r="AF6" s="51">
        <f>HLOOKUP(I6,ElecAvoidedCostsWOCC!$A$5:$Q$50,G6+1,FALSE)</f>
        <v>0.98146455242736486</v>
      </c>
      <c r="AG6" s="43">
        <f t="shared" si="10"/>
        <v>4087.7998608599746</v>
      </c>
      <c r="AH6" s="51">
        <f>HLOOKUP(I6,ElecAvoidedCostsWOCC!$A$5:$Q$50,T6+1,FALSE)</f>
        <v>0.98146455242736486</v>
      </c>
      <c r="AI6" s="43">
        <f t="shared" si="11"/>
        <v>0</v>
      </c>
      <c r="AJ6" s="43">
        <f t="shared" ref="AJ6:AJ24" si="12">AG6+AI6</f>
        <v>4087.7998608599746</v>
      </c>
      <c r="AK6" s="43">
        <f>HLOOKUP(I6,ElecAvoidedCostsWOCC!$A$5:$Q$50,G6+1,FALSE)*J6*L6</f>
        <v>0</v>
      </c>
      <c r="AL6" s="43">
        <f t="shared" ref="AL6:AL24" si="13">AG6+AI6-AK6</f>
        <v>4087.7998608599746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4087.7998608599746</v>
      </c>
      <c r="AN6" s="47">
        <f t="shared" ref="AN6:AN24" si="14">AM6*1.1+AD6+AE6</f>
        <v>5477.1306562112204</v>
      </c>
      <c r="AO6" s="46">
        <f t="shared" ref="AO6:AO24" si="15">IFERROR(AM6/AB6,0)</f>
        <v>1.0544343622689338</v>
      </c>
      <c r="AP6" s="46">
        <f t="shared" ref="AP6:AP24" si="16">AN6/AC6</f>
        <v>1.4582089934336413</v>
      </c>
    </row>
    <row r="7" spans="1:42" ht="13.5" customHeight="1" x14ac:dyDescent="0.25">
      <c r="A7" s="35" t="s">
        <v>239</v>
      </c>
      <c r="B7" s="88" t="s">
        <v>15</v>
      </c>
      <c r="C7" s="60">
        <v>18230023</v>
      </c>
      <c r="D7" s="60" t="s">
        <v>297</v>
      </c>
      <c r="E7" s="37" t="s">
        <v>1520</v>
      </c>
      <c r="F7" s="38" t="s">
        <v>591</v>
      </c>
      <c r="G7" s="38">
        <v>15</v>
      </c>
      <c r="H7" s="38">
        <v>0</v>
      </c>
      <c r="I7" s="39" t="s">
        <v>273</v>
      </c>
      <c r="J7" s="40">
        <v>3214</v>
      </c>
      <c r="K7" s="40">
        <v>58</v>
      </c>
      <c r="L7" s="40">
        <v>0</v>
      </c>
      <c r="M7" s="41">
        <v>75</v>
      </c>
      <c r="N7" s="41">
        <v>91.85</v>
      </c>
      <c r="O7" s="42">
        <v>186412</v>
      </c>
      <c r="P7" s="43">
        <v>241050</v>
      </c>
      <c r="Q7" s="43">
        <v>295205.89999999997</v>
      </c>
      <c r="R7" s="44">
        <v>2.0093999999999999</v>
      </c>
      <c r="S7" s="45"/>
      <c r="T7" s="38">
        <f t="shared" si="0"/>
        <v>15</v>
      </c>
      <c r="U7" s="46">
        <f t="shared" si="1"/>
        <v>1.529638585671343</v>
      </c>
      <c r="V7" s="47">
        <f t="shared" si="2"/>
        <v>16.849999999999994</v>
      </c>
      <c r="W7" s="48">
        <f t="shared" si="3"/>
        <v>0.10197590571142287</v>
      </c>
      <c r="X7" s="43">
        <f t="shared" si="4"/>
        <v>53975.316618346427</v>
      </c>
      <c r="Y7" s="43">
        <f t="shared" si="5"/>
        <v>54155.899999999965</v>
      </c>
      <c r="Z7" s="43">
        <f t="shared" si="6"/>
        <v>185310.56793012196</v>
      </c>
      <c r="AA7" s="49">
        <f t="shared" si="7"/>
        <v>349181.2166183464</v>
      </c>
      <c r="AB7" s="50">
        <f t="shared" si="8"/>
        <v>173511.76772483328</v>
      </c>
      <c r="AC7" s="43">
        <f t="shared" si="8"/>
        <v>326948.70469882619</v>
      </c>
      <c r="AD7" s="43">
        <f t="shared" si="9"/>
        <v>59571.148171328539</v>
      </c>
      <c r="AE7" s="43">
        <v>0</v>
      </c>
      <c r="AF7" s="51">
        <f>HLOOKUP(I7,ElecAvoidedCostsWOCC!$A$5:$Q$50,G7+1,FALSE)</f>
        <v>1.7462566560958237</v>
      </c>
      <c r="AG7" s="43">
        <f t="shared" si="10"/>
        <v>325523.19577613467</v>
      </c>
      <c r="AH7" s="51">
        <f>HLOOKUP(I7,ElecAvoidedCostsWOCC!$A$5:$Q$50,T7+1,FALSE)</f>
        <v>1.7462566560958237</v>
      </c>
      <c r="AI7" s="43">
        <f t="shared" si="11"/>
        <v>0</v>
      </c>
      <c r="AJ7" s="43">
        <f t="shared" si="12"/>
        <v>325523.19577613467</v>
      </c>
      <c r="AK7" s="43">
        <f>HLOOKUP(I7,ElecAvoidedCostsWOCC!$A$5:$Q$50,G7+1,FALSE)*J7*L7</f>
        <v>0</v>
      </c>
      <c r="AL7" s="43">
        <f t="shared" si="13"/>
        <v>325523.19577613467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325523.19577613467</v>
      </c>
      <c r="AN7" s="47">
        <f t="shared" si="14"/>
        <v>417646.6635250767</v>
      </c>
      <c r="AO7" s="46">
        <f t="shared" si="15"/>
        <v>1.8760871383223496</v>
      </c>
      <c r="AP7" s="46">
        <f t="shared" si="16"/>
        <v>1.2774073043347833</v>
      </c>
    </row>
    <row r="8" spans="1:42" ht="13.5" customHeight="1" x14ac:dyDescent="0.25">
      <c r="A8" s="52">
        <f>SUMIF('Program Costs'!D:D,C2,'Program Costs'!O:O)</f>
        <v>529294.80000000005</v>
      </c>
      <c r="B8" s="88" t="s">
        <v>15</v>
      </c>
      <c r="C8" s="60">
        <v>18230023</v>
      </c>
      <c r="D8" s="60" t="s">
        <v>297</v>
      </c>
      <c r="E8" s="37" t="s">
        <v>1973</v>
      </c>
      <c r="F8" s="38" t="s">
        <v>592</v>
      </c>
      <c r="G8" s="38">
        <v>15</v>
      </c>
      <c r="H8" s="38">
        <v>0</v>
      </c>
      <c r="I8" s="39" t="s">
        <v>273</v>
      </c>
      <c r="J8" s="40">
        <v>0</v>
      </c>
      <c r="K8" s="40">
        <v>58</v>
      </c>
      <c r="L8" s="40">
        <v>0</v>
      </c>
      <c r="M8" s="41">
        <v>100</v>
      </c>
      <c r="N8" s="41">
        <v>91.85</v>
      </c>
      <c r="O8" s="42">
        <v>0</v>
      </c>
      <c r="P8" s="43">
        <v>0</v>
      </c>
      <c r="Q8" s="43">
        <v>0</v>
      </c>
      <c r="R8" s="44">
        <v>2.0093999999999999</v>
      </c>
      <c r="S8" s="45"/>
      <c r="T8" s="38">
        <f t="shared" si="0"/>
        <v>15</v>
      </c>
      <c r="U8" s="46">
        <f t="shared" si="1"/>
        <v>0</v>
      </c>
      <c r="V8" s="47">
        <f t="shared" si="2"/>
        <v>-8.1500000000000057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1.7462566560958237</v>
      </c>
      <c r="AG8" s="43">
        <f t="shared" si="10"/>
        <v>0</v>
      </c>
      <c r="AH8" s="51">
        <f>HLOOKUP(I8,ElecAvoidedCostsWOCC!$A$5:$Q$50,T8+1,FALSE)</f>
        <v>1.7462566560958237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18230023</v>
      </c>
      <c r="D9" s="60" t="s">
        <v>297</v>
      </c>
      <c r="E9" s="37" t="s">
        <v>1974</v>
      </c>
      <c r="F9" s="38" t="s">
        <v>593</v>
      </c>
      <c r="G9" s="38">
        <v>0</v>
      </c>
      <c r="H9" s="38">
        <v>0</v>
      </c>
      <c r="I9" s="39" t="s">
        <v>273</v>
      </c>
      <c r="J9" s="40">
        <v>2</v>
      </c>
      <c r="K9" s="40">
        <v>0</v>
      </c>
      <c r="L9" s="40">
        <v>0</v>
      </c>
      <c r="M9" s="41">
        <v>0</v>
      </c>
      <c r="N9" s="41">
        <v>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str">
        <f>HLOOKUP(I9,ElecAvoidedCostsWOCC!$A$5:$Q$50,G9+1,FALSE)</f>
        <v>SF Space Heat</v>
      </c>
      <c r="AG9" s="43" t="e">
        <f t="shared" si="10"/>
        <v>#VALUE!</v>
      </c>
      <c r="AH9" s="51" t="str">
        <f>HLOOKUP(I9,ElecAvoidedCostsWOCC!$A$5:$Q$50,T9+1,FALSE)</f>
        <v>SF Space Heat</v>
      </c>
      <c r="AI9" s="43" t="e">
        <f t="shared" si="11"/>
        <v>#VALUE!</v>
      </c>
      <c r="AJ9" s="43" t="e">
        <f t="shared" si="12"/>
        <v>#VALUE!</v>
      </c>
      <c r="AK9" s="43" t="e">
        <f>HLOOKUP(I9,ElecAvoidedCostsWOCC!$A$5:$Q$50,G9+1,FALSE)*J9*L9</f>
        <v>#VALUE!</v>
      </c>
      <c r="AL9" s="43" t="e">
        <f t="shared" si="13"/>
        <v>#VALUE!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1828000.4350000001</v>
      </c>
      <c r="B10" s="88" t="s">
        <v>15</v>
      </c>
      <c r="C10" s="60">
        <v>18230023</v>
      </c>
      <c r="D10" s="60" t="s">
        <v>297</v>
      </c>
      <c r="E10" s="37" t="s">
        <v>1521</v>
      </c>
      <c r="F10" s="38" t="s">
        <v>1522</v>
      </c>
      <c r="G10" s="38">
        <v>15</v>
      </c>
      <c r="H10" s="38">
        <v>0</v>
      </c>
      <c r="I10" s="39" t="s">
        <v>273</v>
      </c>
      <c r="J10" s="40">
        <v>1000</v>
      </c>
      <c r="K10" s="40">
        <v>58</v>
      </c>
      <c r="L10" s="40">
        <v>0</v>
      </c>
      <c r="M10" s="41">
        <v>130</v>
      </c>
      <c r="N10" s="41">
        <v>91.85</v>
      </c>
      <c r="O10" s="42">
        <v>58000</v>
      </c>
      <c r="P10" s="43">
        <v>130000</v>
      </c>
      <c r="Q10" s="43">
        <v>91850</v>
      </c>
      <c r="R10" s="44">
        <v>2.0093999999999999</v>
      </c>
      <c r="S10" s="45"/>
      <c r="T10" s="38">
        <f t="shared" si="0"/>
        <v>15</v>
      </c>
      <c r="U10" s="46">
        <f t="shared" si="1"/>
        <v>0.47592986486351679</v>
      </c>
      <c r="V10" s="47">
        <f t="shared" si="2"/>
        <v>-38.150000000000006</v>
      </c>
      <c r="W10" s="48">
        <f t="shared" si="3"/>
        <v>3.1728657657567785E-2</v>
      </c>
      <c r="X10" s="43">
        <f t="shared" si="4"/>
        <v>16793.81350913081</v>
      </c>
      <c r="Y10" s="43">
        <f t="shared" si="5"/>
        <v>-38150</v>
      </c>
      <c r="Z10" s="43">
        <f t="shared" si="6"/>
        <v>57657.301782863084</v>
      </c>
      <c r="AA10" s="49">
        <f t="shared" si="7"/>
        <v>108643.81350913081</v>
      </c>
      <c r="AB10" s="50">
        <f t="shared" si="8"/>
        <v>53986.237624403635</v>
      </c>
      <c r="AC10" s="43">
        <f t="shared" si="8"/>
        <v>101726.4171433809</v>
      </c>
      <c r="AD10" s="43">
        <f t="shared" si="9"/>
        <v>18534.893643848332</v>
      </c>
      <c r="AE10" s="43">
        <f t="shared" si="17"/>
        <v>0</v>
      </c>
      <c r="AF10" s="51">
        <f>HLOOKUP(I10,ElecAvoidedCostsWOCC!$A$5:$Q$50,G10+1,FALSE)</f>
        <v>1.7462566560958237</v>
      </c>
      <c r="AG10" s="43">
        <f t="shared" si="10"/>
        <v>101282.88605355777</v>
      </c>
      <c r="AH10" s="51">
        <f>HLOOKUP(I10,ElecAvoidedCostsWOCC!$A$5:$Q$50,T10+1,FALSE)</f>
        <v>1.7462566560958237</v>
      </c>
      <c r="AI10" s="43">
        <f t="shared" si="11"/>
        <v>0</v>
      </c>
      <c r="AJ10" s="43">
        <f t="shared" si="12"/>
        <v>101282.88605355777</v>
      </c>
      <c r="AK10" s="43">
        <f>HLOOKUP(I10,ElecAvoidedCostsWOCC!$A$5:$Q$50,G10+1,FALSE)*J10*L10</f>
        <v>0</v>
      </c>
      <c r="AL10" s="43">
        <f t="shared" si="13"/>
        <v>101282.88605355777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101282.88605355777</v>
      </c>
      <c r="AN10" s="47">
        <f t="shared" si="14"/>
        <v>129946.06830276189</v>
      </c>
      <c r="AO10" s="46">
        <f t="shared" si="15"/>
        <v>1.8760871383223494</v>
      </c>
      <c r="AP10" s="46">
        <f t="shared" si="16"/>
        <v>1.2774073043347836</v>
      </c>
    </row>
    <row r="11" spans="1:42" ht="13.5" customHeight="1" x14ac:dyDescent="0.25">
      <c r="A11" s="35" t="s">
        <v>242</v>
      </c>
      <c r="B11" s="88" t="s">
        <v>15</v>
      </c>
      <c r="C11" s="60">
        <v>18230023</v>
      </c>
      <c r="D11" s="60" t="s">
        <v>297</v>
      </c>
      <c r="E11" s="37" t="s">
        <v>1975</v>
      </c>
      <c r="F11" s="38" t="s">
        <v>1517</v>
      </c>
      <c r="G11" s="38">
        <v>7</v>
      </c>
      <c r="H11" s="38">
        <v>0</v>
      </c>
      <c r="I11" s="39" t="s">
        <v>273</v>
      </c>
      <c r="J11" s="40">
        <v>0</v>
      </c>
      <c r="K11" s="40">
        <v>245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10.6281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0.98146455242736486</v>
      </c>
      <c r="AG11" s="43">
        <f t="shared" si="10"/>
        <v>0</v>
      </c>
      <c r="AH11" s="51">
        <f>HLOOKUP(I11,ElecAvoidedCostsWOCC!$A$5:$Q$50,T11+1,FALSE)</f>
        <v>0.98146455242736486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1287904.73</v>
      </c>
      <c r="B12" s="88" t="s">
        <v>15</v>
      </c>
      <c r="C12" s="60">
        <v>18230023</v>
      </c>
      <c r="D12" s="60" t="s">
        <v>297</v>
      </c>
      <c r="E12" s="37" t="s">
        <v>1976</v>
      </c>
      <c r="F12" s="38" t="s">
        <v>1519</v>
      </c>
      <c r="G12" s="38">
        <v>7</v>
      </c>
      <c r="H12" s="38">
        <v>0</v>
      </c>
      <c r="I12" s="39" t="s">
        <v>273</v>
      </c>
      <c r="J12" s="40">
        <v>0</v>
      </c>
      <c r="K12" s="40">
        <v>245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10.6281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0.98146455242736486</v>
      </c>
      <c r="AG12" s="43">
        <f t="shared" si="10"/>
        <v>0</v>
      </c>
      <c r="AH12" s="51">
        <f>HLOOKUP(I12,ElecAvoidedCostsWOCC!$A$5:$Q$50,T12+1,FALSE)</f>
        <v>0.98146455242736486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18230023</v>
      </c>
      <c r="D13" s="60" t="s">
        <v>297</v>
      </c>
      <c r="E13" s="37" t="s">
        <v>1977</v>
      </c>
      <c r="F13" s="38" t="s">
        <v>1978</v>
      </c>
      <c r="G13" s="38">
        <v>7</v>
      </c>
      <c r="H13" s="38">
        <v>0</v>
      </c>
      <c r="I13" s="39" t="s">
        <v>273</v>
      </c>
      <c r="J13" s="40">
        <v>0</v>
      </c>
      <c r="K13" s="40">
        <v>245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10.6281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0.98146455242736486</v>
      </c>
      <c r="AG13" s="43">
        <f t="shared" si="10"/>
        <v>0</v>
      </c>
      <c r="AH13" s="51">
        <f>HLOOKUP(I13,ElecAvoidedCostsWOCC!$A$5:$Q$50,T13+1,FALSE)</f>
        <v>0.98146455242736486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243202.12688999993</v>
      </c>
      <c r="B14" s="88" t="s">
        <v>15</v>
      </c>
      <c r="C14" s="60">
        <v>18230023</v>
      </c>
      <c r="D14" s="60" t="s">
        <v>297</v>
      </c>
      <c r="E14" s="37" t="s">
        <v>1979</v>
      </c>
      <c r="F14" s="38" t="s">
        <v>594</v>
      </c>
      <c r="G14" s="38">
        <v>7</v>
      </c>
      <c r="H14" s="38">
        <v>0</v>
      </c>
      <c r="I14" s="39" t="s">
        <v>273</v>
      </c>
      <c r="J14" s="40">
        <v>0</v>
      </c>
      <c r="K14" s="40">
        <v>245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10.6281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0.98146455242736486</v>
      </c>
      <c r="AG14" s="43">
        <f t="shared" si="10"/>
        <v>0</v>
      </c>
      <c r="AH14" s="51">
        <f>HLOOKUP(I14,ElecAvoidedCostsWOCC!$A$5:$Q$50,T14+1,FALSE)</f>
        <v>0.98146455242736486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18230023</v>
      </c>
      <c r="D15" s="60" t="s">
        <v>297</v>
      </c>
      <c r="E15" s="37" t="s">
        <v>1980</v>
      </c>
      <c r="F15" s="38" t="s">
        <v>595</v>
      </c>
      <c r="G15" s="38">
        <v>7</v>
      </c>
      <c r="H15" s="38">
        <v>0</v>
      </c>
      <c r="I15" s="39" t="s">
        <v>273</v>
      </c>
      <c r="J15" s="40">
        <v>0</v>
      </c>
      <c r="K15" s="40">
        <v>245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10.6281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0.98146455242736486</v>
      </c>
      <c r="AG15" s="43">
        <f t="shared" si="10"/>
        <v>0</v>
      </c>
      <c r="AH15" s="51">
        <f>HLOOKUP(I15,ElecAvoidedCostsWOCC!$A$5:$Q$50,T15+1,FALSE)</f>
        <v>0.98146455242736486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8.7019251967519367</v>
      </c>
      <c r="B16" s="88" t="s">
        <v>15</v>
      </c>
      <c r="C16" s="60">
        <v>18230023</v>
      </c>
      <c r="D16" s="60" t="s">
        <v>297</v>
      </c>
      <c r="E16" s="37" t="s">
        <v>1981</v>
      </c>
      <c r="F16" s="38" t="s">
        <v>596</v>
      </c>
      <c r="G16" s="38">
        <v>7</v>
      </c>
      <c r="H16" s="38">
        <v>0</v>
      </c>
      <c r="I16" s="39" t="s">
        <v>273</v>
      </c>
      <c r="J16" s="40">
        <v>0</v>
      </c>
      <c r="K16" s="40">
        <v>245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10.6281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0.98146455242736486</v>
      </c>
      <c r="AG16" s="43">
        <f t="shared" si="10"/>
        <v>0</v>
      </c>
      <c r="AH16" s="51">
        <f>HLOOKUP(I16,ElecAvoidedCostsWOCC!$A$5:$Q$50,T16+1,FALSE)</f>
        <v>0.98146455242736486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18230023</v>
      </c>
      <c r="D17" s="60" t="s">
        <v>297</v>
      </c>
      <c r="E17" s="37" t="s">
        <v>1982</v>
      </c>
      <c r="F17" s="38" t="s">
        <v>597</v>
      </c>
      <c r="G17" s="38">
        <v>7</v>
      </c>
      <c r="H17" s="38">
        <v>0</v>
      </c>
      <c r="I17" s="39" t="s">
        <v>273</v>
      </c>
      <c r="J17" s="40">
        <v>0</v>
      </c>
      <c r="K17" s="40">
        <v>245</v>
      </c>
      <c r="L17" s="40">
        <v>0</v>
      </c>
      <c r="M17" s="41">
        <v>100</v>
      </c>
      <c r="N17" s="41">
        <v>165.03</v>
      </c>
      <c r="O17" s="42">
        <v>0</v>
      </c>
      <c r="P17" s="43">
        <v>0</v>
      </c>
      <c r="Q17" s="43">
        <v>0</v>
      </c>
      <c r="R17" s="44">
        <v>10.6281</v>
      </c>
      <c r="S17" s="45"/>
      <c r="T17" s="38">
        <f t="shared" si="0"/>
        <v>7</v>
      </c>
      <c r="U17" s="46">
        <f t="shared" si="1"/>
        <v>0</v>
      </c>
      <c r="V17" s="47">
        <f t="shared" si="2"/>
        <v>65.03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0.98146455242736486</v>
      </c>
      <c r="AG17" s="43">
        <f t="shared" si="10"/>
        <v>0</v>
      </c>
      <c r="AH17" s="51">
        <f>HLOOKUP(I17,ElecAvoidedCostsWOCC!$A$5:$Q$50,T17+1,FALSE)</f>
        <v>0.98146455242736486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1817199.53</v>
      </c>
      <c r="B18" s="88" t="s">
        <v>15</v>
      </c>
      <c r="C18" s="60">
        <v>18230023</v>
      </c>
      <c r="D18" s="60" t="s">
        <v>297</v>
      </c>
      <c r="E18" s="37" t="s">
        <v>1983</v>
      </c>
      <c r="F18" s="38" t="s">
        <v>598</v>
      </c>
      <c r="G18" s="38">
        <v>7</v>
      </c>
      <c r="H18" s="38">
        <v>0</v>
      </c>
      <c r="I18" s="39" t="s">
        <v>273</v>
      </c>
      <c r="J18" s="40">
        <v>0</v>
      </c>
      <c r="K18" s="40">
        <v>245</v>
      </c>
      <c r="L18" s="40">
        <v>0</v>
      </c>
      <c r="M18" s="41">
        <v>150</v>
      </c>
      <c r="N18" s="41">
        <v>165.03</v>
      </c>
      <c r="O18" s="42">
        <v>0</v>
      </c>
      <c r="P18" s="43">
        <v>0</v>
      </c>
      <c r="Q18" s="43">
        <v>0</v>
      </c>
      <c r="R18" s="44">
        <v>10.6281</v>
      </c>
      <c r="S18" s="45"/>
      <c r="T18" s="38">
        <f t="shared" si="0"/>
        <v>7</v>
      </c>
      <c r="U18" s="46">
        <f t="shared" si="1"/>
        <v>0</v>
      </c>
      <c r="V18" s="47">
        <f t="shared" si="2"/>
        <v>15.030000000000001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0.98146455242736486</v>
      </c>
      <c r="AG18" s="43">
        <f t="shared" si="10"/>
        <v>0</v>
      </c>
      <c r="AH18" s="51">
        <f>HLOOKUP(I18,ElecAvoidedCostsWOCC!$A$5:$Q$50,T18+1,FALSE)</f>
        <v>0.98146455242736486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18230023</v>
      </c>
      <c r="D19" s="60" t="s">
        <v>297</v>
      </c>
      <c r="E19" s="37" t="s">
        <v>1523</v>
      </c>
      <c r="F19" s="38" t="s">
        <v>1524</v>
      </c>
      <c r="G19" s="38">
        <v>15</v>
      </c>
      <c r="H19" s="38">
        <v>0</v>
      </c>
      <c r="I19" s="39" t="s">
        <v>273</v>
      </c>
      <c r="J19" s="40">
        <v>0</v>
      </c>
      <c r="K19" s="40">
        <v>58</v>
      </c>
      <c r="L19" s="40">
        <v>0</v>
      </c>
      <c r="M19" s="41">
        <v>100</v>
      </c>
      <c r="N19" s="41">
        <v>91.85</v>
      </c>
      <c r="O19" s="42">
        <v>0</v>
      </c>
      <c r="P19" s="43">
        <v>0</v>
      </c>
      <c r="Q19" s="43">
        <v>0</v>
      </c>
      <c r="R19" s="44">
        <v>2.0093999999999999</v>
      </c>
      <c r="S19" s="45"/>
      <c r="T19" s="38">
        <f t="shared" si="0"/>
        <v>15</v>
      </c>
      <c r="U19" s="46">
        <f t="shared" si="1"/>
        <v>0</v>
      </c>
      <c r="V19" s="47">
        <f t="shared" si="2"/>
        <v>-8.1500000000000057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1.7462566560958237</v>
      </c>
      <c r="AG19" s="43">
        <f t="shared" si="10"/>
        <v>0</v>
      </c>
      <c r="AH19" s="51">
        <f>HLOOKUP(I19,ElecAvoidedCostsWOCC!$A$5:$Q$50,T19+1,FALSE)</f>
        <v>1.7462566560958237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2060401.65689</v>
      </c>
      <c r="B20" s="88" t="s">
        <v>15</v>
      </c>
      <c r="C20" s="60">
        <v>18230023</v>
      </c>
      <c r="D20" s="60" t="s">
        <v>297</v>
      </c>
      <c r="E20" s="37" t="s">
        <v>1525</v>
      </c>
      <c r="F20" s="38" t="s">
        <v>1526</v>
      </c>
      <c r="G20" s="38">
        <v>15</v>
      </c>
      <c r="H20" s="38">
        <v>0</v>
      </c>
      <c r="I20" s="39" t="s">
        <v>273</v>
      </c>
      <c r="J20" s="40">
        <v>0</v>
      </c>
      <c r="K20" s="40">
        <v>58</v>
      </c>
      <c r="L20" s="40">
        <v>0</v>
      </c>
      <c r="M20" s="41">
        <v>100</v>
      </c>
      <c r="N20" s="41">
        <v>91.85</v>
      </c>
      <c r="O20" s="42">
        <v>0</v>
      </c>
      <c r="P20" s="43">
        <v>0</v>
      </c>
      <c r="Q20" s="43">
        <v>0</v>
      </c>
      <c r="R20" s="44">
        <v>2.0093999999999999</v>
      </c>
      <c r="S20" s="45"/>
      <c r="T20" s="38">
        <f t="shared" si="0"/>
        <v>15</v>
      </c>
      <c r="U20" s="46">
        <f t="shared" si="1"/>
        <v>0</v>
      </c>
      <c r="V20" s="47">
        <f t="shared" si="2"/>
        <v>-8.1500000000000057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1.7462566560958237</v>
      </c>
      <c r="AG20" s="43">
        <f t="shared" si="10"/>
        <v>0</v>
      </c>
      <c r="AH20" s="51">
        <f>HLOOKUP(I20,ElecAvoidedCostsWOCC!$A$5:$Q$50,T20+1,FALSE)</f>
        <v>1.7462566560958237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18230023</v>
      </c>
      <c r="D21" s="60" t="s">
        <v>297</v>
      </c>
      <c r="E21" s="37" t="s">
        <v>1984</v>
      </c>
      <c r="F21" s="38" t="s">
        <v>1985</v>
      </c>
      <c r="G21" s="38">
        <v>7</v>
      </c>
      <c r="H21" s="38">
        <v>0</v>
      </c>
      <c r="I21" s="39" t="s">
        <v>273</v>
      </c>
      <c r="J21" s="40">
        <v>0</v>
      </c>
      <c r="K21" s="40">
        <v>245</v>
      </c>
      <c r="L21" s="40">
        <v>0</v>
      </c>
      <c r="M21" s="41">
        <v>100</v>
      </c>
      <c r="N21" s="41">
        <v>165.03</v>
      </c>
      <c r="O21" s="42">
        <v>0</v>
      </c>
      <c r="P21" s="43">
        <v>0</v>
      </c>
      <c r="Q21" s="43">
        <v>0</v>
      </c>
      <c r="R21" s="44">
        <v>10.6281</v>
      </c>
      <c r="S21" s="45"/>
      <c r="T21" s="38">
        <f t="shared" si="0"/>
        <v>7</v>
      </c>
      <c r="U21" s="46">
        <f t="shared" si="1"/>
        <v>0</v>
      </c>
      <c r="V21" s="47">
        <f t="shared" si="2"/>
        <v>65.03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0.98146455242736486</v>
      </c>
      <c r="AG21" s="43">
        <f t="shared" si="10"/>
        <v>0</v>
      </c>
      <c r="AH21" s="51">
        <f>HLOOKUP(I21,ElecAvoidedCostsWOCC!$A$5:$Q$50,T21+1,FALSE)</f>
        <v>0.98146455242736486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1.2292031842523123</v>
      </c>
      <c r="B22" s="88" t="s">
        <v>15</v>
      </c>
      <c r="C22" s="60">
        <v>18230023</v>
      </c>
      <c r="D22" s="60" t="s">
        <v>297</v>
      </c>
      <c r="E22" s="37" t="s">
        <v>1986</v>
      </c>
      <c r="F22" s="38" t="s">
        <v>1987</v>
      </c>
      <c r="G22" s="38">
        <v>7</v>
      </c>
      <c r="H22" s="38">
        <v>0</v>
      </c>
      <c r="I22" s="39" t="s">
        <v>273</v>
      </c>
      <c r="J22" s="40">
        <v>0</v>
      </c>
      <c r="K22" s="40">
        <v>245</v>
      </c>
      <c r="L22" s="40">
        <v>0</v>
      </c>
      <c r="M22" s="41">
        <v>150</v>
      </c>
      <c r="N22" s="41">
        <v>165.03</v>
      </c>
      <c r="O22" s="42">
        <v>0</v>
      </c>
      <c r="P22" s="43">
        <v>0</v>
      </c>
      <c r="Q22" s="43">
        <v>0</v>
      </c>
      <c r="R22" s="44">
        <v>10.6281</v>
      </c>
      <c r="S22" s="45"/>
      <c r="T22" s="38">
        <f t="shared" si="0"/>
        <v>7</v>
      </c>
      <c r="U22" s="46">
        <f t="shared" si="1"/>
        <v>0</v>
      </c>
      <c r="V22" s="47">
        <f t="shared" si="2"/>
        <v>15.030000000000001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0.98146455242736486</v>
      </c>
      <c r="AG22" s="43">
        <f t="shared" si="10"/>
        <v>0</v>
      </c>
      <c r="AH22" s="51">
        <f>HLOOKUP(I22,ElecAvoidedCostsWOCC!$A$5:$Q$50,T22+1,FALSE)</f>
        <v>0.98146455242736486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18230023</v>
      </c>
      <c r="D23" s="60" t="s">
        <v>297</v>
      </c>
      <c r="E23" s="37" t="s">
        <v>1988</v>
      </c>
      <c r="F23" s="38" t="s">
        <v>1989</v>
      </c>
      <c r="G23" s="38">
        <v>0</v>
      </c>
      <c r="H23" s="38">
        <v>0</v>
      </c>
      <c r="I23" s="39" t="s">
        <v>273</v>
      </c>
      <c r="J23" s="40">
        <v>63</v>
      </c>
      <c r="K23" s="40">
        <v>0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str">
        <f>HLOOKUP(I23,ElecAvoidedCostsWOCC!$A$5:$Q$50,G23+1,FALSE)</f>
        <v>SF Space Heat</v>
      </c>
      <c r="AG23" s="43" t="e">
        <f t="shared" si="10"/>
        <v>#VALUE!</v>
      </c>
      <c r="AH23" s="51" t="str">
        <f>HLOOKUP(I23,ElecAvoidedCostsWOCC!$A$5:$Q$50,T23+1,FALSE)</f>
        <v>SF Space Heat</v>
      </c>
      <c r="AI23" s="43" t="e">
        <f t="shared" si="11"/>
        <v>#VALUE!</v>
      </c>
      <c r="AJ23" s="43" t="e">
        <f t="shared" si="12"/>
        <v>#VALUE!</v>
      </c>
      <c r="AK23" s="43" t="e">
        <f>HLOOKUP(I23,ElecAvoidedCostsWOCC!$A$5:$Q$50,G23+1,FALSE)*J23*L23</f>
        <v>#VALUE!</v>
      </c>
      <c r="AL23" s="43" t="e">
        <f t="shared" si="13"/>
        <v>#VALUE!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1.4325353413039041</v>
      </c>
      <c r="B24" s="88" t="s">
        <v>15</v>
      </c>
      <c r="C24" s="60">
        <v>18230023</v>
      </c>
      <c r="D24" s="60" t="s">
        <v>297</v>
      </c>
      <c r="E24" s="37" t="s">
        <v>1514</v>
      </c>
      <c r="F24" s="38" t="s">
        <v>587</v>
      </c>
      <c r="G24" s="38">
        <v>7</v>
      </c>
      <c r="H24" s="38">
        <v>0</v>
      </c>
      <c r="I24" s="39" t="s">
        <v>273</v>
      </c>
      <c r="J24" s="40">
        <v>2485</v>
      </c>
      <c r="K24" s="40">
        <v>260</v>
      </c>
      <c r="L24" s="40">
        <v>0</v>
      </c>
      <c r="M24" s="41">
        <v>75</v>
      </c>
      <c r="N24" s="41">
        <v>165.03</v>
      </c>
      <c r="O24" s="42">
        <v>646100</v>
      </c>
      <c r="P24" s="43">
        <v>186375</v>
      </c>
      <c r="Q24" s="43">
        <v>410099.55</v>
      </c>
      <c r="R24" s="44">
        <v>11.28</v>
      </c>
      <c r="S24" s="45"/>
      <c r="T24" s="38">
        <f t="shared" si="0"/>
        <v>7</v>
      </c>
      <c r="U24" s="46">
        <f t="shared" si="1"/>
        <v>2.4741241377221006</v>
      </c>
      <c r="V24" s="47">
        <f t="shared" si="2"/>
        <v>90.03</v>
      </c>
      <c r="W24" s="48">
        <f t="shared" si="3"/>
        <v>0.35344630538887151</v>
      </c>
      <c r="X24" s="43">
        <f t="shared" si="4"/>
        <v>187077.29152154169</v>
      </c>
      <c r="Y24" s="43">
        <f t="shared" si="5"/>
        <v>223724.55</v>
      </c>
      <c r="Z24" s="43">
        <f t="shared" si="6"/>
        <v>642282.46003289381</v>
      </c>
      <c r="AA24" s="49">
        <f t="shared" si="7"/>
        <v>597176.8415215417</v>
      </c>
      <c r="AB24" s="50">
        <f t="shared" si="18"/>
        <v>601388.07119184814</v>
      </c>
      <c r="AC24" s="43">
        <f t="shared" si="18"/>
        <v>559154.34599395283</v>
      </c>
      <c r="AD24" s="43">
        <f t="shared" si="9"/>
        <v>152125.15780504353</v>
      </c>
      <c r="AE24" s="43">
        <f t="shared" si="17"/>
        <v>0</v>
      </c>
      <c r="AF24" s="51">
        <f>HLOOKUP(I24,ElecAvoidedCostsWOCC!$A$5:$Q$50,G24+1,FALSE)</f>
        <v>0.98146455242736486</v>
      </c>
      <c r="AG24" s="43">
        <f t="shared" si="10"/>
        <v>634124.24732332036</v>
      </c>
      <c r="AH24" s="51">
        <f>HLOOKUP(I24,ElecAvoidedCostsWOCC!$A$5:$Q$50,T24+1,FALSE)</f>
        <v>0.98146455242736486</v>
      </c>
      <c r="AI24" s="43">
        <f t="shared" si="11"/>
        <v>0</v>
      </c>
      <c r="AJ24" s="43">
        <f t="shared" si="12"/>
        <v>634124.24732332036</v>
      </c>
      <c r="AK24" s="43">
        <f>HLOOKUP(I24,ElecAvoidedCostsWOCC!$A$5:$Q$50,G24+1,FALSE)*J24*L24</f>
        <v>0</v>
      </c>
      <c r="AL24" s="43">
        <f t="shared" si="13"/>
        <v>634124.24732332036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634124.24732332036</v>
      </c>
      <c r="AN24" s="47">
        <f t="shared" si="14"/>
        <v>849661.82986069599</v>
      </c>
      <c r="AO24" s="46">
        <f t="shared" si="15"/>
        <v>1.0544343622689334</v>
      </c>
      <c r="AP24" s="46">
        <f t="shared" si="16"/>
        <v>1.5195479315292399</v>
      </c>
    </row>
    <row r="25" spans="1:42" ht="13.5" customHeight="1" x14ac:dyDescent="0.25">
      <c r="B25" s="88" t="s">
        <v>15</v>
      </c>
      <c r="C25" s="60">
        <v>18230023</v>
      </c>
      <c r="D25" s="60" t="s">
        <v>297</v>
      </c>
      <c r="E25" s="37" t="s">
        <v>1515</v>
      </c>
      <c r="F25" s="38" t="s">
        <v>588</v>
      </c>
      <c r="G25" s="38">
        <v>7</v>
      </c>
      <c r="H25" s="38">
        <v>0</v>
      </c>
      <c r="I25" s="39" t="s">
        <v>273</v>
      </c>
      <c r="J25" s="40">
        <v>514</v>
      </c>
      <c r="K25" s="40">
        <v>260</v>
      </c>
      <c r="L25" s="40">
        <v>0</v>
      </c>
      <c r="M25" s="41">
        <v>175</v>
      </c>
      <c r="N25" s="41">
        <v>165.03</v>
      </c>
      <c r="O25" s="42">
        <v>133640</v>
      </c>
      <c r="P25" s="43">
        <v>89950</v>
      </c>
      <c r="Q25" s="43">
        <v>84825.42</v>
      </c>
      <c r="R25" s="44">
        <v>11.28</v>
      </c>
      <c r="S25" s="45"/>
      <c r="T25" s="38">
        <f t="shared" ref="T25:T32" si="19">G25+H25</f>
        <v>7</v>
      </c>
      <c r="U25" s="46">
        <f t="shared" ref="U25:U32" si="20">(O25/$A$10)*T25</f>
        <v>0.51175042526726744</v>
      </c>
      <c r="V25" s="47">
        <f t="shared" ref="V25:V32" si="21">N25-M25</f>
        <v>-9.9699999999999989</v>
      </c>
      <c r="W25" s="48">
        <f t="shared" ref="W25:W32" si="22">(O25/A$10)</f>
        <v>7.3107203609609636E-2</v>
      </c>
      <c r="X25" s="43">
        <f t="shared" ref="X25:X32" si="23">W25*A$8</f>
        <v>38695.262713107615</v>
      </c>
      <c r="Y25" s="43">
        <f t="shared" ref="Y25:Y32" si="24">Q25-P25</f>
        <v>-5124.5800000000017</v>
      </c>
      <c r="Z25" s="43">
        <f t="shared" ref="Z25:Z32" si="25">X25+(A$6*W25)</f>
        <v>132850.37603899694</v>
      </c>
      <c r="AA25" s="49">
        <f t="shared" ref="AA25:AA32" si="26">Q25+X25</f>
        <v>123520.68271310761</v>
      </c>
      <c r="AB25" s="50">
        <f t="shared" ref="AB25:AB32" si="27">Z25/(1+ElecDiscountRate)^1</f>
        <v>124391.73786422933</v>
      </c>
      <c r="AC25" s="43">
        <f t="shared" ref="AC25:AC32" si="28">AA25/(1+ElecDiscountRate)^1</f>
        <v>115656.06995609327</v>
      </c>
      <c r="AD25" s="43">
        <f t="shared" ref="AD25:AD32" si="29">-PV(ElecDiscountRate,T25,R25)*J25</f>
        <v>31465.72680555025</v>
      </c>
      <c r="AE25" s="43">
        <f t="shared" ref="AE25:AE32" si="30">-PV(ElecDiscountRate,T25,S25)*J25</f>
        <v>0</v>
      </c>
      <c r="AF25" s="51">
        <f>HLOOKUP(I25,ElecAvoidedCostsWOCC!$A$5:$Q$50,G25+1,FALSE)</f>
        <v>0.98146455242736486</v>
      </c>
      <c r="AG25" s="43">
        <f t="shared" ref="AG25:AG32" si="31">AF25*J25*K25</f>
        <v>131162.92278639303</v>
      </c>
      <c r="AH25" s="51">
        <f>HLOOKUP(I25,ElecAvoidedCostsWOCC!$A$5:$Q$50,T25+1,FALSE)</f>
        <v>0.98146455242736486</v>
      </c>
      <c r="AI25" s="43">
        <f t="shared" ref="AI25:AI32" si="32">AH25*J25*L25</f>
        <v>0</v>
      </c>
      <c r="AJ25" s="43">
        <f t="shared" ref="AJ25:AJ32" si="33">AG25+AI25</f>
        <v>131162.92278639303</v>
      </c>
      <c r="AK25" s="43">
        <f>HLOOKUP(I25,ElecAvoidedCostsWOCC!$A$5:$Q$50,G25+1,FALSE)*J25*L25</f>
        <v>0</v>
      </c>
      <c r="AL25" s="43">
        <f t="shared" ref="AL25:AL32" si="34">AG25+AI25-AK25</f>
        <v>131162.92278639303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131162.92278639303</v>
      </c>
      <c r="AN25" s="47">
        <f t="shared" ref="AN25:AN32" si="35">AM25*1.1+AD25+AE25</f>
        <v>175744.94187058258</v>
      </c>
      <c r="AO25" s="46">
        <f t="shared" ref="AO25:AO32" si="36">IFERROR(AM25/AB25,0)</f>
        <v>1.0544343622689336</v>
      </c>
      <c r="AP25" s="46">
        <f t="shared" ref="AP25:AP32" si="37">AN25/AC25</f>
        <v>1.5195479315292397</v>
      </c>
    </row>
    <row r="26" spans="1:42" ht="13.5" customHeight="1" x14ac:dyDescent="0.25">
      <c r="B26" s="88" t="s">
        <v>15</v>
      </c>
      <c r="C26" s="60">
        <v>18230023</v>
      </c>
      <c r="D26" s="60" t="s">
        <v>297</v>
      </c>
      <c r="E26" s="37" t="s">
        <v>1990</v>
      </c>
      <c r="F26" s="38" t="s">
        <v>592</v>
      </c>
      <c r="G26" s="38">
        <v>15</v>
      </c>
      <c r="H26" s="38">
        <v>0</v>
      </c>
      <c r="I26" s="39" t="s">
        <v>273</v>
      </c>
      <c r="J26" s="40">
        <v>2496</v>
      </c>
      <c r="K26" s="40">
        <v>58</v>
      </c>
      <c r="L26" s="40">
        <v>0</v>
      </c>
      <c r="M26" s="41">
        <v>100</v>
      </c>
      <c r="N26" s="41">
        <v>91.85</v>
      </c>
      <c r="O26" s="42">
        <v>144768</v>
      </c>
      <c r="P26" s="43">
        <v>249600</v>
      </c>
      <c r="Q26" s="43">
        <v>229257.59999999998</v>
      </c>
      <c r="R26" s="44">
        <v>2.0093999999999999</v>
      </c>
      <c r="S26" s="45"/>
      <c r="T26" s="38">
        <f t="shared" si="19"/>
        <v>15</v>
      </c>
      <c r="U26" s="46">
        <f t="shared" si="20"/>
        <v>1.187920942699338</v>
      </c>
      <c r="V26" s="47">
        <f t="shared" si="21"/>
        <v>-8.1500000000000057</v>
      </c>
      <c r="W26" s="48">
        <f t="shared" si="22"/>
        <v>7.9194729513289194E-2</v>
      </c>
      <c r="X26" s="43">
        <f t="shared" si="23"/>
        <v>41917.358518790505</v>
      </c>
      <c r="Y26" s="43">
        <f t="shared" si="24"/>
        <v>-20342.400000000023</v>
      </c>
      <c r="Z26" s="43">
        <f t="shared" si="25"/>
        <v>143912.62525002626</v>
      </c>
      <c r="AA26" s="49">
        <f t="shared" si="26"/>
        <v>271174.95851879049</v>
      </c>
      <c r="AB26" s="50">
        <f t="shared" si="27"/>
        <v>134749.64911051147</v>
      </c>
      <c r="AC26" s="43">
        <f t="shared" si="28"/>
        <v>253909.13718987873</v>
      </c>
      <c r="AD26" s="43">
        <f t="shared" si="29"/>
        <v>46263.094535045435</v>
      </c>
      <c r="AE26" s="43">
        <f t="shared" si="30"/>
        <v>0</v>
      </c>
      <c r="AF26" s="51">
        <f>HLOOKUP(I26,ElecAvoidedCostsWOCC!$A$5:$Q$50,G26+1,FALSE)</f>
        <v>1.7462566560958237</v>
      </c>
      <c r="AG26" s="43">
        <f t="shared" si="31"/>
        <v>252802.0835896802</v>
      </c>
      <c r="AH26" s="51">
        <f>HLOOKUP(I26,ElecAvoidedCostsWOCC!$A$5:$Q$50,T26+1,FALSE)</f>
        <v>1.7462566560958237</v>
      </c>
      <c r="AI26" s="43">
        <f t="shared" si="32"/>
        <v>0</v>
      </c>
      <c r="AJ26" s="43">
        <f t="shared" si="33"/>
        <v>252802.0835896802</v>
      </c>
      <c r="AK26" s="43">
        <f>HLOOKUP(I26,ElecAvoidedCostsWOCC!$A$5:$Q$50,G26+1,FALSE)*J26*L26</f>
        <v>0</v>
      </c>
      <c r="AL26" s="43">
        <f t="shared" si="34"/>
        <v>252802.0835896802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252802.0835896802</v>
      </c>
      <c r="AN26" s="47">
        <f t="shared" si="35"/>
        <v>324345.38648369367</v>
      </c>
      <c r="AO26" s="46">
        <f t="shared" si="36"/>
        <v>1.8760871383223496</v>
      </c>
      <c r="AP26" s="46">
        <f t="shared" si="37"/>
        <v>1.2774073043347833</v>
      </c>
    </row>
    <row r="27" spans="1:42" ht="13.5" customHeight="1" x14ac:dyDescent="0.25">
      <c r="B27" s="36"/>
      <c r="C27" s="60"/>
      <c r="D27" s="60"/>
      <c r="E27" s="37" t="s">
        <v>1516</v>
      </c>
      <c r="F27" s="38" t="s">
        <v>1517</v>
      </c>
      <c r="G27" s="38">
        <v>7</v>
      </c>
      <c r="H27" s="38">
        <v>0</v>
      </c>
      <c r="I27" s="39" t="s">
        <v>273</v>
      </c>
      <c r="J27" s="40">
        <v>123</v>
      </c>
      <c r="K27" s="40">
        <v>260</v>
      </c>
      <c r="L27" s="40">
        <v>0</v>
      </c>
      <c r="M27" s="41">
        <v>100</v>
      </c>
      <c r="N27" s="41">
        <v>165.03</v>
      </c>
      <c r="O27" s="42">
        <v>31980</v>
      </c>
      <c r="P27" s="43">
        <v>12300</v>
      </c>
      <c r="Q27" s="43">
        <v>20298.689999999999</v>
      </c>
      <c r="R27" s="44">
        <v>11.28</v>
      </c>
      <c r="S27" s="45"/>
      <c r="T27" s="38">
        <f t="shared" si="19"/>
        <v>7</v>
      </c>
      <c r="U27" s="46">
        <f t="shared" si="20"/>
        <v>0.12246167764177802</v>
      </c>
      <c r="V27" s="47">
        <f t="shared" si="21"/>
        <v>65.03</v>
      </c>
      <c r="W27" s="48">
        <f t="shared" si="22"/>
        <v>1.7494525377396861E-2</v>
      </c>
      <c r="X27" s="43">
        <f t="shared" si="23"/>
        <v>9259.7613107241959</v>
      </c>
      <c r="Y27" s="43">
        <f t="shared" si="24"/>
        <v>7998.6899999999987</v>
      </c>
      <c r="Z27" s="43">
        <f t="shared" si="25"/>
        <v>31791.043293378647</v>
      </c>
      <c r="AA27" s="49">
        <f t="shared" si="26"/>
        <v>29558.451310724195</v>
      </c>
      <c r="AB27" s="50">
        <f t="shared" si="27"/>
        <v>29766.894469455659</v>
      </c>
      <c r="AC27" s="43">
        <f t="shared" si="28"/>
        <v>27676.452538131267</v>
      </c>
      <c r="AD27" s="43">
        <f t="shared" si="29"/>
        <v>7529.7361810947095</v>
      </c>
      <c r="AE27" s="43">
        <f t="shared" si="30"/>
        <v>0</v>
      </c>
      <c r="AF27" s="51">
        <f>HLOOKUP(I27,ElecAvoidedCostsWOCC!$A$5:$Q$50,G27+1,FALSE)</f>
        <v>0.98146455242736486</v>
      </c>
      <c r="AG27" s="43">
        <f t="shared" si="31"/>
        <v>31387.236386627126</v>
      </c>
      <c r="AH27" s="51">
        <f>HLOOKUP(I27,ElecAvoidedCostsWOCC!$A$5:$Q$50,T27+1,FALSE)</f>
        <v>0.98146455242736486</v>
      </c>
      <c r="AI27" s="43">
        <f t="shared" si="32"/>
        <v>0</v>
      </c>
      <c r="AJ27" s="43">
        <f t="shared" si="33"/>
        <v>31387.236386627126</v>
      </c>
      <c r="AK27" s="43">
        <f>HLOOKUP(I27,ElecAvoidedCostsWOCC!$A$5:$Q$50,G27+1,FALSE)*J27*L27</f>
        <v>0</v>
      </c>
      <c r="AL27" s="43">
        <f t="shared" si="34"/>
        <v>31387.236386627126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31387.236386627126</v>
      </c>
      <c r="AN27" s="47">
        <f t="shared" si="35"/>
        <v>42055.696206384549</v>
      </c>
      <c r="AO27" s="46">
        <f t="shared" si="36"/>
        <v>1.0544343622689336</v>
      </c>
      <c r="AP27" s="46">
        <f t="shared" si="37"/>
        <v>1.5195479315292399</v>
      </c>
    </row>
    <row r="28" spans="1:42" ht="13.5" customHeight="1" x14ac:dyDescent="0.25">
      <c r="B28" s="36"/>
      <c r="C28" s="60"/>
      <c r="D28" s="60"/>
      <c r="E28" s="37" t="s">
        <v>1518</v>
      </c>
      <c r="F28" s="38" t="s">
        <v>1519</v>
      </c>
      <c r="G28" s="38">
        <v>7</v>
      </c>
      <c r="H28" s="38">
        <v>0</v>
      </c>
      <c r="I28" s="39" t="s">
        <v>273</v>
      </c>
      <c r="J28" s="40">
        <v>2285</v>
      </c>
      <c r="K28" s="40">
        <v>260</v>
      </c>
      <c r="L28" s="40">
        <v>0</v>
      </c>
      <c r="M28" s="41">
        <v>150</v>
      </c>
      <c r="N28" s="41">
        <v>165.03</v>
      </c>
      <c r="O28" s="42">
        <v>594100</v>
      </c>
      <c r="P28" s="43">
        <v>342750</v>
      </c>
      <c r="Q28" s="43">
        <v>377093.55</v>
      </c>
      <c r="R28" s="44">
        <v>11.28</v>
      </c>
      <c r="S28" s="45"/>
      <c r="T28" s="38">
        <f t="shared" si="19"/>
        <v>7</v>
      </c>
      <c r="U28" s="46">
        <f t="shared" si="20"/>
        <v>2.2749994586297784</v>
      </c>
      <c r="V28" s="47">
        <f t="shared" si="21"/>
        <v>15.030000000000001</v>
      </c>
      <c r="W28" s="48">
        <f t="shared" si="22"/>
        <v>0.32499992266139693</v>
      </c>
      <c r="X28" s="43">
        <f t="shared" si="23"/>
        <v>172020.76906507957</v>
      </c>
      <c r="Y28" s="43">
        <f t="shared" si="24"/>
        <v>34343.549999999988</v>
      </c>
      <c r="Z28" s="43">
        <f t="shared" si="25"/>
        <v>590589.70671032695</v>
      </c>
      <c r="AA28" s="49">
        <f t="shared" si="26"/>
        <v>549114.31906507956</v>
      </c>
      <c r="AB28" s="50">
        <f t="shared" si="27"/>
        <v>552986.616769969</v>
      </c>
      <c r="AC28" s="43">
        <f t="shared" si="28"/>
        <v>514151.98414333287</v>
      </c>
      <c r="AD28" s="43">
        <f t="shared" si="29"/>
        <v>139881.68433984887</v>
      </c>
      <c r="AE28" s="43">
        <f t="shared" si="30"/>
        <v>0</v>
      </c>
      <c r="AF28" s="51">
        <f>HLOOKUP(I28,ElecAvoidedCostsWOCC!$A$5:$Q$50,G28+1,FALSE)</f>
        <v>0.98146455242736486</v>
      </c>
      <c r="AG28" s="43">
        <f t="shared" si="31"/>
        <v>583088.09059709741</v>
      </c>
      <c r="AH28" s="51">
        <f>HLOOKUP(I28,ElecAvoidedCostsWOCC!$A$5:$Q$50,T28+1,FALSE)</f>
        <v>0.98146455242736486</v>
      </c>
      <c r="AI28" s="43">
        <f t="shared" si="32"/>
        <v>0</v>
      </c>
      <c r="AJ28" s="43">
        <f t="shared" si="33"/>
        <v>583088.09059709741</v>
      </c>
      <c r="AK28" s="43">
        <f>HLOOKUP(I28,ElecAvoidedCostsWOCC!$A$5:$Q$50,G28+1,FALSE)*J28*L28</f>
        <v>0</v>
      </c>
      <c r="AL28" s="43">
        <f t="shared" si="34"/>
        <v>583088.09059709741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583088.09059709741</v>
      </c>
      <c r="AN28" s="47">
        <f t="shared" si="35"/>
        <v>781278.58399665612</v>
      </c>
      <c r="AO28" s="46">
        <f t="shared" si="36"/>
        <v>1.0544343622689336</v>
      </c>
      <c r="AP28" s="46">
        <f t="shared" si="37"/>
        <v>1.5195479315292402</v>
      </c>
    </row>
    <row r="29" spans="1:42" x14ac:dyDescent="0.25">
      <c r="B29" s="36"/>
      <c r="C29" s="60"/>
      <c r="D29" s="60"/>
      <c r="E29" s="37" t="s">
        <v>1991</v>
      </c>
      <c r="F29" s="38" t="s">
        <v>1978</v>
      </c>
      <c r="G29" s="38">
        <v>7</v>
      </c>
      <c r="H29" s="38">
        <v>0</v>
      </c>
      <c r="I29" s="39" t="s">
        <v>273</v>
      </c>
      <c r="J29" s="40">
        <v>0</v>
      </c>
      <c r="K29" s="40">
        <v>260</v>
      </c>
      <c r="L29" s="40">
        <v>0</v>
      </c>
      <c r="M29" s="41">
        <v>100</v>
      </c>
      <c r="N29" s="41">
        <v>165.03</v>
      </c>
      <c r="O29" s="42">
        <v>0</v>
      </c>
      <c r="P29" s="43">
        <v>0</v>
      </c>
      <c r="Q29" s="43">
        <v>0</v>
      </c>
      <c r="R29" s="44">
        <v>11.28</v>
      </c>
      <c r="S29" s="45"/>
      <c r="T29" s="38">
        <f t="shared" si="19"/>
        <v>7</v>
      </c>
      <c r="U29" s="46">
        <f t="shared" si="20"/>
        <v>0</v>
      </c>
      <c r="V29" s="47">
        <f t="shared" si="21"/>
        <v>65.03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0.98146455242736486</v>
      </c>
      <c r="AG29" s="43">
        <f t="shared" si="31"/>
        <v>0</v>
      </c>
      <c r="AH29" s="51">
        <f>HLOOKUP(I29,ElecAvoidedCostsWOCC!$A$5:$Q$50,T29+1,FALSE)</f>
        <v>0.98146455242736486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1992</v>
      </c>
      <c r="F30" s="38" t="s">
        <v>594</v>
      </c>
      <c r="G30" s="38">
        <v>7</v>
      </c>
      <c r="H30" s="38">
        <v>0</v>
      </c>
      <c r="I30" s="39" t="s">
        <v>273</v>
      </c>
      <c r="J30" s="40">
        <v>0</v>
      </c>
      <c r="K30" s="40">
        <v>260</v>
      </c>
      <c r="L30" s="40">
        <v>0</v>
      </c>
      <c r="M30" s="41">
        <v>150</v>
      </c>
      <c r="N30" s="41">
        <v>165.03</v>
      </c>
      <c r="O30" s="42">
        <v>0</v>
      </c>
      <c r="P30" s="43">
        <v>0</v>
      </c>
      <c r="Q30" s="43">
        <v>0</v>
      </c>
      <c r="R30" s="44">
        <v>11.28</v>
      </c>
      <c r="S30" s="45"/>
      <c r="T30" s="38">
        <f t="shared" si="19"/>
        <v>7</v>
      </c>
      <c r="U30" s="46">
        <f t="shared" si="20"/>
        <v>0</v>
      </c>
      <c r="V30" s="47">
        <f t="shared" si="21"/>
        <v>15.030000000000001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0.98146455242736486</v>
      </c>
      <c r="AG30" s="43">
        <f t="shared" si="31"/>
        <v>0</v>
      </c>
      <c r="AH30" s="51">
        <f>HLOOKUP(I30,ElecAvoidedCostsWOCC!$A$5:$Q$50,T30+1,FALSE)</f>
        <v>0.98146455242736486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1993</v>
      </c>
      <c r="F31" s="38" t="s">
        <v>595</v>
      </c>
      <c r="G31" s="38">
        <v>7</v>
      </c>
      <c r="H31" s="38">
        <v>0</v>
      </c>
      <c r="I31" s="39" t="s">
        <v>273</v>
      </c>
      <c r="J31" s="40">
        <v>0</v>
      </c>
      <c r="K31" s="40">
        <v>260</v>
      </c>
      <c r="L31" s="40">
        <v>0</v>
      </c>
      <c r="M31" s="41">
        <v>100</v>
      </c>
      <c r="N31" s="41">
        <v>165.03</v>
      </c>
      <c r="O31" s="42">
        <v>0</v>
      </c>
      <c r="P31" s="43">
        <v>0</v>
      </c>
      <c r="Q31" s="43">
        <v>0</v>
      </c>
      <c r="R31" s="44">
        <v>11.28</v>
      </c>
      <c r="S31" s="45"/>
      <c r="T31" s="38">
        <f t="shared" si="19"/>
        <v>7</v>
      </c>
      <c r="U31" s="46">
        <f t="shared" si="20"/>
        <v>0</v>
      </c>
      <c r="V31" s="47">
        <f t="shared" si="21"/>
        <v>65.03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0.98146455242736486</v>
      </c>
      <c r="AG31" s="43">
        <f t="shared" si="31"/>
        <v>0</v>
      </c>
      <c r="AH31" s="51">
        <f>HLOOKUP(I31,ElecAvoidedCostsWOCC!$A$5:$Q$50,T31+1,FALSE)</f>
        <v>0.98146455242736486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1994</v>
      </c>
      <c r="F32" s="38" t="s">
        <v>596</v>
      </c>
      <c r="G32" s="38">
        <v>7</v>
      </c>
      <c r="H32" s="38">
        <v>0</v>
      </c>
      <c r="I32" s="39" t="s">
        <v>273</v>
      </c>
      <c r="J32" s="40">
        <v>0</v>
      </c>
      <c r="K32" s="40">
        <v>260</v>
      </c>
      <c r="L32" s="40">
        <v>0</v>
      </c>
      <c r="M32" s="41">
        <v>150</v>
      </c>
      <c r="N32" s="41">
        <v>165.03</v>
      </c>
      <c r="O32" s="42">
        <v>0</v>
      </c>
      <c r="P32" s="43">
        <v>0</v>
      </c>
      <c r="Q32" s="43">
        <v>0</v>
      </c>
      <c r="R32" s="44">
        <v>11.28</v>
      </c>
      <c r="S32" s="45"/>
      <c r="T32" s="38">
        <f t="shared" si="19"/>
        <v>7</v>
      </c>
      <c r="U32" s="46">
        <f t="shared" si="20"/>
        <v>0</v>
      </c>
      <c r="V32" s="47">
        <f t="shared" si="21"/>
        <v>15.030000000000001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0.98146455242736486</v>
      </c>
      <c r="AG32" s="43">
        <f t="shared" si="31"/>
        <v>0</v>
      </c>
      <c r="AH32" s="51">
        <f>HLOOKUP(I32,ElecAvoidedCostsWOCC!$A$5:$Q$50,T32+1,FALSE)</f>
        <v>0.98146455242736486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1995</v>
      </c>
      <c r="F33" s="38" t="s">
        <v>597</v>
      </c>
      <c r="G33" s="38">
        <v>7</v>
      </c>
      <c r="H33" s="38">
        <v>0</v>
      </c>
      <c r="I33" s="39" t="s">
        <v>273</v>
      </c>
      <c r="J33" s="40">
        <v>0</v>
      </c>
      <c r="K33" s="40">
        <v>260</v>
      </c>
      <c r="L33" s="40">
        <v>0</v>
      </c>
      <c r="M33" s="41">
        <v>100</v>
      </c>
      <c r="N33" s="41">
        <v>165.03</v>
      </c>
      <c r="O33" s="42">
        <v>0</v>
      </c>
      <c r="P33" s="43">
        <v>0</v>
      </c>
      <c r="Q33" s="43">
        <v>0</v>
      </c>
      <c r="R33" s="44">
        <v>11.28</v>
      </c>
      <c r="S33" s="45"/>
      <c r="T33" s="38">
        <f t="shared" ref="T33:T52" si="38">G33+H33</f>
        <v>7</v>
      </c>
      <c r="U33" s="46">
        <f t="shared" ref="U33:U52" si="39">(O33/$A$10)*T33</f>
        <v>0</v>
      </c>
      <c r="V33" s="47">
        <f t="shared" ref="V33:V52" si="40">N33-M33</f>
        <v>65.03</v>
      </c>
      <c r="W33" s="48">
        <f t="shared" ref="W33:W52" si="41">(O33/A$10)</f>
        <v>0</v>
      </c>
      <c r="X33" s="43">
        <f t="shared" ref="X33:X52" si="42">W33*A$8</f>
        <v>0</v>
      </c>
      <c r="Y33" s="43">
        <f t="shared" ref="Y33:Y52" si="43">Q33-P33</f>
        <v>0</v>
      </c>
      <c r="Z33" s="43">
        <f t="shared" ref="Z33:Z52" si="44">X33+(A$6*W33)</f>
        <v>0</v>
      </c>
      <c r="AA33" s="49">
        <f t="shared" ref="AA33:AA52" si="45">Q33+X33</f>
        <v>0</v>
      </c>
      <c r="AB33" s="50">
        <f t="shared" ref="AB33:AB52" si="46">Z33/(1+ElecDiscountRate)^1</f>
        <v>0</v>
      </c>
      <c r="AC33" s="43">
        <f t="shared" ref="AC33:AC52" si="47">AA33/(1+ElecDiscountRate)^1</f>
        <v>0</v>
      </c>
      <c r="AD33" s="43">
        <f t="shared" ref="AD33:AD52" si="48">-PV(ElecDiscountRate,T33,R33)*J33</f>
        <v>0</v>
      </c>
      <c r="AE33" s="43">
        <f t="shared" ref="AE33:AE52" si="49">-PV(ElecDiscountRate,T33,S33)*J33</f>
        <v>0</v>
      </c>
      <c r="AF33" s="51">
        <f>HLOOKUP(I33,ElecAvoidedCostsWOCC!$A$5:$Q$50,G33+1,FALSE)</f>
        <v>0.98146455242736486</v>
      </c>
      <c r="AG33" s="43">
        <f t="shared" ref="AG33:AG52" si="50">AF33*J33*K33</f>
        <v>0</v>
      </c>
      <c r="AH33" s="51">
        <f>HLOOKUP(I33,ElecAvoidedCostsWOCC!$A$5:$Q$50,T33+1,FALSE)</f>
        <v>0.98146455242736486</v>
      </c>
      <c r="AI33" s="43">
        <f t="shared" ref="AI33:AI52" si="51">AH33*J33*L33</f>
        <v>0</v>
      </c>
      <c r="AJ33" s="43">
        <f t="shared" ref="AJ33:AJ52" si="52">AG33+AI33</f>
        <v>0</v>
      </c>
      <c r="AK33" s="43">
        <f>HLOOKUP(I33,ElecAvoidedCostsWOCC!$A$5:$Q$50,G33+1,FALSE)*J33*L33</f>
        <v>0</v>
      </c>
      <c r="AL33" s="43">
        <f t="shared" ref="AL33:AL52" si="53">AG33+AI33-AK33</f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ref="AN33:AN52" si="54">AM33*1.1+AD33+AE33</f>
        <v>0</v>
      </c>
      <c r="AO33" s="46">
        <f t="shared" ref="AO33:AO52" si="55">IFERROR(AM33/AB33,0)</f>
        <v>0</v>
      </c>
      <c r="AP33" s="46" t="e">
        <f t="shared" ref="AP33:AP52" si="56">AN33/AC33</f>
        <v>#DIV/0!</v>
      </c>
    </row>
    <row r="34" spans="2:42" x14ac:dyDescent="0.25">
      <c r="B34" s="36"/>
      <c r="C34" s="60"/>
      <c r="D34" s="60"/>
      <c r="E34" s="37" t="s">
        <v>1996</v>
      </c>
      <c r="F34" s="38" t="s">
        <v>598</v>
      </c>
      <c r="G34" s="38">
        <v>7</v>
      </c>
      <c r="H34" s="38">
        <v>0</v>
      </c>
      <c r="I34" s="39" t="s">
        <v>273</v>
      </c>
      <c r="J34" s="40">
        <v>0</v>
      </c>
      <c r="K34" s="40">
        <v>260</v>
      </c>
      <c r="L34" s="40">
        <v>0</v>
      </c>
      <c r="M34" s="41">
        <v>150</v>
      </c>
      <c r="N34" s="41">
        <v>165.03</v>
      </c>
      <c r="O34" s="42">
        <v>0</v>
      </c>
      <c r="P34" s="43">
        <v>0</v>
      </c>
      <c r="Q34" s="43">
        <v>0</v>
      </c>
      <c r="R34" s="44">
        <v>11.28</v>
      </c>
      <c r="S34" s="45"/>
      <c r="T34" s="38">
        <f t="shared" si="38"/>
        <v>7</v>
      </c>
      <c r="U34" s="46">
        <f t="shared" si="39"/>
        <v>0</v>
      </c>
      <c r="V34" s="47">
        <f t="shared" si="40"/>
        <v>15.030000000000001</v>
      </c>
      <c r="W34" s="48">
        <f t="shared" si="41"/>
        <v>0</v>
      </c>
      <c r="X34" s="43">
        <f t="shared" si="42"/>
        <v>0</v>
      </c>
      <c r="Y34" s="43">
        <f t="shared" si="43"/>
        <v>0</v>
      </c>
      <c r="Z34" s="43">
        <f t="shared" si="44"/>
        <v>0</v>
      </c>
      <c r="AA34" s="49">
        <f t="shared" si="45"/>
        <v>0</v>
      </c>
      <c r="AB34" s="50">
        <f t="shared" si="46"/>
        <v>0</v>
      </c>
      <c r="AC34" s="43">
        <f t="shared" si="47"/>
        <v>0</v>
      </c>
      <c r="AD34" s="43">
        <f t="shared" si="48"/>
        <v>0</v>
      </c>
      <c r="AE34" s="43">
        <f t="shared" si="49"/>
        <v>0</v>
      </c>
      <c r="AF34" s="51">
        <f>HLOOKUP(I34,ElecAvoidedCostsWOCC!$A$5:$Q$50,G34+1,FALSE)</f>
        <v>0.98146455242736486</v>
      </c>
      <c r="AG34" s="43">
        <f t="shared" si="50"/>
        <v>0</v>
      </c>
      <c r="AH34" s="51">
        <f>HLOOKUP(I34,ElecAvoidedCostsWOCC!$A$5:$Q$50,T34+1,FALSE)</f>
        <v>0.98146455242736486</v>
      </c>
      <c r="AI34" s="43">
        <f t="shared" si="51"/>
        <v>0</v>
      </c>
      <c r="AJ34" s="43">
        <f t="shared" si="52"/>
        <v>0</v>
      </c>
      <c r="AK34" s="43">
        <f>HLOOKUP(I34,ElecAvoidedCostsWOCC!$A$5:$Q$50,G34+1,FALSE)*J34*L34</f>
        <v>0</v>
      </c>
      <c r="AL34" s="43">
        <f t="shared" si="53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54"/>
        <v>0</v>
      </c>
      <c r="AO34" s="46">
        <f t="shared" si="55"/>
        <v>0</v>
      </c>
      <c r="AP34" s="46" t="e">
        <f t="shared" si="56"/>
        <v>#DIV/0!</v>
      </c>
    </row>
    <row r="35" spans="2:42" x14ac:dyDescent="0.25">
      <c r="B35" s="36"/>
      <c r="C35" s="60"/>
      <c r="D35" s="60"/>
      <c r="E35" s="37" t="s">
        <v>1997</v>
      </c>
      <c r="F35" s="38" t="s">
        <v>1985</v>
      </c>
      <c r="G35" s="38">
        <v>7</v>
      </c>
      <c r="H35" s="38">
        <v>0</v>
      </c>
      <c r="I35" s="39" t="s">
        <v>273</v>
      </c>
      <c r="J35" s="40">
        <v>0</v>
      </c>
      <c r="K35" s="40">
        <v>260</v>
      </c>
      <c r="L35" s="40">
        <v>0</v>
      </c>
      <c r="M35" s="41">
        <v>100</v>
      </c>
      <c r="N35" s="41">
        <v>165.03</v>
      </c>
      <c r="O35" s="42">
        <v>0</v>
      </c>
      <c r="P35" s="43">
        <v>0</v>
      </c>
      <c r="Q35" s="43">
        <v>0</v>
      </c>
      <c r="R35" s="44">
        <v>11.28</v>
      </c>
      <c r="S35" s="45"/>
      <c r="T35" s="38">
        <f t="shared" si="38"/>
        <v>7</v>
      </c>
      <c r="U35" s="46">
        <f t="shared" si="39"/>
        <v>0</v>
      </c>
      <c r="V35" s="47">
        <f t="shared" si="40"/>
        <v>65.03</v>
      </c>
      <c r="W35" s="48">
        <f t="shared" si="41"/>
        <v>0</v>
      </c>
      <c r="X35" s="43">
        <f t="shared" si="42"/>
        <v>0</v>
      </c>
      <c r="Y35" s="43">
        <f t="shared" si="43"/>
        <v>0</v>
      </c>
      <c r="Z35" s="43">
        <f t="shared" si="44"/>
        <v>0</v>
      </c>
      <c r="AA35" s="49">
        <f t="shared" si="45"/>
        <v>0</v>
      </c>
      <c r="AB35" s="50">
        <f t="shared" si="46"/>
        <v>0</v>
      </c>
      <c r="AC35" s="43">
        <f t="shared" si="47"/>
        <v>0</v>
      </c>
      <c r="AD35" s="43">
        <f t="shared" si="48"/>
        <v>0</v>
      </c>
      <c r="AE35" s="43">
        <f t="shared" si="49"/>
        <v>0</v>
      </c>
      <c r="AF35" s="51">
        <f>HLOOKUP(I35,ElecAvoidedCostsWOCC!$A$5:$Q$50,G35+1,FALSE)</f>
        <v>0.98146455242736486</v>
      </c>
      <c r="AG35" s="43">
        <f t="shared" si="50"/>
        <v>0</v>
      </c>
      <c r="AH35" s="51">
        <f>HLOOKUP(I35,ElecAvoidedCostsWOCC!$A$5:$Q$50,T35+1,FALSE)</f>
        <v>0.98146455242736486</v>
      </c>
      <c r="AI35" s="43">
        <f t="shared" si="51"/>
        <v>0</v>
      </c>
      <c r="AJ35" s="43">
        <f t="shared" si="52"/>
        <v>0</v>
      </c>
      <c r="AK35" s="43">
        <f>HLOOKUP(I35,ElecAvoidedCostsWOCC!$A$5:$Q$50,G35+1,FALSE)*J35*L35</f>
        <v>0</v>
      </c>
      <c r="AL35" s="43">
        <f t="shared" si="53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54"/>
        <v>0</v>
      </c>
      <c r="AO35" s="46">
        <f t="shared" si="55"/>
        <v>0</v>
      </c>
      <c r="AP35" s="46" t="e">
        <f t="shared" si="56"/>
        <v>#DIV/0!</v>
      </c>
    </row>
    <row r="36" spans="2:42" x14ac:dyDescent="0.25">
      <c r="B36" s="36"/>
      <c r="C36" s="60"/>
      <c r="D36" s="60"/>
      <c r="E36" s="37" t="s">
        <v>1998</v>
      </c>
      <c r="F36" s="38" t="s">
        <v>1987</v>
      </c>
      <c r="G36" s="38">
        <v>7</v>
      </c>
      <c r="H36" s="38">
        <v>0</v>
      </c>
      <c r="I36" s="39" t="s">
        <v>273</v>
      </c>
      <c r="J36" s="40">
        <v>0</v>
      </c>
      <c r="K36" s="40">
        <v>260</v>
      </c>
      <c r="L36" s="40">
        <v>0</v>
      </c>
      <c r="M36" s="41">
        <v>150</v>
      </c>
      <c r="N36" s="41">
        <v>165.03</v>
      </c>
      <c r="O36" s="42">
        <v>0</v>
      </c>
      <c r="P36" s="43">
        <v>0</v>
      </c>
      <c r="Q36" s="43">
        <v>0</v>
      </c>
      <c r="R36" s="44">
        <v>11.28</v>
      </c>
      <c r="S36" s="45"/>
      <c r="T36" s="38">
        <f t="shared" si="38"/>
        <v>7</v>
      </c>
      <c r="U36" s="46">
        <f t="shared" si="39"/>
        <v>0</v>
      </c>
      <c r="V36" s="47">
        <f t="shared" si="40"/>
        <v>15.030000000000001</v>
      </c>
      <c r="W36" s="48">
        <f t="shared" si="41"/>
        <v>0</v>
      </c>
      <c r="X36" s="43">
        <f t="shared" si="42"/>
        <v>0</v>
      </c>
      <c r="Y36" s="43">
        <f t="shared" si="43"/>
        <v>0</v>
      </c>
      <c r="Z36" s="43">
        <f t="shared" si="44"/>
        <v>0</v>
      </c>
      <c r="AA36" s="49">
        <f t="shared" si="45"/>
        <v>0</v>
      </c>
      <c r="AB36" s="50">
        <f t="shared" si="46"/>
        <v>0</v>
      </c>
      <c r="AC36" s="43">
        <f t="shared" si="47"/>
        <v>0</v>
      </c>
      <c r="AD36" s="43">
        <f t="shared" si="48"/>
        <v>0</v>
      </c>
      <c r="AE36" s="43">
        <f t="shared" si="49"/>
        <v>0</v>
      </c>
      <c r="AF36" s="51">
        <f>HLOOKUP(I36,ElecAvoidedCostsWOCC!$A$5:$Q$50,G36+1,FALSE)</f>
        <v>0.98146455242736486</v>
      </c>
      <c r="AG36" s="43">
        <f t="shared" si="50"/>
        <v>0</v>
      </c>
      <c r="AH36" s="51">
        <f>HLOOKUP(I36,ElecAvoidedCostsWOCC!$A$5:$Q$50,T36+1,FALSE)</f>
        <v>0.98146455242736486</v>
      </c>
      <c r="AI36" s="43">
        <f t="shared" si="51"/>
        <v>0</v>
      </c>
      <c r="AJ36" s="43">
        <f t="shared" si="52"/>
        <v>0</v>
      </c>
      <c r="AK36" s="43">
        <f>HLOOKUP(I36,ElecAvoidedCostsWOCC!$A$5:$Q$50,G36+1,FALSE)*J36*L36</f>
        <v>0</v>
      </c>
      <c r="AL36" s="43">
        <f t="shared" si="53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54"/>
        <v>0</v>
      </c>
      <c r="AO36" s="46">
        <f t="shared" si="55"/>
        <v>0</v>
      </c>
      <c r="AP36" s="46" t="e">
        <f t="shared" si="56"/>
        <v>#DIV/0!</v>
      </c>
    </row>
    <row r="37" spans="2:42" x14ac:dyDescent="0.25">
      <c r="B37" s="36"/>
      <c r="C37" s="60"/>
      <c r="D37" s="60"/>
      <c r="E37" s="37" t="s">
        <v>1999</v>
      </c>
      <c r="F37" s="38" t="s">
        <v>2000</v>
      </c>
      <c r="G37" s="38">
        <v>7</v>
      </c>
      <c r="H37" s="38">
        <v>0</v>
      </c>
      <c r="I37" s="39" t="s">
        <v>273</v>
      </c>
      <c r="J37" s="40">
        <v>80</v>
      </c>
      <c r="K37" s="40">
        <v>260</v>
      </c>
      <c r="L37" s="40">
        <v>0</v>
      </c>
      <c r="M37" s="41">
        <v>350</v>
      </c>
      <c r="N37" s="41">
        <v>165.03</v>
      </c>
      <c r="O37" s="42">
        <v>20800</v>
      </c>
      <c r="P37" s="43">
        <v>28000</v>
      </c>
      <c r="Q37" s="43">
        <v>13202.4</v>
      </c>
      <c r="R37" s="44">
        <v>11.28</v>
      </c>
      <c r="S37" s="45"/>
      <c r="T37" s="38">
        <f t="shared" si="38"/>
        <v>7</v>
      </c>
      <c r="U37" s="46">
        <f t="shared" si="39"/>
        <v>7.9649871636928798E-2</v>
      </c>
      <c r="V37" s="47">
        <f t="shared" si="40"/>
        <v>-184.97</v>
      </c>
      <c r="W37" s="48">
        <f t="shared" si="41"/>
        <v>1.1378553090989828E-2</v>
      </c>
      <c r="X37" s="43">
        <f t="shared" si="42"/>
        <v>6022.608982584843</v>
      </c>
      <c r="Y37" s="43">
        <f t="shared" si="43"/>
        <v>-14797.6</v>
      </c>
      <c r="Z37" s="43">
        <f t="shared" si="44"/>
        <v>20677.101329026762</v>
      </c>
      <c r="AA37" s="49">
        <f t="shared" si="45"/>
        <v>19225.008982584841</v>
      </c>
      <c r="AB37" s="50">
        <f t="shared" si="46"/>
        <v>19360.58176875165</v>
      </c>
      <c r="AC37" s="43">
        <f t="shared" si="47"/>
        <v>18000.944740247978</v>
      </c>
      <c r="AD37" s="43">
        <f t="shared" si="48"/>
        <v>4897.3893860778599</v>
      </c>
      <c r="AE37" s="43">
        <f t="shared" si="49"/>
        <v>0</v>
      </c>
      <c r="AF37" s="51">
        <f>HLOOKUP(I37,ElecAvoidedCostsWOCC!$A$5:$Q$50,G37+1,FALSE)</f>
        <v>0.98146455242736486</v>
      </c>
      <c r="AG37" s="43">
        <f t="shared" si="50"/>
        <v>20414.462690489188</v>
      </c>
      <c r="AH37" s="51">
        <f>HLOOKUP(I37,ElecAvoidedCostsWOCC!$A$5:$Q$50,T37+1,FALSE)</f>
        <v>0.98146455242736486</v>
      </c>
      <c r="AI37" s="43">
        <f t="shared" si="51"/>
        <v>0</v>
      </c>
      <c r="AJ37" s="43">
        <f t="shared" si="52"/>
        <v>20414.462690489188</v>
      </c>
      <c r="AK37" s="43">
        <f>HLOOKUP(I37,ElecAvoidedCostsWOCC!$A$5:$Q$50,G37+1,FALSE)*J37*L37</f>
        <v>0</v>
      </c>
      <c r="AL37" s="43">
        <f t="shared" si="53"/>
        <v>20414.462690489188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20414.462690489188</v>
      </c>
      <c r="AN37" s="47">
        <f t="shared" si="54"/>
        <v>27353.298345615967</v>
      </c>
      <c r="AO37" s="46">
        <f t="shared" si="55"/>
        <v>1.0544343622689336</v>
      </c>
      <c r="AP37" s="46">
        <f t="shared" si="56"/>
        <v>1.5195479315292399</v>
      </c>
    </row>
    <row r="38" spans="2:42" x14ac:dyDescent="0.25">
      <c r="B38" s="36"/>
      <c r="C38" s="60"/>
      <c r="D38" s="60"/>
      <c r="E38" s="37" t="s">
        <v>2001</v>
      </c>
      <c r="F38" s="38" t="s">
        <v>2002</v>
      </c>
      <c r="G38" s="38">
        <v>5</v>
      </c>
      <c r="H38" s="38">
        <v>0</v>
      </c>
      <c r="I38" s="39" t="s">
        <v>273</v>
      </c>
      <c r="J38" s="40">
        <v>20</v>
      </c>
      <c r="K38" s="40">
        <v>58</v>
      </c>
      <c r="L38" s="40">
        <v>0</v>
      </c>
      <c r="M38" s="41">
        <v>140</v>
      </c>
      <c r="N38" s="41">
        <v>91.85</v>
      </c>
      <c r="O38" s="42">
        <v>1160</v>
      </c>
      <c r="P38" s="43">
        <v>2800</v>
      </c>
      <c r="Q38" s="43">
        <v>1837</v>
      </c>
      <c r="R38" s="44">
        <v>2.0093999999999999</v>
      </c>
      <c r="S38" s="45"/>
      <c r="T38" s="38">
        <f t="shared" si="38"/>
        <v>5</v>
      </c>
      <c r="U38" s="46">
        <f t="shared" si="39"/>
        <v>3.1728657657567787E-3</v>
      </c>
      <c r="V38" s="47">
        <f t="shared" si="40"/>
        <v>-48.150000000000006</v>
      </c>
      <c r="W38" s="48">
        <f t="shared" si="41"/>
        <v>6.3457315315135578E-4</v>
      </c>
      <c r="X38" s="43">
        <f t="shared" si="42"/>
        <v>335.87627018261628</v>
      </c>
      <c r="Y38" s="43">
        <f t="shared" si="43"/>
        <v>-963</v>
      </c>
      <c r="Z38" s="43">
        <f t="shared" si="44"/>
        <v>1153.1460356572618</v>
      </c>
      <c r="AA38" s="49">
        <f t="shared" si="45"/>
        <v>2172.8762701826163</v>
      </c>
      <c r="AB38" s="50">
        <f t="shared" si="46"/>
        <v>1079.7247524880727</v>
      </c>
      <c r="AC38" s="43">
        <f t="shared" si="47"/>
        <v>2034.5283428676182</v>
      </c>
      <c r="AD38" s="43">
        <f t="shared" si="48"/>
        <v>165.66490600442683</v>
      </c>
      <c r="AE38" s="43">
        <f t="shared" si="49"/>
        <v>0</v>
      </c>
      <c r="AF38" s="51">
        <f>HLOOKUP(I38,ElecAvoidedCostsWOCC!$A$5:$Q$50,G38+1,FALSE)</f>
        <v>0.74608136726953223</v>
      </c>
      <c r="AG38" s="43">
        <f t="shared" si="50"/>
        <v>865.45438603265745</v>
      </c>
      <c r="AH38" s="51">
        <f>HLOOKUP(I38,ElecAvoidedCostsWOCC!$A$5:$Q$50,T38+1,FALSE)</f>
        <v>0.74608136726953223</v>
      </c>
      <c r="AI38" s="43">
        <f t="shared" si="51"/>
        <v>0</v>
      </c>
      <c r="AJ38" s="43">
        <f t="shared" si="52"/>
        <v>865.45438603265745</v>
      </c>
      <c r="AK38" s="43">
        <f>HLOOKUP(I38,ElecAvoidedCostsWOCC!$A$5:$Q$50,G38+1,FALSE)*J38*L38</f>
        <v>0</v>
      </c>
      <c r="AL38" s="43">
        <f t="shared" si="53"/>
        <v>865.45438603265745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865.45438603265734</v>
      </c>
      <c r="AN38" s="47">
        <f t="shared" si="54"/>
        <v>1117.6647306403499</v>
      </c>
      <c r="AO38" s="46">
        <f t="shared" si="55"/>
        <v>0.80155093604952588</v>
      </c>
      <c r="AP38" s="46">
        <f t="shared" si="56"/>
        <v>0.5493483217171744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8"/>
        <v>0</v>
      </c>
      <c r="U39" s="46">
        <f t="shared" si="39"/>
        <v>0</v>
      </c>
      <c r="V39" s="47">
        <f t="shared" si="40"/>
        <v>0</v>
      </c>
      <c r="W39" s="48">
        <f t="shared" si="41"/>
        <v>0</v>
      </c>
      <c r="X39" s="43">
        <f t="shared" si="42"/>
        <v>0</v>
      </c>
      <c r="Y39" s="43">
        <f t="shared" si="43"/>
        <v>0</v>
      </c>
      <c r="Z39" s="43">
        <f t="shared" si="44"/>
        <v>0</v>
      </c>
      <c r="AA39" s="49">
        <f t="shared" si="45"/>
        <v>0</v>
      </c>
      <c r="AB39" s="50">
        <f t="shared" si="46"/>
        <v>0</v>
      </c>
      <c r="AC39" s="43">
        <f t="shared" si="47"/>
        <v>0</v>
      </c>
      <c r="AD39" s="43">
        <f t="shared" si="48"/>
        <v>0</v>
      </c>
      <c r="AE39" s="43">
        <f t="shared" si="49"/>
        <v>0</v>
      </c>
      <c r="AF39" s="51" t="e">
        <f>HLOOKUP(I39,ElecAvoidedCostsWOCC!$A$5:$Q$50,G39+1,FALSE)</f>
        <v>#N/A</v>
      </c>
      <c r="AG39" s="43" t="e">
        <f t="shared" si="50"/>
        <v>#N/A</v>
      </c>
      <c r="AH39" s="51" t="e">
        <f>HLOOKUP(I39,ElecAvoidedCostsWOCC!$A$5:$Q$50,T39+1,FALSE)</f>
        <v>#N/A</v>
      </c>
      <c r="AI39" s="43" t="e">
        <f t="shared" si="51"/>
        <v>#N/A</v>
      </c>
      <c r="AJ39" s="43" t="e">
        <f t="shared" si="52"/>
        <v>#N/A</v>
      </c>
      <c r="AK39" s="43" t="e">
        <f>HLOOKUP(I39,ElecAvoidedCostsWOCC!$A$5:$Q$50,G39+1,FALSE)*J39*L39</f>
        <v>#N/A</v>
      </c>
      <c r="AL39" s="43" t="e">
        <f t="shared" si="5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54"/>
        <v>0</v>
      </c>
      <c r="AO39" s="46">
        <f t="shared" si="55"/>
        <v>0</v>
      </c>
      <c r="AP39" s="46" t="e">
        <f t="shared" si="5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8"/>
        <v>0</v>
      </c>
      <c r="U40" s="46">
        <f t="shared" si="39"/>
        <v>0</v>
      </c>
      <c r="V40" s="47">
        <f t="shared" si="40"/>
        <v>0</v>
      </c>
      <c r="W40" s="48">
        <f t="shared" si="41"/>
        <v>0</v>
      </c>
      <c r="X40" s="43">
        <f t="shared" si="42"/>
        <v>0</v>
      </c>
      <c r="Y40" s="43">
        <f t="shared" si="43"/>
        <v>0</v>
      </c>
      <c r="Z40" s="43">
        <f t="shared" si="44"/>
        <v>0</v>
      </c>
      <c r="AA40" s="49">
        <f t="shared" si="45"/>
        <v>0</v>
      </c>
      <c r="AB40" s="50">
        <f t="shared" si="46"/>
        <v>0</v>
      </c>
      <c r="AC40" s="43">
        <f t="shared" si="47"/>
        <v>0</v>
      </c>
      <c r="AD40" s="43">
        <f t="shared" si="48"/>
        <v>0</v>
      </c>
      <c r="AE40" s="43">
        <f t="shared" si="49"/>
        <v>0</v>
      </c>
      <c r="AF40" s="51" t="e">
        <f>HLOOKUP(I40,ElecAvoidedCostsWOCC!$A$5:$Q$50,G40+1,FALSE)</f>
        <v>#N/A</v>
      </c>
      <c r="AG40" s="43" t="e">
        <f t="shared" si="50"/>
        <v>#N/A</v>
      </c>
      <c r="AH40" s="51" t="e">
        <f>HLOOKUP(I40,ElecAvoidedCostsWOCC!$A$5:$Q$50,T40+1,FALSE)</f>
        <v>#N/A</v>
      </c>
      <c r="AI40" s="43" t="e">
        <f t="shared" si="51"/>
        <v>#N/A</v>
      </c>
      <c r="AJ40" s="43" t="e">
        <f t="shared" si="52"/>
        <v>#N/A</v>
      </c>
      <c r="AK40" s="43" t="e">
        <f>HLOOKUP(I40,ElecAvoidedCostsWOCC!$A$5:$Q$50,G40+1,FALSE)*J40*L40</f>
        <v>#N/A</v>
      </c>
      <c r="AL40" s="43" t="e">
        <f t="shared" si="5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54"/>
        <v>0</v>
      </c>
      <c r="AO40" s="46">
        <f t="shared" si="55"/>
        <v>0</v>
      </c>
      <c r="AP40" s="46" t="e">
        <f t="shared" si="5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8"/>
        <v>0</v>
      </c>
      <c r="U41" s="46">
        <f t="shared" si="39"/>
        <v>0</v>
      </c>
      <c r="V41" s="47">
        <f t="shared" si="40"/>
        <v>0</v>
      </c>
      <c r="W41" s="48">
        <f t="shared" si="41"/>
        <v>0</v>
      </c>
      <c r="X41" s="43">
        <f t="shared" si="42"/>
        <v>0</v>
      </c>
      <c r="Y41" s="43">
        <f t="shared" si="43"/>
        <v>0</v>
      </c>
      <c r="Z41" s="43">
        <f t="shared" si="44"/>
        <v>0</v>
      </c>
      <c r="AA41" s="49">
        <f t="shared" si="45"/>
        <v>0</v>
      </c>
      <c r="AB41" s="50">
        <f t="shared" si="46"/>
        <v>0</v>
      </c>
      <c r="AC41" s="43">
        <f t="shared" si="47"/>
        <v>0</v>
      </c>
      <c r="AD41" s="43">
        <f t="shared" si="48"/>
        <v>0</v>
      </c>
      <c r="AE41" s="43">
        <f t="shared" si="49"/>
        <v>0</v>
      </c>
      <c r="AF41" s="51" t="e">
        <f>HLOOKUP(I41,ElecAvoidedCostsWOCC!$A$5:$Q$50,G41+1,FALSE)</f>
        <v>#N/A</v>
      </c>
      <c r="AG41" s="43" t="e">
        <f t="shared" si="50"/>
        <v>#N/A</v>
      </c>
      <c r="AH41" s="51" t="e">
        <f>HLOOKUP(I41,ElecAvoidedCostsWOCC!$A$5:$Q$50,T41+1,FALSE)</f>
        <v>#N/A</v>
      </c>
      <c r="AI41" s="43" t="e">
        <f t="shared" si="51"/>
        <v>#N/A</v>
      </c>
      <c r="AJ41" s="43" t="e">
        <f t="shared" si="52"/>
        <v>#N/A</v>
      </c>
      <c r="AK41" s="43" t="e">
        <f>HLOOKUP(I41,ElecAvoidedCostsWOCC!$A$5:$Q$50,G41+1,FALSE)*J41*L41</f>
        <v>#N/A</v>
      </c>
      <c r="AL41" s="43" t="e">
        <f t="shared" si="5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54"/>
        <v>0</v>
      </c>
      <c r="AO41" s="46">
        <f t="shared" si="55"/>
        <v>0</v>
      </c>
      <c r="AP41" s="46" t="e">
        <f t="shared" si="5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8"/>
        <v>0</v>
      </c>
      <c r="U42" s="46">
        <f t="shared" si="39"/>
        <v>0</v>
      </c>
      <c r="V42" s="47">
        <f t="shared" si="40"/>
        <v>0</v>
      </c>
      <c r="W42" s="48">
        <f t="shared" si="41"/>
        <v>0</v>
      </c>
      <c r="X42" s="43">
        <f t="shared" si="42"/>
        <v>0</v>
      </c>
      <c r="Y42" s="43">
        <f t="shared" si="43"/>
        <v>0</v>
      </c>
      <c r="Z42" s="43">
        <f t="shared" si="44"/>
        <v>0</v>
      </c>
      <c r="AA42" s="49">
        <f t="shared" si="45"/>
        <v>0</v>
      </c>
      <c r="AB42" s="50">
        <f t="shared" si="46"/>
        <v>0</v>
      </c>
      <c r="AC42" s="43">
        <f t="shared" si="47"/>
        <v>0</v>
      </c>
      <c r="AD42" s="43">
        <f t="shared" si="48"/>
        <v>0</v>
      </c>
      <c r="AE42" s="43">
        <f t="shared" si="49"/>
        <v>0</v>
      </c>
      <c r="AF42" s="51" t="e">
        <f>HLOOKUP(I42,ElecAvoidedCostsWOCC!$A$5:$Q$50,G42+1,FALSE)</f>
        <v>#N/A</v>
      </c>
      <c r="AG42" s="43" t="e">
        <f t="shared" si="50"/>
        <v>#N/A</v>
      </c>
      <c r="AH42" s="51" t="e">
        <f>HLOOKUP(I42,ElecAvoidedCostsWOCC!$A$5:$Q$50,T42+1,FALSE)</f>
        <v>#N/A</v>
      </c>
      <c r="AI42" s="43" t="e">
        <f t="shared" si="51"/>
        <v>#N/A</v>
      </c>
      <c r="AJ42" s="43" t="e">
        <f t="shared" si="52"/>
        <v>#N/A</v>
      </c>
      <c r="AK42" s="43" t="e">
        <f>HLOOKUP(I42,ElecAvoidedCostsWOCC!$A$5:$Q$50,G42+1,FALSE)*J42*L42</f>
        <v>#N/A</v>
      </c>
      <c r="AL42" s="43" t="e">
        <f t="shared" si="5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54"/>
        <v>0</v>
      </c>
      <c r="AO42" s="46">
        <f t="shared" si="55"/>
        <v>0</v>
      </c>
      <c r="AP42" s="46" t="e">
        <f t="shared" si="5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8"/>
        <v>0</v>
      </c>
      <c r="U43" s="46">
        <f t="shared" si="39"/>
        <v>0</v>
      </c>
      <c r="V43" s="47">
        <f t="shared" si="40"/>
        <v>0</v>
      </c>
      <c r="W43" s="48">
        <f t="shared" si="41"/>
        <v>0</v>
      </c>
      <c r="X43" s="43">
        <f t="shared" si="42"/>
        <v>0</v>
      </c>
      <c r="Y43" s="43">
        <f t="shared" si="43"/>
        <v>0</v>
      </c>
      <c r="Z43" s="43">
        <f t="shared" si="44"/>
        <v>0</v>
      </c>
      <c r="AA43" s="49">
        <f t="shared" si="45"/>
        <v>0</v>
      </c>
      <c r="AB43" s="50">
        <f t="shared" si="46"/>
        <v>0</v>
      </c>
      <c r="AC43" s="43">
        <f t="shared" si="47"/>
        <v>0</v>
      </c>
      <c r="AD43" s="43">
        <f t="shared" si="48"/>
        <v>0</v>
      </c>
      <c r="AE43" s="43">
        <f t="shared" si="49"/>
        <v>0</v>
      </c>
      <c r="AF43" s="51" t="e">
        <f>HLOOKUP(I43,ElecAvoidedCostsWOCC!$A$5:$Q$50,G43+1,FALSE)</f>
        <v>#N/A</v>
      </c>
      <c r="AG43" s="43" t="e">
        <f t="shared" si="50"/>
        <v>#N/A</v>
      </c>
      <c r="AH43" s="51" t="e">
        <f>HLOOKUP(I43,ElecAvoidedCostsWOCC!$A$5:$Q$50,T43+1,FALSE)</f>
        <v>#N/A</v>
      </c>
      <c r="AI43" s="43" t="e">
        <f t="shared" si="51"/>
        <v>#N/A</v>
      </c>
      <c r="AJ43" s="43" t="e">
        <f t="shared" si="52"/>
        <v>#N/A</v>
      </c>
      <c r="AK43" s="43" t="e">
        <f>HLOOKUP(I43,ElecAvoidedCostsWOCC!$A$5:$Q$50,G43+1,FALSE)*J43*L43</f>
        <v>#N/A</v>
      </c>
      <c r="AL43" s="43" t="e">
        <f t="shared" si="5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54"/>
        <v>0</v>
      </c>
      <c r="AO43" s="46">
        <f t="shared" si="55"/>
        <v>0</v>
      </c>
      <c r="AP43" s="46" t="e">
        <f t="shared" si="5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8"/>
        <v>0</v>
      </c>
      <c r="U44" s="46">
        <f t="shared" si="39"/>
        <v>0</v>
      </c>
      <c r="V44" s="47">
        <f t="shared" si="40"/>
        <v>0</v>
      </c>
      <c r="W44" s="48">
        <f t="shared" si="41"/>
        <v>0</v>
      </c>
      <c r="X44" s="43">
        <f t="shared" si="42"/>
        <v>0</v>
      </c>
      <c r="Y44" s="43">
        <f t="shared" si="43"/>
        <v>0</v>
      </c>
      <c r="Z44" s="43">
        <f t="shared" si="44"/>
        <v>0</v>
      </c>
      <c r="AA44" s="49">
        <f t="shared" si="45"/>
        <v>0</v>
      </c>
      <c r="AB44" s="50">
        <f t="shared" si="46"/>
        <v>0</v>
      </c>
      <c r="AC44" s="43">
        <f t="shared" si="47"/>
        <v>0</v>
      </c>
      <c r="AD44" s="43">
        <f t="shared" si="48"/>
        <v>0</v>
      </c>
      <c r="AE44" s="43">
        <f t="shared" si="49"/>
        <v>0</v>
      </c>
      <c r="AF44" s="51" t="e">
        <f>HLOOKUP(I44,ElecAvoidedCostsWOCC!$A$5:$Q$50,G44+1,FALSE)</f>
        <v>#N/A</v>
      </c>
      <c r="AG44" s="43" t="e">
        <f t="shared" si="50"/>
        <v>#N/A</v>
      </c>
      <c r="AH44" s="51" t="e">
        <f>HLOOKUP(I44,ElecAvoidedCostsWOCC!$A$5:$Q$50,T44+1,FALSE)</f>
        <v>#N/A</v>
      </c>
      <c r="AI44" s="43" t="e">
        <f t="shared" si="51"/>
        <v>#N/A</v>
      </c>
      <c r="AJ44" s="43" t="e">
        <f t="shared" si="52"/>
        <v>#N/A</v>
      </c>
      <c r="AK44" s="43" t="e">
        <f>HLOOKUP(I44,ElecAvoidedCostsWOCC!$A$5:$Q$50,G44+1,FALSE)*J44*L44</f>
        <v>#N/A</v>
      </c>
      <c r="AL44" s="43" t="e">
        <f t="shared" si="5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54"/>
        <v>0</v>
      </c>
      <c r="AO44" s="46">
        <f t="shared" si="55"/>
        <v>0</v>
      </c>
      <c r="AP44" s="46" t="e">
        <f t="shared" si="5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8"/>
        <v>0</v>
      </c>
      <c r="U45" s="46">
        <f t="shared" si="39"/>
        <v>0</v>
      </c>
      <c r="V45" s="47">
        <f t="shared" si="40"/>
        <v>0</v>
      </c>
      <c r="W45" s="48">
        <f t="shared" si="41"/>
        <v>0</v>
      </c>
      <c r="X45" s="43">
        <f t="shared" si="42"/>
        <v>0</v>
      </c>
      <c r="Y45" s="43">
        <f t="shared" si="43"/>
        <v>0</v>
      </c>
      <c r="Z45" s="43">
        <f t="shared" si="44"/>
        <v>0</v>
      </c>
      <c r="AA45" s="49">
        <f t="shared" si="45"/>
        <v>0</v>
      </c>
      <c r="AB45" s="50">
        <f t="shared" si="46"/>
        <v>0</v>
      </c>
      <c r="AC45" s="43">
        <f t="shared" si="47"/>
        <v>0</v>
      </c>
      <c r="AD45" s="43">
        <f t="shared" si="48"/>
        <v>0</v>
      </c>
      <c r="AE45" s="43">
        <f t="shared" si="49"/>
        <v>0</v>
      </c>
      <c r="AF45" s="51" t="e">
        <f>HLOOKUP(I45,ElecAvoidedCostsWOCC!$A$5:$Q$50,G45+1,FALSE)</f>
        <v>#N/A</v>
      </c>
      <c r="AG45" s="43" t="e">
        <f t="shared" si="50"/>
        <v>#N/A</v>
      </c>
      <c r="AH45" s="51" t="e">
        <f>HLOOKUP(I45,ElecAvoidedCostsWOCC!$A$5:$Q$50,T45+1,FALSE)</f>
        <v>#N/A</v>
      </c>
      <c r="AI45" s="43" t="e">
        <f t="shared" si="51"/>
        <v>#N/A</v>
      </c>
      <c r="AJ45" s="43" t="e">
        <f t="shared" si="52"/>
        <v>#N/A</v>
      </c>
      <c r="AK45" s="43" t="e">
        <f>HLOOKUP(I45,ElecAvoidedCostsWOCC!$A$5:$Q$50,G45+1,FALSE)*J45*L45</f>
        <v>#N/A</v>
      </c>
      <c r="AL45" s="43" t="e">
        <f t="shared" si="5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54"/>
        <v>0</v>
      </c>
      <c r="AO45" s="46">
        <f t="shared" si="55"/>
        <v>0</v>
      </c>
      <c r="AP45" s="46" t="e">
        <f t="shared" si="5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8"/>
        <v>0</v>
      </c>
      <c r="U46" s="46">
        <f t="shared" si="39"/>
        <v>0</v>
      </c>
      <c r="V46" s="47">
        <f t="shared" si="40"/>
        <v>0</v>
      </c>
      <c r="W46" s="48">
        <f t="shared" si="41"/>
        <v>0</v>
      </c>
      <c r="X46" s="43">
        <f t="shared" si="42"/>
        <v>0</v>
      </c>
      <c r="Y46" s="43">
        <f t="shared" si="43"/>
        <v>0</v>
      </c>
      <c r="Z46" s="43">
        <f t="shared" si="44"/>
        <v>0</v>
      </c>
      <c r="AA46" s="49">
        <f t="shared" si="45"/>
        <v>0</v>
      </c>
      <c r="AB46" s="50">
        <f t="shared" si="46"/>
        <v>0</v>
      </c>
      <c r="AC46" s="43">
        <f t="shared" si="47"/>
        <v>0</v>
      </c>
      <c r="AD46" s="43">
        <f t="shared" si="48"/>
        <v>0</v>
      </c>
      <c r="AE46" s="43">
        <f t="shared" si="49"/>
        <v>0</v>
      </c>
      <c r="AF46" s="51" t="e">
        <f>HLOOKUP(I46,ElecAvoidedCostsWOCC!$A$5:$Q$50,G46+1,FALSE)</f>
        <v>#N/A</v>
      </c>
      <c r="AG46" s="43" t="e">
        <f t="shared" si="50"/>
        <v>#N/A</v>
      </c>
      <c r="AH46" s="51" t="e">
        <f>HLOOKUP(I46,ElecAvoidedCostsWOCC!$A$5:$Q$50,T46+1,FALSE)</f>
        <v>#N/A</v>
      </c>
      <c r="AI46" s="43" t="e">
        <f t="shared" si="51"/>
        <v>#N/A</v>
      </c>
      <c r="AJ46" s="43" t="e">
        <f t="shared" si="52"/>
        <v>#N/A</v>
      </c>
      <c r="AK46" s="43" t="e">
        <f>HLOOKUP(I46,ElecAvoidedCostsWOCC!$A$5:$Q$50,G46+1,FALSE)*J46*L46</f>
        <v>#N/A</v>
      </c>
      <c r="AL46" s="43" t="e">
        <f t="shared" si="5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54"/>
        <v>0</v>
      </c>
      <c r="AO46" s="46">
        <f t="shared" si="55"/>
        <v>0</v>
      </c>
      <c r="AP46" s="46" t="e">
        <f t="shared" si="5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8"/>
        <v>0</v>
      </c>
      <c r="U47" s="46">
        <f t="shared" si="39"/>
        <v>0</v>
      </c>
      <c r="V47" s="47">
        <f t="shared" si="40"/>
        <v>0</v>
      </c>
      <c r="W47" s="48">
        <f t="shared" si="41"/>
        <v>0</v>
      </c>
      <c r="X47" s="43">
        <f t="shared" si="42"/>
        <v>0</v>
      </c>
      <c r="Y47" s="43">
        <f t="shared" si="43"/>
        <v>0</v>
      </c>
      <c r="Z47" s="43">
        <f t="shared" si="44"/>
        <v>0</v>
      </c>
      <c r="AA47" s="49">
        <f t="shared" si="45"/>
        <v>0</v>
      </c>
      <c r="AB47" s="50">
        <f t="shared" si="46"/>
        <v>0</v>
      </c>
      <c r="AC47" s="43">
        <f t="shared" si="47"/>
        <v>0</v>
      </c>
      <c r="AD47" s="43">
        <f t="shared" si="48"/>
        <v>0</v>
      </c>
      <c r="AE47" s="43">
        <f t="shared" si="49"/>
        <v>0</v>
      </c>
      <c r="AF47" s="51" t="e">
        <f>HLOOKUP(I47,ElecAvoidedCostsWOCC!$A$5:$Q$50,G47+1,FALSE)</f>
        <v>#N/A</v>
      </c>
      <c r="AG47" s="43" t="e">
        <f t="shared" si="50"/>
        <v>#N/A</v>
      </c>
      <c r="AH47" s="51" t="e">
        <f>HLOOKUP(I47,ElecAvoidedCostsWOCC!$A$5:$Q$50,T47+1,FALSE)</f>
        <v>#N/A</v>
      </c>
      <c r="AI47" s="43" t="e">
        <f t="shared" si="51"/>
        <v>#N/A</v>
      </c>
      <c r="AJ47" s="43" t="e">
        <f t="shared" si="52"/>
        <v>#N/A</v>
      </c>
      <c r="AK47" s="43" t="e">
        <f>HLOOKUP(I47,ElecAvoidedCostsWOCC!$A$5:$Q$50,G47+1,FALSE)*J47*L47</f>
        <v>#N/A</v>
      </c>
      <c r="AL47" s="43" t="e">
        <f t="shared" si="5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54"/>
        <v>0</v>
      </c>
      <c r="AO47" s="46">
        <f t="shared" si="55"/>
        <v>0</v>
      </c>
      <c r="AP47" s="46" t="e">
        <f t="shared" si="5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8"/>
        <v>0</v>
      </c>
      <c r="U48" s="46">
        <f t="shared" si="39"/>
        <v>0</v>
      </c>
      <c r="V48" s="47">
        <f t="shared" si="40"/>
        <v>0</v>
      </c>
      <c r="W48" s="48">
        <f t="shared" si="41"/>
        <v>0</v>
      </c>
      <c r="X48" s="43">
        <f t="shared" si="42"/>
        <v>0</v>
      </c>
      <c r="Y48" s="43">
        <f t="shared" si="43"/>
        <v>0</v>
      </c>
      <c r="Z48" s="43">
        <f t="shared" si="44"/>
        <v>0</v>
      </c>
      <c r="AA48" s="49">
        <f t="shared" si="45"/>
        <v>0</v>
      </c>
      <c r="AB48" s="50">
        <f t="shared" si="46"/>
        <v>0</v>
      </c>
      <c r="AC48" s="43">
        <f t="shared" si="47"/>
        <v>0</v>
      </c>
      <c r="AD48" s="43">
        <f t="shared" si="48"/>
        <v>0</v>
      </c>
      <c r="AE48" s="43">
        <f t="shared" si="49"/>
        <v>0</v>
      </c>
      <c r="AF48" s="51" t="e">
        <f>HLOOKUP(I48,ElecAvoidedCostsWOCC!$A$5:$Q$50,G48+1,FALSE)</f>
        <v>#N/A</v>
      </c>
      <c r="AG48" s="43" t="e">
        <f t="shared" si="50"/>
        <v>#N/A</v>
      </c>
      <c r="AH48" s="51" t="e">
        <f>HLOOKUP(I48,ElecAvoidedCostsWOCC!$A$5:$Q$50,T48+1,FALSE)</f>
        <v>#N/A</v>
      </c>
      <c r="AI48" s="43" t="e">
        <f t="shared" si="51"/>
        <v>#N/A</v>
      </c>
      <c r="AJ48" s="43" t="e">
        <f t="shared" si="52"/>
        <v>#N/A</v>
      </c>
      <c r="AK48" s="43" t="e">
        <f>HLOOKUP(I48,ElecAvoidedCostsWOCC!$A$5:$Q$50,G48+1,FALSE)*J48*L48</f>
        <v>#N/A</v>
      </c>
      <c r="AL48" s="43" t="e">
        <f t="shared" si="5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54"/>
        <v>0</v>
      </c>
      <c r="AO48" s="46">
        <f t="shared" si="55"/>
        <v>0</v>
      </c>
      <c r="AP48" s="46" t="e">
        <f t="shared" si="5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8"/>
        <v>0</v>
      </c>
      <c r="U49" s="46">
        <f t="shared" si="39"/>
        <v>0</v>
      </c>
      <c r="V49" s="47">
        <f t="shared" si="40"/>
        <v>0</v>
      </c>
      <c r="W49" s="48">
        <f t="shared" si="41"/>
        <v>0</v>
      </c>
      <c r="X49" s="43">
        <f t="shared" si="42"/>
        <v>0</v>
      </c>
      <c r="Y49" s="43">
        <f t="shared" si="43"/>
        <v>0</v>
      </c>
      <c r="Z49" s="43">
        <f t="shared" si="44"/>
        <v>0</v>
      </c>
      <c r="AA49" s="49">
        <f t="shared" si="45"/>
        <v>0</v>
      </c>
      <c r="AB49" s="50">
        <f t="shared" si="46"/>
        <v>0</v>
      </c>
      <c r="AC49" s="43">
        <f t="shared" si="47"/>
        <v>0</v>
      </c>
      <c r="AD49" s="43">
        <f t="shared" si="48"/>
        <v>0</v>
      </c>
      <c r="AE49" s="43">
        <f t="shared" si="49"/>
        <v>0</v>
      </c>
      <c r="AF49" s="51" t="e">
        <f>HLOOKUP(I49,ElecAvoidedCostsWOCC!$A$5:$Q$50,G49+1,FALSE)</f>
        <v>#N/A</v>
      </c>
      <c r="AG49" s="43" t="e">
        <f t="shared" si="50"/>
        <v>#N/A</v>
      </c>
      <c r="AH49" s="51" t="e">
        <f>HLOOKUP(I49,ElecAvoidedCostsWOCC!$A$5:$Q$50,T49+1,FALSE)</f>
        <v>#N/A</v>
      </c>
      <c r="AI49" s="43" t="e">
        <f t="shared" si="51"/>
        <v>#N/A</v>
      </c>
      <c r="AJ49" s="43" t="e">
        <f t="shared" si="52"/>
        <v>#N/A</v>
      </c>
      <c r="AK49" s="43" t="e">
        <f>HLOOKUP(I49,ElecAvoidedCostsWOCC!$A$5:$Q$50,G49+1,FALSE)*J49*L49</f>
        <v>#N/A</v>
      </c>
      <c r="AL49" s="43" t="e">
        <f t="shared" si="5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54"/>
        <v>0</v>
      </c>
      <c r="AO49" s="46">
        <f t="shared" si="55"/>
        <v>0</v>
      </c>
      <c r="AP49" s="46" t="e">
        <f t="shared" si="5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HLOOKUP(I50,ElecAvoidedCostsWOCC!$A$5:$Q$50,G50+1,FALSE)</f>
        <v>#N/A</v>
      </c>
      <c r="AG50" s="43" t="e">
        <f t="shared" si="50"/>
        <v>#N/A</v>
      </c>
      <c r="AH50" s="51" t="e">
        <f>HLOOKUP(I50,ElecAvoidedCostsWOCC!$A$5:$Q$50,T50+1,FALSE)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HLOOKUP(I50,ElecAvoidedCostsWOCC!$A$5:$Q$50,G50+1,FALSE)*J50*L50</f>
        <v>#N/A</v>
      </c>
      <c r="AL50" s="43" t="e">
        <f t="shared" si="5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HLOOKUP(I51,ElecAvoidedCostsWOCC!$A$5:$Q$50,G51+1,FALSE)</f>
        <v>#N/A</v>
      </c>
      <c r="AG51" s="43" t="e">
        <f t="shared" si="50"/>
        <v>#N/A</v>
      </c>
      <c r="AH51" s="51" t="e">
        <f>HLOOKUP(I51,ElecAvoidedCostsWOCC!$A$5:$Q$50,T51+1,FALSE)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HLOOKUP(I51,ElecAvoidedCostsWOCC!$A$5:$Q$50,G51+1,FALSE)*J51*L51</f>
        <v>#N/A</v>
      </c>
      <c r="AL51" s="43" t="e">
        <f t="shared" si="5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HLOOKUP(I52,ElecAvoidedCostsWOCC!$A$5:$Q$50,G52+1,FALSE)</f>
        <v>#N/A</v>
      </c>
      <c r="AG52" s="43" t="e">
        <f t="shared" si="50"/>
        <v>#N/A</v>
      </c>
      <c r="AH52" s="51" t="e">
        <f>HLOOKUP(I52,ElecAvoidedCostsWOCC!$A$5:$Q$50,T52+1,FALSE)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HLOOKUP(I52,ElecAvoidedCostsWOCC!$A$5:$Q$50,G52+1,FALSE)*J52*L52</f>
        <v>#N/A</v>
      </c>
      <c r="AL52" s="43" t="e">
        <f t="shared" si="5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</sheetData>
  <conditionalFormatting sqref="J5:L52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2 R5:S52">
    <cfRule type="expression" dxfId="312" priority="2">
      <formula>ISTEXT(M5)</formula>
    </cfRule>
  </conditionalFormatting>
  <conditionalFormatting sqref="M5:N52 R5:S52">
    <cfRule type="notContainsBlanks" dxfId="311" priority="3">
      <formula>LEN(TRIM(M5))&gt;0</formula>
    </cfRule>
  </conditionalFormatting>
  <conditionalFormatting sqref="R5:S52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E5" sqref="E5:S7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18230435</v>
      </c>
      <c r="D2" s="19" t="s">
        <v>49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18230435</v>
      </c>
      <c r="D5" s="60" t="s">
        <v>49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18230435</v>
      </c>
      <c r="D6" s="60" t="s">
        <v>49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18230435</v>
      </c>
      <c r="D7" s="60" t="s">
        <v>49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15</v>
      </c>
      <c r="C8" s="60">
        <v>18230435</v>
      </c>
      <c r="D8" s="60" t="s">
        <v>49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18230435</v>
      </c>
      <c r="D9" s="60" t="s">
        <v>49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 t="s">
        <v>15</v>
      </c>
      <c r="C10" s="60">
        <v>18230435</v>
      </c>
      <c r="D10" s="60" t="s">
        <v>49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18230435</v>
      </c>
      <c r="D11" s="60" t="s">
        <v>49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18230435</v>
      </c>
      <c r="D12" s="60" t="s">
        <v>49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18230435</v>
      </c>
      <c r="D13" s="60" t="s">
        <v>49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15</v>
      </c>
      <c r="C14" s="60">
        <v>18230435</v>
      </c>
      <c r="D14" s="60" t="s">
        <v>49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18230435</v>
      </c>
      <c r="D15" s="60" t="s">
        <v>49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88" t="s">
        <v>15</v>
      </c>
      <c r="C16" s="60">
        <v>18230435</v>
      </c>
      <c r="D16" s="60" t="s">
        <v>49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18230435</v>
      </c>
      <c r="D17" s="60" t="s">
        <v>49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88" t="s">
        <v>15</v>
      </c>
      <c r="C18" s="60">
        <v>18230435</v>
      </c>
      <c r="D18" s="60" t="s">
        <v>49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24 R5:S24">
    <cfRule type="expression" dxfId="307" priority="2">
      <formula>ISTEXT(M5)</formula>
    </cfRule>
  </conditionalFormatting>
  <conditionalFormatting sqref="M5:N24 R5:S24">
    <cfRule type="notContainsBlanks" dxfId="306" priority="3">
      <formula>LEN(TRIM(M5))&gt;0</formula>
    </cfRule>
  </conditionalFormatting>
  <conditionalFormatting sqref="R5:S24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70" zoomScaleNormal="70" workbookViewId="0">
      <selection activeCell="H25" sqref="H2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18230627</v>
      </c>
      <c r="D2" s="19" t="s">
        <v>76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18230627</v>
      </c>
      <c r="D5" s="60" t="s">
        <v>76</v>
      </c>
      <c r="E5" s="37" t="s">
        <v>1556</v>
      </c>
      <c r="F5" s="38" t="s">
        <v>628</v>
      </c>
      <c r="G5" s="38">
        <v>20</v>
      </c>
      <c r="H5" s="38">
        <v>0</v>
      </c>
      <c r="I5" s="39" t="s">
        <v>273</v>
      </c>
      <c r="J5" s="40">
        <v>8</v>
      </c>
      <c r="K5" s="487">
        <v>1252</v>
      </c>
      <c r="L5" s="40">
        <v>0</v>
      </c>
      <c r="M5" s="41">
        <v>1000</v>
      </c>
      <c r="N5" s="41">
        <v>1000</v>
      </c>
      <c r="O5" s="42">
        <v>10016</v>
      </c>
      <c r="P5" s="43">
        <v>8000</v>
      </c>
      <c r="Q5" s="43">
        <v>8000</v>
      </c>
      <c r="R5" s="44">
        <v>43.566499999999998</v>
      </c>
      <c r="S5" s="45"/>
      <c r="T5" s="38">
        <f t="shared" ref="T5:T24" si="0">G5+H5</f>
        <v>20</v>
      </c>
      <c r="U5" s="46">
        <f t="shared" ref="U5:U24" si="1">(O5/$A$10)*T5</f>
        <v>5.9926637770552869E-2</v>
      </c>
      <c r="V5" s="47">
        <f t="shared" ref="V5:V24" si="2">N5-M5</f>
        <v>0</v>
      </c>
      <c r="W5" s="48">
        <f t="shared" ref="W5:W24" si="3">(O5/A$10)</f>
        <v>2.9963318885276435E-3</v>
      </c>
      <c r="X5" s="43">
        <f t="shared" ref="X5:X24" si="4">W5*A$8</f>
        <v>3015.5707363175011</v>
      </c>
      <c r="Y5" s="43">
        <f t="shared" ref="Y5:Y24" si="5">Q5-P5</f>
        <v>0</v>
      </c>
      <c r="Z5" s="43">
        <f t="shared" ref="Z5:Z24" si="6">X5+(A$6*W5)</f>
        <v>21385.681234940177</v>
      </c>
      <c r="AA5" s="49">
        <f t="shared" ref="AA5:AA24" si="7">Q5+X5</f>
        <v>11015.570736317501</v>
      </c>
      <c r="AB5" s="50">
        <f t="shared" ref="AB5:AC20" si="8">Z5/(1+ElecDiscountRate)^1</f>
        <v>20024.046100131251</v>
      </c>
      <c r="AC5" s="43">
        <f t="shared" si="8"/>
        <v>10314.20480928605</v>
      </c>
      <c r="AD5" s="43">
        <f t="shared" ref="AD5:AD24" si="9">-PV(ElecDiscountRate,T5,R5)*J5</f>
        <v>3750.4516116947302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20662.235852385271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20662.235852385271</v>
      </c>
      <c r="AK5" s="43">
        <f>HLOOKUP(I5,ElecAvoidedCostsWOCC!$A$5:$Q$50,G5+1,FALSE)*J5*L5</f>
        <v>0</v>
      </c>
      <c r="AL5" s="43">
        <f>AG5+AI5-AK5</f>
        <v>20662.235852385271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20662.235852385271</v>
      </c>
      <c r="AN5" s="47">
        <f>AM5*1.1+AD5+AE5</f>
        <v>26478.911049318529</v>
      </c>
      <c r="AO5" s="46">
        <f>IFERROR(AM5/AB5,0)</f>
        <v>1.0318711687469515</v>
      </c>
      <c r="AP5" s="46">
        <f>AN5/AC5</f>
        <v>2.5672275797237538</v>
      </c>
    </row>
    <row r="6" spans="1:42" ht="13.5" customHeight="1" x14ac:dyDescent="0.25">
      <c r="A6" s="52">
        <f>SUMIF('Program Costs'!D:D,C2,'Program Costs'!L:L)</f>
        <v>6130866.4000000004</v>
      </c>
      <c r="B6" s="88" t="s">
        <v>15</v>
      </c>
      <c r="C6" s="60">
        <v>18230627</v>
      </c>
      <c r="D6" s="60" t="s">
        <v>76</v>
      </c>
      <c r="E6" s="37" t="s">
        <v>1557</v>
      </c>
      <c r="F6" s="38" t="s">
        <v>630</v>
      </c>
      <c r="G6" s="38">
        <v>45</v>
      </c>
      <c r="H6" s="38">
        <v>0</v>
      </c>
      <c r="I6" s="39" t="s">
        <v>273</v>
      </c>
      <c r="J6" s="40">
        <v>580500</v>
      </c>
      <c r="K6" s="487">
        <v>0.15</v>
      </c>
      <c r="L6" s="40">
        <v>0</v>
      </c>
      <c r="M6" s="41">
        <v>0.2</v>
      </c>
      <c r="N6" s="41">
        <v>0.2</v>
      </c>
      <c r="O6" s="42">
        <v>87075</v>
      </c>
      <c r="P6" s="43">
        <v>116100</v>
      </c>
      <c r="Q6" s="43">
        <v>116100</v>
      </c>
      <c r="R6" s="44">
        <v>8.0000000000000004E-4</v>
      </c>
      <c r="S6" s="45"/>
      <c r="T6" s="38">
        <f t="shared" si="0"/>
        <v>45</v>
      </c>
      <c r="U6" s="46">
        <f t="shared" si="1"/>
        <v>1.1721996768879297</v>
      </c>
      <c r="V6" s="47">
        <f t="shared" si="2"/>
        <v>0</v>
      </c>
      <c r="W6" s="48">
        <f t="shared" si="3"/>
        <v>2.6048881708620662E-2</v>
      </c>
      <c r="X6" s="43">
        <f t="shared" si="4"/>
        <v>26216.136368295367</v>
      </c>
      <c r="Y6" s="43">
        <f t="shared" si="5"/>
        <v>0</v>
      </c>
      <c r="Z6" s="43">
        <f t="shared" si="6"/>
        <v>185918.34999325237</v>
      </c>
      <c r="AA6" s="49">
        <f t="shared" si="7"/>
        <v>142316.13636829535</v>
      </c>
      <c r="AB6" s="50">
        <f t="shared" si="8"/>
        <v>174080.85205360709</v>
      </c>
      <c r="AC6" s="43">
        <f t="shared" si="8"/>
        <v>133254.80933360988</v>
      </c>
      <c r="AD6" s="43">
        <f t="shared" si="9"/>
        <v>6475.6776652475228</v>
      </c>
      <c r="AE6" s="43">
        <v>0</v>
      </c>
      <c r="AF6" s="51">
        <f>HLOOKUP(I6,ElecAvoidedCostsWOCC!$A$5:$Q$50,G6+1,FALSE)</f>
        <v>3.7416616988497218</v>
      </c>
      <c r="AG6" s="43">
        <f t="shared" si="10"/>
        <v>325805.1924273395</v>
      </c>
      <c r="AH6" s="51">
        <f>HLOOKUP(I6,ElecAvoidedCostsWOCC!$A$5:$Q$50,T6+1,FALSE)</f>
        <v>3.7416616988497218</v>
      </c>
      <c r="AI6" s="43">
        <f t="shared" si="11"/>
        <v>0</v>
      </c>
      <c r="AJ6" s="43">
        <f t="shared" ref="AJ6:AJ24" si="12">AG6+AI6</f>
        <v>325805.1924273395</v>
      </c>
      <c r="AK6" s="43">
        <f>HLOOKUP(I6,ElecAvoidedCostsWOCC!$A$5:$Q$50,G6+1,FALSE)*J6*L6</f>
        <v>0</v>
      </c>
      <c r="AL6" s="43">
        <f t="shared" ref="AL6:AL24" si="13">AG6+AI6-AK6</f>
        <v>325805.1924273395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325805.1924273395</v>
      </c>
      <c r="AN6" s="47">
        <f t="shared" ref="AN6:AN24" si="14">AM6*1.1+AD6+AE6</f>
        <v>364861.38933532097</v>
      </c>
      <c r="AO6" s="46">
        <f t="shared" ref="AO6:AO24" si="15">IFERROR(AM6/AB6,0)</f>
        <v>1.8715739760224166</v>
      </c>
      <c r="AP6" s="46">
        <f t="shared" ref="AP6:AP24" si="16">AN6/AC6</f>
        <v>2.738072953313623</v>
      </c>
    </row>
    <row r="7" spans="1:42" ht="13.5" customHeight="1" x14ac:dyDescent="0.25">
      <c r="A7" s="35" t="s">
        <v>239</v>
      </c>
      <c r="B7" s="88" t="s">
        <v>15</v>
      </c>
      <c r="C7" s="60">
        <v>18230627</v>
      </c>
      <c r="D7" s="60" t="s">
        <v>76</v>
      </c>
      <c r="E7" s="37" t="s">
        <v>1558</v>
      </c>
      <c r="F7" s="38" t="s">
        <v>631</v>
      </c>
      <c r="G7" s="38">
        <v>45</v>
      </c>
      <c r="H7" s="38">
        <v>0</v>
      </c>
      <c r="I7" s="39" t="s">
        <v>273</v>
      </c>
      <c r="J7" s="40">
        <v>16200</v>
      </c>
      <c r="K7" s="487">
        <v>0.15</v>
      </c>
      <c r="L7" s="40">
        <v>0</v>
      </c>
      <c r="M7" s="41">
        <v>0.2</v>
      </c>
      <c r="N7" s="41">
        <v>0.2</v>
      </c>
      <c r="O7" s="42">
        <v>2430</v>
      </c>
      <c r="P7" s="43">
        <v>3240</v>
      </c>
      <c r="Q7" s="43">
        <v>3240</v>
      </c>
      <c r="R7" s="44">
        <v>8.0000000000000004E-4</v>
      </c>
      <c r="S7" s="45"/>
      <c r="T7" s="38">
        <f t="shared" si="0"/>
        <v>45</v>
      </c>
      <c r="U7" s="46">
        <f t="shared" si="1"/>
        <v>3.2712549122453853E-2</v>
      </c>
      <c r="V7" s="47">
        <f t="shared" si="2"/>
        <v>0</v>
      </c>
      <c r="W7" s="48">
        <f t="shared" si="3"/>
        <v>7.2694553605453008E-4</v>
      </c>
      <c r="X7" s="43">
        <f t="shared" si="4"/>
        <v>731.61310795242889</v>
      </c>
      <c r="Y7" s="43">
        <f t="shared" si="5"/>
        <v>0</v>
      </c>
      <c r="Z7" s="43">
        <f t="shared" si="6"/>
        <v>5188.4190695791367</v>
      </c>
      <c r="AA7" s="49">
        <f t="shared" si="7"/>
        <v>3971.6131079524289</v>
      </c>
      <c r="AB7" s="50">
        <f t="shared" si="8"/>
        <v>4858.0702898681056</v>
      </c>
      <c r="AC7" s="43">
        <f t="shared" si="8"/>
        <v>3718.7388651239967</v>
      </c>
      <c r="AD7" s="43">
        <f t="shared" si="9"/>
        <v>180.71658600690762</v>
      </c>
      <c r="AE7" s="43">
        <v>0</v>
      </c>
      <c r="AF7" s="51">
        <f>HLOOKUP(I7,ElecAvoidedCostsWOCC!$A$5:$Q$50,G7+1,FALSE)</f>
        <v>3.7416616988497218</v>
      </c>
      <c r="AG7" s="43">
        <f t="shared" si="10"/>
        <v>9092.2379282048223</v>
      </c>
      <c r="AH7" s="51">
        <f>HLOOKUP(I7,ElecAvoidedCostsWOCC!$A$5:$Q$50,T7+1,FALSE)</f>
        <v>3.7416616988497218</v>
      </c>
      <c r="AI7" s="43">
        <f t="shared" si="11"/>
        <v>0</v>
      </c>
      <c r="AJ7" s="43">
        <f t="shared" si="12"/>
        <v>9092.2379282048223</v>
      </c>
      <c r="AK7" s="43">
        <f>HLOOKUP(I7,ElecAvoidedCostsWOCC!$A$5:$Q$50,G7+1,FALSE)*J7*L7</f>
        <v>0</v>
      </c>
      <c r="AL7" s="43">
        <f t="shared" si="13"/>
        <v>9092.2379282048223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9092.2379282048241</v>
      </c>
      <c r="AN7" s="47">
        <f t="shared" si="14"/>
        <v>10182.178307032214</v>
      </c>
      <c r="AO7" s="46">
        <f t="shared" si="15"/>
        <v>1.8715739760224166</v>
      </c>
      <c r="AP7" s="46">
        <f t="shared" si="16"/>
        <v>2.7380729533136234</v>
      </c>
    </row>
    <row r="8" spans="1:42" ht="13.5" customHeight="1" x14ac:dyDescent="0.25">
      <c r="A8" s="52">
        <f>SUMIF('Program Costs'!D:D,C2,'Program Costs'!O:O)</f>
        <v>1006420.7999999998</v>
      </c>
      <c r="B8" s="88" t="s">
        <v>15</v>
      </c>
      <c r="C8" s="60">
        <v>18230627</v>
      </c>
      <c r="D8" s="60" t="s">
        <v>76</v>
      </c>
      <c r="E8" s="37" t="s">
        <v>1559</v>
      </c>
      <c r="F8" s="38" t="s">
        <v>634</v>
      </c>
      <c r="G8" s="38">
        <v>45</v>
      </c>
      <c r="H8" s="38">
        <v>0</v>
      </c>
      <c r="I8" s="39" t="s">
        <v>273</v>
      </c>
      <c r="J8" s="40">
        <v>877500</v>
      </c>
      <c r="K8" s="487">
        <v>0.15</v>
      </c>
      <c r="L8" s="40">
        <v>0</v>
      </c>
      <c r="M8" s="41">
        <v>0.2</v>
      </c>
      <c r="N8" s="41">
        <v>0.2</v>
      </c>
      <c r="O8" s="42">
        <v>131625</v>
      </c>
      <c r="P8" s="43">
        <v>175500</v>
      </c>
      <c r="Q8" s="43">
        <v>175500</v>
      </c>
      <c r="R8" s="44">
        <v>8.0000000000000004E-4</v>
      </c>
      <c r="S8" s="45"/>
      <c r="T8" s="38">
        <f t="shared" si="0"/>
        <v>45</v>
      </c>
      <c r="U8" s="46">
        <f t="shared" si="1"/>
        <v>1.7719297441329172</v>
      </c>
      <c r="V8" s="47">
        <f t="shared" si="2"/>
        <v>0</v>
      </c>
      <c r="W8" s="48">
        <f t="shared" si="3"/>
        <v>3.9376216536287048E-2</v>
      </c>
      <c r="X8" s="43">
        <f t="shared" si="4"/>
        <v>39629.043347423234</v>
      </c>
      <c r="Y8" s="43">
        <f t="shared" si="5"/>
        <v>0</v>
      </c>
      <c r="Z8" s="43">
        <f t="shared" si="6"/>
        <v>281039.3662688699</v>
      </c>
      <c r="AA8" s="49">
        <f t="shared" si="7"/>
        <v>215129.04334742323</v>
      </c>
      <c r="AB8" s="50">
        <f t="shared" si="8"/>
        <v>263145.47403452237</v>
      </c>
      <c r="AC8" s="43">
        <f t="shared" si="8"/>
        <v>201431.68852754982</v>
      </c>
      <c r="AD8" s="43">
        <f t="shared" si="9"/>
        <v>9788.8150753741629</v>
      </c>
      <c r="AE8" s="43">
        <v>0</v>
      </c>
      <c r="AF8" s="51">
        <f>HLOOKUP(I8,ElecAvoidedCostsWOCC!$A$5:$Q$50,G8+1,FALSE)</f>
        <v>3.7416616988497218</v>
      </c>
      <c r="AG8" s="43">
        <f t="shared" si="10"/>
        <v>492496.22111109458</v>
      </c>
      <c r="AH8" s="51">
        <f>HLOOKUP(I8,ElecAvoidedCostsWOCC!$A$5:$Q$50,T8+1,FALSE)</f>
        <v>3.7416616988497218</v>
      </c>
      <c r="AI8" s="43">
        <f t="shared" si="11"/>
        <v>0</v>
      </c>
      <c r="AJ8" s="43">
        <f t="shared" si="12"/>
        <v>492496.22111109458</v>
      </c>
      <c r="AK8" s="43">
        <f>HLOOKUP(I8,ElecAvoidedCostsWOCC!$A$5:$Q$50,G8+1,FALSE)*J8*L8</f>
        <v>0</v>
      </c>
      <c r="AL8" s="43">
        <f t="shared" si="13"/>
        <v>492496.22111109458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492496.22111109464</v>
      </c>
      <c r="AN8" s="47">
        <f t="shared" si="14"/>
        <v>551534.65829757834</v>
      </c>
      <c r="AO8" s="46">
        <f t="shared" si="15"/>
        <v>1.8715739760224166</v>
      </c>
      <c r="AP8" s="46">
        <f t="shared" si="16"/>
        <v>2.7380729533136239</v>
      </c>
    </row>
    <row r="9" spans="1:42" ht="13.5" customHeight="1" x14ac:dyDescent="0.25">
      <c r="A9" s="35" t="s">
        <v>241</v>
      </c>
      <c r="B9" s="88" t="s">
        <v>15</v>
      </c>
      <c r="C9" s="60">
        <v>18230627</v>
      </c>
      <c r="D9" s="60" t="s">
        <v>76</v>
      </c>
      <c r="E9" s="37" t="s">
        <v>1560</v>
      </c>
      <c r="F9" s="38" t="s">
        <v>635</v>
      </c>
      <c r="G9" s="38">
        <v>45</v>
      </c>
      <c r="H9" s="38">
        <v>0</v>
      </c>
      <c r="I9" s="39" t="s">
        <v>273</v>
      </c>
      <c r="J9" s="40">
        <v>20250</v>
      </c>
      <c r="K9" s="487">
        <v>0.15</v>
      </c>
      <c r="L9" s="40">
        <v>0</v>
      </c>
      <c r="M9" s="41">
        <v>0.2</v>
      </c>
      <c r="N9" s="41">
        <v>0.2</v>
      </c>
      <c r="O9" s="42">
        <v>3037.5</v>
      </c>
      <c r="P9" s="43">
        <v>4050</v>
      </c>
      <c r="Q9" s="43">
        <v>4050</v>
      </c>
      <c r="R9" s="44">
        <v>8.0000000000000004E-4</v>
      </c>
      <c r="S9" s="45"/>
      <c r="T9" s="38">
        <f t="shared" si="0"/>
        <v>45</v>
      </c>
      <c r="U9" s="46">
        <f t="shared" si="1"/>
        <v>4.0890686403067318E-2</v>
      </c>
      <c r="V9" s="47">
        <f t="shared" si="2"/>
        <v>0</v>
      </c>
      <c r="W9" s="48">
        <f t="shared" si="3"/>
        <v>9.0868192006816255E-4</v>
      </c>
      <c r="X9" s="43">
        <f t="shared" si="4"/>
        <v>914.516384940536</v>
      </c>
      <c r="Y9" s="43">
        <f t="shared" si="5"/>
        <v>0</v>
      </c>
      <c r="Z9" s="43">
        <f t="shared" si="6"/>
        <v>6485.52383697392</v>
      </c>
      <c r="AA9" s="49">
        <f t="shared" si="7"/>
        <v>4964.5163849405362</v>
      </c>
      <c r="AB9" s="50">
        <f t="shared" si="8"/>
        <v>6072.5878623351309</v>
      </c>
      <c r="AC9" s="43">
        <f t="shared" si="8"/>
        <v>4648.4235814049962</v>
      </c>
      <c r="AD9" s="43">
        <f t="shared" si="9"/>
        <v>225.89573250863452</v>
      </c>
      <c r="AE9" s="43">
        <f t="shared" ref="AE9:AE24" si="17">-PV(ElecDiscountRate,T9,S9)*J9</f>
        <v>0</v>
      </c>
      <c r="AF9" s="51">
        <f>HLOOKUP(I9,ElecAvoidedCostsWOCC!$A$5:$Q$50,G9+1,FALSE)</f>
        <v>3.7416616988497218</v>
      </c>
      <c r="AG9" s="43">
        <f t="shared" si="10"/>
        <v>11365.297410256029</v>
      </c>
      <c r="AH9" s="51">
        <f>HLOOKUP(I9,ElecAvoidedCostsWOCC!$A$5:$Q$50,T9+1,FALSE)</f>
        <v>3.7416616988497218</v>
      </c>
      <c r="AI9" s="43">
        <f t="shared" si="11"/>
        <v>0</v>
      </c>
      <c r="AJ9" s="43">
        <f t="shared" si="12"/>
        <v>11365.297410256029</v>
      </c>
      <c r="AK9" s="43">
        <f>HLOOKUP(I9,ElecAvoidedCostsWOCC!$A$5:$Q$50,G9+1,FALSE)*J9*L9</f>
        <v>0</v>
      </c>
      <c r="AL9" s="43">
        <f t="shared" si="13"/>
        <v>11365.297410256029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11365.297410256029</v>
      </c>
      <c r="AN9" s="47">
        <f t="shared" si="14"/>
        <v>12727.722883790268</v>
      </c>
      <c r="AO9" s="46">
        <f t="shared" si="15"/>
        <v>1.8715739760224168</v>
      </c>
      <c r="AP9" s="46">
        <f t="shared" si="16"/>
        <v>2.7380729533136234</v>
      </c>
    </row>
    <row r="10" spans="1:42" ht="13.5" customHeight="1" x14ac:dyDescent="0.25">
      <c r="A10" s="53">
        <f>SUM(O5:O999)</f>
        <v>3342753.8646000014</v>
      </c>
      <c r="B10" s="88" t="s">
        <v>15</v>
      </c>
      <c r="C10" s="60">
        <v>18230627</v>
      </c>
      <c r="D10" s="60" t="s">
        <v>76</v>
      </c>
      <c r="E10" s="37" t="s">
        <v>1561</v>
      </c>
      <c r="F10" s="38" t="s">
        <v>1562</v>
      </c>
      <c r="G10" s="38">
        <v>20</v>
      </c>
      <c r="H10" s="38">
        <v>0</v>
      </c>
      <c r="I10" s="39" t="s">
        <v>273</v>
      </c>
      <c r="J10" s="40">
        <v>8</v>
      </c>
      <c r="K10" s="487">
        <v>436</v>
      </c>
      <c r="L10" s="40">
        <v>0</v>
      </c>
      <c r="M10" s="41">
        <v>550</v>
      </c>
      <c r="N10" s="41">
        <v>440</v>
      </c>
      <c r="O10" s="42">
        <v>3488</v>
      </c>
      <c r="P10" s="43">
        <v>4400</v>
      </c>
      <c r="Q10" s="43">
        <v>3520</v>
      </c>
      <c r="R10" s="44">
        <v>14.8749</v>
      </c>
      <c r="S10" s="45"/>
      <c r="T10" s="38">
        <f t="shared" si="0"/>
        <v>20</v>
      </c>
      <c r="U10" s="46">
        <f t="shared" si="1"/>
        <v>2.0869020821055149E-2</v>
      </c>
      <c r="V10" s="47">
        <f t="shared" si="2"/>
        <v>-110</v>
      </c>
      <c r="W10" s="48">
        <f t="shared" si="3"/>
        <v>1.0434510410527575E-3</v>
      </c>
      <c r="X10" s="43">
        <f t="shared" si="4"/>
        <v>1050.1508314971488</v>
      </c>
      <c r="Y10" s="43">
        <f t="shared" si="5"/>
        <v>-880</v>
      </c>
      <c r="Z10" s="43">
        <f t="shared" si="6"/>
        <v>7447.4097591325208</v>
      </c>
      <c r="AA10" s="49">
        <f t="shared" si="7"/>
        <v>4570.1508314971488</v>
      </c>
      <c r="AB10" s="50">
        <f t="shared" si="8"/>
        <v>6973.2301115473037</v>
      </c>
      <c r="AC10" s="43">
        <f t="shared" si="8"/>
        <v>4279.1674452220495</v>
      </c>
      <c r="AD10" s="43">
        <f t="shared" si="9"/>
        <v>1280.5158247460306</v>
      </c>
      <c r="AE10" s="43">
        <f t="shared" si="17"/>
        <v>0</v>
      </c>
      <c r="AF10" s="51">
        <f>HLOOKUP(I10,ElecAvoidedCostsWOCC!$A$5:$Q$50,G10+1,FALSE)</f>
        <v>2.0629229085847913</v>
      </c>
      <c r="AG10" s="43">
        <f t="shared" si="10"/>
        <v>7195.4751051437524</v>
      </c>
      <c r="AH10" s="51">
        <f>HLOOKUP(I10,ElecAvoidedCostsWOCC!$A$5:$Q$50,T10+1,FALSE)</f>
        <v>2.0629229085847913</v>
      </c>
      <c r="AI10" s="43">
        <f t="shared" si="11"/>
        <v>0</v>
      </c>
      <c r="AJ10" s="43">
        <f t="shared" si="12"/>
        <v>7195.4751051437524</v>
      </c>
      <c r="AK10" s="43">
        <f>HLOOKUP(I10,ElecAvoidedCostsWOCC!$A$5:$Q$50,G10+1,FALSE)*J10*L10</f>
        <v>0</v>
      </c>
      <c r="AL10" s="43">
        <f t="shared" si="13"/>
        <v>7195.4751051437524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7195.4751051437524</v>
      </c>
      <c r="AN10" s="47">
        <f t="shared" si="14"/>
        <v>9195.5384404041597</v>
      </c>
      <c r="AO10" s="46">
        <f t="shared" si="15"/>
        <v>1.0318711687469517</v>
      </c>
      <c r="AP10" s="46">
        <f t="shared" si="16"/>
        <v>2.1489083000646625</v>
      </c>
    </row>
    <row r="11" spans="1:42" ht="13.5" customHeight="1" x14ac:dyDescent="0.25">
      <c r="A11" s="35" t="s">
        <v>242</v>
      </c>
      <c r="B11" s="88" t="s">
        <v>15</v>
      </c>
      <c r="C11" s="60">
        <v>18230627</v>
      </c>
      <c r="D11" s="60" t="s">
        <v>76</v>
      </c>
      <c r="E11" s="37" t="s">
        <v>1563</v>
      </c>
      <c r="F11" s="38" t="s">
        <v>638</v>
      </c>
      <c r="G11" s="38">
        <v>18</v>
      </c>
      <c r="H11" s="38">
        <v>0</v>
      </c>
      <c r="I11" s="39" t="s">
        <v>273</v>
      </c>
      <c r="J11" s="40">
        <v>82</v>
      </c>
      <c r="K11" s="487">
        <v>468</v>
      </c>
      <c r="L11" s="40">
        <v>0</v>
      </c>
      <c r="M11" s="41">
        <v>550</v>
      </c>
      <c r="N11" s="41">
        <v>549</v>
      </c>
      <c r="O11" s="42">
        <v>38376</v>
      </c>
      <c r="P11" s="43">
        <v>45100</v>
      </c>
      <c r="Q11" s="43">
        <v>45018</v>
      </c>
      <c r="R11" s="44">
        <v>21.578499999999998</v>
      </c>
      <c r="S11" s="45"/>
      <c r="T11" s="38">
        <f t="shared" si="0"/>
        <v>18</v>
      </c>
      <c r="U11" s="46">
        <f t="shared" si="1"/>
        <v>0.20664638438243443</v>
      </c>
      <c r="V11" s="47">
        <f t="shared" si="2"/>
        <v>-1</v>
      </c>
      <c r="W11" s="48">
        <f t="shared" si="3"/>
        <v>1.1480354687913023E-2</v>
      </c>
      <c r="X11" s="43">
        <f t="shared" si="4"/>
        <v>11554.067749293174</v>
      </c>
      <c r="Y11" s="43">
        <f t="shared" si="5"/>
        <v>-82</v>
      </c>
      <c r="Z11" s="43">
        <f t="shared" si="6"/>
        <v>81938.588565501617</v>
      </c>
      <c r="AA11" s="49">
        <f t="shared" si="7"/>
        <v>56572.067749293172</v>
      </c>
      <c r="AB11" s="50">
        <f t="shared" si="8"/>
        <v>76721.524874065173</v>
      </c>
      <c r="AC11" s="43">
        <f t="shared" si="8"/>
        <v>52970.100888851281</v>
      </c>
      <c r="AD11" s="43">
        <f t="shared" si="9"/>
        <v>18058.738730310917</v>
      </c>
      <c r="AE11" s="43">
        <f t="shared" si="17"/>
        <v>0</v>
      </c>
      <c r="AF11" s="51">
        <f>HLOOKUP(I11,ElecAvoidedCostsWOCC!$A$5:$Q$50,G11+1,FALSE)</f>
        <v>1.9446021196344847</v>
      </c>
      <c r="AG11" s="43">
        <f t="shared" si="10"/>
        <v>74626.050943092981</v>
      </c>
      <c r="AH11" s="51">
        <f>HLOOKUP(I11,ElecAvoidedCostsWOCC!$A$5:$Q$50,T11+1,FALSE)</f>
        <v>1.9446021196344847</v>
      </c>
      <c r="AI11" s="43">
        <f t="shared" si="11"/>
        <v>0</v>
      </c>
      <c r="AJ11" s="43">
        <f t="shared" si="12"/>
        <v>74626.050943092981</v>
      </c>
      <c r="AK11" s="43">
        <f>HLOOKUP(I11,ElecAvoidedCostsWOCC!$A$5:$Q$50,G11+1,FALSE)*J11*L11</f>
        <v>0</v>
      </c>
      <c r="AL11" s="43">
        <f t="shared" si="13"/>
        <v>74626.050943092981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74626.050943092981</v>
      </c>
      <c r="AN11" s="47">
        <f t="shared" si="14"/>
        <v>100147.39476771319</v>
      </c>
      <c r="AO11" s="46">
        <f t="shared" si="15"/>
        <v>0.97268727473271921</v>
      </c>
      <c r="AP11" s="46">
        <f t="shared" si="16"/>
        <v>1.8906400608497125</v>
      </c>
    </row>
    <row r="12" spans="1:42" ht="13.5" customHeight="1" x14ac:dyDescent="0.25">
      <c r="A12" s="54">
        <f>SUM(P5:P1000)</f>
        <v>6130866.4000000004</v>
      </c>
      <c r="B12" s="88" t="s">
        <v>15</v>
      </c>
      <c r="C12" s="60">
        <v>18230627</v>
      </c>
      <c r="D12" s="60" t="s">
        <v>76</v>
      </c>
      <c r="E12" s="37" t="s">
        <v>1564</v>
      </c>
      <c r="F12" s="38" t="s">
        <v>1565</v>
      </c>
      <c r="G12" s="38">
        <v>20</v>
      </c>
      <c r="H12" s="38">
        <v>0</v>
      </c>
      <c r="I12" s="39" t="s">
        <v>273</v>
      </c>
      <c r="J12" s="40">
        <v>16</v>
      </c>
      <c r="K12" s="487">
        <v>12</v>
      </c>
      <c r="L12" s="40">
        <v>0</v>
      </c>
      <c r="M12" s="41">
        <v>0</v>
      </c>
      <c r="N12" s="41">
        <v>0</v>
      </c>
      <c r="O12" s="42">
        <v>192</v>
      </c>
      <c r="P12" s="43">
        <v>0</v>
      </c>
      <c r="Q12" s="43">
        <v>0</v>
      </c>
      <c r="R12" s="44">
        <v>25.883600000000001</v>
      </c>
      <c r="S12" s="45"/>
      <c r="T12" s="38">
        <f t="shared" si="0"/>
        <v>20</v>
      </c>
      <c r="U12" s="46">
        <f t="shared" si="1"/>
        <v>1.1487534396911092E-3</v>
      </c>
      <c r="V12" s="47">
        <f t="shared" si="2"/>
        <v>0</v>
      </c>
      <c r="W12" s="48">
        <f t="shared" si="3"/>
        <v>5.7437671984555463E-5</v>
      </c>
      <c r="X12" s="43">
        <f t="shared" si="4"/>
        <v>57.806467788833885</v>
      </c>
      <c r="Y12" s="43">
        <f t="shared" si="5"/>
        <v>0</v>
      </c>
      <c r="Z12" s="43">
        <f t="shared" si="6"/>
        <v>409.94916105316634</v>
      </c>
      <c r="AA12" s="49">
        <f t="shared" si="7"/>
        <v>57.806467788833885</v>
      </c>
      <c r="AB12" s="50">
        <f t="shared" si="8"/>
        <v>383.84752907599841</v>
      </c>
      <c r="AC12" s="43">
        <f t="shared" si="8"/>
        <v>54.12590616932011</v>
      </c>
      <c r="AD12" s="43">
        <f t="shared" si="9"/>
        <v>4456.4144164191175</v>
      </c>
      <c r="AE12" s="43">
        <f t="shared" si="17"/>
        <v>0</v>
      </c>
      <c r="AF12" s="51">
        <f>HLOOKUP(I12,ElecAvoidedCostsWOCC!$A$5:$Q$50,G12+1,FALSE)</f>
        <v>2.0629229085847913</v>
      </c>
      <c r="AG12" s="43">
        <f t="shared" si="10"/>
        <v>396.08119844827991</v>
      </c>
      <c r="AH12" s="51">
        <f>HLOOKUP(I12,ElecAvoidedCostsWOCC!$A$5:$Q$50,T12+1,FALSE)</f>
        <v>2.0629229085847913</v>
      </c>
      <c r="AI12" s="43">
        <f t="shared" si="11"/>
        <v>0</v>
      </c>
      <c r="AJ12" s="43">
        <f t="shared" si="12"/>
        <v>396.08119844827991</v>
      </c>
      <c r="AK12" s="43">
        <f>HLOOKUP(I12,ElecAvoidedCostsWOCC!$A$5:$Q$50,G12+1,FALSE)*J12*L12</f>
        <v>0</v>
      </c>
      <c r="AL12" s="43">
        <f t="shared" si="13"/>
        <v>396.08119844827991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396.08119844827991</v>
      </c>
      <c r="AN12" s="47">
        <f t="shared" si="14"/>
        <v>4892.1037347122256</v>
      </c>
      <c r="AO12" s="46">
        <f t="shared" si="15"/>
        <v>1.0318711687469515</v>
      </c>
      <c r="AP12" s="46">
        <f t="shared" si="16"/>
        <v>90.383775181674281</v>
      </c>
    </row>
    <row r="13" spans="1:42" ht="13.5" customHeight="1" x14ac:dyDescent="0.25">
      <c r="A13" s="55" t="s">
        <v>245</v>
      </c>
      <c r="B13" s="88" t="s">
        <v>15</v>
      </c>
      <c r="C13" s="60">
        <v>18230627</v>
      </c>
      <c r="D13" s="60" t="s">
        <v>76</v>
      </c>
      <c r="E13" s="37" t="s">
        <v>1566</v>
      </c>
      <c r="F13" s="38" t="s">
        <v>1567</v>
      </c>
      <c r="G13" s="38">
        <v>20</v>
      </c>
      <c r="H13" s="38">
        <v>0</v>
      </c>
      <c r="I13" s="39" t="s">
        <v>273</v>
      </c>
      <c r="J13" s="40">
        <v>8</v>
      </c>
      <c r="K13" s="487">
        <v>436</v>
      </c>
      <c r="L13" s="40">
        <v>0</v>
      </c>
      <c r="M13" s="41">
        <v>550</v>
      </c>
      <c r="N13" s="41">
        <v>440</v>
      </c>
      <c r="O13" s="42">
        <v>3488</v>
      </c>
      <c r="P13" s="43">
        <v>4400</v>
      </c>
      <c r="Q13" s="43">
        <v>3520</v>
      </c>
      <c r="R13" s="44">
        <v>14.8749</v>
      </c>
      <c r="S13" s="45"/>
      <c r="T13" s="38">
        <f t="shared" si="0"/>
        <v>20</v>
      </c>
      <c r="U13" s="46">
        <f t="shared" si="1"/>
        <v>2.0869020821055149E-2</v>
      </c>
      <c r="V13" s="47">
        <f t="shared" si="2"/>
        <v>-110</v>
      </c>
      <c r="W13" s="48">
        <f t="shared" si="3"/>
        <v>1.0434510410527575E-3</v>
      </c>
      <c r="X13" s="43">
        <f t="shared" si="4"/>
        <v>1050.1508314971488</v>
      </c>
      <c r="Y13" s="43">
        <f t="shared" si="5"/>
        <v>-880</v>
      </c>
      <c r="Z13" s="43">
        <f t="shared" si="6"/>
        <v>7447.4097591325208</v>
      </c>
      <c r="AA13" s="49">
        <f t="shared" si="7"/>
        <v>4570.1508314971488</v>
      </c>
      <c r="AB13" s="50">
        <f t="shared" si="8"/>
        <v>6973.2301115473037</v>
      </c>
      <c r="AC13" s="43">
        <f t="shared" si="8"/>
        <v>4279.1674452220495</v>
      </c>
      <c r="AD13" s="43">
        <f t="shared" si="9"/>
        <v>1280.5158247460306</v>
      </c>
      <c r="AE13" s="43">
        <f t="shared" si="17"/>
        <v>0</v>
      </c>
      <c r="AF13" s="51">
        <f>HLOOKUP(I13,ElecAvoidedCostsWOCC!$A$5:$Q$50,G13+1,FALSE)</f>
        <v>2.0629229085847913</v>
      </c>
      <c r="AG13" s="43">
        <f t="shared" si="10"/>
        <v>7195.4751051437524</v>
      </c>
      <c r="AH13" s="51">
        <f>HLOOKUP(I13,ElecAvoidedCostsWOCC!$A$5:$Q$50,T13+1,FALSE)</f>
        <v>2.0629229085847913</v>
      </c>
      <c r="AI13" s="43">
        <f t="shared" si="11"/>
        <v>0</v>
      </c>
      <c r="AJ13" s="43">
        <f t="shared" si="12"/>
        <v>7195.4751051437524</v>
      </c>
      <c r="AK13" s="43">
        <f>HLOOKUP(I13,ElecAvoidedCostsWOCC!$A$5:$Q$50,G13+1,FALSE)*J13*L13</f>
        <v>0</v>
      </c>
      <c r="AL13" s="43">
        <f t="shared" si="13"/>
        <v>7195.4751051437524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7195.4751051437524</v>
      </c>
      <c r="AN13" s="47">
        <f t="shared" si="14"/>
        <v>9195.5384404041597</v>
      </c>
      <c r="AO13" s="46">
        <f t="shared" si="15"/>
        <v>1.0318711687469517</v>
      </c>
      <c r="AP13" s="46">
        <f t="shared" si="16"/>
        <v>2.1489083000646625</v>
      </c>
    </row>
    <row r="14" spans="1:42" ht="13.5" customHeight="1" x14ac:dyDescent="0.25">
      <c r="A14" s="54">
        <f>SUM(Y5:Y1000)</f>
        <v>4196457.1199999992</v>
      </c>
      <c r="B14" s="88" t="s">
        <v>15</v>
      </c>
      <c r="C14" s="60">
        <v>18230627</v>
      </c>
      <c r="D14" s="60" t="s">
        <v>76</v>
      </c>
      <c r="E14" s="37" t="s">
        <v>1568</v>
      </c>
      <c r="F14" s="38" t="s">
        <v>1569</v>
      </c>
      <c r="G14" s="38">
        <v>20</v>
      </c>
      <c r="H14" s="38">
        <v>0</v>
      </c>
      <c r="I14" s="39" t="s">
        <v>273</v>
      </c>
      <c r="J14" s="40">
        <v>472</v>
      </c>
      <c r="K14" s="487">
        <v>1252</v>
      </c>
      <c r="L14" s="40">
        <v>0</v>
      </c>
      <c r="M14" s="41">
        <v>1000</v>
      </c>
      <c r="N14" s="41">
        <v>1000</v>
      </c>
      <c r="O14" s="42">
        <v>590944</v>
      </c>
      <c r="P14" s="43">
        <v>472000</v>
      </c>
      <c r="Q14" s="43">
        <v>472000</v>
      </c>
      <c r="R14" s="44">
        <v>47.866300000000003</v>
      </c>
      <c r="S14" s="45"/>
      <c r="T14" s="38">
        <f t="shared" si="0"/>
        <v>20</v>
      </c>
      <c r="U14" s="46">
        <f t="shared" si="1"/>
        <v>3.5356716284626186</v>
      </c>
      <c r="V14" s="47">
        <f t="shared" si="2"/>
        <v>0</v>
      </c>
      <c r="W14" s="48">
        <f t="shared" si="3"/>
        <v>0.17678358142313094</v>
      </c>
      <c r="X14" s="43">
        <f t="shared" si="4"/>
        <v>177918.67344273254</v>
      </c>
      <c r="Y14" s="43">
        <f t="shared" si="5"/>
        <v>0</v>
      </c>
      <c r="Z14" s="43">
        <f t="shared" si="6"/>
        <v>1261755.1928614704</v>
      </c>
      <c r="AA14" s="49">
        <f t="shared" si="7"/>
        <v>649918.67344273254</v>
      </c>
      <c r="AB14" s="50">
        <f t="shared" si="8"/>
        <v>1181418.7199077439</v>
      </c>
      <c r="AC14" s="43">
        <f t="shared" si="8"/>
        <v>608538.08374787692</v>
      </c>
      <c r="AD14" s="43">
        <f t="shared" si="9"/>
        <v>243115.56532819819</v>
      </c>
      <c r="AE14" s="43">
        <f t="shared" si="17"/>
        <v>0</v>
      </c>
      <c r="AF14" s="51">
        <f>HLOOKUP(I14,ElecAvoidedCostsWOCC!$A$5:$Q$50,G14+1,FALSE)</f>
        <v>2.0629229085847913</v>
      </c>
      <c r="AG14" s="43">
        <f t="shared" si="10"/>
        <v>1219071.9152907308</v>
      </c>
      <c r="AH14" s="51">
        <f>HLOOKUP(I14,ElecAvoidedCostsWOCC!$A$5:$Q$50,T14+1,FALSE)</f>
        <v>2.0629229085847913</v>
      </c>
      <c r="AI14" s="43">
        <f t="shared" si="11"/>
        <v>0</v>
      </c>
      <c r="AJ14" s="43">
        <f t="shared" si="12"/>
        <v>1219071.9152907308</v>
      </c>
      <c r="AK14" s="43">
        <f>HLOOKUP(I14,ElecAvoidedCostsWOCC!$A$5:$Q$50,G14+1,FALSE)*J14*L14</f>
        <v>0</v>
      </c>
      <c r="AL14" s="43">
        <f t="shared" si="13"/>
        <v>1219071.9152907308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1219071.915290731</v>
      </c>
      <c r="AN14" s="47">
        <f t="shared" si="14"/>
        <v>1584094.6721480025</v>
      </c>
      <c r="AO14" s="46">
        <f t="shared" si="15"/>
        <v>1.0318711687469515</v>
      </c>
      <c r="AP14" s="46">
        <f t="shared" si="16"/>
        <v>2.6031150957584241</v>
      </c>
    </row>
    <row r="15" spans="1:42" ht="13.5" customHeight="1" x14ac:dyDescent="0.25">
      <c r="A15" s="56" t="s">
        <v>248</v>
      </c>
      <c r="B15" s="88" t="s">
        <v>15</v>
      </c>
      <c r="C15" s="60">
        <v>18230627</v>
      </c>
      <c r="D15" s="60" t="s">
        <v>76</v>
      </c>
      <c r="E15" s="37" t="s">
        <v>1570</v>
      </c>
      <c r="F15" s="38" t="s">
        <v>1571</v>
      </c>
      <c r="G15" s="38">
        <v>20</v>
      </c>
      <c r="H15" s="38">
        <v>0</v>
      </c>
      <c r="I15" s="39" t="s">
        <v>273</v>
      </c>
      <c r="J15" s="40">
        <v>40</v>
      </c>
      <c r="K15" s="487">
        <v>436</v>
      </c>
      <c r="L15" s="40">
        <v>0</v>
      </c>
      <c r="M15" s="41">
        <v>550</v>
      </c>
      <c r="N15" s="41">
        <v>440</v>
      </c>
      <c r="O15" s="42">
        <v>17440</v>
      </c>
      <c r="P15" s="43">
        <v>22000</v>
      </c>
      <c r="Q15" s="43">
        <v>17600</v>
      </c>
      <c r="R15" s="44">
        <v>17.0426</v>
      </c>
      <c r="S15" s="45"/>
      <c r="T15" s="38">
        <f t="shared" si="0"/>
        <v>20</v>
      </c>
      <c r="U15" s="46">
        <f t="shared" si="1"/>
        <v>0.10434510410527575</v>
      </c>
      <c r="V15" s="47">
        <f t="shared" si="2"/>
        <v>-110</v>
      </c>
      <c r="W15" s="48">
        <f t="shared" si="3"/>
        <v>5.2172552052637874E-3</v>
      </c>
      <c r="X15" s="43">
        <f t="shared" si="4"/>
        <v>5250.7541574857441</v>
      </c>
      <c r="Y15" s="43">
        <f t="shared" si="5"/>
        <v>-4400</v>
      </c>
      <c r="Z15" s="43">
        <f t="shared" si="6"/>
        <v>37237.048795662602</v>
      </c>
      <c r="AA15" s="49">
        <f t="shared" si="7"/>
        <v>22850.754157485746</v>
      </c>
      <c r="AB15" s="50">
        <f t="shared" si="8"/>
        <v>34866.150557736517</v>
      </c>
      <c r="AC15" s="43">
        <f t="shared" si="8"/>
        <v>21395.837226110249</v>
      </c>
      <c r="AD15" s="43">
        <f t="shared" si="9"/>
        <v>7335.6187251062875</v>
      </c>
      <c r="AE15" s="43">
        <f t="shared" si="17"/>
        <v>0</v>
      </c>
      <c r="AF15" s="51">
        <f>HLOOKUP(I15,ElecAvoidedCostsWOCC!$A$5:$Q$50,G15+1,FALSE)</f>
        <v>2.0629229085847913</v>
      </c>
      <c r="AG15" s="43">
        <f t="shared" si="10"/>
        <v>35977.375525718766</v>
      </c>
      <c r="AH15" s="51">
        <f>HLOOKUP(I15,ElecAvoidedCostsWOCC!$A$5:$Q$50,T15+1,FALSE)</f>
        <v>2.0629229085847913</v>
      </c>
      <c r="AI15" s="43">
        <f t="shared" si="11"/>
        <v>0</v>
      </c>
      <c r="AJ15" s="43">
        <f t="shared" si="12"/>
        <v>35977.375525718766</v>
      </c>
      <c r="AK15" s="43">
        <f>HLOOKUP(I15,ElecAvoidedCostsWOCC!$A$5:$Q$50,G15+1,FALSE)*J15*L15</f>
        <v>0</v>
      </c>
      <c r="AL15" s="43">
        <f t="shared" si="13"/>
        <v>35977.375525718766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35977.375525718759</v>
      </c>
      <c r="AN15" s="47">
        <f t="shared" si="14"/>
        <v>46910.731803396928</v>
      </c>
      <c r="AO15" s="46">
        <f t="shared" si="15"/>
        <v>1.0318711687469515</v>
      </c>
      <c r="AP15" s="46">
        <f t="shared" si="16"/>
        <v>2.1925167642493451</v>
      </c>
    </row>
    <row r="16" spans="1:42" ht="13.5" customHeight="1" x14ac:dyDescent="0.25">
      <c r="A16" s="53">
        <f>SUM(U5:U999)</f>
        <v>35.999117957612377</v>
      </c>
      <c r="B16" s="88" t="s">
        <v>15</v>
      </c>
      <c r="C16" s="60">
        <v>18230627</v>
      </c>
      <c r="D16" s="60" t="s">
        <v>76</v>
      </c>
      <c r="E16" s="37" t="s">
        <v>1572</v>
      </c>
      <c r="F16" s="38" t="s">
        <v>1573</v>
      </c>
      <c r="G16" s="38">
        <v>20</v>
      </c>
      <c r="H16" s="38">
        <v>0</v>
      </c>
      <c r="I16" s="39" t="s">
        <v>273</v>
      </c>
      <c r="J16" s="40">
        <v>406</v>
      </c>
      <c r="K16" s="487">
        <v>12</v>
      </c>
      <c r="L16" s="40">
        <v>0</v>
      </c>
      <c r="M16" s="41">
        <v>0</v>
      </c>
      <c r="N16" s="41">
        <v>0</v>
      </c>
      <c r="O16" s="42">
        <v>4872</v>
      </c>
      <c r="P16" s="43">
        <v>0</v>
      </c>
      <c r="Q16" s="43">
        <v>0</v>
      </c>
      <c r="R16" s="44">
        <v>25.883600000000001</v>
      </c>
      <c r="S16" s="45"/>
      <c r="T16" s="38">
        <f t="shared" si="0"/>
        <v>20</v>
      </c>
      <c r="U16" s="46">
        <f t="shared" si="1"/>
        <v>2.9149618532161897E-2</v>
      </c>
      <c r="V16" s="47">
        <f t="shared" si="2"/>
        <v>0</v>
      </c>
      <c r="W16" s="48">
        <f t="shared" si="3"/>
        <v>1.4574809266080949E-3</v>
      </c>
      <c r="X16" s="43">
        <f t="shared" si="4"/>
        <v>1466.8391201416598</v>
      </c>
      <c r="Y16" s="43">
        <f t="shared" si="5"/>
        <v>0</v>
      </c>
      <c r="Z16" s="43">
        <f t="shared" si="6"/>
        <v>10402.459961724095</v>
      </c>
      <c r="AA16" s="49">
        <f t="shared" si="7"/>
        <v>1466.8391201416598</v>
      </c>
      <c r="AB16" s="50">
        <f t="shared" si="8"/>
        <v>9740.1310503034583</v>
      </c>
      <c r="AC16" s="43">
        <f t="shared" si="8"/>
        <v>1373.4448690464978</v>
      </c>
      <c r="AD16" s="43">
        <f t="shared" si="9"/>
        <v>113081.5158166351</v>
      </c>
      <c r="AE16" s="43">
        <f t="shared" si="17"/>
        <v>0</v>
      </c>
      <c r="AF16" s="51">
        <f>HLOOKUP(I16,ElecAvoidedCostsWOCC!$A$5:$Q$50,G16+1,FALSE)</f>
        <v>2.0629229085847913</v>
      </c>
      <c r="AG16" s="43">
        <f t="shared" si="10"/>
        <v>10050.560410625103</v>
      </c>
      <c r="AH16" s="51">
        <f>HLOOKUP(I16,ElecAvoidedCostsWOCC!$A$5:$Q$50,T16+1,FALSE)</f>
        <v>2.0629229085847913</v>
      </c>
      <c r="AI16" s="43">
        <f t="shared" si="11"/>
        <v>0</v>
      </c>
      <c r="AJ16" s="43">
        <f t="shared" si="12"/>
        <v>10050.560410625103</v>
      </c>
      <c r="AK16" s="43">
        <f>HLOOKUP(I16,ElecAvoidedCostsWOCC!$A$5:$Q$50,G16+1,FALSE)*J16*L16</f>
        <v>0</v>
      </c>
      <c r="AL16" s="43">
        <f t="shared" si="13"/>
        <v>10050.560410625103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10050.560410625103</v>
      </c>
      <c r="AN16" s="47">
        <f t="shared" si="14"/>
        <v>124137.13226832272</v>
      </c>
      <c r="AO16" s="46">
        <f t="shared" si="15"/>
        <v>1.0318711687469517</v>
      </c>
      <c r="AP16" s="46">
        <f t="shared" si="16"/>
        <v>90.383775181674267</v>
      </c>
    </row>
    <row r="17" spans="1:42" ht="13.5" customHeight="1" x14ac:dyDescent="0.25">
      <c r="A17" s="57" t="s">
        <v>251</v>
      </c>
      <c r="B17" s="88" t="s">
        <v>15</v>
      </c>
      <c r="C17" s="60">
        <v>18230627</v>
      </c>
      <c r="D17" s="60" t="s">
        <v>76</v>
      </c>
      <c r="E17" s="37" t="s">
        <v>1574</v>
      </c>
      <c r="F17" s="38" t="s">
        <v>1575</v>
      </c>
      <c r="G17" s="38">
        <v>20</v>
      </c>
      <c r="H17" s="38">
        <v>0</v>
      </c>
      <c r="I17" s="39" t="s">
        <v>273</v>
      </c>
      <c r="J17" s="40">
        <v>40</v>
      </c>
      <c r="K17" s="487">
        <v>436</v>
      </c>
      <c r="L17" s="40">
        <v>0</v>
      </c>
      <c r="M17" s="41">
        <v>550</v>
      </c>
      <c r="N17" s="41">
        <v>440</v>
      </c>
      <c r="O17" s="42">
        <v>17440</v>
      </c>
      <c r="P17" s="43">
        <v>22000</v>
      </c>
      <c r="Q17" s="43">
        <v>17600</v>
      </c>
      <c r="R17" s="44">
        <v>18.005600000000001</v>
      </c>
      <c r="S17" s="45"/>
      <c r="T17" s="38">
        <f t="shared" si="0"/>
        <v>20</v>
      </c>
      <c r="U17" s="46">
        <f t="shared" si="1"/>
        <v>0.10434510410527575</v>
      </c>
      <c r="V17" s="47">
        <f t="shared" si="2"/>
        <v>-110</v>
      </c>
      <c r="W17" s="48">
        <f t="shared" si="3"/>
        <v>5.2172552052637874E-3</v>
      </c>
      <c r="X17" s="43">
        <f t="shared" si="4"/>
        <v>5250.7541574857441</v>
      </c>
      <c r="Y17" s="43">
        <f t="shared" si="5"/>
        <v>-4400</v>
      </c>
      <c r="Z17" s="43">
        <f t="shared" si="6"/>
        <v>37237.048795662602</v>
      </c>
      <c r="AA17" s="49">
        <f t="shared" si="7"/>
        <v>22850.754157485746</v>
      </c>
      <c r="AB17" s="50">
        <f t="shared" si="8"/>
        <v>34866.150557736517</v>
      </c>
      <c r="AC17" s="43">
        <f t="shared" si="8"/>
        <v>21395.837226110249</v>
      </c>
      <c r="AD17" s="43">
        <f t="shared" si="9"/>
        <v>7750.1212559570595</v>
      </c>
      <c r="AE17" s="43">
        <f t="shared" si="17"/>
        <v>0</v>
      </c>
      <c r="AF17" s="51">
        <f>HLOOKUP(I17,ElecAvoidedCostsWOCC!$A$5:$Q$50,G17+1,FALSE)</f>
        <v>2.0629229085847913</v>
      </c>
      <c r="AG17" s="43">
        <f t="shared" si="10"/>
        <v>35977.375525718766</v>
      </c>
      <c r="AH17" s="51">
        <f>HLOOKUP(I17,ElecAvoidedCostsWOCC!$A$5:$Q$50,T17+1,FALSE)</f>
        <v>2.0629229085847913</v>
      </c>
      <c r="AI17" s="43">
        <f t="shared" si="11"/>
        <v>0</v>
      </c>
      <c r="AJ17" s="43">
        <f t="shared" si="12"/>
        <v>35977.375525718766</v>
      </c>
      <c r="AK17" s="43">
        <f>HLOOKUP(I17,ElecAvoidedCostsWOCC!$A$5:$Q$50,G17+1,FALSE)*J17*L17</f>
        <v>0</v>
      </c>
      <c r="AL17" s="43">
        <f t="shared" si="13"/>
        <v>35977.375525718766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35977.375525718759</v>
      </c>
      <c r="AN17" s="47">
        <f t="shared" si="14"/>
        <v>47325.234334247696</v>
      </c>
      <c r="AO17" s="46">
        <f t="shared" si="15"/>
        <v>1.0318711687469515</v>
      </c>
      <c r="AP17" s="46">
        <f t="shared" si="16"/>
        <v>2.2118898098782833</v>
      </c>
    </row>
    <row r="18" spans="1:42" ht="13.5" customHeight="1" x14ac:dyDescent="0.25">
      <c r="A18" s="58">
        <f>A6+A8</f>
        <v>7137287.2000000002</v>
      </c>
      <c r="B18" s="88" t="s">
        <v>15</v>
      </c>
      <c r="C18" s="60">
        <v>18230627</v>
      </c>
      <c r="D18" s="60" t="s">
        <v>76</v>
      </c>
      <c r="E18" s="37" t="s">
        <v>1576</v>
      </c>
      <c r="F18" s="38" t="s">
        <v>605</v>
      </c>
      <c r="G18" s="38">
        <v>25</v>
      </c>
      <c r="H18" s="38">
        <v>0</v>
      </c>
      <c r="I18" s="39" t="s">
        <v>273</v>
      </c>
      <c r="J18" s="40">
        <v>7426</v>
      </c>
      <c r="K18" s="487">
        <v>0.68330000000000002</v>
      </c>
      <c r="L18" s="40">
        <v>0</v>
      </c>
      <c r="M18" s="41">
        <v>1.3</v>
      </c>
      <c r="N18" s="41">
        <v>1.1399999999999999</v>
      </c>
      <c r="O18" s="42">
        <v>5074.1858000000002</v>
      </c>
      <c r="P18" s="43">
        <v>9653.7999999999993</v>
      </c>
      <c r="Q18" s="43">
        <v>8465.64</v>
      </c>
      <c r="R18" s="44">
        <v>6.8999999999999999E-3</v>
      </c>
      <c r="S18" s="45"/>
      <c r="T18" s="38">
        <f t="shared" si="0"/>
        <v>25</v>
      </c>
      <c r="U18" s="46">
        <f t="shared" si="1"/>
        <v>3.7949143173058482E-2</v>
      </c>
      <c r="V18" s="47">
        <f t="shared" si="2"/>
        <v>-0.16000000000000014</v>
      </c>
      <c r="W18" s="48">
        <f t="shared" si="3"/>
        <v>1.5179657269223394E-3</v>
      </c>
      <c r="X18" s="43">
        <f t="shared" si="4"/>
        <v>1527.712281261762</v>
      </c>
      <c r="Y18" s="43">
        <f t="shared" si="5"/>
        <v>-1188.1599999999999</v>
      </c>
      <c r="Z18" s="43">
        <f t="shared" si="6"/>
        <v>10834.157352801509</v>
      </c>
      <c r="AA18" s="49">
        <f t="shared" si="7"/>
        <v>9993.3522812617612</v>
      </c>
      <c r="AB18" s="50">
        <f t="shared" si="8"/>
        <v>10144.342090638116</v>
      </c>
      <c r="AC18" s="43">
        <f t="shared" si="8"/>
        <v>9357.0714244023984</v>
      </c>
      <c r="AD18" s="43">
        <f t="shared" si="9"/>
        <v>608.03706647170839</v>
      </c>
      <c r="AE18" s="43">
        <f t="shared" si="17"/>
        <v>0</v>
      </c>
      <c r="AF18" s="51">
        <f>HLOOKUP(I18,ElecAvoidedCostsWOCC!$A$5:$Q$50,G18+1,FALSE)</f>
        <v>2.3312175480570905</v>
      </c>
      <c r="AG18" s="43">
        <f t="shared" si="10"/>
        <v>11829.030979062107</v>
      </c>
      <c r="AH18" s="51">
        <f>HLOOKUP(I18,ElecAvoidedCostsWOCC!$A$5:$Q$50,T18+1,FALSE)</f>
        <v>2.3312175480570905</v>
      </c>
      <c r="AI18" s="43">
        <f t="shared" si="11"/>
        <v>0</v>
      </c>
      <c r="AJ18" s="43">
        <f t="shared" si="12"/>
        <v>11829.030979062107</v>
      </c>
      <c r="AK18" s="43">
        <f>HLOOKUP(I18,ElecAvoidedCostsWOCC!$A$5:$Q$50,G18+1,FALSE)*J18*L18</f>
        <v>0</v>
      </c>
      <c r="AL18" s="43">
        <f t="shared" si="13"/>
        <v>11829.030979062107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11829.030979062107</v>
      </c>
      <c r="AN18" s="47">
        <f t="shared" si="14"/>
        <v>13619.971143440027</v>
      </c>
      <c r="AO18" s="46">
        <f t="shared" si="15"/>
        <v>1.1660717741349373</v>
      </c>
      <c r="AP18" s="46">
        <f t="shared" si="16"/>
        <v>1.4555805471272101</v>
      </c>
    </row>
    <row r="19" spans="1:42" ht="13.5" customHeight="1" x14ac:dyDescent="0.25">
      <c r="A19" s="57" t="s">
        <v>221</v>
      </c>
      <c r="B19" s="88" t="s">
        <v>15</v>
      </c>
      <c r="C19" s="60">
        <v>18230627</v>
      </c>
      <c r="D19" s="60" t="s">
        <v>76</v>
      </c>
      <c r="E19" s="37" t="s">
        <v>1577</v>
      </c>
      <c r="F19" s="38" t="s">
        <v>606</v>
      </c>
      <c r="G19" s="38">
        <v>25</v>
      </c>
      <c r="H19" s="38">
        <v>0</v>
      </c>
      <c r="I19" s="39" t="s">
        <v>273</v>
      </c>
      <c r="J19" s="40">
        <v>4050</v>
      </c>
      <c r="K19" s="487">
        <v>0.4491</v>
      </c>
      <c r="L19" s="40">
        <v>0</v>
      </c>
      <c r="M19" s="41">
        <v>1.3</v>
      </c>
      <c r="N19" s="41">
        <v>1.1399999999999999</v>
      </c>
      <c r="O19" s="42">
        <v>1818.855</v>
      </c>
      <c r="P19" s="43">
        <v>5265</v>
      </c>
      <c r="Q19" s="43">
        <v>4617</v>
      </c>
      <c r="R19" s="44">
        <v>4.4999999999999997E-3</v>
      </c>
      <c r="S19" s="45"/>
      <c r="T19" s="38">
        <f t="shared" si="0"/>
        <v>25</v>
      </c>
      <c r="U19" s="46">
        <f t="shared" si="1"/>
        <v>1.3602968343420395E-2</v>
      </c>
      <c r="V19" s="47">
        <f t="shared" si="2"/>
        <v>-0.16000000000000014</v>
      </c>
      <c r="W19" s="48">
        <f t="shared" si="3"/>
        <v>5.4411873373681578E-4</v>
      </c>
      <c r="X19" s="43">
        <f t="shared" si="4"/>
        <v>547.61241130239307</v>
      </c>
      <c r="Y19" s="43">
        <f t="shared" si="5"/>
        <v>-648</v>
      </c>
      <c r="Z19" s="43">
        <f t="shared" si="6"/>
        <v>3883.5316735799834</v>
      </c>
      <c r="AA19" s="49">
        <f t="shared" si="7"/>
        <v>5164.6124113023934</v>
      </c>
      <c r="AB19" s="50">
        <f t="shared" si="8"/>
        <v>3636.2656119662765</v>
      </c>
      <c r="AC19" s="43">
        <f t="shared" si="8"/>
        <v>4835.7794113318287</v>
      </c>
      <c r="AD19" s="43">
        <f t="shared" si="9"/>
        <v>216.26864359158935</v>
      </c>
      <c r="AE19" s="43">
        <f t="shared" si="17"/>
        <v>0</v>
      </c>
      <c r="AF19" s="51">
        <f>HLOOKUP(I19,ElecAvoidedCostsWOCC!$A$5:$Q$50,G19+1,FALSE)</f>
        <v>2.3312175480570905</v>
      </c>
      <c r="AG19" s="43">
        <f t="shared" si="10"/>
        <v>4240.1466933713791</v>
      </c>
      <c r="AH19" s="51">
        <f>HLOOKUP(I19,ElecAvoidedCostsWOCC!$A$5:$Q$50,T19+1,FALSE)</f>
        <v>2.3312175480570905</v>
      </c>
      <c r="AI19" s="43">
        <f t="shared" si="11"/>
        <v>0</v>
      </c>
      <c r="AJ19" s="43">
        <f t="shared" si="12"/>
        <v>4240.1466933713791</v>
      </c>
      <c r="AK19" s="43">
        <f>HLOOKUP(I19,ElecAvoidedCostsWOCC!$A$5:$Q$50,G19+1,FALSE)*J19*L19</f>
        <v>0</v>
      </c>
      <c r="AL19" s="43">
        <f t="shared" si="13"/>
        <v>4240.1466933713791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4240.1466933713791</v>
      </c>
      <c r="AN19" s="47">
        <f t="shared" si="14"/>
        <v>4880.4300063001065</v>
      </c>
      <c r="AO19" s="46">
        <f t="shared" si="15"/>
        <v>1.1660717741349371</v>
      </c>
      <c r="AP19" s="46">
        <f t="shared" si="16"/>
        <v>1.0092333812546632</v>
      </c>
    </row>
    <row r="20" spans="1:42" ht="13.5" customHeight="1" x14ac:dyDescent="0.25">
      <c r="A20" s="58">
        <f>A8+SUM(Q5:Q906)</f>
        <v>11333744.32</v>
      </c>
      <c r="B20" s="88" t="s">
        <v>15</v>
      </c>
      <c r="C20" s="60">
        <v>18230627</v>
      </c>
      <c r="D20" s="60" t="s">
        <v>76</v>
      </c>
      <c r="E20" s="37" t="s">
        <v>1578</v>
      </c>
      <c r="F20" s="38" t="s">
        <v>1579</v>
      </c>
      <c r="G20" s="38">
        <v>25</v>
      </c>
      <c r="H20" s="38">
        <v>0</v>
      </c>
      <c r="I20" s="39" t="s">
        <v>273</v>
      </c>
      <c r="J20" s="40">
        <v>2026</v>
      </c>
      <c r="K20" s="487">
        <v>2.0799999999999999E-2</v>
      </c>
      <c r="L20" s="40">
        <v>0</v>
      </c>
      <c r="M20" s="41">
        <v>0</v>
      </c>
      <c r="N20" s="41">
        <v>0</v>
      </c>
      <c r="O20" s="42">
        <v>42.140799999999999</v>
      </c>
      <c r="P20" s="43">
        <v>0</v>
      </c>
      <c r="Q20" s="43">
        <v>0</v>
      </c>
      <c r="R20" s="44">
        <v>4.7600000000000003E-2</v>
      </c>
      <c r="S20" s="45"/>
      <c r="T20" s="38">
        <f t="shared" si="0"/>
        <v>25</v>
      </c>
      <c r="U20" s="46">
        <f t="shared" si="1"/>
        <v>3.1516529265192121E-4</v>
      </c>
      <c r="V20" s="47">
        <f t="shared" si="2"/>
        <v>0</v>
      </c>
      <c r="W20" s="48">
        <f t="shared" si="3"/>
        <v>1.2606611706076848E-5</v>
      </c>
      <c r="X20" s="43">
        <f t="shared" si="4"/>
        <v>12.687556238519225</v>
      </c>
      <c r="Y20" s="43">
        <f t="shared" si="5"/>
        <v>0</v>
      </c>
      <c r="Z20" s="43">
        <f t="shared" si="6"/>
        <v>89.977008365152457</v>
      </c>
      <c r="AA20" s="49">
        <f t="shared" si="7"/>
        <v>12.687556238519225</v>
      </c>
      <c r="AB20" s="50">
        <f t="shared" si="8"/>
        <v>84.248135173363721</v>
      </c>
      <c r="AC20" s="43">
        <f t="shared" si="8"/>
        <v>11.87973430572961</v>
      </c>
      <c r="AD20" s="43">
        <f t="shared" si="9"/>
        <v>1144.3856758972981</v>
      </c>
      <c r="AE20" s="43">
        <f t="shared" si="17"/>
        <v>0</v>
      </c>
      <c r="AF20" s="51">
        <f>HLOOKUP(I20,ElecAvoidedCostsWOCC!$A$5:$Q$50,G20+1,FALSE)</f>
        <v>2.3312175480570905</v>
      </c>
      <c r="AG20" s="43">
        <f t="shared" si="10"/>
        <v>98.239372449164236</v>
      </c>
      <c r="AH20" s="51">
        <f>HLOOKUP(I20,ElecAvoidedCostsWOCC!$A$5:$Q$50,T20+1,FALSE)</f>
        <v>2.3312175480570905</v>
      </c>
      <c r="AI20" s="43">
        <f t="shared" si="11"/>
        <v>0</v>
      </c>
      <c r="AJ20" s="43">
        <f t="shared" si="12"/>
        <v>98.239372449164236</v>
      </c>
      <c r="AK20" s="43">
        <f>HLOOKUP(I20,ElecAvoidedCostsWOCC!$A$5:$Q$50,G20+1,FALSE)*J20*L20</f>
        <v>0</v>
      </c>
      <c r="AL20" s="43">
        <f t="shared" si="13"/>
        <v>98.239372449164236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98.239372449164236</v>
      </c>
      <c r="AN20" s="47">
        <f t="shared" si="14"/>
        <v>1252.4489855913789</v>
      </c>
      <c r="AO20" s="46">
        <f t="shared" si="15"/>
        <v>1.1660717741349371</v>
      </c>
      <c r="AP20" s="46">
        <f t="shared" si="16"/>
        <v>105.42735665286061</v>
      </c>
    </row>
    <row r="21" spans="1:42" ht="13.5" customHeight="1" x14ac:dyDescent="0.25">
      <c r="A21" s="57" t="s">
        <v>235</v>
      </c>
      <c r="B21" s="88" t="s">
        <v>15</v>
      </c>
      <c r="C21" s="60">
        <v>18230627</v>
      </c>
      <c r="D21" s="60" t="s">
        <v>76</v>
      </c>
      <c r="E21" s="37" t="s">
        <v>1580</v>
      </c>
      <c r="F21" s="38" t="s">
        <v>1581</v>
      </c>
      <c r="G21" s="38">
        <v>25</v>
      </c>
      <c r="H21" s="38">
        <v>0</v>
      </c>
      <c r="I21" s="39" t="s">
        <v>273</v>
      </c>
      <c r="J21" s="40">
        <v>4050</v>
      </c>
      <c r="K21" s="487">
        <v>0.92520000000000002</v>
      </c>
      <c r="L21" s="40">
        <v>0</v>
      </c>
      <c r="M21" s="41">
        <v>1.3</v>
      </c>
      <c r="N21" s="41">
        <v>1.54</v>
      </c>
      <c r="O21" s="42">
        <v>3747.06</v>
      </c>
      <c r="P21" s="43">
        <v>5265</v>
      </c>
      <c r="Q21" s="43">
        <v>6237</v>
      </c>
      <c r="R21" s="44">
        <v>9.2999999999999992E-3</v>
      </c>
      <c r="S21" s="45"/>
      <c r="T21" s="38">
        <f t="shared" si="0"/>
        <v>25</v>
      </c>
      <c r="U21" s="46">
        <f t="shared" si="1"/>
        <v>2.8023750414902134E-2</v>
      </c>
      <c r="V21" s="47">
        <f t="shared" si="2"/>
        <v>0.24</v>
      </c>
      <c r="W21" s="48">
        <f t="shared" si="3"/>
        <v>1.1209500165960853E-3</v>
      </c>
      <c r="X21" s="43">
        <f t="shared" si="4"/>
        <v>1128.1474124626452</v>
      </c>
      <c r="Y21" s="43">
        <f t="shared" si="5"/>
        <v>972</v>
      </c>
      <c r="Z21" s="43">
        <f t="shared" si="6"/>
        <v>8000.5422052910271</v>
      </c>
      <c r="AA21" s="49">
        <f t="shared" si="7"/>
        <v>7365.1474124626457</v>
      </c>
      <c r="AB21" s="50">
        <f t="shared" ref="AB21:AC24" si="18">Z21/(1+ElecDiscountRate)^1</f>
        <v>7491.1443869766172</v>
      </c>
      <c r="AC21" s="43">
        <f t="shared" si="18"/>
        <v>6896.205442380754</v>
      </c>
      <c r="AD21" s="43">
        <f t="shared" si="9"/>
        <v>446.95519675595131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8735.2120256228027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8735.2120256228027</v>
      </c>
      <c r="AK21" s="43">
        <f>HLOOKUP(I21,ElecAvoidedCostsWOCC!$A$5:$Q$50,G21+1,FALSE)*J21*L21</f>
        <v>0</v>
      </c>
      <c r="AL21" s="43">
        <f t="shared" si="13"/>
        <v>8735.2120256228027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8735.2120256228027</v>
      </c>
      <c r="AN21" s="47">
        <f t="shared" si="14"/>
        <v>10055.688424941034</v>
      </c>
      <c r="AO21" s="46">
        <f t="shared" si="15"/>
        <v>1.1660717741349376</v>
      </c>
      <c r="AP21" s="46">
        <f t="shared" si="16"/>
        <v>1.4581480364757726</v>
      </c>
    </row>
    <row r="22" spans="1:42" ht="13.5" customHeight="1" x14ac:dyDescent="0.25">
      <c r="A22" s="59">
        <f>(SUM(AM5:AM1000)/(SUM(AB5:AB1000)))</f>
        <v>1.5626665737145182</v>
      </c>
      <c r="B22" s="88" t="s">
        <v>15</v>
      </c>
      <c r="C22" s="60">
        <v>18230627</v>
      </c>
      <c r="D22" s="60" t="s">
        <v>76</v>
      </c>
      <c r="E22" s="37" t="s">
        <v>1582</v>
      </c>
      <c r="F22" s="38" t="s">
        <v>1583</v>
      </c>
      <c r="G22" s="38">
        <v>25</v>
      </c>
      <c r="H22" s="38">
        <v>0</v>
      </c>
      <c r="I22" s="39" t="s">
        <v>273</v>
      </c>
      <c r="J22" s="40">
        <v>5400</v>
      </c>
      <c r="K22" s="487">
        <v>0.60940000000000005</v>
      </c>
      <c r="L22" s="40">
        <v>0</v>
      </c>
      <c r="M22" s="41">
        <v>1.3</v>
      </c>
      <c r="N22" s="41">
        <v>1.54</v>
      </c>
      <c r="O22" s="42">
        <v>3290.76</v>
      </c>
      <c r="P22" s="43">
        <v>7020</v>
      </c>
      <c r="Q22" s="43">
        <v>8316</v>
      </c>
      <c r="R22" s="44">
        <v>6.1000000000000004E-3</v>
      </c>
      <c r="S22" s="45"/>
      <c r="T22" s="38">
        <f t="shared" si="0"/>
        <v>25</v>
      </c>
      <c r="U22" s="46">
        <f t="shared" si="1"/>
        <v>2.461114498175726E-2</v>
      </c>
      <c r="V22" s="47">
        <f t="shared" si="2"/>
        <v>0.24</v>
      </c>
      <c r="W22" s="48">
        <f t="shared" si="3"/>
        <v>9.8444579927029039E-4</v>
      </c>
      <c r="X22" s="43">
        <f t="shared" si="4"/>
        <v>990.76672885824485</v>
      </c>
      <c r="Y22" s="43">
        <f t="shared" si="5"/>
        <v>1296</v>
      </c>
      <c r="Z22" s="43">
        <f t="shared" si="6"/>
        <v>7026.2724022256134</v>
      </c>
      <c r="AA22" s="49">
        <f t="shared" si="7"/>
        <v>9306.7667288582452</v>
      </c>
      <c r="AB22" s="50">
        <f t="shared" si="18"/>
        <v>6578.9067436569412</v>
      </c>
      <c r="AC22" s="43">
        <f t="shared" si="18"/>
        <v>8714.2010569833747</v>
      </c>
      <c r="AD22" s="43">
        <f t="shared" si="9"/>
        <v>390.88554841739119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7671.4774584443512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7671.4774584443512</v>
      </c>
      <c r="AK22" s="43">
        <f>HLOOKUP(I22,ElecAvoidedCostsWOCC!$A$5:$Q$50,G22+1,FALSE)*J22*L22</f>
        <v>0</v>
      </c>
      <c r="AL22" s="43">
        <f t="shared" si="13"/>
        <v>7671.4774584443512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7671.4774584443521</v>
      </c>
      <c r="AN22" s="47">
        <f t="shared" si="14"/>
        <v>8829.5107527061791</v>
      </c>
      <c r="AO22" s="46">
        <f t="shared" si="15"/>
        <v>1.1660717741349371</v>
      </c>
      <c r="AP22" s="46">
        <f t="shared" si="16"/>
        <v>1.0132323887145567</v>
      </c>
    </row>
    <row r="23" spans="1:42" ht="13.5" customHeight="1" x14ac:dyDescent="0.25">
      <c r="A23" s="57" t="s">
        <v>236</v>
      </c>
      <c r="B23" s="88" t="s">
        <v>15</v>
      </c>
      <c r="C23" s="60">
        <v>18230627</v>
      </c>
      <c r="D23" s="60" t="s">
        <v>76</v>
      </c>
      <c r="E23" s="37" t="s">
        <v>1584</v>
      </c>
      <c r="F23" s="38" t="s">
        <v>1585</v>
      </c>
      <c r="G23" s="38">
        <v>25</v>
      </c>
      <c r="H23" s="38">
        <v>0</v>
      </c>
      <c r="I23" s="39" t="s">
        <v>273</v>
      </c>
      <c r="J23" s="40">
        <v>2700</v>
      </c>
      <c r="K23" s="487">
        <v>2.8000000000000001E-2</v>
      </c>
      <c r="L23" s="40">
        <v>0</v>
      </c>
      <c r="M23" s="41">
        <v>0</v>
      </c>
      <c r="N23" s="41">
        <v>0</v>
      </c>
      <c r="O23" s="42">
        <v>75.600000000000009</v>
      </c>
      <c r="P23" s="43">
        <v>0</v>
      </c>
      <c r="Q23" s="43">
        <v>0</v>
      </c>
      <c r="R23" s="44">
        <v>0</v>
      </c>
      <c r="S23" s="45"/>
      <c r="T23" s="38">
        <f t="shared" si="0"/>
        <v>25</v>
      </c>
      <c r="U23" s="46">
        <f t="shared" si="1"/>
        <v>5.6540208359796785E-4</v>
      </c>
      <c r="V23" s="47">
        <f t="shared" si="2"/>
        <v>0</v>
      </c>
      <c r="W23" s="48">
        <f t="shared" si="3"/>
        <v>2.2616083343918716E-5</v>
      </c>
      <c r="X23" s="43">
        <f t="shared" si="4"/>
        <v>22.761296691853346</v>
      </c>
      <c r="Y23" s="43">
        <f t="shared" si="5"/>
        <v>0</v>
      </c>
      <c r="Z23" s="43">
        <f t="shared" si="6"/>
        <v>161.41748216468426</v>
      </c>
      <c r="AA23" s="49">
        <f t="shared" si="7"/>
        <v>22.761296691853346</v>
      </c>
      <c r="AB23" s="50">
        <f t="shared" si="18"/>
        <v>151.1399645736744</v>
      </c>
      <c r="AC23" s="43">
        <f t="shared" si="18"/>
        <v>21.312075554169798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2.3312175480570905</v>
      </c>
      <c r="AG23" s="43">
        <f t="shared" si="10"/>
        <v>176.24004663311604</v>
      </c>
      <c r="AH23" s="51">
        <f>HLOOKUP(I23,ElecAvoidedCostsWOCC!$A$5:$Q$50,T23+1,FALSE)</f>
        <v>2.3312175480570905</v>
      </c>
      <c r="AI23" s="43">
        <f t="shared" si="11"/>
        <v>0</v>
      </c>
      <c r="AJ23" s="43">
        <f t="shared" si="12"/>
        <v>176.24004663311604</v>
      </c>
      <c r="AK23" s="43">
        <f>HLOOKUP(I23,ElecAvoidedCostsWOCC!$A$5:$Q$50,G23+1,FALSE)*J23*L23</f>
        <v>0</v>
      </c>
      <c r="AL23" s="43">
        <f t="shared" si="13"/>
        <v>176.24004663311604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176.24004663311604</v>
      </c>
      <c r="AN23" s="47">
        <f t="shared" si="14"/>
        <v>193.86405129642765</v>
      </c>
      <c r="AO23" s="46">
        <f t="shared" si="15"/>
        <v>1.1660717741349369</v>
      </c>
      <c r="AP23" s="46">
        <f t="shared" si="16"/>
        <v>9.0964416301769973</v>
      </c>
    </row>
    <row r="24" spans="1:42" ht="13.5" customHeight="1" x14ac:dyDescent="0.25">
      <c r="A24" s="59">
        <f>(SUM(AN5:AN1000)/SUM(AC5:AC1000))</f>
        <v>1.3310885896360727</v>
      </c>
      <c r="B24" s="88" t="s">
        <v>15</v>
      </c>
      <c r="C24" s="60">
        <v>18230627</v>
      </c>
      <c r="D24" s="60" t="s">
        <v>76</v>
      </c>
      <c r="E24" s="37" t="s">
        <v>1586</v>
      </c>
      <c r="F24" s="38" t="s">
        <v>1587</v>
      </c>
      <c r="G24" s="38">
        <v>45</v>
      </c>
      <c r="H24" s="38">
        <v>0</v>
      </c>
      <c r="I24" s="39" t="s">
        <v>273</v>
      </c>
      <c r="J24" s="40">
        <v>6076</v>
      </c>
      <c r="K24" s="487">
        <v>1.8602000000000001</v>
      </c>
      <c r="L24" s="40">
        <v>0</v>
      </c>
      <c r="M24" s="41">
        <v>1.7</v>
      </c>
      <c r="N24" s="41">
        <v>1.68</v>
      </c>
      <c r="O24" s="42">
        <v>11302.575200000001</v>
      </c>
      <c r="P24" s="43">
        <v>10329.200000000001</v>
      </c>
      <c r="Q24" s="43">
        <v>10207.68</v>
      </c>
      <c r="R24" s="44">
        <v>1.8700000000000001E-2</v>
      </c>
      <c r="S24" s="45"/>
      <c r="T24" s="38">
        <f t="shared" si="0"/>
        <v>45</v>
      </c>
      <c r="U24" s="46">
        <f t="shared" si="1"/>
        <v>0.15215475162149331</v>
      </c>
      <c r="V24" s="47">
        <f t="shared" si="2"/>
        <v>-2.0000000000000018E-2</v>
      </c>
      <c r="W24" s="48">
        <f t="shared" si="3"/>
        <v>3.3812167026998513E-3</v>
      </c>
      <c r="X24" s="43">
        <f t="shared" si="4"/>
        <v>3402.9268189045461</v>
      </c>
      <c r="Y24" s="43">
        <f t="shared" si="5"/>
        <v>-121.52000000000044</v>
      </c>
      <c r="Z24" s="43">
        <f t="shared" si="6"/>
        <v>24132.714692605856</v>
      </c>
      <c r="AA24" s="49">
        <f t="shared" si="7"/>
        <v>13610.606818904547</v>
      </c>
      <c r="AB24" s="50">
        <f t="shared" si="18"/>
        <v>22596.174805810726</v>
      </c>
      <c r="AC24" s="43">
        <f t="shared" si="18"/>
        <v>12744.013875378789</v>
      </c>
      <c r="AD24" s="43">
        <f t="shared" si="9"/>
        <v>1584.3545804018559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42290.412724208734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42290.412724208734</v>
      </c>
      <c r="AK24" s="43">
        <f>HLOOKUP(I24,ElecAvoidedCostsWOCC!$A$5:$Q$50,G24+1,FALSE)*J24*L24</f>
        <v>0</v>
      </c>
      <c r="AL24" s="43">
        <f t="shared" si="13"/>
        <v>42290.412724208734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42290.412724208734</v>
      </c>
      <c r="AN24" s="47">
        <f t="shared" si="14"/>
        <v>48103.808577031472</v>
      </c>
      <c r="AO24" s="46">
        <f t="shared" si="15"/>
        <v>1.8715739760224164</v>
      </c>
      <c r="AP24" s="46">
        <f t="shared" si="16"/>
        <v>3.7746199154700535</v>
      </c>
    </row>
    <row r="25" spans="1:42" ht="13.5" customHeight="1" x14ac:dyDescent="0.25">
      <c r="B25" s="88" t="s">
        <v>15</v>
      </c>
      <c r="C25" s="60">
        <v>18230627</v>
      </c>
      <c r="D25" s="60" t="s">
        <v>76</v>
      </c>
      <c r="E25" s="37" t="s">
        <v>1588</v>
      </c>
      <c r="F25" s="38" t="s">
        <v>615</v>
      </c>
      <c r="G25" s="38">
        <v>45</v>
      </c>
      <c r="H25" s="38">
        <v>0</v>
      </c>
      <c r="I25" s="39" t="s">
        <v>273</v>
      </c>
      <c r="J25" s="40">
        <v>27000</v>
      </c>
      <c r="K25" s="487">
        <v>7.9399999999999998E-2</v>
      </c>
      <c r="L25" s="40">
        <v>0</v>
      </c>
      <c r="M25" s="41">
        <v>0</v>
      </c>
      <c r="N25" s="41">
        <v>0</v>
      </c>
      <c r="O25" s="42">
        <v>2143.8000000000002</v>
      </c>
      <c r="P25" s="43">
        <v>0</v>
      </c>
      <c r="Q25" s="43">
        <v>0</v>
      </c>
      <c r="R25" s="44">
        <v>0</v>
      </c>
      <c r="S25" s="45"/>
      <c r="T25" s="38">
        <f t="shared" ref="T25:T67" si="19">G25+H25</f>
        <v>45</v>
      </c>
      <c r="U25" s="46">
        <f t="shared" ref="U25:U67" si="20">(O25/$A$10)*T25</f>
        <v>2.8859737781364848E-2</v>
      </c>
      <c r="V25" s="47">
        <f t="shared" ref="V25:V67" si="21">N25-M25</f>
        <v>0</v>
      </c>
      <c r="W25" s="48">
        <f t="shared" ref="W25:W67" si="22">(O25/A$10)</f>
        <v>6.4132750625255216E-4</v>
      </c>
      <c r="X25" s="43">
        <f t="shared" ref="X25:X67" si="23">W25*A$8</f>
        <v>645.44534190469847</v>
      </c>
      <c r="Y25" s="43">
        <f t="shared" ref="Y25:Y67" si="24">Q25-P25</f>
        <v>0</v>
      </c>
      <c r="Z25" s="43">
        <f t="shared" ref="Z25:Z67" si="25">X25+(A$6*W25)</f>
        <v>4577.338601384261</v>
      </c>
      <c r="AA25" s="49">
        <f t="shared" ref="AA25:AA67" si="26">Q25+X25</f>
        <v>645.44534190469847</v>
      </c>
      <c r="AB25" s="50">
        <f t="shared" ref="AB25:AB67" si="27">Z25/(1+ElecDiscountRate)^1</f>
        <v>4285.8975668391959</v>
      </c>
      <c r="AC25" s="43">
        <f t="shared" ref="AC25:AC67" si="28">AA25/(1+ElecDiscountRate)^1</f>
        <v>604.34957107181503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>
        <f>HLOOKUP(I25,ElecAvoidedCostsWOCC!$A$5:$Q$50,G25+1,FALSE)</f>
        <v>3.7416616988497218</v>
      </c>
      <c r="AG25" s="43">
        <f t="shared" ref="AG25:AG67" si="31">AF25*J25*K25</f>
        <v>8021.3743499940338</v>
      </c>
      <c r="AH25" s="51">
        <f>HLOOKUP(I25,ElecAvoidedCostsWOCC!$A$5:$Q$50,T25+1,FALSE)</f>
        <v>3.7416616988497218</v>
      </c>
      <c r="AI25" s="43">
        <f t="shared" ref="AI25:AI67" si="32">AH25*J25*L25</f>
        <v>0</v>
      </c>
      <c r="AJ25" s="43">
        <f t="shared" ref="AJ25:AJ67" si="33">AG25+AI25</f>
        <v>8021.3743499940338</v>
      </c>
      <c r="AK25" s="43">
        <f>HLOOKUP(I25,ElecAvoidedCostsWOCC!$A$5:$Q$50,G25+1,FALSE)*J25*L25</f>
        <v>0</v>
      </c>
      <c r="AL25" s="43">
        <f t="shared" ref="AL25:AL67" si="34">AG25+AI25-AK25</f>
        <v>8021.3743499940338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8021.3743499940338</v>
      </c>
      <c r="AN25" s="47">
        <f t="shared" ref="AN25:AN67" si="35">AM25*1.1+AD25+AE25</f>
        <v>8823.5117849934377</v>
      </c>
      <c r="AO25" s="46">
        <f t="shared" ref="AO25:AO67" si="36">IFERROR(AM25/AB25,0)</f>
        <v>1.8715739760224164</v>
      </c>
      <c r="AP25" s="46">
        <f t="shared" ref="AP25:AP67" si="37">AN25/AC25</f>
        <v>14.60001331571217</v>
      </c>
    </row>
    <row r="26" spans="1:42" ht="13.5" customHeight="1" x14ac:dyDescent="0.25">
      <c r="B26" s="88" t="s">
        <v>15</v>
      </c>
      <c r="C26" s="60">
        <v>18230627</v>
      </c>
      <c r="D26" s="60" t="s">
        <v>76</v>
      </c>
      <c r="E26" s="37" t="s">
        <v>1589</v>
      </c>
      <c r="F26" s="38" t="s">
        <v>1590</v>
      </c>
      <c r="G26" s="38">
        <v>45</v>
      </c>
      <c r="H26" s="38">
        <v>0</v>
      </c>
      <c r="I26" s="39" t="s">
        <v>273</v>
      </c>
      <c r="J26" s="40">
        <v>4050</v>
      </c>
      <c r="K26" s="487">
        <v>1.3010999999999999</v>
      </c>
      <c r="L26" s="40">
        <v>0</v>
      </c>
      <c r="M26" s="41">
        <v>1.7</v>
      </c>
      <c r="N26" s="41">
        <v>1.68</v>
      </c>
      <c r="O26" s="42">
        <v>5269.4549999999999</v>
      </c>
      <c r="P26" s="43">
        <v>6885</v>
      </c>
      <c r="Q26" s="43">
        <v>6804</v>
      </c>
      <c r="R26" s="44">
        <v>1.2999999999999999E-2</v>
      </c>
      <c r="S26" s="45"/>
      <c r="T26" s="38">
        <f t="shared" si="19"/>
        <v>45</v>
      </c>
      <c r="U26" s="46">
        <f t="shared" si="20"/>
        <v>7.0937162772041179E-2</v>
      </c>
      <c r="V26" s="47">
        <f t="shared" si="21"/>
        <v>-2.0000000000000018E-2</v>
      </c>
      <c r="W26" s="48">
        <f t="shared" si="22"/>
        <v>1.5763813949342485E-3</v>
      </c>
      <c r="X26" s="43">
        <f t="shared" si="23"/>
        <v>1586.5030245948419</v>
      </c>
      <c r="Y26" s="43">
        <f t="shared" si="24"/>
        <v>-81</v>
      </c>
      <c r="Z26" s="43">
        <f t="shared" si="25"/>
        <v>11251.086752382356</v>
      </c>
      <c r="AA26" s="49">
        <f t="shared" si="26"/>
        <v>8390.5030245948419</v>
      </c>
      <c r="AB26" s="50">
        <f t="shared" si="27"/>
        <v>10534.725423578984</v>
      </c>
      <c r="AC26" s="43">
        <f t="shared" si="28"/>
        <v>7856.2762402573426</v>
      </c>
      <c r="AD26" s="43">
        <f t="shared" si="29"/>
        <v>734.16113065306217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19716.517947312157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19716.517947312157</v>
      </c>
      <c r="AK26" s="43">
        <f>HLOOKUP(I26,ElecAvoidedCostsWOCC!$A$5:$Q$50,G26+1,FALSE)*J26*L26</f>
        <v>0</v>
      </c>
      <c r="AL26" s="43">
        <f t="shared" si="34"/>
        <v>19716.517947312157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19716.517947312161</v>
      </c>
      <c r="AN26" s="47">
        <f t="shared" si="35"/>
        <v>22422.330872696439</v>
      </c>
      <c r="AO26" s="46">
        <f t="shared" si="36"/>
        <v>1.871573976022417</v>
      </c>
      <c r="AP26" s="46">
        <f t="shared" si="37"/>
        <v>2.8540659960248504</v>
      </c>
    </row>
    <row r="27" spans="1:42" ht="13.5" customHeight="1" x14ac:dyDescent="0.25">
      <c r="B27" s="88" t="s">
        <v>15</v>
      </c>
      <c r="C27" s="60">
        <v>18230627</v>
      </c>
      <c r="D27" s="60" t="s">
        <v>76</v>
      </c>
      <c r="E27" s="37" t="s">
        <v>1591</v>
      </c>
      <c r="F27" s="38" t="s">
        <v>1592</v>
      </c>
      <c r="G27" s="38">
        <v>45</v>
      </c>
      <c r="H27" s="38">
        <v>0</v>
      </c>
      <c r="I27" s="39" t="s">
        <v>273</v>
      </c>
      <c r="J27" s="40">
        <v>6076</v>
      </c>
      <c r="K27" s="487">
        <v>1.2033</v>
      </c>
      <c r="L27" s="40">
        <v>0</v>
      </c>
      <c r="M27" s="41">
        <v>1.7</v>
      </c>
      <c r="N27" s="41">
        <v>1.68</v>
      </c>
      <c r="O27" s="42">
        <v>7311.2507999999998</v>
      </c>
      <c r="P27" s="43">
        <v>10329.200000000001</v>
      </c>
      <c r="Q27" s="43">
        <v>10207.68</v>
      </c>
      <c r="R27" s="44">
        <v>1.21E-2</v>
      </c>
      <c r="S27" s="45"/>
      <c r="T27" s="38">
        <f t="shared" si="19"/>
        <v>45</v>
      </c>
      <c r="U27" s="46">
        <f t="shared" si="20"/>
        <v>9.8423724667316873E-2</v>
      </c>
      <c r="V27" s="47">
        <f t="shared" si="21"/>
        <v>-2.0000000000000018E-2</v>
      </c>
      <c r="W27" s="48">
        <f t="shared" si="22"/>
        <v>2.1871938814959305E-3</v>
      </c>
      <c r="X27" s="43">
        <f t="shared" si="23"/>
        <v>2201.237415970239</v>
      </c>
      <c r="Y27" s="43">
        <f t="shared" si="24"/>
        <v>-121.52000000000044</v>
      </c>
      <c r="Z27" s="43">
        <f t="shared" si="25"/>
        <v>15610.630894319223</v>
      </c>
      <c r="AA27" s="49">
        <f t="shared" si="26"/>
        <v>12408.91741597024</v>
      </c>
      <c r="AB27" s="50">
        <f t="shared" si="27"/>
        <v>14616.695593931856</v>
      </c>
      <c r="AC27" s="43">
        <f t="shared" si="28"/>
        <v>11618.836531807339</v>
      </c>
      <c r="AD27" s="43">
        <f t="shared" si="29"/>
        <v>1025.1706108482597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27356.227089044391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27356.227089044391</v>
      </c>
      <c r="AK27" s="43">
        <f>HLOOKUP(I27,ElecAvoidedCostsWOCC!$A$5:$Q$50,G27+1,FALSE)*J27*L27</f>
        <v>0</v>
      </c>
      <c r="AL27" s="43">
        <f t="shared" si="34"/>
        <v>27356.227089044391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27356.227089044387</v>
      </c>
      <c r="AN27" s="47">
        <f t="shared" si="35"/>
        <v>31117.020408797089</v>
      </c>
      <c r="AO27" s="46">
        <f t="shared" si="36"/>
        <v>1.871573976022417</v>
      </c>
      <c r="AP27" s="46">
        <f t="shared" si="37"/>
        <v>2.6781528704369126</v>
      </c>
    </row>
    <row r="28" spans="1:42" ht="13.5" customHeight="1" x14ac:dyDescent="0.25">
      <c r="B28" s="88" t="s">
        <v>15</v>
      </c>
      <c r="C28" s="60">
        <v>18230627</v>
      </c>
      <c r="D28" s="60" t="s">
        <v>76</v>
      </c>
      <c r="E28" s="37" t="s">
        <v>1593</v>
      </c>
      <c r="F28" s="38" t="s">
        <v>616</v>
      </c>
      <c r="G28" s="38">
        <v>45</v>
      </c>
      <c r="H28" s="38">
        <v>0</v>
      </c>
      <c r="I28" s="39" t="s">
        <v>273</v>
      </c>
      <c r="J28" s="40">
        <v>6076</v>
      </c>
      <c r="K28" s="487">
        <v>0.44230000000000003</v>
      </c>
      <c r="L28" s="40">
        <v>0</v>
      </c>
      <c r="M28" s="41">
        <v>1.4</v>
      </c>
      <c r="N28" s="41">
        <v>1.38</v>
      </c>
      <c r="O28" s="42">
        <v>2687.4148</v>
      </c>
      <c r="P28" s="43">
        <v>8506.4</v>
      </c>
      <c r="Q28" s="43">
        <v>8384.8799999999992</v>
      </c>
      <c r="R28" s="44">
        <v>4.4000000000000003E-3</v>
      </c>
      <c r="S28" s="45"/>
      <c r="T28" s="38">
        <f t="shared" si="19"/>
        <v>45</v>
      </c>
      <c r="U28" s="46">
        <f t="shared" si="20"/>
        <v>3.6177855414571809E-2</v>
      </c>
      <c r="V28" s="47">
        <f t="shared" si="21"/>
        <v>-2.0000000000000018E-2</v>
      </c>
      <c r="W28" s="48">
        <f t="shared" si="22"/>
        <v>8.0395234254604017E-4</v>
      </c>
      <c r="X28" s="43">
        <f t="shared" si="23"/>
        <v>809.11435974705967</v>
      </c>
      <c r="Y28" s="43">
        <f t="shared" si="24"/>
        <v>-121.52000000000044</v>
      </c>
      <c r="Z28" s="43">
        <f t="shared" si="25"/>
        <v>5738.0387638638686</v>
      </c>
      <c r="AA28" s="49">
        <f t="shared" si="26"/>
        <v>9193.9943597470592</v>
      </c>
      <c r="AB28" s="50">
        <f t="shared" si="27"/>
        <v>5372.6954717826484</v>
      </c>
      <c r="AC28" s="43">
        <f t="shared" si="28"/>
        <v>8608.6089510740258</v>
      </c>
      <c r="AD28" s="43">
        <f t="shared" si="29"/>
        <v>372.7893130357308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10055.397026081886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10055.397026081886</v>
      </c>
      <c r="AK28" s="43">
        <f>HLOOKUP(I28,ElecAvoidedCostsWOCC!$A$5:$Q$50,G28+1,FALSE)*J28*L28</f>
        <v>0</v>
      </c>
      <c r="AL28" s="43">
        <f t="shared" si="34"/>
        <v>10055.397026081886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10055.397026081886</v>
      </c>
      <c r="AN28" s="47">
        <f t="shared" si="35"/>
        <v>11433.726041725808</v>
      </c>
      <c r="AO28" s="46">
        <f t="shared" si="36"/>
        <v>1.8715739760224168</v>
      </c>
      <c r="AP28" s="46">
        <f t="shared" si="37"/>
        <v>1.3281734722424945</v>
      </c>
    </row>
    <row r="29" spans="1:42" x14ac:dyDescent="0.25">
      <c r="B29" s="88" t="s">
        <v>15</v>
      </c>
      <c r="C29" s="60">
        <v>18230627</v>
      </c>
      <c r="D29" s="60" t="s">
        <v>76</v>
      </c>
      <c r="E29" s="37" t="s">
        <v>1594</v>
      </c>
      <c r="F29" s="38" t="s">
        <v>617</v>
      </c>
      <c r="G29" s="38">
        <v>45</v>
      </c>
      <c r="H29" s="38">
        <v>0</v>
      </c>
      <c r="I29" s="39" t="s">
        <v>273</v>
      </c>
      <c r="J29" s="40">
        <v>40500</v>
      </c>
      <c r="K29" s="487">
        <v>2.87E-2</v>
      </c>
      <c r="L29" s="40">
        <v>0</v>
      </c>
      <c r="M29" s="41">
        <v>0</v>
      </c>
      <c r="N29" s="41">
        <v>0</v>
      </c>
      <c r="O29" s="42">
        <v>1162.3499999999999</v>
      </c>
      <c r="P29" s="43">
        <v>0</v>
      </c>
      <c r="Q29" s="43">
        <v>0</v>
      </c>
      <c r="R29" s="44">
        <v>9.0499999999999997E-2</v>
      </c>
      <c r="S29" s="45"/>
      <c r="T29" s="38">
        <f t="shared" si="19"/>
        <v>45</v>
      </c>
      <c r="U29" s="46">
        <f t="shared" si="20"/>
        <v>1.5647502663573756E-2</v>
      </c>
      <c r="V29" s="47">
        <f t="shared" si="21"/>
        <v>0</v>
      </c>
      <c r="W29" s="48">
        <f t="shared" si="22"/>
        <v>3.4772228141275016E-4</v>
      </c>
      <c r="X29" s="43">
        <f t="shared" si="23"/>
        <v>349.95493663724505</v>
      </c>
      <c r="Y29" s="43">
        <f t="shared" si="24"/>
        <v>0</v>
      </c>
      <c r="Z29" s="43">
        <f t="shared" si="25"/>
        <v>2481.7937882820197</v>
      </c>
      <c r="AA29" s="49">
        <f t="shared" si="26"/>
        <v>349.95493663724505</v>
      </c>
      <c r="AB29" s="50">
        <f t="shared" si="27"/>
        <v>2323.7769553202429</v>
      </c>
      <c r="AC29" s="43">
        <f t="shared" si="28"/>
        <v>327.67316164536049</v>
      </c>
      <c r="AD29" s="43">
        <f t="shared" si="29"/>
        <v>51108.909480078561</v>
      </c>
      <c r="AE29" s="43">
        <f t="shared" si="30"/>
        <v>0</v>
      </c>
      <c r="AF29" s="51">
        <f>HLOOKUP(I29,ElecAvoidedCostsWOCC!$A$5:$Q$50,G29+1,FALSE)</f>
        <v>3.7416616988497218</v>
      </c>
      <c r="AG29" s="43">
        <f t="shared" si="31"/>
        <v>4349.1204756579737</v>
      </c>
      <c r="AH29" s="51">
        <f>HLOOKUP(I29,ElecAvoidedCostsWOCC!$A$5:$Q$50,T29+1,FALSE)</f>
        <v>3.7416616988497218</v>
      </c>
      <c r="AI29" s="43">
        <f t="shared" si="32"/>
        <v>0</v>
      </c>
      <c r="AJ29" s="43">
        <f t="shared" si="33"/>
        <v>4349.1204756579737</v>
      </c>
      <c r="AK29" s="43">
        <f>HLOOKUP(I29,ElecAvoidedCostsWOCC!$A$5:$Q$50,G29+1,FALSE)*J29*L29</f>
        <v>0</v>
      </c>
      <c r="AL29" s="43">
        <f t="shared" si="34"/>
        <v>4349.1204756579737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4349.1204756579746</v>
      </c>
      <c r="AN29" s="47">
        <f t="shared" si="35"/>
        <v>55892.942003302334</v>
      </c>
      <c r="AO29" s="46">
        <f t="shared" si="36"/>
        <v>1.8715739760224175</v>
      </c>
      <c r="AP29" s="46">
        <f t="shared" si="37"/>
        <v>170.57528215812519</v>
      </c>
    </row>
    <row r="30" spans="1:42" x14ac:dyDescent="0.25">
      <c r="B30" s="88" t="s">
        <v>15</v>
      </c>
      <c r="C30" s="60">
        <v>18230627</v>
      </c>
      <c r="D30" s="60" t="s">
        <v>76</v>
      </c>
      <c r="E30" s="37" t="s">
        <v>1595</v>
      </c>
      <c r="F30" s="38" t="s">
        <v>1596</v>
      </c>
      <c r="G30" s="38">
        <v>45</v>
      </c>
      <c r="H30" s="38">
        <v>0</v>
      </c>
      <c r="I30" s="39" t="s">
        <v>273</v>
      </c>
      <c r="J30" s="40">
        <v>4726</v>
      </c>
      <c r="K30" s="487">
        <v>0.33110000000000001</v>
      </c>
      <c r="L30" s="40">
        <v>0</v>
      </c>
      <c r="M30" s="41">
        <v>1.4</v>
      </c>
      <c r="N30" s="41">
        <v>1.38</v>
      </c>
      <c r="O30" s="42">
        <v>1564.7786000000001</v>
      </c>
      <c r="P30" s="43">
        <v>6616.4</v>
      </c>
      <c r="Q30" s="43">
        <v>6521.8799999999992</v>
      </c>
      <c r="R30" s="44">
        <v>3.3E-3</v>
      </c>
      <c r="S30" s="45"/>
      <c r="T30" s="38">
        <f t="shared" si="19"/>
        <v>45</v>
      </c>
      <c r="U30" s="46">
        <f t="shared" si="20"/>
        <v>2.1064978114512172E-2</v>
      </c>
      <c r="V30" s="47">
        <f t="shared" si="21"/>
        <v>-2.0000000000000018E-2</v>
      </c>
      <c r="W30" s="48">
        <f t="shared" si="22"/>
        <v>4.6811062476693712E-4</v>
      </c>
      <c r="X30" s="43">
        <f t="shared" si="23"/>
        <v>471.1162694664406</v>
      </c>
      <c r="Y30" s="43">
        <f t="shared" si="24"/>
        <v>-94.520000000000437</v>
      </c>
      <c r="Z30" s="43">
        <f t="shared" si="25"/>
        <v>3341.0399703330631</v>
      </c>
      <c r="AA30" s="49">
        <f t="shared" si="26"/>
        <v>6992.99626946644</v>
      </c>
      <c r="AB30" s="50">
        <f t="shared" si="27"/>
        <v>3128.3145789635419</v>
      </c>
      <c r="AC30" s="43">
        <f t="shared" si="28"/>
        <v>6547.7493159798123</v>
      </c>
      <c r="AD30" s="43">
        <f t="shared" si="29"/>
        <v>217.47065833692361</v>
      </c>
      <c r="AE30" s="43">
        <f t="shared" si="30"/>
        <v>0</v>
      </c>
      <c r="AF30" s="51">
        <f>HLOOKUP(I30,ElecAvoidedCostsWOCC!$A$5:$Q$50,G30+1,FALSE)</f>
        <v>3.7416616988497218</v>
      </c>
      <c r="AG30" s="43">
        <f t="shared" si="31"/>
        <v>5854.8721547996893</v>
      </c>
      <c r="AH30" s="51">
        <f>HLOOKUP(I30,ElecAvoidedCostsWOCC!$A$5:$Q$50,T30+1,FALSE)</f>
        <v>3.7416616988497218</v>
      </c>
      <c r="AI30" s="43">
        <f t="shared" si="32"/>
        <v>0</v>
      </c>
      <c r="AJ30" s="43">
        <f t="shared" si="33"/>
        <v>5854.8721547996893</v>
      </c>
      <c r="AK30" s="43">
        <f>HLOOKUP(I30,ElecAvoidedCostsWOCC!$A$5:$Q$50,G30+1,FALSE)*J30*L30</f>
        <v>0</v>
      </c>
      <c r="AL30" s="43">
        <f t="shared" si="34"/>
        <v>5854.8721547996893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5854.8721547996893</v>
      </c>
      <c r="AN30" s="47">
        <f t="shared" si="35"/>
        <v>6657.8300286165822</v>
      </c>
      <c r="AO30" s="46">
        <f t="shared" si="36"/>
        <v>1.871573976022417</v>
      </c>
      <c r="AP30" s="46">
        <f t="shared" si="37"/>
        <v>1.016811992537362</v>
      </c>
    </row>
    <row r="31" spans="1:42" x14ac:dyDescent="0.25">
      <c r="B31" s="88" t="s">
        <v>15</v>
      </c>
      <c r="C31" s="60">
        <v>18230627</v>
      </c>
      <c r="D31" s="60" t="s">
        <v>76</v>
      </c>
      <c r="E31" s="37" t="s">
        <v>1597</v>
      </c>
      <c r="F31" s="38" t="s">
        <v>618</v>
      </c>
      <c r="G31" s="38">
        <v>45</v>
      </c>
      <c r="H31" s="38">
        <v>0</v>
      </c>
      <c r="I31" s="39" t="s">
        <v>273</v>
      </c>
      <c r="J31" s="40">
        <v>10126</v>
      </c>
      <c r="K31" s="487">
        <v>0.43390000000000001</v>
      </c>
      <c r="L31" s="40">
        <v>0</v>
      </c>
      <c r="M31" s="41">
        <v>1.4</v>
      </c>
      <c r="N31" s="41">
        <v>1.38</v>
      </c>
      <c r="O31" s="42">
        <v>4393.6714000000002</v>
      </c>
      <c r="P31" s="43">
        <v>14176.4</v>
      </c>
      <c r="Q31" s="43">
        <v>13973.88</v>
      </c>
      <c r="R31" s="44">
        <v>4.4000000000000003E-3</v>
      </c>
      <c r="S31" s="45"/>
      <c r="T31" s="38">
        <f t="shared" si="19"/>
        <v>45</v>
      </c>
      <c r="U31" s="46">
        <f t="shared" si="20"/>
        <v>5.9147403909638109E-2</v>
      </c>
      <c r="V31" s="47">
        <f t="shared" si="21"/>
        <v>-2.0000000000000018E-2</v>
      </c>
      <c r="W31" s="48">
        <f t="shared" si="22"/>
        <v>1.3143867535475135E-3</v>
      </c>
      <c r="X31" s="43">
        <f t="shared" si="23"/>
        <v>1322.8261680146911</v>
      </c>
      <c r="Y31" s="43">
        <f t="shared" si="24"/>
        <v>-202.52000000000044</v>
      </c>
      <c r="Z31" s="43">
        <f t="shared" si="25"/>
        <v>9381.1557519442231</v>
      </c>
      <c r="AA31" s="49">
        <f t="shared" si="26"/>
        <v>15296.706168014691</v>
      </c>
      <c r="AB31" s="50">
        <f t="shared" si="27"/>
        <v>8783.8537003223064</v>
      </c>
      <c r="AC31" s="43">
        <f t="shared" si="28"/>
        <v>14322.758584283418</v>
      </c>
      <c r="AD31" s="43">
        <f t="shared" si="29"/>
        <v>621.27461879522878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16439.631994711435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16439.631994711435</v>
      </c>
      <c r="AK31" s="43">
        <f>HLOOKUP(I31,ElecAvoidedCostsWOCC!$A$5:$Q$50,G31+1,FALSE)*J31*L31</f>
        <v>0</v>
      </c>
      <c r="AL31" s="43">
        <f t="shared" si="34"/>
        <v>16439.631994711435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16439.631994711435</v>
      </c>
      <c r="AN31" s="47">
        <f t="shared" si="35"/>
        <v>18704.869812977809</v>
      </c>
      <c r="AO31" s="46">
        <f t="shared" si="36"/>
        <v>1.8715739760224166</v>
      </c>
      <c r="AP31" s="46">
        <f t="shared" si="37"/>
        <v>1.3059544153388825</v>
      </c>
    </row>
    <row r="32" spans="1:42" x14ac:dyDescent="0.25">
      <c r="B32" s="88" t="s">
        <v>15</v>
      </c>
      <c r="C32" s="60">
        <v>18230627</v>
      </c>
      <c r="D32" s="60" t="s">
        <v>76</v>
      </c>
      <c r="E32" s="37" t="s">
        <v>1598</v>
      </c>
      <c r="F32" s="38" t="s">
        <v>619</v>
      </c>
      <c r="G32" s="38">
        <v>45</v>
      </c>
      <c r="H32" s="38">
        <v>0</v>
      </c>
      <c r="I32" s="39" t="s">
        <v>273</v>
      </c>
      <c r="J32" s="40">
        <v>5400</v>
      </c>
      <c r="K32" s="487">
        <v>0.34010000000000001</v>
      </c>
      <c r="L32" s="40">
        <v>0</v>
      </c>
      <c r="M32" s="41">
        <v>2.7</v>
      </c>
      <c r="N32" s="41">
        <v>2.67</v>
      </c>
      <c r="O32" s="42">
        <v>1836.54</v>
      </c>
      <c r="P32" s="43">
        <v>14580</v>
      </c>
      <c r="Q32" s="43">
        <v>14418</v>
      </c>
      <c r="R32" s="44">
        <v>3.3999999999999998E-3</v>
      </c>
      <c r="S32" s="45"/>
      <c r="T32" s="38">
        <f t="shared" si="19"/>
        <v>45</v>
      </c>
      <c r="U32" s="46">
        <f t="shared" si="20"/>
        <v>2.4723417681214568E-2</v>
      </c>
      <c r="V32" s="47">
        <f t="shared" si="21"/>
        <v>-3.0000000000000249E-2</v>
      </c>
      <c r="W32" s="48">
        <f t="shared" si="22"/>
        <v>5.4940928180476816E-4</v>
      </c>
      <c r="X32" s="43">
        <f t="shared" si="23"/>
        <v>552.93692892138006</v>
      </c>
      <c r="Y32" s="43">
        <f t="shared" si="24"/>
        <v>-162</v>
      </c>
      <c r="Z32" s="43">
        <f t="shared" si="25"/>
        <v>3921.2918345863645</v>
      </c>
      <c r="AA32" s="49">
        <f t="shared" si="26"/>
        <v>14970.936928921379</v>
      </c>
      <c r="AB32" s="50">
        <f t="shared" si="27"/>
        <v>3671.6215679647607</v>
      </c>
      <c r="AC32" s="43">
        <f t="shared" si="28"/>
        <v>14017.731206855224</v>
      </c>
      <c r="AD32" s="43">
        <f t="shared" si="29"/>
        <v>256.01516350978574</v>
      </c>
      <c r="AE32" s="43">
        <f t="shared" si="30"/>
        <v>0</v>
      </c>
      <c r="AF32" s="51">
        <f>HLOOKUP(I32,ElecAvoidedCostsWOCC!$A$5:$Q$50,G32+1,FALSE)</f>
        <v>3.7416616988497218</v>
      </c>
      <c r="AG32" s="43">
        <f t="shared" si="31"/>
        <v>6871.7113764054684</v>
      </c>
      <c r="AH32" s="51">
        <f>HLOOKUP(I32,ElecAvoidedCostsWOCC!$A$5:$Q$50,T32+1,FALSE)</f>
        <v>3.7416616988497218</v>
      </c>
      <c r="AI32" s="43">
        <f t="shared" si="32"/>
        <v>0</v>
      </c>
      <c r="AJ32" s="43">
        <f t="shared" si="33"/>
        <v>6871.7113764054684</v>
      </c>
      <c r="AK32" s="43">
        <f>HLOOKUP(I32,ElecAvoidedCostsWOCC!$A$5:$Q$50,G32+1,FALSE)*J32*L32</f>
        <v>0</v>
      </c>
      <c r="AL32" s="43">
        <f t="shared" si="34"/>
        <v>6871.7113764054684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6871.7113764054684</v>
      </c>
      <c r="AN32" s="47">
        <f t="shared" si="35"/>
        <v>7814.8976775558012</v>
      </c>
      <c r="AO32" s="46">
        <f t="shared" si="36"/>
        <v>1.871573976022417</v>
      </c>
      <c r="AP32" s="46">
        <f t="shared" si="37"/>
        <v>0.55750089384892809</v>
      </c>
    </row>
    <row r="33" spans="2:42" x14ac:dyDescent="0.25">
      <c r="B33" s="88" t="s">
        <v>15</v>
      </c>
      <c r="C33" s="60">
        <v>18230627</v>
      </c>
      <c r="D33" s="60" t="s">
        <v>76</v>
      </c>
      <c r="E33" s="37" t="s">
        <v>1599</v>
      </c>
      <c r="F33" s="38" t="s">
        <v>620</v>
      </c>
      <c r="G33" s="38">
        <v>45</v>
      </c>
      <c r="H33" s="38">
        <v>0</v>
      </c>
      <c r="I33" s="39" t="s">
        <v>273</v>
      </c>
      <c r="J33" s="40">
        <v>43200</v>
      </c>
      <c r="K33" s="487">
        <v>3.3599999999999998E-2</v>
      </c>
      <c r="L33" s="40">
        <v>0</v>
      </c>
      <c r="M33" s="41">
        <v>0</v>
      </c>
      <c r="N33" s="41">
        <v>0</v>
      </c>
      <c r="O33" s="42">
        <v>1451.52</v>
      </c>
      <c r="P33" s="43">
        <v>0</v>
      </c>
      <c r="Q33" s="43">
        <v>0</v>
      </c>
      <c r="R33" s="44">
        <v>6.7900000000000002E-2</v>
      </c>
      <c r="S33" s="45"/>
      <c r="T33" s="38">
        <f t="shared" si="19"/>
        <v>45</v>
      </c>
      <c r="U33" s="46">
        <f t="shared" si="20"/>
        <v>1.9540296009145766E-2</v>
      </c>
      <c r="V33" s="47">
        <f t="shared" si="21"/>
        <v>0</v>
      </c>
      <c r="W33" s="48">
        <f t="shared" si="22"/>
        <v>4.3422880020323927E-4</v>
      </c>
      <c r="X33" s="43">
        <f t="shared" si="23"/>
        <v>437.01689648358416</v>
      </c>
      <c r="Y33" s="43">
        <f t="shared" si="24"/>
        <v>0</v>
      </c>
      <c r="Z33" s="43">
        <f t="shared" si="25"/>
        <v>3099.2156575619374</v>
      </c>
      <c r="AA33" s="49">
        <f t="shared" si="26"/>
        <v>437.01689648358416</v>
      </c>
      <c r="AB33" s="50">
        <f t="shared" si="27"/>
        <v>2901.8873198145479</v>
      </c>
      <c r="AC33" s="43">
        <f t="shared" si="28"/>
        <v>409.19185064006007</v>
      </c>
      <c r="AD33" s="43">
        <f t="shared" si="29"/>
        <v>40902.187299563426</v>
      </c>
      <c r="AE33" s="43">
        <f t="shared" si="30"/>
        <v>0</v>
      </c>
      <c r="AF33" s="51">
        <f>HLOOKUP(I33,ElecAvoidedCostsWOCC!$A$5:$Q$50,G33+1,FALSE)</f>
        <v>3.7416616988497218</v>
      </c>
      <c r="AG33" s="43">
        <f t="shared" si="31"/>
        <v>5431.0967891143482</v>
      </c>
      <c r="AH33" s="51">
        <f>HLOOKUP(I33,ElecAvoidedCostsWOCC!$A$5:$Q$50,T33+1,FALSE)</f>
        <v>3.7416616988497218</v>
      </c>
      <c r="AI33" s="43">
        <f t="shared" si="32"/>
        <v>0</v>
      </c>
      <c r="AJ33" s="43">
        <f t="shared" si="33"/>
        <v>5431.0967891143482</v>
      </c>
      <c r="AK33" s="43">
        <f>HLOOKUP(I33,ElecAvoidedCostsWOCC!$A$5:$Q$50,G33+1,FALSE)*J33*L33</f>
        <v>0</v>
      </c>
      <c r="AL33" s="43">
        <f t="shared" si="34"/>
        <v>5431.0967891143482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5431.0967891143482</v>
      </c>
      <c r="AN33" s="47">
        <f t="shared" si="35"/>
        <v>46876.393767589208</v>
      </c>
      <c r="AO33" s="46">
        <f t="shared" si="36"/>
        <v>1.8715739760224168</v>
      </c>
      <c r="AP33" s="46">
        <f t="shared" si="37"/>
        <v>114.55847347464253</v>
      </c>
    </row>
    <row r="34" spans="2:42" x14ac:dyDescent="0.25">
      <c r="B34" s="88" t="s">
        <v>15</v>
      </c>
      <c r="C34" s="60">
        <v>18230627</v>
      </c>
      <c r="D34" s="60" t="s">
        <v>76</v>
      </c>
      <c r="E34" s="37" t="s">
        <v>1600</v>
      </c>
      <c r="F34" s="38" t="s">
        <v>621</v>
      </c>
      <c r="G34" s="38">
        <v>45</v>
      </c>
      <c r="H34" s="38">
        <v>0</v>
      </c>
      <c r="I34" s="39" t="s">
        <v>273</v>
      </c>
      <c r="J34" s="40">
        <v>8100</v>
      </c>
      <c r="K34" s="487">
        <v>0.18360000000000001</v>
      </c>
      <c r="L34" s="40">
        <v>0</v>
      </c>
      <c r="M34" s="41">
        <v>2.7</v>
      </c>
      <c r="N34" s="41">
        <v>2.67</v>
      </c>
      <c r="O34" s="42">
        <v>1487.16</v>
      </c>
      <c r="P34" s="43">
        <v>21870</v>
      </c>
      <c r="Q34" s="43">
        <v>21627</v>
      </c>
      <c r="R34" s="44">
        <v>1.8E-3</v>
      </c>
      <c r="S34" s="45"/>
      <c r="T34" s="38">
        <f t="shared" si="19"/>
        <v>45</v>
      </c>
      <c r="U34" s="46">
        <f t="shared" si="20"/>
        <v>2.0020080062941759E-2</v>
      </c>
      <c r="V34" s="47">
        <f t="shared" si="21"/>
        <v>-3.0000000000000249E-2</v>
      </c>
      <c r="W34" s="48">
        <f t="shared" si="22"/>
        <v>4.4489066806537242E-4</v>
      </c>
      <c r="X34" s="43">
        <f t="shared" si="23"/>
        <v>447.74722206688648</v>
      </c>
      <c r="Y34" s="43">
        <f t="shared" si="24"/>
        <v>-243</v>
      </c>
      <c r="Z34" s="43">
        <f t="shared" si="25"/>
        <v>3175.3124705824316</v>
      </c>
      <c r="AA34" s="49">
        <f t="shared" si="26"/>
        <v>22074.747222066886</v>
      </c>
      <c r="AB34" s="50">
        <f t="shared" si="27"/>
        <v>2973.1390173992804</v>
      </c>
      <c r="AC34" s="43">
        <f t="shared" si="28"/>
        <v>20669.23897197274</v>
      </c>
      <c r="AD34" s="43">
        <f t="shared" si="29"/>
        <v>203.30615925777104</v>
      </c>
      <c r="AE34" s="43">
        <f t="shared" si="30"/>
        <v>0</v>
      </c>
      <c r="AF34" s="51">
        <f>HLOOKUP(I34,ElecAvoidedCostsWOCC!$A$5:$Q$50,G34+1,FALSE)</f>
        <v>3.7416616988497218</v>
      </c>
      <c r="AG34" s="43">
        <f t="shared" si="31"/>
        <v>5564.4496120613521</v>
      </c>
      <c r="AH34" s="51">
        <f>HLOOKUP(I34,ElecAvoidedCostsWOCC!$A$5:$Q$50,T34+1,FALSE)</f>
        <v>3.7416616988497218</v>
      </c>
      <c r="AI34" s="43">
        <f t="shared" si="32"/>
        <v>0</v>
      </c>
      <c r="AJ34" s="43">
        <f t="shared" si="33"/>
        <v>5564.4496120613521</v>
      </c>
      <c r="AK34" s="43">
        <f>HLOOKUP(I34,ElecAvoidedCostsWOCC!$A$5:$Q$50,G34+1,FALSE)*J34*L34</f>
        <v>0</v>
      </c>
      <c r="AL34" s="43">
        <f t="shared" si="34"/>
        <v>5564.4496120613521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5564.4496120613521</v>
      </c>
      <c r="AN34" s="47">
        <f t="shared" si="35"/>
        <v>6324.2007325252589</v>
      </c>
      <c r="AO34" s="46">
        <f t="shared" si="36"/>
        <v>1.8715739760224166</v>
      </c>
      <c r="AP34" s="46">
        <f t="shared" si="37"/>
        <v>0.30597162968122849</v>
      </c>
    </row>
    <row r="35" spans="2:42" x14ac:dyDescent="0.25">
      <c r="B35" s="88" t="s">
        <v>15</v>
      </c>
      <c r="C35" s="60">
        <v>18230627</v>
      </c>
      <c r="D35" s="60" t="s">
        <v>76</v>
      </c>
      <c r="E35" s="37" t="s">
        <v>1601</v>
      </c>
      <c r="F35" s="38" t="s">
        <v>622</v>
      </c>
      <c r="G35" s="38">
        <v>45</v>
      </c>
      <c r="H35" s="38">
        <v>0</v>
      </c>
      <c r="I35" s="39" t="s">
        <v>273</v>
      </c>
      <c r="J35" s="40">
        <v>9450</v>
      </c>
      <c r="K35" s="487">
        <v>0.62309999999999999</v>
      </c>
      <c r="L35" s="40">
        <v>0</v>
      </c>
      <c r="M35" s="41">
        <v>2.7</v>
      </c>
      <c r="N35" s="41">
        <v>2.67</v>
      </c>
      <c r="O35" s="42">
        <v>5888.2950000000001</v>
      </c>
      <c r="P35" s="43">
        <v>25515</v>
      </c>
      <c r="Q35" s="43">
        <v>25231.5</v>
      </c>
      <c r="R35" s="44">
        <v>6.1999999999999998E-3</v>
      </c>
      <c r="S35" s="45"/>
      <c r="T35" s="38">
        <f t="shared" si="19"/>
        <v>45</v>
      </c>
      <c r="U35" s="46">
        <f t="shared" si="20"/>
        <v>7.9267958615226106E-2</v>
      </c>
      <c r="V35" s="47">
        <f t="shared" si="21"/>
        <v>-3.0000000000000249E-2</v>
      </c>
      <c r="W35" s="48">
        <f t="shared" si="22"/>
        <v>1.7615101914494689E-3</v>
      </c>
      <c r="X35" s="43">
        <f t="shared" si="23"/>
        <v>1772.8204960867274</v>
      </c>
      <c r="Y35" s="43">
        <f t="shared" si="24"/>
        <v>-283.5</v>
      </c>
      <c r="Z35" s="43">
        <f t="shared" si="25"/>
        <v>12572.404142101845</v>
      </c>
      <c r="AA35" s="49">
        <f t="shared" si="26"/>
        <v>27004.320496086726</v>
      </c>
      <c r="AB35" s="50">
        <f t="shared" si="27"/>
        <v>11771.913990732064</v>
      </c>
      <c r="AC35" s="43">
        <f t="shared" si="28"/>
        <v>25284.944284725396</v>
      </c>
      <c r="AD35" s="43">
        <f t="shared" si="29"/>
        <v>816.98956590622811</v>
      </c>
      <c r="AE35" s="43">
        <f t="shared" si="30"/>
        <v>0</v>
      </c>
      <c r="AF35" s="51">
        <f>HLOOKUP(I35,ElecAvoidedCostsWOCC!$A$5:$Q$50,G35+1,FALSE)</f>
        <v>3.7416616988497218</v>
      </c>
      <c r="AG35" s="43">
        <f t="shared" si="31"/>
        <v>22032.007873028324</v>
      </c>
      <c r="AH35" s="51">
        <f>HLOOKUP(I35,ElecAvoidedCostsWOCC!$A$5:$Q$50,T35+1,FALSE)</f>
        <v>3.7416616988497218</v>
      </c>
      <c r="AI35" s="43">
        <f t="shared" si="32"/>
        <v>0</v>
      </c>
      <c r="AJ35" s="43">
        <f t="shared" si="33"/>
        <v>22032.007873028324</v>
      </c>
      <c r="AK35" s="43">
        <f>HLOOKUP(I35,ElecAvoidedCostsWOCC!$A$5:$Q$50,G35+1,FALSE)*J35*L35</f>
        <v>0</v>
      </c>
      <c r="AL35" s="43">
        <f t="shared" si="34"/>
        <v>22032.007873028324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22032.00787302832</v>
      </c>
      <c r="AN35" s="47">
        <f t="shared" si="35"/>
        <v>25052.198226237382</v>
      </c>
      <c r="AO35" s="46">
        <f t="shared" si="36"/>
        <v>1.8715739760224164</v>
      </c>
      <c r="AP35" s="46">
        <f t="shared" si="37"/>
        <v>0.99079507331053862</v>
      </c>
    </row>
    <row r="36" spans="2:42" x14ac:dyDescent="0.25">
      <c r="B36" s="88" t="s">
        <v>15</v>
      </c>
      <c r="C36" s="60">
        <v>18230627</v>
      </c>
      <c r="D36" s="60" t="s">
        <v>76</v>
      </c>
      <c r="E36" s="37" t="s">
        <v>1602</v>
      </c>
      <c r="F36" s="38" t="s">
        <v>623</v>
      </c>
      <c r="G36" s="38">
        <v>45</v>
      </c>
      <c r="H36" s="38">
        <v>0</v>
      </c>
      <c r="I36" s="39" t="s">
        <v>273</v>
      </c>
      <c r="J36" s="40">
        <v>2026</v>
      </c>
      <c r="K36" s="487">
        <v>1.0428999999999999</v>
      </c>
      <c r="L36" s="40">
        <v>0</v>
      </c>
      <c r="M36" s="41">
        <v>2.5</v>
      </c>
      <c r="N36" s="41">
        <v>2.46</v>
      </c>
      <c r="O36" s="42">
        <v>2112.9153999999999</v>
      </c>
      <c r="P36" s="43">
        <v>5065</v>
      </c>
      <c r="Q36" s="43">
        <v>4983.96</v>
      </c>
      <c r="R36" s="44">
        <v>1.0500000000000001E-2</v>
      </c>
      <c r="S36" s="45"/>
      <c r="T36" s="38">
        <f t="shared" si="19"/>
        <v>45</v>
      </c>
      <c r="U36" s="46">
        <f t="shared" si="20"/>
        <v>2.8443970705386512E-2</v>
      </c>
      <c r="V36" s="47">
        <f t="shared" si="21"/>
        <v>-4.0000000000000036E-2</v>
      </c>
      <c r="W36" s="48">
        <f t="shared" si="22"/>
        <v>6.3208823789747803E-4</v>
      </c>
      <c r="X36" s="43">
        <f t="shared" si="23"/>
        <v>636.14675005537003</v>
      </c>
      <c r="Y36" s="43">
        <f t="shared" si="24"/>
        <v>-81.039999999999964</v>
      </c>
      <c r="Z36" s="43">
        <f t="shared" si="25"/>
        <v>4511.3952896162255</v>
      </c>
      <c r="AA36" s="49">
        <f t="shared" si="26"/>
        <v>5620.10675005537</v>
      </c>
      <c r="AB36" s="50">
        <f t="shared" si="27"/>
        <v>4224.1528928990874</v>
      </c>
      <c r="AC36" s="43">
        <f t="shared" si="28"/>
        <v>5262.2722378795597</v>
      </c>
      <c r="AD36" s="43">
        <f t="shared" si="29"/>
        <v>296.63456281828286</v>
      </c>
      <c r="AE36" s="43">
        <f t="shared" si="30"/>
        <v>0</v>
      </c>
      <c r="AF36" s="51">
        <f>HLOOKUP(I36,ElecAvoidedCostsWOCC!$A$5:$Q$50,G36+1,FALSE)</f>
        <v>3.7416616988497218</v>
      </c>
      <c r="AG36" s="43">
        <f t="shared" si="31"/>
        <v>7905.8146250897389</v>
      </c>
      <c r="AH36" s="51">
        <f>HLOOKUP(I36,ElecAvoidedCostsWOCC!$A$5:$Q$50,T36+1,FALSE)</f>
        <v>3.7416616988497218</v>
      </c>
      <c r="AI36" s="43">
        <f t="shared" si="32"/>
        <v>0</v>
      </c>
      <c r="AJ36" s="43">
        <f t="shared" si="33"/>
        <v>7905.8146250897389</v>
      </c>
      <c r="AK36" s="43">
        <f>HLOOKUP(I36,ElecAvoidedCostsWOCC!$A$5:$Q$50,G36+1,FALSE)*J36*L36</f>
        <v>0</v>
      </c>
      <c r="AL36" s="43">
        <f t="shared" si="34"/>
        <v>7905.8146250897389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7905.8146250897389</v>
      </c>
      <c r="AN36" s="47">
        <f t="shared" si="35"/>
        <v>8993.0306504169967</v>
      </c>
      <c r="AO36" s="46">
        <f t="shared" si="36"/>
        <v>1.8715739760224168</v>
      </c>
      <c r="AP36" s="46">
        <f t="shared" si="37"/>
        <v>1.7089633990583413</v>
      </c>
    </row>
    <row r="37" spans="2:42" x14ac:dyDescent="0.25">
      <c r="B37" s="88" t="s">
        <v>15</v>
      </c>
      <c r="C37" s="60">
        <v>18230627</v>
      </c>
      <c r="D37" s="60" t="s">
        <v>76</v>
      </c>
      <c r="E37" s="37" t="s">
        <v>1603</v>
      </c>
      <c r="F37" s="38" t="s">
        <v>624</v>
      </c>
      <c r="G37" s="38">
        <v>45</v>
      </c>
      <c r="H37" s="38">
        <v>0</v>
      </c>
      <c r="I37" s="39" t="s">
        <v>273</v>
      </c>
      <c r="J37" s="40">
        <v>8100</v>
      </c>
      <c r="K37" s="487">
        <v>6.2700000000000006E-2</v>
      </c>
      <c r="L37" s="40">
        <v>0</v>
      </c>
      <c r="M37" s="41">
        <v>0</v>
      </c>
      <c r="N37" s="41">
        <v>0</v>
      </c>
      <c r="O37" s="42">
        <v>507.87000000000006</v>
      </c>
      <c r="P37" s="43">
        <v>0</v>
      </c>
      <c r="Q37" s="43">
        <v>0</v>
      </c>
      <c r="R37" s="44">
        <v>3.4799999999999998E-2</v>
      </c>
      <c r="S37" s="45"/>
      <c r="T37" s="38">
        <f t="shared" si="19"/>
        <v>45</v>
      </c>
      <c r="U37" s="46">
        <f t="shared" si="20"/>
        <v>6.8369227665928557E-3</v>
      </c>
      <c r="V37" s="47">
        <f t="shared" si="21"/>
        <v>0</v>
      </c>
      <c r="W37" s="48">
        <f t="shared" si="22"/>
        <v>1.519316170353968E-4</v>
      </c>
      <c r="X37" s="43">
        <f t="shared" si="23"/>
        <v>152.90713956205764</v>
      </c>
      <c r="Y37" s="43">
        <f t="shared" si="24"/>
        <v>0</v>
      </c>
      <c r="Z37" s="43">
        <f t="shared" si="25"/>
        <v>1084.3795855420394</v>
      </c>
      <c r="AA37" s="49">
        <f t="shared" si="26"/>
        <v>152.90713956205764</v>
      </c>
      <c r="AB37" s="50">
        <f t="shared" si="27"/>
        <v>1015.3366905824339</v>
      </c>
      <c r="AC37" s="43">
        <f t="shared" si="28"/>
        <v>143.17147899069067</v>
      </c>
      <c r="AD37" s="43">
        <f t="shared" si="29"/>
        <v>3930.5857456502404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1900.2777269948083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1900.2777269948083</v>
      </c>
      <c r="AK37" s="43">
        <f>HLOOKUP(I37,ElecAvoidedCostsWOCC!$A$5:$Q$50,G37+1,FALSE)*J37*L37</f>
        <v>0</v>
      </c>
      <c r="AL37" s="43">
        <f t="shared" si="34"/>
        <v>1900.2777269948083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1900.2777269948083</v>
      </c>
      <c r="AN37" s="47">
        <f t="shared" si="35"/>
        <v>6020.89124534453</v>
      </c>
      <c r="AO37" s="46">
        <f t="shared" si="36"/>
        <v>1.8715739760224168</v>
      </c>
      <c r="AP37" s="46">
        <f t="shared" si="37"/>
        <v>42.053705722604306</v>
      </c>
    </row>
    <row r="38" spans="2:42" x14ac:dyDescent="0.25">
      <c r="B38" s="88" t="s">
        <v>15</v>
      </c>
      <c r="C38" s="60">
        <v>18230627</v>
      </c>
      <c r="D38" s="60" t="s">
        <v>76</v>
      </c>
      <c r="E38" s="37" t="s">
        <v>1604</v>
      </c>
      <c r="F38" s="38" t="s">
        <v>1605</v>
      </c>
      <c r="G38" s="38">
        <v>45</v>
      </c>
      <c r="H38" s="38">
        <v>0</v>
      </c>
      <c r="I38" s="39" t="s">
        <v>273</v>
      </c>
      <c r="J38" s="40">
        <v>2700</v>
      </c>
      <c r="K38" s="487">
        <v>0.84260000000000002</v>
      </c>
      <c r="L38" s="40">
        <v>0</v>
      </c>
      <c r="M38" s="41">
        <v>2.5</v>
      </c>
      <c r="N38" s="41">
        <v>2.46</v>
      </c>
      <c r="O38" s="42">
        <v>2275.02</v>
      </c>
      <c r="P38" s="43">
        <v>6750</v>
      </c>
      <c r="Q38" s="43">
        <v>6642</v>
      </c>
      <c r="R38" s="44">
        <v>8.3999999999999995E-3</v>
      </c>
      <c r="S38" s="45"/>
      <c r="T38" s="38">
        <f t="shared" si="19"/>
        <v>45</v>
      </c>
      <c r="U38" s="46">
        <f t="shared" si="20"/>
        <v>3.0626215433977352E-2</v>
      </c>
      <c r="V38" s="47">
        <f t="shared" si="21"/>
        <v>-4.0000000000000036E-2</v>
      </c>
      <c r="W38" s="48">
        <f t="shared" si="22"/>
        <v>6.8058256519949669E-4</v>
      </c>
      <c r="X38" s="43">
        <f t="shared" si="23"/>
        <v>684.95244973412946</v>
      </c>
      <c r="Y38" s="43">
        <f t="shared" si="24"/>
        <v>-108</v>
      </c>
      <c r="Z38" s="43">
        <f t="shared" si="25"/>
        <v>4857.5132311415327</v>
      </c>
      <c r="AA38" s="49">
        <f t="shared" si="26"/>
        <v>7326.9524497341299</v>
      </c>
      <c r="AB38" s="50">
        <f t="shared" si="27"/>
        <v>4548.233362492072</v>
      </c>
      <c r="AC38" s="43">
        <f t="shared" si="28"/>
        <v>6860.4423686649152</v>
      </c>
      <c r="AD38" s="43">
        <f t="shared" si="29"/>
        <v>316.25402551208833</v>
      </c>
      <c r="AE38" s="43">
        <f t="shared" si="30"/>
        <v>0</v>
      </c>
      <c r="AF38" s="51">
        <f>HLOOKUP(I38,ElecAvoidedCostsWOCC!$A$5:$Q$50,G38+1,FALSE)</f>
        <v>3.7416616988497218</v>
      </c>
      <c r="AG38" s="43">
        <f t="shared" si="31"/>
        <v>8512.3551981170949</v>
      </c>
      <c r="AH38" s="51">
        <f>HLOOKUP(I38,ElecAvoidedCostsWOCC!$A$5:$Q$50,T38+1,FALSE)</f>
        <v>3.7416616988497218</v>
      </c>
      <c r="AI38" s="43">
        <f t="shared" si="32"/>
        <v>0</v>
      </c>
      <c r="AJ38" s="43">
        <f t="shared" si="33"/>
        <v>8512.3551981170949</v>
      </c>
      <c r="AK38" s="43">
        <f>HLOOKUP(I38,ElecAvoidedCostsWOCC!$A$5:$Q$50,G38+1,FALSE)*J38*L38</f>
        <v>0</v>
      </c>
      <c r="AL38" s="43">
        <f t="shared" si="34"/>
        <v>8512.3551981170949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8512.3551981170949</v>
      </c>
      <c r="AN38" s="47">
        <f t="shared" si="35"/>
        <v>9679.8447434408936</v>
      </c>
      <c r="AO38" s="46">
        <f t="shared" si="36"/>
        <v>1.871573976022417</v>
      </c>
      <c r="AP38" s="46">
        <f t="shared" si="37"/>
        <v>1.410965098643435</v>
      </c>
    </row>
    <row r="39" spans="2:42" x14ac:dyDescent="0.25">
      <c r="B39" s="88" t="s">
        <v>15</v>
      </c>
      <c r="C39" s="60">
        <v>18230627</v>
      </c>
      <c r="D39" s="60" t="s">
        <v>76</v>
      </c>
      <c r="E39" s="37" t="s">
        <v>1606</v>
      </c>
      <c r="F39" s="38" t="s">
        <v>1607</v>
      </c>
      <c r="G39" s="38">
        <v>45</v>
      </c>
      <c r="H39" s="38">
        <v>0</v>
      </c>
      <c r="I39" s="39" t="s">
        <v>273</v>
      </c>
      <c r="J39" s="40">
        <v>676</v>
      </c>
      <c r="K39" s="487">
        <v>0.59489999999999998</v>
      </c>
      <c r="L39" s="40">
        <v>0</v>
      </c>
      <c r="M39" s="41">
        <v>2.5</v>
      </c>
      <c r="N39" s="41">
        <v>2.46</v>
      </c>
      <c r="O39" s="42">
        <v>402.1524</v>
      </c>
      <c r="P39" s="43">
        <v>1690</v>
      </c>
      <c r="Q39" s="43">
        <v>1662.96</v>
      </c>
      <c r="R39" s="44">
        <v>6.0000000000000001E-3</v>
      </c>
      <c r="S39" s="45"/>
      <c r="T39" s="38">
        <f t="shared" si="19"/>
        <v>45</v>
      </c>
      <c r="U39" s="46">
        <f t="shared" si="20"/>
        <v>5.4137572591410332E-3</v>
      </c>
      <c r="V39" s="47">
        <f t="shared" si="21"/>
        <v>-4.0000000000000036E-2</v>
      </c>
      <c r="W39" s="48">
        <f t="shared" si="22"/>
        <v>1.2030571686980074E-4</v>
      </c>
      <c r="X39" s="43">
        <f t="shared" si="23"/>
        <v>121.07817581667834</v>
      </c>
      <c r="Y39" s="43">
        <f t="shared" si="24"/>
        <v>-27.039999999999964</v>
      </c>
      <c r="Z39" s="43">
        <f t="shared" si="25"/>
        <v>858.65645310165291</v>
      </c>
      <c r="AA39" s="49">
        <f t="shared" si="26"/>
        <v>1784.0381758166784</v>
      </c>
      <c r="AB39" s="50">
        <f t="shared" si="27"/>
        <v>803.98544297907574</v>
      </c>
      <c r="AC39" s="43">
        <f t="shared" si="28"/>
        <v>1670.4477301654292</v>
      </c>
      <c r="AD39" s="43">
        <f t="shared" si="29"/>
        <v>56.557598213272932</v>
      </c>
      <c r="AE39" s="43">
        <f t="shared" si="30"/>
        <v>0</v>
      </c>
      <c r="AF39" s="51">
        <f>HLOOKUP(I39,ElecAvoidedCostsWOCC!$A$5:$Q$50,G39+1,FALSE)</f>
        <v>3.7416616988497218</v>
      </c>
      <c r="AG39" s="43">
        <f t="shared" si="31"/>
        <v>1504.7182321804928</v>
      </c>
      <c r="AH39" s="51">
        <f>HLOOKUP(I39,ElecAvoidedCostsWOCC!$A$5:$Q$50,T39+1,FALSE)</f>
        <v>3.7416616988497218</v>
      </c>
      <c r="AI39" s="43">
        <f t="shared" si="32"/>
        <v>0</v>
      </c>
      <c r="AJ39" s="43">
        <f t="shared" si="33"/>
        <v>1504.7182321804928</v>
      </c>
      <c r="AK39" s="43">
        <f>HLOOKUP(I39,ElecAvoidedCostsWOCC!$A$5:$Q$50,G39+1,FALSE)*J39*L39</f>
        <v>0</v>
      </c>
      <c r="AL39" s="43">
        <f t="shared" si="34"/>
        <v>1504.7182321804928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1504.718232180493</v>
      </c>
      <c r="AN39" s="47">
        <f t="shared" si="35"/>
        <v>1711.7476536118154</v>
      </c>
      <c r="AO39" s="46">
        <f t="shared" si="36"/>
        <v>1.871573976022417</v>
      </c>
      <c r="AP39" s="46">
        <f t="shared" si="37"/>
        <v>1.0247238645667147</v>
      </c>
    </row>
    <row r="40" spans="2:42" x14ac:dyDescent="0.25">
      <c r="B40" s="88" t="s">
        <v>15</v>
      </c>
      <c r="C40" s="60">
        <v>18230627</v>
      </c>
      <c r="D40" s="60" t="s">
        <v>76</v>
      </c>
      <c r="E40" s="37" t="s">
        <v>1608</v>
      </c>
      <c r="F40" s="38" t="s">
        <v>1609</v>
      </c>
      <c r="G40" s="38">
        <v>45</v>
      </c>
      <c r="H40" s="38">
        <v>0</v>
      </c>
      <c r="I40" s="39" t="s">
        <v>273</v>
      </c>
      <c r="J40" s="40">
        <v>108000</v>
      </c>
      <c r="K40" s="487">
        <v>1.8602000000000001</v>
      </c>
      <c r="L40" s="40">
        <v>0</v>
      </c>
      <c r="M40" s="41">
        <v>1.7</v>
      </c>
      <c r="N40" s="41">
        <v>1.68</v>
      </c>
      <c r="O40" s="42">
        <v>200901.6</v>
      </c>
      <c r="P40" s="43">
        <v>183600</v>
      </c>
      <c r="Q40" s="43">
        <v>181440</v>
      </c>
      <c r="R40" s="44">
        <v>1.8700000000000001E-2</v>
      </c>
      <c r="S40" s="45"/>
      <c r="T40" s="38">
        <f t="shared" si="19"/>
        <v>45</v>
      </c>
      <c r="U40" s="46">
        <f t="shared" si="20"/>
        <v>2.7045281723372736</v>
      </c>
      <c r="V40" s="47">
        <f t="shared" si="21"/>
        <v>-2.0000000000000018E-2</v>
      </c>
      <c r="W40" s="48">
        <f t="shared" si="22"/>
        <v>6.0100626051939415E-2</v>
      </c>
      <c r="X40" s="43">
        <f t="shared" si="23"/>
        <v>60486.520151693694</v>
      </c>
      <c r="Y40" s="43">
        <f t="shared" si="24"/>
        <v>-2160</v>
      </c>
      <c r="Z40" s="43">
        <f t="shared" si="25"/>
        <v>428955.42903249373</v>
      </c>
      <c r="AA40" s="49">
        <f t="shared" si="26"/>
        <v>241926.52015169369</v>
      </c>
      <c r="AB40" s="50">
        <f t="shared" si="27"/>
        <v>401643.66014278436</v>
      </c>
      <c r="AC40" s="43">
        <f t="shared" si="28"/>
        <v>226522.95894353342</v>
      </c>
      <c r="AD40" s="43">
        <f t="shared" si="29"/>
        <v>28161.667986076438</v>
      </c>
      <c r="AE40" s="43">
        <f t="shared" si="30"/>
        <v>0</v>
      </c>
      <c r="AF40" s="51">
        <f>HLOOKUP(I40,ElecAvoidedCostsWOCC!$A$5:$Q$50,G40+1,FALSE)</f>
        <v>3.7416616988497218</v>
      </c>
      <c r="AG40" s="43">
        <f t="shared" si="31"/>
        <v>751705.82195762731</v>
      </c>
      <c r="AH40" s="51">
        <f>HLOOKUP(I40,ElecAvoidedCostsWOCC!$A$5:$Q$50,T40+1,FALSE)</f>
        <v>3.7416616988497218</v>
      </c>
      <c r="AI40" s="43">
        <f t="shared" si="32"/>
        <v>0</v>
      </c>
      <c r="AJ40" s="43">
        <f t="shared" si="33"/>
        <v>751705.82195762731</v>
      </c>
      <c r="AK40" s="43">
        <f>HLOOKUP(I40,ElecAvoidedCostsWOCC!$A$5:$Q$50,G40+1,FALSE)*J40*L40</f>
        <v>0</v>
      </c>
      <c r="AL40" s="43">
        <f t="shared" si="34"/>
        <v>751705.82195762731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751705.82195762731</v>
      </c>
      <c r="AN40" s="47">
        <f t="shared" si="35"/>
        <v>855038.07213946653</v>
      </c>
      <c r="AO40" s="46">
        <f t="shared" si="36"/>
        <v>1.871573976022417</v>
      </c>
      <c r="AP40" s="46">
        <f t="shared" si="37"/>
        <v>3.7746199154700535</v>
      </c>
    </row>
    <row r="41" spans="2:42" x14ac:dyDescent="0.25">
      <c r="B41" s="88" t="s">
        <v>15</v>
      </c>
      <c r="C41" s="60">
        <v>18230627</v>
      </c>
      <c r="D41" s="60" t="s">
        <v>76</v>
      </c>
      <c r="E41" s="37" t="s">
        <v>1610</v>
      </c>
      <c r="F41" s="38" t="s">
        <v>1611</v>
      </c>
      <c r="G41" s="38">
        <v>45</v>
      </c>
      <c r="H41" s="38">
        <v>0</v>
      </c>
      <c r="I41" s="39" t="s">
        <v>273</v>
      </c>
      <c r="J41" s="40">
        <v>702000</v>
      </c>
      <c r="K41" s="487">
        <v>7.9399999999999998E-2</v>
      </c>
      <c r="L41" s="40">
        <v>0</v>
      </c>
      <c r="M41" s="41">
        <v>0</v>
      </c>
      <c r="N41" s="41">
        <v>0</v>
      </c>
      <c r="O41" s="42">
        <v>55738.799999999996</v>
      </c>
      <c r="P41" s="43">
        <v>0</v>
      </c>
      <c r="Q41" s="43">
        <v>0</v>
      </c>
      <c r="R41" s="44">
        <v>3.85E-2</v>
      </c>
      <c r="S41" s="45"/>
      <c r="T41" s="38">
        <f t="shared" si="19"/>
        <v>45</v>
      </c>
      <c r="U41" s="46">
        <f t="shared" si="20"/>
        <v>0.75035318231548587</v>
      </c>
      <c r="V41" s="47">
        <f t="shared" si="21"/>
        <v>0</v>
      </c>
      <c r="W41" s="48">
        <f t="shared" si="22"/>
        <v>1.6674515162566354E-2</v>
      </c>
      <c r="X41" s="43">
        <f t="shared" si="23"/>
        <v>16781.578889522156</v>
      </c>
      <c r="Y41" s="43">
        <f t="shared" si="24"/>
        <v>0</v>
      </c>
      <c r="Z41" s="43">
        <f t="shared" si="25"/>
        <v>119010.80363599077</v>
      </c>
      <c r="AA41" s="49">
        <f t="shared" si="26"/>
        <v>16781.578889522156</v>
      </c>
      <c r="AB41" s="50">
        <f t="shared" si="27"/>
        <v>111433.33673781907</v>
      </c>
      <c r="AC41" s="43">
        <f t="shared" si="28"/>
        <v>15713.088847867186</v>
      </c>
      <c r="AD41" s="43">
        <f t="shared" si="29"/>
        <v>376869.38040190522</v>
      </c>
      <c r="AE41" s="43">
        <f t="shared" si="30"/>
        <v>0</v>
      </c>
      <c r="AF41" s="51">
        <f>HLOOKUP(I41,ElecAvoidedCostsWOCC!$A$5:$Q$50,G41+1,FALSE)</f>
        <v>3.7416616988497218</v>
      </c>
      <c r="AG41" s="43">
        <f t="shared" si="31"/>
        <v>208555.73309984486</v>
      </c>
      <c r="AH41" s="51">
        <f>HLOOKUP(I41,ElecAvoidedCostsWOCC!$A$5:$Q$50,T41+1,FALSE)</f>
        <v>3.7416616988497218</v>
      </c>
      <c r="AI41" s="43">
        <f t="shared" si="32"/>
        <v>0</v>
      </c>
      <c r="AJ41" s="43">
        <f t="shared" si="33"/>
        <v>208555.73309984486</v>
      </c>
      <c r="AK41" s="43">
        <f>HLOOKUP(I41,ElecAvoidedCostsWOCC!$A$5:$Q$50,G41+1,FALSE)*J41*L41</f>
        <v>0</v>
      </c>
      <c r="AL41" s="43">
        <f t="shared" si="34"/>
        <v>208555.73309984486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208555.73309984489</v>
      </c>
      <c r="AN41" s="47">
        <f t="shared" si="35"/>
        <v>606280.68681173457</v>
      </c>
      <c r="AO41" s="46">
        <f t="shared" si="36"/>
        <v>1.8715739760224168</v>
      </c>
      <c r="AP41" s="46">
        <f t="shared" si="37"/>
        <v>38.584437005460451</v>
      </c>
    </row>
    <row r="42" spans="2:42" x14ac:dyDescent="0.25">
      <c r="B42" s="88" t="s">
        <v>15</v>
      </c>
      <c r="C42" s="60">
        <v>18230627</v>
      </c>
      <c r="D42" s="60" t="s">
        <v>76</v>
      </c>
      <c r="E42" s="37" t="s">
        <v>1612</v>
      </c>
      <c r="F42" s="38" t="s">
        <v>1613</v>
      </c>
      <c r="G42" s="38">
        <v>45</v>
      </c>
      <c r="H42" s="38">
        <v>0</v>
      </c>
      <c r="I42" s="39" t="s">
        <v>273</v>
      </c>
      <c r="J42" s="40">
        <v>67500</v>
      </c>
      <c r="K42" s="487">
        <v>1.3010999999999999</v>
      </c>
      <c r="L42" s="40">
        <v>0</v>
      </c>
      <c r="M42" s="41">
        <v>1.7</v>
      </c>
      <c r="N42" s="41">
        <v>1.68</v>
      </c>
      <c r="O42" s="42">
        <v>87824.25</v>
      </c>
      <c r="P42" s="43">
        <v>114750</v>
      </c>
      <c r="Q42" s="43">
        <v>113400</v>
      </c>
      <c r="R42" s="44">
        <v>1.2999999999999999E-2</v>
      </c>
      <c r="S42" s="45"/>
      <c r="T42" s="38">
        <f t="shared" si="19"/>
        <v>45</v>
      </c>
      <c r="U42" s="46">
        <f t="shared" si="20"/>
        <v>1.1822860462006863</v>
      </c>
      <c r="V42" s="47">
        <f t="shared" si="21"/>
        <v>-2.0000000000000018E-2</v>
      </c>
      <c r="W42" s="48">
        <f t="shared" si="22"/>
        <v>2.627302324890414E-2</v>
      </c>
      <c r="X42" s="43">
        <f t="shared" si="23"/>
        <v>26441.717076580699</v>
      </c>
      <c r="Y42" s="43">
        <f t="shared" si="24"/>
        <v>-1350</v>
      </c>
      <c r="Z42" s="43">
        <f t="shared" si="25"/>
        <v>187518.11253970594</v>
      </c>
      <c r="AA42" s="49">
        <f t="shared" si="26"/>
        <v>139841.71707658071</v>
      </c>
      <c r="AB42" s="50">
        <f t="shared" si="27"/>
        <v>175578.75705964974</v>
      </c>
      <c r="AC42" s="43">
        <f t="shared" si="28"/>
        <v>130937.93733762238</v>
      </c>
      <c r="AD42" s="43">
        <f t="shared" si="29"/>
        <v>12236.018844217702</v>
      </c>
      <c r="AE42" s="43">
        <f t="shared" si="30"/>
        <v>0</v>
      </c>
      <c r="AF42" s="51">
        <f>HLOOKUP(I42,ElecAvoidedCostsWOCC!$A$5:$Q$50,G42+1,FALSE)</f>
        <v>3.7416616988497218</v>
      </c>
      <c r="AG42" s="43">
        <f t="shared" si="31"/>
        <v>328608.63245520263</v>
      </c>
      <c r="AH42" s="51">
        <f>HLOOKUP(I42,ElecAvoidedCostsWOCC!$A$5:$Q$50,T42+1,FALSE)</f>
        <v>3.7416616988497218</v>
      </c>
      <c r="AI42" s="43">
        <f t="shared" si="32"/>
        <v>0</v>
      </c>
      <c r="AJ42" s="43">
        <f t="shared" si="33"/>
        <v>328608.63245520263</v>
      </c>
      <c r="AK42" s="43">
        <f>HLOOKUP(I42,ElecAvoidedCostsWOCC!$A$5:$Q$50,G42+1,FALSE)*J42*L42</f>
        <v>0</v>
      </c>
      <c r="AL42" s="43">
        <f t="shared" si="34"/>
        <v>328608.63245520263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328608.63245520263</v>
      </c>
      <c r="AN42" s="47">
        <f t="shared" si="35"/>
        <v>373705.51454494061</v>
      </c>
      <c r="AO42" s="46">
        <f t="shared" si="36"/>
        <v>1.8715739760224168</v>
      </c>
      <c r="AP42" s="46">
        <f t="shared" si="37"/>
        <v>2.85406599602485</v>
      </c>
    </row>
    <row r="43" spans="2:42" x14ac:dyDescent="0.25">
      <c r="B43" s="88" t="s">
        <v>15</v>
      </c>
      <c r="C43" s="60">
        <v>18230627</v>
      </c>
      <c r="D43" s="60" t="s">
        <v>76</v>
      </c>
      <c r="E43" s="37" t="s">
        <v>1614</v>
      </c>
      <c r="F43" s="38" t="s">
        <v>1615</v>
      </c>
      <c r="G43" s="38">
        <v>45</v>
      </c>
      <c r="H43" s="38">
        <v>0</v>
      </c>
      <c r="I43" s="39" t="s">
        <v>273</v>
      </c>
      <c r="J43" s="40">
        <v>108000</v>
      </c>
      <c r="K43" s="487">
        <v>1.2033</v>
      </c>
      <c r="L43" s="40">
        <v>0</v>
      </c>
      <c r="M43" s="41">
        <v>1.7</v>
      </c>
      <c r="N43" s="41">
        <v>1.68</v>
      </c>
      <c r="O43" s="42">
        <v>129956.40000000001</v>
      </c>
      <c r="P43" s="43">
        <v>183600</v>
      </c>
      <c r="Q43" s="43">
        <v>181440</v>
      </c>
      <c r="R43" s="44">
        <v>1.21E-2</v>
      </c>
      <c r="S43" s="45"/>
      <c r="T43" s="38">
        <f t="shared" si="19"/>
        <v>45</v>
      </c>
      <c r="U43" s="46">
        <f t="shared" si="20"/>
        <v>1.749467127068832</v>
      </c>
      <c r="V43" s="47">
        <f t="shared" si="21"/>
        <v>-2.0000000000000018E-2</v>
      </c>
      <c r="W43" s="48">
        <f t="shared" si="22"/>
        <v>3.8877047268196269E-2</v>
      </c>
      <c r="X43" s="43">
        <f t="shared" si="23"/>
        <v>39126.669013295897</v>
      </c>
      <c r="Y43" s="43">
        <f t="shared" si="24"/>
        <v>-2160</v>
      </c>
      <c r="Z43" s="43">
        <f t="shared" si="25"/>
        <v>277476.65184109221</v>
      </c>
      <c r="AA43" s="49">
        <f t="shared" si="26"/>
        <v>220566.6690132959</v>
      </c>
      <c r="AB43" s="50">
        <f t="shared" si="27"/>
        <v>259809.59910214625</v>
      </c>
      <c r="AC43" s="43">
        <f t="shared" si="28"/>
        <v>206523.09832705607</v>
      </c>
      <c r="AD43" s="43">
        <f t="shared" si="29"/>
        <v>18222.255755696518</v>
      </c>
      <c r="AE43" s="43">
        <f t="shared" si="30"/>
        <v>0</v>
      </c>
      <c r="AF43" s="51">
        <f>HLOOKUP(I43,ElecAvoidedCostsWOCC!$A$5:$Q$50,G43+1,FALSE)</f>
        <v>3.7416616988497218</v>
      </c>
      <c r="AG43" s="43">
        <f t="shared" si="31"/>
        <v>486252.88440039399</v>
      </c>
      <c r="AH43" s="51">
        <f>HLOOKUP(I43,ElecAvoidedCostsWOCC!$A$5:$Q$50,T43+1,FALSE)</f>
        <v>3.7416616988497218</v>
      </c>
      <c r="AI43" s="43">
        <f t="shared" si="32"/>
        <v>0</v>
      </c>
      <c r="AJ43" s="43">
        <f t="shared" si="33"/>
        <v>486252.88440039399</v>
      </c>
      <c r="AK43" s="43">
        <f>HLOOKUP(I43,ElecAvoidedCostsWOCC!$A$5:$Q$50,G43+1,FALSE)*J43*L43</f>
        <v>0</v>
      </c>
      <c r="AL43" s="43">
        <f t="shared" si="34"/>
        <v>486252.88440039399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486252.88440039399</v>
      </c>
      <c r="AN43" s="47">
        <f t="shared" si="35"/>
        <v>553100.42859612999</v>
      </c>
      <c r="AO43" s="46">
        <f t="shared" si="36"/>
        <v>1.8715739760224168</v>
      </c>
      <c r="AP43" s="46">
        <f t="shared" si="37"/>
        <v>2.6781528704369126</v>
      </c>
    </row>
    <row r="44" spans="2:42" x14ac:dyDescent="0.25">
      <c r="B44" s="88" t="s">
        <v>15</v>
      </c>
      <c r="C44" s="60">
        <v>18230627</v>
      </c>
      <c r="D44" s="60" t="s">
        <v>76</v>
      </c>
      <c r="E44" s="37" t="s">
        <v>1616</v>
      </c>
      <c r="F44" s="38" t="s">
        <v>1617</v>
      </c>
      <c r="G44" s="38">
        <v>45</v>
      </c>
      <c r="H44" s="38">
        <v>0</v>
      </c>
      <c r="I44" s="39" t="s">
        <v>273</v>
      </c>
      <c r="J44" s="40">
        <v>162000</v>
      </c>
      <c r="K44" s="487">
        <v>0.44230000000000003</v>
      </c>
      <c r="L44" s="40">
        <v>0</v>
      </c>
      <c r="M44" s="41">
        <v>1.4</v>
      </c>
      <c r="N44" s="41">
        <v>1.38</v>
      </c>
      <c r="O44" s="42">
        <v>71652.600000000006</v>
      </c>
      <c r="P44" s="43">
        <v>226800</v>
      </c>
      <c r="Q44" s="43">
        <v>223559.99999999997</v>
      </c>
      <c r="R44" s="44">
        <v>4.4000000000000003E-3</v>
      </c>
      <c r="S44" s="45"/>
      <c r="T44" s="38">
        <f t="shared" si="19"/>
        <v>45</v>
      </c>
      <c r="U44" s="46">
        <f t="shared" si="20"/>
        <v>0.96458403179075602</v>
      </c>
      <c r="V44" s="47">
        <f t="shared" si="21"/>
        <v>-2.0000000000000018E-2</v>
      </c>
      <c r="W44" s="48">
        <f t="shared" si="22"/>
        <v>2.1435200706461245E-2</v>
      </c>
      <c r="X44" s="43">
        <f t="shared" si="23"/>
        <v>21572.831843157288</v>
      </c>
      <c r="Y44" s="43">
        <f t="shared" si="24"/>
        <v>-3240.0000000000291</v>
      </c>
      <c r="Z44" s="43">
        <f t="shared" si="25"/>
        <v>152989.18363165681</v>
      </c>
      <c r="AA44" s="49">
        <f t="shared" si="26"/>
        <v>245132.83184315727</v>
      </c>
      <c r="AB44" s="50">
        <f t="shared" si="27"/>
        <v>143248.29928057751</v>
      </c>
      <c r="AC44" s="43">
        <f t="shared" si="28"/>
        <v>229525.12344864913</v>
      </c>
      <c r="AD44" s="43">
        <f t="shared" si="29"/>
        <v>9939.4122303799195</v>
      </c>
      <c r="AE44" s="43">
        <f t="shared" si="30"/>
        <v>0</v>
      </c>
      <c r="AF44" s="51">
        <f>HLOOKUP(I44,ElecAvoidedCostsWOCC!$A$5:$Q$50,G44+1,FALSE)</f>
        <v>3.7416616988497218</v>
      </c>
      <c r="AG44" s="43">
        <f t="shared" si="31"/>
        <v>268099.78904299956</v>
      </c>
      <c r="AH44" s="51">
        <f>HLOOKUP(I44,ElecAvoidedCostsWOCC!$A$5:$Q$50,T44+1,FALSE)</f>
        <v>3.7416616988497218</v>
      </c>
      <c r="AI44" s="43">
        <f t="shared" si="32"/>
        <v>0</v>
      </c>
      <c r="AJ44" s="43">
        <f t="shared" si="33"/>
        <v>268099.78904299956</v>
      </c>
      <c r="AK44" s="43">
        <f>HLOOKUP(I44,ElecAvoidedCostsWOCC!$A$5:$Q$50,G44+1,FALSE)*J44*L44</f>
        <v>0</v>
      </c>
      <c r="AL44" s="43">
        <f t="shared" si="34"/>
        <v>268099.78904299956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268099.78904299962</v>
      </c>
      <c r="AN44" s="47">
        <f t="shared" si="35"/>
        <v>304849.18017767952</v>
      </c>
      <c r="AO44" s="46">
        <f t="shared" si="36"/>
        <v>1.8715739760224173</v>
      </c>
      <c r="AP44" s="46">
        <f t="shared" si="37"/>
        <v>1.3281734722424945</v>
      </c>
    </row>
    <row r="45" spans="2:42" x14ac:dyDescent="0.25">
      <c r="B45" s="88" t="s">
        <v>15</v>
      </c>
      <c r="C45" s="60">
        <v>18230627</v>
      </c>
      <c r="D45" s="60" t="s">
        <v>76</v>
      </c>
      <c r="E45" s="37" t="s">
        <v>1618</v>
      </c>
      <c r="F45" s="38" t="s">
        <v>1619</v>
      </c>
      <c r="G45" s="38">
        <v>45</v>
      </c>
      <c r="H45" s="38">
        <v>0</v>
      </c>
      <c r="I45" s="39" t="s">
        <v>273</v>
      </c>
      <c r="J45" s="40">
        <v>810000</v>
      </c>
      <c r="K45" s="487">
        <v>2.87E-2</v>
      </c>
      <c r="L45" s="40">
        <v>0</v>
      </c>
      <c r="M45" s="41">
        <v>0</v>
      </c>
      <c r="N45" s="41">
        <v>0</v>
      </c>
      <c r="O45" s="42">
        <v>23247</v>
      </c>
      <c r="P45" s="43">
        <v>0</v>
      </c>
      <c r="Q45" s="43">
        <v>0</v>
      </c>
      <c r="R45" s="44">
        <v>4.2799999999999998E-2</v>
      </c>
      <c r="S45" s="45"/>
      <c r="T45" s="38">
        <f t="shared" si="19"/>
        <v>45</v>
      </c>
      <c r="U45" s="46">
        <f t="shared" si="20"/>
        <v>0.31295005327147518</v>
      </c>
      <c r="V45" s="47">
        <f t="shared" si="21"/>
        <v>0</v>
      </c>
      <c r="W45" s="48">
        <f t="shared" si="22"/>
        <v>6.9544456282550045E-3</v>
      </c>
      <c r="X45" s="43">
        <f t="shared" si="23"/>
        <v>6999.0987327449029</v>
      </c>
      <c r="Y45" s="43">
        <f t="shared" si="24"/>
        <v>0</v>
      </c>
      <c r="Z45" s="43">
        <f t="shared" si="25"/>
        <v>49635.875765640405</v>
      </c>
      <c r="AA45" s="49">
        <f t="shared" si="26"/>
        <v>6999.0987327449029</v>
      </c>
      <c r="AB45" s="50">
        <f t="shared" si="27"/>
        <v>46475.539106404874</v>
      </c>
      <c r="AC45" s="43">
        <f t="shared" si="28"/>
        <v>6553.4632329072119</v>
      </c>
      <c r="AD45" s="43">
        <f t="shared" si="29"/>
        <v>483416.86756847787</v>
      </c>
      <c r="AE45" s="43">
        <f t="shared" si="30"/>
        <v>0</v>
      </c>
      <c r="AF45" s="51">
        <f>HLOOKUP(I45,ElecAvoidedCostsWOCC!$A$5:$Q$50,G45+1,FALSE)</f>
        <v>3.7416616988497218</v>
      </c>
      <c r="AG45" s="43">
        <f t="shared" si="31"/>
        <v>86982.40951315948</v>
      </c>
      <c r="AH45" s="51">
        <f>HLOOKUP(I45,ElecAvoidedCostsWOCC!$A$5:$Q$50,T45+1,FALSE)</f>
        <v>3.7416616988497218</v>
      </c>
      <c r="AI45" s="43">
        <f t="shared" si="32"/>
        <v>0</v>
      </c>
      <c r="AJ45" s="43">
        <f t="shared" si="33"/>
        <v>86982.40951315948</v>
      </c>
      <c r="AK45" s="43">
        <f>HLOOKUP(I45,ElecAvoidedCostsWOCC!$A$5:$Q$50,G45+1,FALSE)*J45*L45</f>
        <v>0</v>
      </c>
      <c r="AL45" s="43">
        <f t="shared" si="34"/>
        <v>86982.40951315948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86982.40951315948</v>
      </c>
      <c r="AN45" s="47">
        <f t="shared" si="35"/>
        <v>579097.51803295326</v>
      </c>
      <c r="AO45" s="46">
        <f t="shared" si="36"/>
        <v>1.8715739760224166</v>
      </c>
      <c r="AP45" s="46">
        <f t="shared" si="37"/>
        <v>88.365112834554978</v>
      </c>
    </row>
    <row r="46" spans="2:42" x14ac:dyDescent="0.25">
      <c r="B46" s="88" t="s">
        <v>15</v>
      </c>
      <c r="C46" s="60">
        <v>18230627</v>
      </c>
      <c r="D46" s="60" t="s">
        <v>76</v>
      </c>
      <c r="E46" s="37" t="s">
        <v>1620</v>
      </c>
      <c r="F46" s="38" t="s">
        <v>1621</v>
      </c>
      <c r="G46" s="38">
        <v>45</v>
      </c>
      <c r="H46" s="38">
        <v>0</v>
      </c>
      <c r="I46" s="39" t="s">
        <v>273</v>
      </c>
      <c r="J46" s="40">
        <v>108000</v>
      </c>
      <c r="K46" s="487">
        <v>0.33110000000000001</v>
      </c>
      <c r="L46" s="40">
        <v>0</v>
      </c>
      <c r="M46" s="41">
        <v>1.4</v>
      </c>
      <c r="N46" s="41">
        <v>1.38</v>
      </c>
      <c r="O46" s="42">
        <v>35758.800000000003</v>
      </c>
      <c r="P46" s="43">
        <v>151200</v>
      </c>
      <c r="Q46" s="43">
        <v>149040</v>
      </c>
      <c r="R46" s="44">
        <v>3.3E-3</v>
      </c>
      <c r="S46" s="45"/>
      <c r="T46" s="38">
        <f t="shared" si="19"/>
        <v>45</v>
      </c>
      <c r="U46" s="46">
        <f t="shared" si="20"/>
        <v>0.48138333397530986</v>
      </c>
      <c r="V46" s="47">
        <f t="shared" si="21"/>
        <v>-2.0000000000000018E-2</v>
      </c>
      <c r="W46" s="48">
        <f t="shared" si="22"/>
        <v>1.0697407421673553E-2</v>
      </c>
      <c r="X46" s="43">
        <f t="shared" si="23"/>
        <v>10766.093335246633</v>
      </c>
      <c r="Y46" s="43">
        <f t="shared" si="24"/>
        <v>-2160</v>
      </c>
      <c r="Z46" s="43">
        <f t="shared" si="25"/>
        <v>76350.469063895653</v>
      </c>
      <c r="AA46" s="49">
        <f t="shared" si="26"/>
        <v>159806.09333524664</v>
      </c>
      <c r="AB46" s="50">
        <f t="shared" si="27"/>
        <v>71489.203243347991</v>
      </c>
      <c r="AC46" s="43">
        <f t="shared" si="28"/>
        <v>149631.17353487512</v>
      </c>
      <c r="AD46" s="43">
        <f t="shared" si="29"/>
        <v>4969.7061151899597</v>
      </c>
      <c r="AE46" s="43">
        <f t="shared" si="30"/>
        <v>0</v>
      </c>
      <c r="AF46" s="51">
        <f>HLOOKUP(I46,ElecAvoidedCostsWOCC!$A$5:$Q$50,G46+1,FALSE)</f>
        <v>3.7416616988497218</v>
      </c>
      <c r="AG46" s="43">
        <f t="shared" si="31"/>
        <v>133797.33235682745</v>
      </c>
      <c r="AH46" s="51">
        <f>HLOOKUP(I46,ElecAvoidedCostsWOCC!$A$5:$Q$50,T46+1,FALSE)</f>
        <v>3.7416616988497218</v>
      </c>
      <c r="AI46" s="43">
        <f t="shared" si="32"/>
        <v>0</v>
      </c>
      <c r="AJ46" s="43">
        <f t="shared" si="33"/>
        <v>133797.33235682745</v>
      </c>
      <c r="AK46" s="43">
        <f>HLOOKUP(I46,ElecAvoidedCostsWOCC!$A$5:$Q$50,G46+1,FALSE)*J46*L46</f>
        <v>0</v>
      </c>
      <c r="AL46" s="43">
        <f t="shared" si="34"/>
        <v>133797.33235682745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133797.33235682745</v>
      </c>
      <c r="AN46" s="47">
        <f t="shared" si="35"/>
        <v>152146.77170770019</v>
      </c>
      <c r="AO46" s="46">
        <f t="shared" si="36"/>
        <v>1.8715739760224168</v>
      </c>
      <c r="AP46" s="46">
        <f t="shared" si="37"/>
        <v>1.0168119925373622</v>
      </c>
    </row>
    <row r="47" spans="2:42" x14ac:dyDescent="0.25">
      <c r="B47" s="88" t="s">
        <v>15</v>
      </c>
      <c r="C47" s="60">
        <v>18230627</v>
      </c>
      <c r="D47" s="60" t="s">
        <v>76</v>
      </c>
      <c r="E47" s="37" t="s">
        <v>1622</v>
      </c>
      <c r="F47" s="38" t="s">
        <v>1623</v>
      </c>
      <c r="G47" s="38">
        <v>45</v>
      </c>
      <c r="H47" s="38">
        <v>0</v>
      </c>
      <c r="I47" s="39" t="s">
        <v>273</v>
      </c>
      <c r="J47" s="40">
        <v>121500</v>
      </c>
      <c r="K47" s="487">
        <v>0.43390000000000001</v>
      </c>
      <c r="L47" s="40">
        <v>0</v>
      </c>
      <c r="M47" s="41">
        <v>1.4</v>
      </c>
      <c r="N47" s="41">
        <v>1.38</v>
      </c>
      <c r="O47" s="42">
        <v>52718.85</v>
      </c>
      <c r="P47" s="43">
        <v>170100</v>
      </c>
      <c r="Q47" s="43">
        <v>167670</v>
      </c>
      <c r="R47" s="44">
        <v>4.4000000000000003E-3</v>
      </c>
      <c r="S47" s="45"/>
      <c r="T47" s="38">
        <f t="shared" si="19"/>
        <v>45</v>
      </c>
      <c r="U47" s="46">
        <f t="shared" si="20"/>
        <v>0.70969875321163634</v>
      </c>
      <c r="V47" s="47">
        <f t="shared" si="21"/>
        <v>-2.0000000000000018E-2</v>
      </c>
      <c r="W47" s="48">
        <f t="shared" si="22"/>
        <v>1.577108340470303E-2</v>
      </c>
      <c r="X47" s="43">
        <f t="shared" si="23"/>
        <v>15872.346377027943</v>
      </c>
      <c r="Y47" s="43">
        <f t="shared" si="24"/>
        <v>-2430</v>
      </c>
      <c r="Z47" s="43">
        <f t="shared" si="25"/>
        <v>112562.75171451936</v>
      </c>
      <c r="AA47" s="49">
        <f t="shared" si="26"/>
        <v>183542.34637702795</v>
      </c>
      <c r="AB47" s="50">
        <f t="shared" si="27"/>
        <v>105395.83493868852</v>
      </c>
      <c r="AC47" s="43">
        <f t="shared" si="28"/>
        <v>171856.12956650555</v>
      </c>
      <c r="AD47" s="43">
        <f t="shared" si="29"/>
        <v>7454.5591727849396</v>
      </c>
      <c r="AE47" s="43">
        <f t="shared" si="30"/>
        <v>0</v>
      </c>
      <c r="AF47" s="51">
        <f>HLOOKUP(I47,ElecAvoidedCostsWOCC!$A$5:$Q$50,G47+1,FALSE)</f>
        <v>3.7416616988497218</v>
      </c>
      <c r="AG47" s="43">
        <f t="shared" si="31"/>
        <v>197256.10185240366</v>
      </c>
      <c r="AH47" s="51">
        <f>HLOOKUP(I47,ElecAvoidedCostsWOCC!$A$5:$Q$50,T47+1,FALSE)</f>
        <v>3.7416616988497218</v>
      </c>
      <c r="AI47" s="43">
        <f t="shared" si="32"/>
        <v>0</v>
      </c>
      <c r="AJ47" s="43">
        <f t="shared" si="33"/>
        <v>197256.10185240366</v>
      </c>
      <c r="AK47" s="43">
        <f>HLOOKUP(I47,ElecAvoidedCostsWOCC!$A$5:$Q$50,G47+1,FALSE)*J47*L47</f>
        <v>0</v>
      </c>
      <c r="AL47" s="43">
        <f t="shared" si="34"/>
        <v>197256.10185240366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197256.10185240366</v>
      </c>
      <c r="AN47" s="47">
        <f t="shared" si="35"/>
        <v>224436.271210429</v>
      </c>
      <c r="AO47" s="46">
        <f t="shared" si="36"/>
        <v>1.871573976022417</v>
      </c>
      <c r="AP47" s="46">
        <f t="shared" si="37"/>
        <v>1.3059544153388825</v>
      </c>
    </row>
    <row r="48" spans="2:42" x14ac:dyDescent="0.25">
      <c r="B48" s="88" t="s">
        <v>15</v>
      </c>
      <c r="C48" s="60">
        <v>18230627</v>
      </c>
      <c r="D48" s="60" t="s">
        <v>76</v>
      </c>
      <c r="E48" s="37" t="s">
        <v>1624</v>
      </c>
      <c r="F48" s="38" t="s">
        <v>1625</v>
      </c>
      <c r="G48" s="38">
        <v>25</v>
      </c>
      <c r="H48" s="38">
        <v>0</v>
      </c>
      <c r="I48" s="39" t="s">
        <v>273</v>
      </c>
      <c r="J48" s="40">
        <v>4050</v>
      </c>
      <c r="K48" s="487">
        <v>2.7199999999999998E-2</v>
      </c>
      <c r="L48" s="40">
        <v>0</v>
      </c>
      <c r="M48" s="41">
        <v>0</v>
      </c>
      <c r="N48" s="41">
        <v>0</v>
      </c>
      <c r="O48" s="42">
        <v>110.16</v>
      </c>
      <c r="P48" s="43">
        <v>0</v>
      </c>
      <c r="Q48" s="43">
        <v>0</v>
      </c>
      <c r="R48" s="44">
        <v>8.1600000000000006E-2</v>
      </c>
      <c r="S48" s="45"/>
      <c r="T48" s="38">
        <f t="shared" si="19"/>
        <v>25</v>
      </c>
      <c r="U48" s="46">
        <f t="shared" si="20"/>
        <v>8.2387160752846742E-4</v>
      </c>
      <c r="V48" s="47">
        <f t="shared" si="21"/>
        <v>0</v>
      </c>
      <c r="W48" s="48">
        <f t="shared" si="22"/>
        <v>3.2954864301138698E-5</v>
      </c>
      <c r="X48" s="43">
        <f t="shared" si="23"/>
        <v>33.166460893843443</v>
      </c>
      <c r="Y48" s="43">
        <f t="shared" si="24"/>
        <v>0</v>
      </c>
      <c r="Z48" s="43">
        <f t="shared" si="25"/>
        <v>235.20833115425418</v>
      </c>
      <c r="AA48" s="49">
        <f t="shared" si="26"/>
        <v>33.166460893843443</v>
      </c>
      <c r="AB48" s="50">
        <f t="shared" si="27"/>
        <v>220.23251980735409</v>
      </c>
      <c r="AC48" s="43">
        <f t="shared" si="28"/>
        <v>31.054738664647417</v>
      </c>
      <c r="AD48" s="43">
        <f t="shared" si="29"/>
        <v>3921.6714037941547</v>
      </c>
      <c r="AE48" s="43">
        <f t="shared" si="30"/>
        <v>0</v>
      </c>
      <c r="AF48" s="51">
        <f>HLOOKUP(I48,ElecAvoidedCostsWOCC!$A$5:$Q$50,G48+1,FALSE)</f>
        <v>2.3312175480570905</v>
      </c>
      <c r="AG48" s="43">
        <f t="shared" si="31"/>
        <v>256.80692509396908</v>
      </c>
      <c r="AH48" s="51">
        <f>HLOOKUP(I48,ElecAvoidedCostsWOCC!$A$5:$Q$50,T48+1,FALSE)</f>
        <v>2.3312175480570905</v>
      </c>
      <c r="AI48" s="43">
        <f t="shared" si="32"/>
        <v>0</v>
      </c>
      <c r="AJ48" s="43">
        <f t="shared" si="33"/>
        <v>256.80692509396908</v>
      </c>
      <c r="AK48" s="43">
        <f>HLOOKUP(I48,ElecAvoidedCostsWOCC!$A$5:$Q$50,G48+1,FALSE)*J48*L48</f>
        <v>0</v>
      </c>
      <c r="AL48" s="43">
        <f t="shared" si="34"/>
        <v>256.80692509396908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256.80692509396908</v>
      </c>
      <c r="AN48" s="47">
        <f t="shared" si="35"/>
        <v>4204.1590213975205</v>
      </c>
      <c r="AO48" s="46">
        <f t="shared" si="36"/>
        <v>1.1660717741349371</v>
      </c>
      <c r="AP48" s="46">
        <f t="shared" si="37"/>
        <v>135.37898569352694</v>
      </c>
    </row>
    <row r="49" spans="2:42" x14ac:dyDescent="0.25">
      <c r="B49" s="88" t="s">
        <v>15</v>
      </c>
      <c r="C49" s="60">
        <v>18230627</v>
      </c>
      <c r="D49" s="60" t="s">
        <v>76</v>
      </c>
      <c r="E49" s="37" t="s">
        <v>1626</v>
      </c>
      <c r="F49" s="38" t="s">
        <v>1627</v>
      </c>
      <c r="G49" s="38">
        <v>25</v>
      </c>
      <c r="H49" s="38">
        <v>0</v>
      </c>
      <c r="I49" s="39" t="s">
        <v>273</v>
      </c>
      <c r="J49" s="40">
        <v>32400</v>
      </c>
      <c r="K49" s="487">
        <v>0.31380000000000002</v>
      </c>
      <c r="L49" s="40">
        <v>0</v>
      </c>
      <c r="M49" s="41">
        <v>1.8</v>
      </c>
      <c r="N49" s="41">
        <v>1.86</v>
      </c>
      <c r="O49" s="42">
        <v>10167.120000000001</v>
      </c>
      <c r="P49" s="43">
        <v>58320</v>
      </c>
      <c r="Q49" s="43">
        <v>60264</v>
      </c>
      <c r="R49" s="44">
        <v>3.0999999999999999E-3</v>
      </c>
      <c r="S49" s="45"/>
      <c r="T49" s="38">
        <f t="shared" si="19"/>
        <v>25</v>
      </c>
      <c r="U49" s="46">
        <f t="shared" si="20"/>
        <v>7.6038503071303845E-2</v>
      </c>
      <c r="V49" s="47">
        <f t="shared" si="21"/>
        <v>6.0000000000000053E-2</v>
      </c>
      <c r="W49" s="48">
        <f t="shared" si="22"/>
        <v>3.0415401228521539E-3</v>
      </c>
      <c r="X49" s="43">
        <f t="shared" si="23"/>
        <v>3061.0692436729623</v>
      </c>
      <c r="Y49" s="43">
        <f t="shared" si="24"/>
        <v>1944</v>
      </c>
      <c r="Z49" s="43">
        <f t="shared" si="25"/>
        <v>21708.345387119105</v>
      </c>
      <c r="AA49" s="49">
        <f t="shared" si="26"/>
        <v>63325.069243672959</v>
      </c>
      <c r="AB49" s="50">
        <f t="shared" si="27"/>
        <v>20326.166092808151</v>
      </c>
      <c r="AC49" s="43">
        <f t="shared" si="28"/>
        <v>59293.135995948462</v>
      </c>
      <c r="AD49" s="43">
        <f t="shared" si="29"/>
        <v>1191.8805246825368</v>
      </c>
      <c r="AE49" s="43">
        <f t="shared" si="30"/>
        <v>0</v>
      </c>
      <c r="AF49" s="51">
        <f>HLOOKUP(I49,ElecAvoidedCostsWOCC!$A$5:$Q$50,G49+1,FALSE)</f>
        <v>2.3312175480570905</v>
      </c>
      <c r="AG49" s="43">
        <f t="shared" si="31"/>
        <v>23701.768557202209</v>
      </c>
      <c r="AH49" s="51">
        <f>HLOOKUP(I49,ElecAvoidedCostsWOCC!$A$5:$Q$50,T49+1,FALSE)</f>
        <v>2.3312175480570905</v>
      </c>
      <c r="AI49" s="43">
        <f t="shared" si="32"/>
        <v>0</v>
      </c>
      <c r="AJ49" s="43">
        <f t="shared" si="33"/>
        <v>23701.768557202209</v>
      </c>
      <c r="AK49" s="43">
        <f>HLOOKUP(I49,ElecAvoidedCostsWOCC!$A$5:$Q$50,G49+1,FALSE)*J49*L49</f>
        <v>0</v>
      </c>
      <c r="AL49" s="43">
        <f t="shared" si="34"/>
        <v>23701.768557202209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23701.768557202206</v>
      </c>
      <c r="AN49" s="47">
        <f t="shared" si="35"/>
        <v>27263.825937604965</v>
      </c>
      <c r="AO49" s="46">
        <f t="shared" si="36"/>
        <v>1.1660717741349371</v>
      </c>
      <c r="AP49" s="46">
        <f t="shared" si="37"/>
        <v>0.45981420074438162</v>
      </c>
    </row>
    <row r="50" spans="2:42" x14ac:dyDescent="0.25">
      <c r="B50" s="88" t="s">
        <v>15</v>
      </c>
      <c r="C50" s="60">
        <v>18230627</v>
      </c>
      <c r="D50" s="60" t="s">
        <v>76</v>
      </c>
      <c r="E50" s="37" t="s">
        <v>1628</v>
      </c>
      <c r="F50" s="38" t="s">
        <v>1629</v>
      </c>
      <c r="G50" s="38">
        <v>25</v>
      </c>
      <c r="H50" s="38">
        <v>0</v>
      </c>
      <c r="I50" s="39" t="s">
        <v>273</v>
      </c>
      <c r="J50" s="40">
        <v>148500</v>
      </c>
      <c r="K50" s="487">
        <v>0.80349999999999999</v>
      </c>
      <c r="L50" s="40">
        <v>0</v>
      </c>
      <c r="M50" s="41">
        <v>1.8</v>
      </c>
      <c r="N50" s="41">
        <v>1.86</v>
      </c>
      <c r="O50" s="42">
        <v>119319.75</v>
      </c>
      <c r="P50" s="43">
        <v>267300</v>
      </c>
      <c r="Q50" s="43">
        <v>276210</v>
      </c>
      <c r="R50" s="44">
        <v>8.0999999999999996E-3</v>
      </c>
      <c r="S50" s="45"/>
      <c r="T50" s="38">
        <f t="shared" si="19"/>
        <v>25</v>
      </c>
      <c r="U50" s="46">
        <f t="shared" si="20"/>
        <v>0.89237612783582831</v>
      </c>
      <c r="V50" s="47">
        <f t="shared" si="21"/>
        <v>6.0000000000000053E-2</v>
      </c>
      <c r="W50" s="48">
        <f t="shared" si="22"/>
        <v>3.5695045113433133E-2</v>
      </c>
      <c r="X50" s="43">
        <f t="shared" si="23"/>
        <v>35924.235859097455</v>
      </c>
      <c r="Y50" s="43">
        <f t="shared" si="24"/>
        <v>8910</v>
      </c>
      <c r="Z50" s="43">
        <f t="shared" si="25"/>
        <v>254765.78859152884</v>
      </c>
      <c r="AA50" s="49">
        <f t="shared" si="26"/>
        <v>312134.23585909745</v>
      </c>
      <c r="AB50" s="50">
        <f t="shared" si="27"/>
        <v>238544.74587221799</v>
      </c>
      <c r="AC50" s="43">
        <f t="shared" si="28"/>
        <v>292260.5204673197</v>
      </c>
      <c r="AD50" s="43">
        <f t="shared" si="29"/>
        <v>14273.730477044899</v>
      </c>
      <c r="AE50" s="43">
        <f t="shared" si="30"/>
        <v>0</v>
      </c>
      <c r="AF50" s="51">
        <f>HLOOKUP(I50,ElecAvoidedCostsWOCC!$A$5:$Q$50,G50+1,FALSE)</f>
        <v>2.3312175480570905</v>
      </c>
      <c r="AG50" s="43">
        <f t="shared" si="31"/>
        <v>278160.29502978502</v>
      </c>
      <c r="AH50" s="51">
        <f>HLOOKUP(I50,ElecAvoidedCostsWOCC!$A$5:$Q$50,T50+1,FALSE)</f>
        <v>2.3312175480570905</v>
      </c>
      <c r="AI50" s="43">
        <f t="shared" si="32"/>
        <v>0</v>
      </c>
      <c r="AJ50" s="43">
        <f t="shared" si="33"/>
        <v>278160.29502978502</v>
      </c>
      <c r="AK50" s="43">
        <f>HLOOKUP(I50,ElecAvoidedCostsWOCC!$A$5:$Q$50,G50+1,FALSE)*J50*L50</f>
        <v>0</v>
      </c>
      <c r="AL50" s="43">
        <f t="shared" si="34"/>
        <v>278160.29502978502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278160.29502978502</v>
      </c>
      <c r="AN50" s="47">
        <f t="shared" si="35"/>
        <v>320250.05500980845</v>
      </c>
      <c r="AO50" s="46">
        <f t="shared" si="36"/>
        <v>1.1660717741349373</v>
      </c>
      <c r="AP50" s="46">
        <f t="shared" si="37"/>
        <v>1.0957691257708497</v>
      </c>
    </row>
    <row r="51" spans="2:42" x14ac:dyDescent="0.25">
      <c r="B51" s="88" t="s">
        <v>15</v>
      </c>
      <c r="C51" s="60">
        <v>18230627</v>
      </c>
      <c r="D51" s="60" t="s">
        <v>76</v>
      </c>
      <c r="E51" s="37" t="s">
        <v>1630</v>
      </c>
      <c r="F51" s="38" t="s">
        <v>1631</v>
      </c>
      <c r="G51" s="38">
        <v>45</v>
      </c>
      <c r="H51" s="38">
        <v>0</v>
      </c>
      <c r="I51" s="39" t="s">
        <v>273</v>
      </c>
      <c r="J51" s="40">
        <v>324000</v>
      </c>
      <c r="K51" s="487">
        <v>0.34010000000000001</v>
      </c>
      <c r="L51" s="40">
        <v>0</v>
      </c>
      <c r="M51" s="41">
        <v>2.7</v>
      </c>
      <c r="N51" s="41">
        <v>2.67</v>
      </c>
      <c r="O51" s="42">
        <v>110192.40000000001</v>
      </c>
      <c r="P51" s="43">
        <v>874800</v>
      </c>
      <c r="Q51" s="43">
        <v>865080</v>
      </c>
      <c r="R51" s="44">
        <v>3.3999999999999998E-3</v>
      </c>
      <c r="S51" s="45"/>
      <c r="T51" s="38">
        <f t="shared" si="19"/>
        <v>45</v>
      </c>
      <c r="U51" s="46">
        <f t="shared" si="20"/>
        <v>1.4834050608728742</v>
      </c>
      <c r="V51" s="47">
        <f t="shared" si="21"/>
        <v>-3.0000000000000249E-2</v>
      </c>
      <c r="W51" s="48">
        <f t="shared" si="22"/>
        <v>3.2964556908286091E-2</v>
      </c>
      <c r="X51" s="43">
        <f t="shared" si="23"/>
        <v>33176.215735282807</v>
      </c>
      <c r="Y51" s="43">
        <f t="shared" si="24"/>
        <v>-9720</v>
      </c>
      <c r="Z51" s="43">
        <f t="shared" si="25"/>
        <v>235277.5100751819</v>
      </c>
      <c r="AA51" s="49">
        <f t="shared" si="26"/>
        <v>898256.21573528275</v>
      </c>
      <c r="AB51" s="50">
        <f t="shared" si="27"/>
        <v>220297.29407788566</v>
      </c>
      <c r="AC51" s="43">
        <f t="shared" si="28"/>
        <v>841063.87241131335</v>
      </c>
      <c r="AD51" s="43">
        <f t="shared" si="29"/>
        <v>15360.909810587145</v>
      </c>
      <c r="AE51" s="43">
        <f t="shared" si="30"/>
        <v>0</v>
      </c>
      <c r="AF51" s="51">
        <f>HLOOKUP(I51,ElecAvoidedCostsWOCC!$A$5:$Q$50,G51+1,FALSE)</f>
        <v>3.7416616988497218</v>
      </c>
      <c r="AG51" s="43">
        <f t="shared" si="31"/>
        <v>412302.68258432805</v>
      </c>
      <c r="AH51" s="51">
        <f>HLOOKUP(I51,ElecAvoidedCostsWOCC!$A$5:$Q$50,T51+1,FALSE)</f>
        <v>3.7416616988497218</v>
      </c>
      <c r="AI51" s="43">
        <f t="shared" si="32"/>
        <v>0</v>
      </c>
      <c r="AJ51" s="43">
        <f t="shared" si="33"/>
        <v>412302.68258432805</v>
      </c>
      <c r="AK51" s="43">
        <f>HLOOKUP(I51,ElecAvoidedCostsWOCC!$A$5:$Q$50,G51+1,FALSE)*J51*L51</f>
        <v>0</v>
      </c>
      <c r="AL51" s="43">
        <f t="shared" si="34"/>
        <v>412302.68258432805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412302.68258432811</v>
      </c>
      <c r="AN51" s="47">
        <f t="shared" si="35"/>
        <v>468893.86065334809</v>
      </c>
      <c r="AO51" s="46">
        <f t="shared" si="36"/>
        <v>1.871573976022417</v>
      </c>
      <c r="AP51" s="46">
        <f t="shared" si="37"/>
        <v>0.5575008938489282</v>
      </c>
    </row>
    <row r="52" spans="2:42" x14ac:dyDescent="0.25">
      <c r="B52" s="88" t="s">
        <v>15</v>
      </c>
      <c r="C52" s="60">
        <v>18230627</v>
      </c>
      <c r="D52" s="60" t="s">
        <v>76</v>
      </c>
      <c r="E52" s="37" t="s">
        <v>1632</v>
      </c>
      <c r="F52" s="38" t="s">
        <v>1633</v>
      </c>
      <c r="G52" s="38">
        <v>45</v>
      </c>
      <c r="H52" s="38">
        <v>0</v>
      </c>
      <c r="I52" s="39" t="s">
        <v>273</v>
      </c>
      <c r="J52" s="40">
        <v>1890000</v>
      </c>
      <c r="K52" s="487">
        <v>3.3599999999999998E-2</v>
      </c>
      <c r="L52" s="40">
        <v>0</v>
      </c>
      <c r="M52" s="41">
        <v>0</v>
      </c>
      <c r="N52" s="41">
        <v>0</v>
      </c>
      <c r="O52" s="42">
        <v>63503.999999999993</v>
      </c>
      <c r="P52" s="43">
        <v>0</v>
      </c>
      <c r="Q52" s="43">
        <v>0</v>
      </c>
      <c r="R52" s="44">
        <v>3.5900000000000001E-2</v>
      </c>
      <c r="S52" s="45"/>
      <c r="T52" s="38">
        <f t="shared" si="19"/>
        <v>45</v>
      </c>
      <c r="U52" s="46">
        <f t="shared" si="20"/>
        <v>0.85488795040012722</v>
      </c>
      <c r="V52" s="47">
        <f t="shared" si="21"/>
        <v>0</v>
      </c>
      <c r="W52" s="48">
        <f t="shared" si="22"/>
        <v>1.8997510008891716E-2</v>
      </c>
      <c r="X52" s="43">
        <f t="shared" si="23"/>
        <v>19119.489221156804</v>
      </c>
      <c r="Y52" s="43">
        <f t="shared" si="24"/>
        <v>0</v>
      </c>
      <c r="Z52" s="43">
        <f t="shared" si="25"/>
        <v>135590.68501833474</v>
      </c>
      <c r="AA52" s="49">
        <f t="shared" si="26"/>
        <v>19119.489221156804</v>
      </c>
      <c r="AB52" s="50">
        <f t="shared" si="27"/>
        <v>126957.57024188645</v>
      </c>
      <c r="AC52" s="43">
        <f t="shared" si="28"/>
        <v>17902.143465502624</v>
      </c>
      <c r="AD52" s="43">
        <f t="shared" si="29"/>
        <v>946126.62632366433</v>
      </c>
      <c r="AE52" s="43">
        <f t="shared" si="30"/>
        <v>0</v>
      </c>
      <c r="AF52" s="51">
        <f>HLOOKUP(I52,ElecAvoidedCostsWOCC!$A$5:$Q$50,G52+1,FALSE)</f>
        <v>3.7416616988497218</v>
      </c>
      <c r="AG52" s="43">
        <f t="shared" si="31"/>
        <v>237610.48452375273</v>
      </c>
      <c r="AH52" s="51">
        <f>HLOOKUP(I52,ElecAvoidedCostsWOCC!$A$5:$Q$50,T52+1,FALSE)</f>
        <v>3.7416616988497218</v>
      </c>
      <c r="AI52" s="43">
        <f t="shared" si="32"/>
        <v>0</v>
      </c>
      <c r="AJ52" s="43">
        <f t="shared" si="33"/>
        <v>237610.48452375273</v>
      </c>
      <c r="AK52" s="43">
        <f>HLOOKUP(I52,ElecAvoidedCostsWOCC!$A$5:$Q$50,G52+1,FALSE)*J52*L52</f>
        <v>0</v>
      </c>
      <c r="AL52" s="43">
        <f t="shared" si="34"/>
        <v>237610.48452375273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237610.48452375273</v>
      </c>
      <c r="AN52" s="47">
        <f t="shared" si="35"/>
        <v>1207498.1592997923</v>
      </c>
      <c r="AO52" s="46">
        <f t="shared" si="36"/>
        <v>1.871573976022417</v>
      </c>
      <c r="AP52" s="46">
        <f t="shared" si="37"/>
        <v>67.449920822422044</v>
      </c>
    </row>
    <row r="53" spans="2:42" x14ac:dyDescent="0.25">
      <c r="B53" s="88" t="s">
        <v>15</v>
      </c>
      <c r="C53" s="60">
        <v>18230627</v>
      </c>
      <c r="D53" s="60" t="s">
        <v>76</v>
      </c>
      <c r="E53" s="37" t="s">
        <v>1634</v>
      </c>
      <c r="F53" s="38" t="s">
        <v>1635</v>
      </c>
      <c r="G53" s="38">
        <v>45</v>
      </c>
      <c r="H53" s="38">
        <v>0</v>
      </c>
      <c r="I53" s="39" t="s">
        <v>273</v>
      </c>
      <c r="J53" s="40">
        <v>297000</v>
      </c>
      <c r="K53" s="487">
        <v>0.18360000000000001</v>
      </c>
      <c r="L53" s="40">
        <v>0</v>
      </c>
      <c r="M53" s="41">
        <v>2.7</v>
      </c>
      <c r="N53" s="41">
        <v>2.67</v>
      </c>
      <c r="O53" s="42">
        <v>54529.200000000004</v>
      </c>
      <c r="P53" s="43">
        <v>801900</v>
      </c>
      <c r="Q53" s="43">
        <v>792990</v>
      </c>
      <c r="R53" s="44">
        <v>1.8E-3</v>
      </c>
      <c r="S53" s="45"/>
      <c r="T53" s="38">
        <f t="shared" si="19"/>
        <v>45</v>
      </c>
      <c r="U53" s="46">
        <f t="shared" si="20"/>
        <v>0.73406960230786455</v>
      </c>
      <c r="V53" s="47">
        <f t="shared" si="21"/>
        <v>-3.0000000000000249E-2</v>
      </c>
      <c r="W53" s="48">
        <f t="shared" si="22"/>
        <v>1.6312657829063656E-2</v>
      </c>
      <c r="X53" s="43">
        <f t="shared" si="23"/>
        <v>16417.398142452505</v>
      </c>
      <c r="Y53" s="43">
        <f t="shared" si="24"/>
        <v>-8910</v>
      </c>
      <c r="Z53" s="43">
        <f t="shared" si="25"/>
        <v>116428.12392135581</v>
      </c>
      <c r="AA53" s="49">
        <f t="shared" si="26"/>
        <v>809407.39814245247</v>
      </c>
      <c r="AB53" s="50">
        <f t="shared" si="27"/>
        <v>109015.09730464027</v>
      </c>
      <c r="AC53" s="43">
        <f t="shared" si="28"/>
        <v>757872.09563900041</v>
      </c>
      <c r="AD53" s="43">
        <f t="shared" si="29"/>
        <v>7454.5591727849387</v>
      </c>
      <c r="AE53" s="43">
        <f t="shared" si="30"/>
        <v>0</v>
      </c>
      <c r="AF53" s="51">
        <f>HLOOKUP(I53,ElecAvoidedCostsWOCC!$A$5:$Q$50,G53+1,FALSE)</f>
        <v>3.7416616988497218</v>
      </c>
      <c r="AG53" s="43">
        <f t="shared" si="31"/>
        <v>204029.81910891627</v>
      </c>
      <c r="AH53" s="51">
        <f>HLOOKUP(I53,ElecAvoidedCostsWOCC!$A$5:$Q$50,T53+1,FALSE)</f>
        <v>3.7416616988497218</v>
      </c>
      <c r="AI53" s="43">
        <f t="shared" si="32"/>
        <v>0</v>
      </c>
      <c r="AJ53" s="43">
        <f t="shared" si="33"/>
        <v>204029.81910891627</v>
      </c>
      <c r="AK53" s="43">
        <f>HLOOKUP(I53,ElecAvoidedCostsWOCC!$A$5:$Q$50,G53+1,FALSE)*J53*L53</f>
        <v>0</v>
      </c>
      <c r="AL53" s="43">
        <f t="shared" si="34"/>
        <v>204029.81910891627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204029.81910891627</v>
      </c>
      <c r="AN53" s="47">
        <f t="shared" si="35"/>
        <v>231887.36019259287</v>
      </c>
      <c r="AO53" s="46">
        <f t="shared" si="36"/>
        <v>1.871573976022417</v>
      </c>
      <c r="AP53" s="46">
        <f t="shared" si="37"/>
        <v>0.30597162968122854</v>
      </c>
    </row>
    <row r="54" spans="2:42" x14ac:dyDescent="0.25">
      <c r="B54" s="88" t="s">
        <v>15</v>
      </c>
      <c r="C54" s="60">
        <v>18230627</v>
      </c>
      <c r="D54" s="60" t="s">
        <v>76</v>
      </c>
      <c r="E54" s="37" t="s">
        <v>1636</v>
      </c>
      <c r="F54" s="38" t="s">
        <v>1637</v>
      </c>
      <c r="G54" s="38">
        <v>45</v>
      </c>
      <c r="H54" s="38">
        <v>0</v>
      </c>
      <c r="I54" s="39" t="s">
        <v>273</v>
      </c>
      <c r="J54" s="40">
        <v>270000</v>
      </c>
      <c r="K54" s="487">
        <v>0.62309999999999999</v>
      </c>
      <c r="L54" s="40">
        <v>0</v>
      </c>
      <c r="M54" s="41">
        <v>2.7</v>
      </c>
      <c r="N54" s="41">
        <v>2.67</v>
      </c>
      <c r="O54" s="42">
        <v>168237</v>
      </c>
      <c r="P54" s="43">
        <v>729000</v>
      </c>
      <c r="Q54" s="43">
        <v>720900</v>
      </c>
      <c r="R54" s="44">
        <v>6.1999999999999998E-3</v>
      </c>
      <c r="S54" s="45"/>
      <c r="T54" s="38">
        <f t="shared" si="19"/>
        <v>45</v>
      </c>
      <c r="U54" s="46">
        <f t="shared" si="20"/>
        <v>2.2647988175778884</v>
      </c>
      <c r="V54" s="47">
        <f t="shared" si="21"/>
        <v>-3.0000000000000249E-2</v>
      </c>
      <c r="W54" s="48">
        <f t="shared" si="22"/>
        <v>5.0328862612841967E-2</v>
      </c>
      <c r="X54" s="43">
        <f t="shared" si="23"/>
        <v>50652.014173906493</v>
      </c>
      <c r="Y54" s="43">
        <f t="shared" si="24"/>
        <v>-8100</v>
      </c>
      <c r="Z54" s="43">
        <f t="shared" si="25"/>
        <v>359211.54691719549</v>
      </c>
      <c r="AA54" s="49">
        <f t="shared" si="26"/>
        <v>771552.01417390653</v>
      </c>
      <c r="AB54" s="50">
        <f t="shared" si="27"/>
        <v>336340.39973520173</v>
      </c>
      <c r="AC54" s="43">
        <f t="shared" si="28"/>
        <v>722426.9795635828</v>
      </c>
      <c r="AD54" s="43">
        <f t="shared" si="29"/>
        <v>23342.559025892231</v>
      </c>
      <c r="AE54" s="43">
        <f t="shared" si="30"/>
        <v>0</v>
      </c>
      <c r="AF54" s="51">
        <f>HLOOKUP(I54,ElecAvoidedCostsWOCC!$A$5:$Q$50,G54+1,FALSE)</f>
        <v>3.7416616988497218</v>
      </c>
      <c r="AG54" s="43">
        <f t="shared" si="31"/>
        <v>629485.93922938057</v>
      </c>
      <c r="AH54" s="51">
        <f>HLOOKUP(I54,ElecAvoidedCostsWOCC!$A$5:$Q$50,T54+1,FALSE)</f>
        <v>3.7416616988497218</v>
      </c>
      <c r="AI54" s="43">
        <f t="shared" si="32"/>
        <v>0</v>
      </c>
      <c r="AJ54" s="43">
        <f t="shared" si="33"/>
        <v>629485.93922938057</v>
      </c>
      <c r="AK54" s="43">
        <f>HLOOKUP(I54,ElecAvoidedCostsWOCC!$A$5:$Q$50,G54+1,FALSE)*J54*L54</f>
        <v>0</v>
      </c>
      <c r="AL54" s="43">
        <f t="shared" si="34"/>
        <v>629485.93922938057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629485.93922938057</v>
      </c>
      <c r="AN54" s="47">
        <f t="shared" si="35"/>
        <v>715777.09217821085</v>
      </c>
      <c r="AO54" s="46">
        <f t="shared" si="36"/>
        <v>1.8715739760224168</v>
      </c>
      <c r="AP54" s="46">
        <f t="shared" si="37"/>
        <v>0.9907950733105384</v>
      </c>
    </row>
    <row r="55" spans="2:42" x14ac:dyDescent="0.25">
      <c r="B55" s="88" t="s">
        <v>15</v>
      </c>
      <c r="C55" s="60">
        <v>18230627</v>
      </c>
      <c r="D55" s="60" t="s">
        <v>76</v>
      </c>
      <c r="E55" s="37" t="s">
        <v>1638</v>
      </c>
      <c r="F55" s="38" t="s">
        <v>1639</v>
      </c>
      <c r="G55" s="38">
        <v>45</v>
      </c>
      <c r="H55" s="38">
        <v>0</v>
      </c>
      <c r="I55" s="39" t="s">
        <v>273</v>
      </c>
      <c r="J55" s="40">
        <v>24300</v>
      </c>
      <c r="K55" s="487">
        <v>1.0428999999999999</v>
      </c>
      <c r="L55" s="40">
        <v>0</v>
      </c>
      <c r="M55" s="41">
        <v>2.5</v>
      </c>
      <c r="N55" s="41">
        <v>2.46</v>
      </c>
      <c r="O55" s="42">
        <v>25342.469999999998</v>
      </c>
      <c r="P55" s="43">
        <v>60750</v>
      </c>
      <c r="Q55" s="43">
        <v>59778</v>
      </c>
      <c r="R55" s="44">
        <v>1.0500000000000001E-2</v>
      </c>
      <c r="S55" s="45"/>
      <c r="T55" s="38">
        <f t="shared" si="19"/>
        <v>45</v>
      </c>
      <c r="U55" s="46">
        <f t="shared" si="20"/>
        <v>0.34115917479807123</v>
      </c>
      <c r="V55" s="47">
        <f t="shared" si="21"/>
        <v>-4.0000000000000036E-2</v>
      </c>
      <c r="W55" s="48">
        <f t="shared" si="22"/>
        <v>7.5813149955126936E-3</v>
      </c>
      <c r="X55" s="43">
        <f t="shared" si="23"/>
        <v>7629.9931028358797</v>
      </c>
      <c r="Y55" s="43">
        <f t="shared" si="24"/>
        <v>-972</v>
      </c>
      <c r="Z55" s="43">
        <f t="shared" si="25"/>
        <v>54110.022476640806</v>
      </c>
      <c r="AA55" s="49">
        <f t="shared" si="26"/>
        <v>67407.993102835884</v>
      </c>
      <c r="AB55" s="50">
        <f t="shared" si="27"/>
        <v>50664.815053034457</v>
      </c>
      <c r="AC55" s="43">
        <f t="shared" si="28"/>
        <v>63116.098410895022</v>
      </c>
      <c r="AD55" s="43">
        <f t="shared" si="29"/>
        <v>3557.8577870109939</v>
      </c>
      <c r="AE55" s="43">
        <f t="shared" si="30"/>
        <v>0</v>
      </c>
      <c r="AF55" s="51">
        <f>HLOOKUP(I55,ElecAvoidedCostsWOCC!$A$5:$Q$50,G55+1,FALSE)</f>
        <v>3.7416616988497218</v>
      </c>
      <c r="AG55" s="43">
        <f t="shared" si="31"/>
        <v>94822.949353248099</v>
      </c>
      <c r="AH55" s="51">
        <f>HLOOKUP(I55,ElecAvoidedCostsWOCC!$A$5:$Q$50,T55+1,FALSE)</f>
        <v>3.7416616988497218</v>
      </c>
      <c r="AI55" s="43">
        <f t="shared" si="32"/>
        <v>0</v>
      </c>
      <c r="AJ55" s="43">
        <f t="shared" si="33"/>
        <v>94822.949353248099</v>
      </c>
      <c r="AK55" s="43">
        <f>HLOOKUP(I55,ElecAvoidedCostsWOCC!$A$5:$Q$50,G55+1,FALSE)*J55*L55</f>
        <v>0</v>
      </c>
      <c r="AL55" s="43">
        <f t="shared" si="34"/>
        <v>94822.949353248099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94822.949353248114</v>
      </c>
      <c r="AN55" s="47">
        <f t="shared" si="35"/>
        <v>107863.10207558393</v>
      </c>
      <c r="AO55" s="46">
        <f t="shared" si="36"/>
        <v>1.8715739760224173</v>
      </c>
      <c r="AP55" s="46">
        <f t="shared" si="37"/>
        <v>1.7089633990583413</v>
      </c>
    </row>
    <row r="56" spans="2:42" x14ac:dyDescent="0.25">
      <c r="B56" s="88" t="s">
        <v>15</v>
      </c>
      <c r="C56" s="60">
        <v>18230627</v>
      </c>
      <c r="D56" s="60" t="s">
        <v>76</v>
      </c>
      <c r="E56" s="37" t="s">
        <v>1640</v>
      </c>
      <c r="F56" s="38" t="s">
        <v>1641</v>
      </c>
      <c r="G56" s="38">
        <v>45</v>
      </c>
      <c r="H56" s="38">
        <v>0</v>
      </c>
      <c r="I56" s="39" t="s">
        <v>273</v>
      </c>
      <c r="J56" s="40">
        <v>283500</v>
      </c>
      <c r="K56" s="487">
        <v>6.2700000000000006E-2</v>
      </c>
      <c r="L56" s="40">
        <v>0</v>
      </c>
      <c r="M56" s="41">
        <v>0</v>
      </c>
      <c r="N56" s="41">
        <v>0</v>
      </c>
      <c r="O56" s="42">
        <v>17775.45</v>
      </c>
      <c r="P56" s="43">
        <v>0</v>
      </c>
      <c r="Q56" s="43">
        <v>0</v>
      </c>
      <c r="R56" s="44">
        <v>3.7100000000000001E-2</v>
      </c>
      <c r="S56" s="45"/>
      <c r="T56" s="38">
        <f t="shared" si="19"/>
        <v>45</v>
      </c>
      <c r="U56" s="46">
        <f t="shared" si="20"/>
        <v>0.23929229683074996</v>
      </c>
      <c r="V56" s="47">
        <f t="shared" si="21"/>
        <v>0</v>
      </c>
      <c r="W56" s="48">
        <f t="shared" si="22"/>
        <v>5.317606596238888E-3</v>
      </c>
      <c r="X56" s="43">
        <f t="shared" si="23"/>
        <v>5351.7498846720173</v>
      </c>
      <c r="Y56" s="43">
        <f t="shared" si="24"/>
        <v>0</v>
      </c>
      <c r="Z56" s="43">
        <f t="shared" si="25"/>
        <v>37953.285493971387</v>
      </c>
      <c r="AA56" s="49">
        <f t="shared" si="26"/>
        <v>5351.7498846720173</v>
      </c>
      <c r="AB56" s="50">
        <f t="shared" si="27"/>
        <v>35536.784170385195</v>
      </c>
      <c r="AC56" s="43">
        <f t="shared" si="28"/>
        <v>5011.0017646741735</v>
      </c>
      <c r="AD56" s="43">
        <f t="shared" si="29"/>
        <v>146662.80433123096</v>
      </c>
      <c r="AE56" s="43">
        <f t="shared" si="30"/>
        <v>0</v>
      </c>
      <c r="AF56" s="51">
        <f>HLOOKUP(I56,ElecAvoidedCostsWOCC!$A$5:$Q$50,G56+1,FALSE)</f>
        <v>3.7416616988497218</v>
      </c>
      <c r="AG56" s="43">
        <f t="shared" si="31"/>
        <v>66509.720444818289</v>
      </c>
      <c r="AH56" s="51">
        <f>HLOOKUP(I56,ElecAvoidedCostsWOCC!$A$5:$Q$50,T56+1,FALSE)</f>
        <v>3.7416616988497218</v>
      </c>
      <c r="AI56" s="43">
        <f t="shared" si="32"/>
        <v>0</v>
      </c>
      <c r="AJ56" s="43">
        <f t="shared" si="33"/>
        <v>66509.720444818289</v>
      </c>
      <c r="AK56" s="43">
        <f>HLOOKUP(I56,ElecAvoidedCostsWOCC!$A$5:$Q$50,G56+1,FALSE)*J56*L56</f>
        <v>0</v>
      </c>
      <c r="AL56" s="43">
        <f t="shared" si="34"/>
        <v>66509.720444818289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66509.720444818289</v>
      </c>
      <c r="AN56" s="47">
        <f t="shared" si="35"/>
        <v>219823.49682053109</v>
      </c>
      <c r="AO56" s="46">
        <f t="shared" si="36"/>
        <v>1.8715739760224164</v>
      </c>
      <c r="AP56" s="46">
        <f t="shared" si="37"/>
        <v>43.868173898921889</v>
      </c>
    </row>
    <row r="57" spans="2:42" x14ac:dyDescent="0.25">
      <c r="B57" s="88" t="s">
        <v>15</v>
      </c>
      <c r="C57" s="60">
        <v>18230627</v>
      </c>
      <c r="D57" s="60" t="s">
        <v>76</v>
      </c>
      <c r="E57" s="37" t="s">
        <v>1642</v>
      </c>
      <c r="F57" s="38" t="s">
        <v>1643</v>
      </c>
      <c r="G57" s="38">
        <v>45</v>
      </c>
      <c r="H57" s="38">
        <v>0</v>
      </c>
      <c r="I57" s="39" t="s">
        <v>273</v>
      </c>
      <c r="J57" s="40">
        <v>33076</v>
      </c>
      <c r="K57" s="487">
        <v>0.59489999999999998</v>
      </c>
      <c r="L57" s="40">
        <v>0</v>
      </c>
      <c r="M57" s="41">
        <v>2.5</v>
      </c>
      <c r="N57" s="41">
        <v>2.46</v>
      </c>
      <c r="O57" s="42">
        <v>19676.912400000001</v>
      </c>
      <c r="P57" s="43">
        <v>82690</v>
      </c>
      <c r="Q57" s="43">
        <v>81366.959999999992</v>
      </c>
      <c r="R57" s="44">
        <v>6.0000000000000001E-3</v>
      </c>
      <c r="S57" s="45"/>
      <c r="T57" s="38">
        <f t="shared" si="19"/>
        <v>45</v>
      </c>
      <c r="U57" s="46">
        <f t="shared" si="20"/>
        <v>0.26488969689844499</v>
      </c>
      <c r="V57" s="47">
        <f t="shared" si="21"/>
        <v>-4.0000000000000036E-2</v>
      </c>
      <c r="W57" s="48">
        <f t="shared" si="22"/>
        <v>5.8864377088543333E-3</v>
      </c>
      <c r="X57" s="43">
        <f t="shared" si="23"/>
        <v>5924.2333480953439</v>
      </c>
      <c r="Y57" s="43">
        <f t="shared" si="24"/>
        <v>-1323.0400000000081</v>
      </c>
      <c r="Z57" s="43">
        <f t="shared" si="25"/>
        <v>42013.196513003364</v>
      </c>
      <c r="AA57" s="49">
        <f t="shared" si="26"/>
        <v>87291.19334809533</v>
      </c>
      <c r="AB57" s="50">
        <f t="shared" si="27"/>
        <v>39338.198982212889</v>
      </c>
      <c r="AC57" s="43">
        <f t="shared" si="28"/>
        <v>81733.327104958167</v>
      </c>
      <c r="AD57" s="43">
        <f t="shared" si="29"/>
        <v>2767.306388316887</v>
      </c>
      <c r="AE57" s="43">
        <f t="shared" si="30"/>
        <v>0</v>
      </c>
      <c r="AF57" s="51">
        <f>HLOOKUP(I57,ElecAvoidedCostsWOCC!$A$5:$Q$50,G57+1,FALSE)</f>
        <v>3.7416616988497218</v>
      </c>
      <c r="AG57" s="43">
        <f t="shared" si="31"/>
        <v>73624.349478701144</v>
      </c>
      <c r="AH57" s="51">
        <f>HLOOKUP(I57,ElecAvoidedCostsWOCC!$A$5:$Q$50,T57+1,FALSE)</f>
        <v>3.7416616988497218</v>
      </c>
      <c r="AI57" s="43">
        <f t="shared" si="32"/>
        <v>0</v>
      </c>
      <c r="AJ57" s="43">
        <f t="shared" si="33"/>
        <v>73624.349478701144</v>
      </c>
      <c r="AK57" s="43">
        <f>HLOOKUP(I57,ElecAvoidedCostsWOCC!$A$5:$Q$50,G57+1,FALSE)*J57*L57</f>
        <v>0</v>
      </c>
      <c r="AL57" s="43">
        <f t="shared" si="34"/>
        <v>73624.349478701144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73624.349478701159</v>
      </c>
      <c r="AN57" s="47">
        <f t="shared" si="35"/>
        <v>83754.090814888157</v>
      </c>
      <c r="AO57" s="46">
        <f t="shared" si="36"/>
        <v>1.8715739760224166</v>
      </c>
      <c r="AP57" s="46">
        <f t="shared" si="37"/>
        <v>1.0247238645667149</v>
      </c>
    </row>
    <row r="58" spans="2:42" x14ac:dyDescent="0.25">
      <c r="B58" s="88" t="s">
        <v>15</v>
      </c>
      <c r="C58" s="60">
        <v>18230627</v>
      </c>
      <c r="D58" s="60" t="s">
        <v>76</v>
      </c>
      <c r="E58" s="37" t="s">
        <v>1644</v>
      </c>
      <c r="F58" s="38" t="s">
        <v>1645</v>
      </c>
      <c r="G58" s="38">
        <v>45</v>
      </c>
      <c r="H58" s="38">
        <v>0</v>
      </c>
      <c r="I58" s="39" t="s">
        <v>273</v>
      </c>
      <c r="J58" s="40">
        <v>40500</v>
      </c>
      <c r="K58" s="487">
        <v>0.84260000000000002</v>
      </c>
      <c r="L58" s="40">
        <v>0</v>
      </c>
      <c r="M58" s="41">
        <v>2.5</v>
      </c>
      <c r="N58" s="41">
        <v>2.46</v>
      </c>
      <c r="O58" s="42">
        <v>34125.300000000003</v>
      </c>
      <c r="P58" s="43">
        <v>101250</v>
      </c>
      <c r="Q58" s="43">
        <v>99630</v>
      </c>
      <c r="R58" s="44">
        <v>8.3999999999999995E-3</v>
      </c>
      <c r="S58" s="45"/>
      <c r="T58" s="38">
        <f t="shared" si="19"/>
        <v>45</v>
      </c>
      <c r="U58" s="46">
        <f t="shared" si="20"/>
        <v>0.45939323150966033</v>
      </c>
      <c r="V58" s="47">
        <f t="shared" si="21"/>
        <v>-4.0000000000000036E-2</v>
      </c>
      <c r="W58" s="48">
        <f t="shared" si="22"/>
        <v>1.0208738477992451E-2</v>
      </c>
      <c r="X58" s="43">
        <f t="shared" si="23"/>
        <v>10274.286746011943</v>
      </c>
      <c r="Y58" s="43">
        <f t="shared" si="24"/>
        <v>-1620</v>
      </c>
      <c r="Z58" s="43">
        <f t="shared" si="25"/>
        <v>72862.698467123002</v>
      </c>
      <c r="AA58" s="49">
        <f t="shared" si="26"/>
        <v>109904.28674601195</v>
      </c>
      <c r="AB58" s="50">
        <f t="shared" si="27"/>
        <v>68223.500437381081</v>
      </c>
      <c r="AC58" s="43">
        <f t="shared" si="28"/>
        <v>102906.63552997372</v>
      </c>
      <c r="AD58" s="43">
        <f t="shared" si="29"/>
        <v>4743.8103826813249</v>
      </c>
      <c r="AE58" s="43">
        <f t="shared" si="30"/>
        <v>0</v>
      </c>
      <c r="AF58" s="51">
        <f>HLOOKUP(I58,ElecAvoidedCostsWOCC!$A$5:$Q$50,G58+1,FALSE)</f>
        <v>3.7416616988497218</v>
      </c>
      <c r="AG58" s="43">
        <f t="shared" si="31"/>
        <v>127685.3279717564</v>
      </c>
      <c r="AH58" s="51">
        <f>HLOOKUP(I58,ElecAvoidedCostsWOCC!$A$5:$Q$50,T58+1,FALSE)</f>
        <v>3.7416616988497218</v>
      </c>
      <c r="AI58" s="43">
        <f t="shared" si="32"/>
        <v>0</v>
      </c>
      <c r="AJ58" s="43">
        <f t="shared" si="33"/>
        <v>127685.3279717564</v>
      </c>
      <c r="AK58" s="43">
        <f>HLOOKUP(I58,ElecAvoidedCostsWOCC!$A$5:$Q$50,G58+1,FALSE)*J58*L58</f>
        <v>0</v>
      </c>
      <c r="AL58" s="43">
        <f t="shared" si="34"/>
        <v>127685.3279717564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127685.32797175641</v>
      </c>
      <c r="AN58" s="47">
        <f t="shared" si="35"/>
        <v>145197.67115161338</v>
      </c>
      <c r="AO58" s="46">
        <f t="shared" si="36"/>
        <v>1.871573976022417</v>
      </c>
      <c r="AP58" s="46">
        <f t="shared" si="37"/>
        <v>1.410965098643435</v>
      </c>
    </row>
    <row r="59" spans="2:42" x14ac:dyDescent="0.25">
      <c r="B59" s="88" t="s">
        <v>15</v>
      </c>
      <c r="C59" s="60">
        <v>18230627</v>
      </c>
      <c r="D59" s="60" t="s">
        <v>76</v>
      </c>
      <c r="E59" s="37" t="s">
        <v>1646</v>
      </c>
      <c r="F59" s="38" t="s">
        <v>607</v>
      </c>
      <c r="G59" s="38">
        <v>25</v>
      </c>
      <c r="H59" s="38">
        <v>0</v>
      </c>
      <c r="I59" s="39" t="s">
        <v>273</v>
      </c>
      <c r="J59" s="40">
        <v>14000</v>
      </c>
      <c r="K59" s="487">
        <v>6.7148000000000003</v>
      </c>
      <c r="L59" s="40">
        <v>0</v>
      </c>
      <c r="M59" s="41">
        <v>200</v>
      </c>
      <c r="N59" s="41">
        <v>26.07</v>
      </c>
      <c r="O59" s="42">
        <v>94007.200000000012</v>
      </c>
      <c r="P59" s="43">
        <v>155600</v>
      </c>
      <c r="Q59" s="43">
        <v>364980</v>
      </c>
      <c r="R59" s="44">
        <v>1.4E-3</v>
      </c>
      <c r="S59" s="45"/>
      <c r="T59" s="38">
        <f t="shared" si="19"/>
        <v>25</v>
      </c>
      <c r="U59" s="46">
        <f t="shared" si="20"/>
        <v>0.70306702054511749</v>
      </c>
      <c r="V59" s="47">
        <f t="shared" si="21"/>
        <v>-173.93</v>
      </c>
      <c r="W59" s="48">
        <f t="shared" si="22"/>
        <v>2.8122680821804701E-2</v>
      </c>
      <c r="X59" s="43">
        <f t="shared" si="23"/>
        <v>28303.250930825339</v>
      </c>
      <c r="Y59" s="43">
        <f t="shared" si="24"/>
        <v>209380</v>
      </c>
      <c r="Z59" s="43">
        <f t="shared" si="25"/>
        <v>200719.64985915218</v>
      </c>
      <c r="AA59" s="49">
        <f t="shared" si="26"/>
        <v>393283.25093082536</v>
      </c>
      <c r="AB59" s="50">
        <f t="shared" si="27"/>
        <v>187939.74705913124</v>
      </c>
      <c r="AC59" s="43">
        <f t="shared" si="28"/>
        <v>368242.74431725219</v>
      </c>
      <c r="AD59" s="43">
        <f t="shared" si="29"/>
        <v>232.58520792291642</v>
      </c>
      <c r="AE59" s="43">
        <f t="shared" si="30"/>
        <v>0</v>
      </c>
      <c r="AF59" s="51">
        <f>HLOOKUP(I59,ElecAvoidedCostsWOCC!$A$5:$Q$50,G59+1,FALSE)</f>
        <v>2.3312175480570905</v>
      </c>
      <c r="AG59" s="43">
        <f t="shared" si="31"/>
        <v>219151.23428371255</v>
      </c>
      <c r="AH59" s="51">
        <f>HLOOKUP(I59,ElecAvoidedCostsWOCC!$A$5:$Q$50,T59+1,FALSE)</f>
        <v>2.3312175480570905</v>
      </c>
      <c r="AI59" s="43">
        <f t="shared" si="32"/>
        <v>0</v>
      </c>
      <c r="AJ59" s="43">
        <f t="shared" si="33"/>
        <v>219151.23428371255</v>
      </c>
      <c r="AK59" s="43">
        <f>HLOOKUP(I59,ElecAvoidedCostsWOCC!$A$5:$Q$50,G59+1,FALSE)*J59*L59</f>
        <v>0</v>
      </c>
      <c r="AL59" s="43">
        <f t="shared" si="34"/>
        <v>219151.23428371255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219151.23428371252</v>
      </c>
      <c r="AN59" s="47">
        <f t="shared" si="35"/>
        <v>241298.9429200067</v>
      </c>
      <c r="AO59" s="46">
        <f t="shared" si="36"/>
        <v>1.1660717741349371</v>
      </c>
      <c r="AP59" s="46">
        <f t="shared" si="37"/>
        <v>0.6552714117080346</v>
      </c>
    </row>
    <row r="60" spans="2:42" x14ac:dyDescent="0.25">
      <c r="B60" s="88" t="s">
        <v>15</v>
      </c>
      <c r="C60" s="60">
        <v>18230627</v>
      </c>
      <c r="D60" s="60" t="s">
        <v>76</v>
      </c>
      <c r="E60" s="37" t="s">
        <v>1647</v>
      </c>
      <c r="F60" s="38" t="s">
        <v>608</v>
      </c>
      <c r="G60" s="38">
        <v>25</v>
      </c>
      <c r="H60" s="38">
        <v>0</v>
      </c>
      <c r="I60" s="39" t="s">
        <v>273</v>
      </c>
      <c r="J60" s="40">
        <v>7000</v>
      </c>
      <c r="K60" s="487">
        <v>5.1642000000000001</v>
      </c>
      <c r="L60" s="40">
        <v>0</v>
      </c>
      <c r="M60" s="41">
        <v>200</v>
      </c>
      <c r="N60" s="41">
        <v>26.07</v>
      </c>
      <c r="O60" s="42">
        <v>36149.4</v>
      </c>
      <c r="P60" s="43">
        <v>78000</v>
      </c>
      <c r="Q60" s="43">
        <v>182490</v>
      </c>
      <c r="R60" s="44">
        <v>1E-3</v>
      </c>
      <c r="S60" s="45"/>
      <c r="T60" s="38">
        <f t="shared" si="19"/>
        <v>25</v>
      </c>
      <c r="U60" s="46">
        <f t="shared" si="20"/>
        <v>0.27035642964042828</v>
      </c>
      <c r="V60" s="47">
        <f t="shared" si="21"/>
        <v>-173.93</v>
      </c>
      <c r="W60" s="48">
        <f t="shared" si="22"/>
        <v>1.0814257185617132E-2</v>
      </c>
      <c r="X60" s="43">
        <f t="shared" si="23"/>
        <v>10883.69336815454</v>
      </c>
      <c r="Y60" s="43">
        <f t="shared" si="24"/>
        <v>104490</v>
      </c>
      <c r="Z60" s="43">
        <f t="shared" si="25"/>
        <v>77184.459388413175</v>
      </c>
      <c r="AA60" s="49">
        <f t="shared" si="26"/>
        <v>193373.69336815455</v>
      </c>
      <c r="AB60" s="50">
        <f t="shared" si="27"/>
        <v>72270.093060311963</v>
      </c>
      <c r="AC60" s="43">
        <f t="shared" si="28"/>
        <v>181061.51064433946</v>
      </c>
      <c r="AD60" s="43">
        <f t="shared" si="29"/>
        <v>83.06614568675586</v>
      </c>
      <c r="AE60" s="43">
        <f t="shared" si="30"/>
        <v>0</v>
      </c>
      <c r="AF60" s="51">
        <f>HLOOKUP(I60,ElecAvoidedCostsWOCC!$A$5:$Q$50,G60+1,FALSE)</f>
        <v>2.3312175480570905</v>
      </c>
      <c r="AG60" s="43">
        <f t="shared" si="31"/>
        <v>84272.115631734996</v>
      </c>
      <c r="AH60" s="51">
        <f>HLOOKUP(I60,ElecAvoidedCostsWOCC!$A$5:$Q$50,T60+1,FALSE)</f>
        <v>2.3312175480570905</v>
      </c>
      <c r="AI60" s="43">
        <f t="shared" si="32"/>
        <v>0</v>
      </c>
      <c r="AJ60" s="43">
        <f t="shared" si="33"/>
        <v>84272.115631734996</v>
      </c>
      <c r="AK60" s="43">
        <f>HLOOKUP(I60,ElecAvoidedCostsWOCC!$A$5:$Q$50,G60+1,FALSE)*J60*L60</f>
        <v>0</v>
      </c>
      <c r="AL60" s="43">
        <f t="shared" si="34"/>
        <v>84272.115631734996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84272.115631734981</v>
      </c>
      <c r="AN60" s="47">
        <f t="shared" si="35"/>
        <v>92782.393340595241</v>
      </c>
      <c r="AO60" s="46">
        <f t="shared" si="36"/>
        <v>1.1660717741349371</v>
      </c>
      <c r="AP60" s="46">
        <f t="shared" si="37"/>
        <v>0.5124357629095917</v>
      </c>
    </row>
    <row r="61" spans="2:42" x14ac:dyDescent="0.25">
      <c r="B61" s="88" t="s">
        <v>15</v>
      </c>
      <c r="C61" s="60">
        <v>18230627</v>
      </c>
      <c r="D61" s="60" t="s">
        <v>76</v>
      </c>
      <c r="E61" s="37" t="s">
        <v>1648</v>
      </c>
      <c r="F61" s="38" t="s">
        <v>609</v>
      </c>
      <c r="G61" s="38">
        <v>25</v>
      </c>
      <c r="H61" s="38">
        <v>0</v>
      </c>
      <c r="I61" s="39" t="s">
        <v>273</v>
      </c>
      <c r="J61" s="40">
        <v>1200</v>
      </c>
      <c r="K61" s="487">
        <v>0.20749999999999999</v>
      </c>
      <c r="L61" s="40">
        <v>0</v>
      </c>
      <c r="M61" s="41">
        <v>0</v>
      </c>
      <c r="N61" s="41">
        <v>0</v>
      </c>
      <c r="O61" s="42">
        <v>249</v>
      </c>
      <c r="P61" s="43">
        <v>0</v>
      </c>
      <c r="Q61" s="43">
        <v>0</v>
      </c>
      <c r="R61" s="44">
        <v>0</v>
      </c>
      <c r="S61" s="45"/>
      <c r="T61" s="38">
        <f t="shared" si="19"/>
        <v>25</v>
      </c>
      <c r="U61" s="46">
        <f t="shared" si="20"/>
        <v>1.8622370213742592E-3</v>
      </c>
      <c r="V61" s="47">
        <f t="shared" si="21"/>
        <v>0</v>
      </c>
      <c r="W61" s="48">
        <f t="shared" si="22"/>
        <v>7.4489480854970369E-5</v>
      </c>
      <c r="X61" s="43">
        <f t="shared" si="23"/>
        <v>74.967762913643952</v>
      </c>
      <c r="Y61" s="43">
        <f t="shared" si="24"/>
        <v>0</v>
      </c>
      <c r="Z61" s="43">
        <f t="shared" si="25"/>
        <v>531.65281824082513</v>
      </c>
      <c r="AA61" s="49">
        <f t="shared" si="26"/>
        <v>74.967762913643952</v>
      </c>
      <c r="AB61" s="50">
        <f t="shared" si="27"/>
        <v>497.8022642704355</v>
      </c>
      <c r="AC61" s="43">
        <f t="shared" si="28"/>
        <v>70.194534563337029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580.4731694662155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580.4731694662155</v>
      </c>
      <c r="AK61" s="43">
        <f>HLOOKUP(I61,ElecAvoidedCostsWOCC!$A$5:$Q$50,G61+1,FALSE)*J61*L61</f>
        <v>0</v>
      </c>
      <c r="AL61" s="43">
        <f t="shared" si="34"/>
        <v>580.4731694662155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580.4731694662155</v>
      </c>
      <c r="AN61" s="47">
        <f t="shared" si="35"/>
        <v>638.52048641283704</v>
      </c>
      <c r="AO61" s="46">
        <f t="shared" si="36"/>
        <v>1.1660717741349371</v>
      </c>
      <c r="AP61" s="46">
        <f t="shared" si="37"/>
        <v>9.0964416301769973</v>
      </c>
    </row>
    <row r="62" spans="2:42" x14ac:dyDescent="0.25">
      <c r="B62" s="88" t="s">
        <v>15</v>
      </c>
      <c r="C62" s="60">
        <v>18230627</v>
      </c>
      <c r="D62" s="60" t="s">
        <v>76</v>
      </c>
      <c r="E62" s="37" t="s">
        <v>1649</v>
      </c>
      <c r="F62" s="38" t="s">
        <v>1650</v>
      </c>
      <c r="G62" s="38">
        <v>45</v>
      </c>
      <c r="H62" s="38">
        <v>0</v>
      </c>
      <c r="I62" s="39" t="s">
        <v>273</v>
      </c>
      <c r="J62" s="40">
        <v>400</v>
      </c>
      <c r="K62" s="487">
        <v>4.6673999999999998</v>
      </c>
      <c r="L62" s="40">
        <v>0</v>
      </c>
      <c r="M62" s="41">
        <v>200</v>
      </c>
      <c r="N62" s="41">
        <v>31.8</v>
      </c>
      <c r="O62" s="42">
        <v>1866.9599999999998</v>
      </c>
      <c r="P62" s="43">
        <v>4800</v>
      </c>
      <c r="Q62" s="43">
        <v>12720</v>
      </c>
      <c r="R62" s="44">
        <v>8.9999999999999998E-4</v>
      </c>
      <c r="S62" s="45"/>
      <c r="T62" s="38">
        <f t="shared" si="19"/>
        <v>45</v>
      </c>
      <c r="U62" s="46">
        <f t="shared" si="20"/>
        <v>2.5132930333191951E-2</v>
      </c>
      <c r="V62" s="47">
        <f t="shared" si="21"/>
        <v>-168.2</v>
      </c>
      <c r="W62" s="48">
        <f t="shared" si="22"/>
        <v>5.5850956295982112E-4</v>
      </c>
      <c r="X62" s="43">
        <f t="shared" si="23"/>
        <v>562.09564116167348</v>
      </c>
      <c r="Y62" s="43">
        <f t="shared" si="24"/>
        <v>7920</v>
      </c>
      <c r="Z62" s="43">
        <f t="shared" si="25"/>
        <v>3986.2431547907254</v>
      </c>
      <c r="AA62" s="49">
        <f t="shared" si="26"/>
        <v>13282.095641161673</v>
      </c>
      <c r="AB62" s="50">
        <f t="shared" si="27"/>
        <v>3732.437410852739</v>
      </c>
      <c r="AC62" s="43">
        <f t="shared" si="28"/>
        <v>12436.419139664487</v>
      </c>
      <c r="AD62" s="43">
        <f t="shared" si="29"/>
        <v>5.0199051668585444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6985.5327252844763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6985.5327252844763</v>
      </c>
      <c r="AK62" s="43">
        <f>HLOOKUP(I62,ElecAvoidedCostsWOCC!$A$5:$Q$50,G62+1,FALSE)*J62*L62</f>
        <v>0</v>
      </c>
      <c r="AL62" s="43">
        <f t="shared" si="34"/>
        <v>6985.5327252844763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6985.5327252844763</v>
      </c>
      <c r="AN62" s="47">
        <f t="shared" si="35"/>
        <v>7689.1059029797834</v>
      </c>
      <c r="AO62" s="46">
        <f t="shared" si="36"/>
        <v>1.871573976022417</v>
      </c>
      <c r="AP62" s="46">
        <f t="shared" si="37"/>
        <v>0.61827330010583914</v>
      </c>
    </row>
    <row r="63" spans="2:42" x14ac:dyDescent="0.25">
      <c r="B63" s="88" t="s">
        <v>15</v>
      </c>
      <c r="C63" s="60">
        <v>18230627</v>
      </c>
      <c r="D63" s="60" t="s">
        <v>76</v>
      </c>
      <c r="E63" s="37" t="s">
        <v>1651</v>
      </c>
      <c r="F63" s="38" t="s">
        <v>625</v>
      </c>
      <c r="G63" s="38">
        <v>45</v>
      </c>
      <c r="H63" s="38">
        <v>0</v>
      </c>
      <c r="I63" s="39" t="s">
        <v>273</v>
      </c>
      <c r="J63" s="40">
        <v>4000</v>
      </c>
      <c r="K63" s="487">
        <v>0.31830000000000003</v>
      </c>
      <c r="L63" s="40">
        <v>0</v>
      </c>
      <c r="M63" s="41">
        <v>0</v>
      </c>
      <c r="N63" s="41">
        <v>0</v>
      </c>
      <c r="O63" s="42">
        <v>1273.2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1.7139760305641252E-2</v>
      </c>
      <c r="V63" s="47">
        <f t="shared" si="21"/>
        <v>0</v>
      </c>
      <c r="W63" s="48">
        <f t="shared" si="22"/>
        <v>3.8088356234758342E-4</v>
      </c>
      <c r="X63" s="43">
        <f t="shared" si="23"/>
        <v>383.32913952470471</v>
      </c>
      <c r="Y63" s="43">
        <f t="shared" si="24"/>
        <v>0</v>
      </c>
      <c r="Z63" s="43">
        <f t="shared" si="25"/>
        <v>2718.4753742338094</v>
      </c>
      <c r="AA63" s="49">
        <f t="shared" si="26"/>
        <v>383.32913952470471</v>
      </c>
      <c r="AB63" s="50">
        <f t="shared" si="27"/>
        <v>2545.3889271852145</v>
      </c>
      <c r="AC63" s="43">
        <f t="shared" si="28"/>
        <v>358.922415285304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3.7416616988497218</v>
      </c>
      <c r="AG63" s="43">
        <f t="shared" si="31"/>
        <v>4763.8836749754664</v>
      </c>
      <c r="AH63" s="51">
        <f>HLOOKUP(I63,ElecAvoidedCostsWOCC!$A$5:$Q$50,T63+1,FALSE)</f>
        <v>3.7416616988497218</v>
      </c>
      <c r="AI63" s="43">
        <f t="shared" si="32"/>
        <v>0</v>
      </c>
      <c r="AJ63" s="43">
        <f t="shared" si="33"/>
        <v>4763.8836749754664</v>
      </c>
      <c r="AK63" s="43">
        <f>HLOOKUP(I63,ElecAvoidedCostsWOCC!$A$5:$Q$50,G63+1,FALSE)*J63*L63</f>
        <v>0</v>
      </c>
      <c r="AL63" s="43">
        <f t="shared" si="34"/>
        <v>4763.8836749754664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4763.8836749754664</v>
      </c>
      <c r="AN63" s="47">
        <f t="shared" si="35"/>
        <v>5240.2720424730132</v>
      </c>
      <c r="AO63" s="46">
        <f t="shared" si="36"/>
        <v>1.871573976022417</v>
      </c>
      <c r="AP63" s="46">
        <f t="shared" si="37"/>
        <v>14.600013315712175</v>
      </c>
    </row>
    <row r="64" spans="2:42" x14ac:dyDescent="0.25">
      <c r="B64" s="88" t="s">
        <v>15</v>
      </c>
      <c r="C64" s="60">
        <v>18230627</v>
      </c>
      <c r="D64" s="60" t="s">
        <v>76</v>
      </c>
      <c r="E64" s="37" t="s">
        <v>1652</v>
      </c>
      <c r="F64" s="38" t="s">
        <v>626</v>
      </c>
      <c r="G64" s="38">
        <v>25</v>
      </c>
      <c r="H64" s="38">
        <v>0</v>
      </c>
      <c r="I64" s="39" t="s">
        <v>273</v>
      </c>
      <c r="J64" s="40">
        <v>9000</v>
      </c>
      <c r="K64" s="487">
        <v>10.0243</v>
      </c>
      <c r="L64" s="40">
        <v>0</v>
      </c>
      <c r="M64" s="41">
        <v>200</v>
      </c>
      <c r="N64" s="41">
        <v>26.07</v>
      </c>
      <c r="O64" s="42">
        <v>90218.7</v>
      </c>
      <c r="P64" s="43">
        <v>100000</v>
      </c>
      <c r="Q64" s="43">
        <v>234630</v>
      </c>
      <c r="R64" s="44">
        <v>2E-3</v>
      </c>
      <c r="S64" s="45"/>
      <c r="T64" s="38">
        <f t="shared" si="19"/>
        <v>25</v>
      </c>
      <c r="U64" s="46">
        <f t="shared" si="20"/>
        <v>0.67473334602513202</v>
      </c>
      <c r="V64" s="47">
        <f t="shared" si="21"/>
        <v>-173.93</v>
      </c>
      <c r="W64" s="48">
        <f t="shared" si="22"/>
        <v>2.698933384100528E-2</v>
      </c>
      <c r="X64" s="43">
        <f t="shared" si="23"/>
        <v>27162.626955731601</v>
      </c>
      <c r="Y64" s="43">
        <f t="shared" si="24"/>
        <v>134630</v>
      </c>
      <c r="Z64" s="43">
        <f t="shared" si="25"/>
        <v>192630.62695993381</v>
      </c>
      <c r="AA64" s="49">
        <f t="shared" si="26"/>
        <v>261792.6269557316</v>
      </c>
      <c r="AB64" s="50">
        <f t="shared" si="27"/>
        <v>180365.75558046237</v>
      </c>
      <c r="AC64" s="43">
        <f t="shared" si="28"/>
        <v>245124.18254281982</v>
      </c>
      <c r="AD64" s="43">
        <f t="shared" si="29"/>
        <v>213.59866033737222</v>
      </c>
      <c r="AE64" s="43">
        <f t="shared" si="30"/>
        <v>0</v>
      </c>
      <c r="AF64" s="51">
        <f>HLOOKUP(I64,ElecAvoidedCostsWOCC!$A$5:$Q$50,G64+1,FALSE)</f>
        <v>2.3312175480570905</v>
      </c>
      <c r="AG64" s="43">
        <f t="shared" si="31"/>
        <v>210319.41660289824</v>
      </c>
      <c r="AH64" s="51">
        <f>HLOOKUP(I64,ElecAvoidedCostsWOCC!$A$5:$Q$50,T64+1,FALSE)</f>
        <v>2.3312175480570905</v>
      </c>
      <c r="AI64" s="43">
        <f t="shared" si="32"/>
        <v>0</v>
      </c>
      <c r="AJ64" s="43">
        <f t="shared" si="33"/>
        <v>210319.41660289824</v>
      </c>
      <c r="AK64" s="43">
        <f>HLOOKUP(I64,ElecAvoidedCostsWOCC!$A$5:$Q$50,G64+1,FALSE)*J64*L64</f>
        <v>0</v>
      </c>
      <c r="AL64" s="43">
        <f t="shared" si="34"/>
        <v>210319.41660289824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210319.41660289824</v>
      </c>
      <c r="AN64" s="47">
        <f t="shared" si="35"/>
        <v>231564.95692352546</v>
      </c>
      <c r="AO64" s="46">
        <f t="shared" si="36"/>
        <v>1.1660717741349373</v>
      </c>
      <c r="AP64" s="46">
        <f t="shared" si="37"/>
        <v>0.94468425971425418</v>
      </c>
    </row>
    <row r="65" spans="2:42" x14ac:dyDescent="0.25">
      <c r="B65" s="88" t="s">
        <v>15</v>
      </c>
      <c r="C65" s="60">
        <v>18230627</v>
      </c>
      <c r="D65" s="60" t="s">
        <v>76</v>
      </c>
      <c r="E65" s="37" t="s">
        <v>1653</v>
      </c>
      <c r="F65" s="38" t="s">
        <v>1654</v>
      </c>
      <c r="G65" s="38">
        <v>45</v>
      </c>
      <c r="H65" s="38">
        <v>0</v>
      </c>
      <c r="I65" s="39" t="s">
        <v>273</v>
      </c>
      <c r="J65" s="40">
        <v>500</v>
      </c>
      <c r="K65" s="487">
        <v>2.8994</v>
      </c>
      <c r="L65" s="40">
        <v>0</v>
      </c>
      <c r="M65" s="41">
        <v>200</v>
      </c>
      <c r="N65" s="41">
        <v>31.8</v>
      </c>
      <c r="O65" s="42">
        <v>1449.7</v>
      </c>
      <c r="P65" s="43">
        <v>5600</v>
      </c>
      <c r="Q65" s="43">
        <v>15900</v>
      </c>
      <c r="R65" s="44">
        <v>5.9999999999999995E-4</v>
      </c>
      <c r="S65" s="45"/>
      <c r="T65" s="38">
        <f t="shared" si="19"/>
        <v>45</v>
      </c>
      <c r="U65" s="46">
        <f t="shared" si="20"/>
        <v>1.9515795252189858E-2</v>
      </c>
      <c r="V65" s="47">
        <f t="shared" si="21"/>
        <v>-168.2</v>
      </c>
      <c r="W65" s="48">
        <f t="shared" si="22"/>
        <v>4.3368433893755239E-4</v>
      </c>
      <c r="X65" s="43">
        <f t="shared" si="23"/>
        <v>436.46893934100257</v>
      </c>
      <c r="Y65" s="43">
        <f t="shared" si="24"/>
        <v>10300</v>
      </c>
      <c r="Z65" s="43">
        <f t="shared" si="25"/>
        <v>3095.3296811394544</v>
      </c>
      <c r="AA65" s="49">
        <f t="shared" si="26"/>
        <v>16336.468939341003</v>
      </c>
      <c r="AB65" s="50">
        <f t="shared" si="27"/>
        <v>2898.2487651118486</v>
      </c>
      <c r="AC65" s="43">
        <f t="shared" si="28"/>
        <v>15296.319231592699</v>
      </c>
      <c r="AD65" s="43">
        <f t="shared" si="29"/>
        <v>4.1832543057154536</v>
      </c>
      <c r="AE65" s="43">
        <f t="shared" si="30"/>
        <v>0</v>
      </c>
      <c r="AF65" s="51">
        <f>HLOOKUP(I65,ElecAvoidedCostsWOCC!$A$5:$Q$50,G65+1,FALSE)</f>
        <v>3.7416616988497218</v>
      </c>
      <c r="AG65" s="43">
        <f t="shared" si="31"/>
        <v>5424.2869648224414</v>
      </c>
      <c r="AH65" s="51">
        <f>HLOOKUP(I65,ElecAvoidedCostsWOCC!$A$5:$Q$50,T65+1,FALSE)</f>
        <v>3.7416616988497218</v>
      </c>
      <c r="AI65" s="43">
        <f t="shared" si="32"/>
        <v>0</v>
      </c>
      <c r="AJ65" s="43">
        <f t="shared" si="33"/>
        <v>5424.2869648224414</v>
      </c>
      <c r="AK65" s="43">
        <f>HLOOKUP(I65,ElecAvoidedCostsWOCC!$A$5:$Q$50,G65+1,FALSE)*J65*L65</f>
        <v>0</v>
      </c>
      <c r="AL65" s="43">
        <f t="shared" si="34"/>
        <v>5424.2869648224414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5424.2869648224423</v>
      </c>
      <c r="AN65" s="47">
        <f t="shared" si="35"/>
        <v>5970.8989156104026</v>
      </c>
      <c r="AO65" s="46">
        <f t="shared" si="36"/>
        <v>1.8715739760224168</v>
      </c>
      <c r="AP65" s="46">
        <f t="shared" si="37"/>
        <v>0.39034873849116802</v>
      </c>
    </row>
    <row r="66" spans="2:42" x14ac:dyDescent="0.25">
      <c r="B66" s="88" t="s">
        <v>15</v>
      </c>
      <c r="C66" s="60">
        <v>18230627</v>
      </c>
      <c r="D66" s="60" t="s">
        <v>76</v>
      </c>
      <c r="E66" s="37" t="s">
        <v>1655</v>
      </c>
      <c r="F66" s="38" t="s">
        <v>627</v>
      </c>
      <c r="G66" s="38">
        <v>45</v>
      </c>
      <c r="H66" s="38">
        <v>0</v>
      </c>
      <c r="I66" s="39" t="s">
        <v>273</v>
      </c>
      <c r="J66" s="40">
        <v>2000</v>
      </c>
      <c r="K66" s="487">
        <v>4.4339000000000004</v>
      </c>
      <c r="L66" s="40">
        <v>0</v>
      </c>
      <c r="M66" s="41">
        <v>200</v>
      </c>
      <c r="N66" s="41">
        <v>31.8</v>
      </c>
      <c r="O66" s="42">
        <v>8867.8000000000011</v>
      </c>
      <c r="P66" s="43">
        <v>22400</v>
      </c>
      <c r="Q66" s="43">
        <v>63600</v>
      </c>
      <c r="R66" s="44">
        <v>8.9999999999999998E-4</v>
      </c>
      <c r="S66" s="45"/>
      <c r="T66" s="38">
        <f t="shared" si="19"/>
        <v>45</v>
      </c>
      <c r="U66" s="46">
        <f t="shared" si="20"/>
        <v>0.11937791897452524</v>
      </c>
      <c r="V66" s="47">
        <f t="shared" si="21"/>
        <v>-168.2</v>
      </c>
      <c r="W66" s="48">
        <f t="shared" si="22"/>
        <v>2.6528426438783385E-3</v>
      </c>
      <c r="X66" s="43">
        <f t="shared" si="23"/>
        <v>2669.8760159261519</v>
      </c>
      <c r="Y66" s="43">
        <f t="shared" si="24"/>
        <v>41200</v>
      </c>
      <c r="Z66" s="43">
        <f t="shared" si="25"/>
        <v>18934.099845767025</v>
      </c>
      <c r="AA66" s="49">
        <f t="shared" si="26"/>
        <v>66269.876015926158</v>
      </c>
      <c r="AB66" s="50">
        <f t="shared" si="27"/>
        <v>17728.557908021558</v>
      </c>
      <c r="AC66" s="43">
        <f t="shared" si="28"/>
        <v>62050.445707796025</v>
      </c>
      <c r="AD66" s="43">
        <f t="shared" si="29"/>
        <v>25.099525834292724</v>
      </c>
      <c r="AE66" s="43">
        <f t="shared" si="30"/>
        <v>0</v>
      </c>
      <c r="AF66" s="51">
        <f>HLOOKUP(I66,ElecAvoidedCostsWOCC!$A$5:$Q$50,G66+1,FALSE)</f>
        <v>3.7416616988497218</v>
      </c>
      <c r="AG66" s="43">
        <f t="shared" si="31"/>
        <v>33180.307613059565</v>
      </c>
      <c r="AH66" s="51">
        <f>HLOOKUP(I66,ElecAvoidedCostsWOCC!$A$5:$Q$50,T66+1,FALSE)</f>
        <v>3.7416616988497218</v>
      </c>
      <c r="AI66" s="43">
        <f t="shared" si="32"/>
        <v>0</v>
      </c>
      <c r="AJ66" s="43">
        <f t="shared" si="33"/>
        <v>33180.307613059565</v>
      </c>
      <c r="AK66" s="43">
        <f>HLOOKUP(I66,ElecAvoidedCostsWOCC!$A$5:$Q$50,G66+1,FALSE)*J66*L66</f>
        <v>0</v>
      </c>
      <c r="AL66" s="43">
        <f t="shared" si="34"/>
        <v>33180.307613059565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33180.307613059565</v>
      </c>
      <c r="AN66" s="47">
        <f t="shared" si="35"/>
        <v>36523.437900199824</v>
      </c>
      <c r="AO66" s="46">
        <f t="shared" si="36"/>
        <v>1.8715739760224168</v>
      </c>
      <c r="AP66" s="46">
        <f t="shared" si="37"/>
        <v>0.58860879214621042</v>
      </c>
    </row>
    <row r="67" spans="2:42" x14ac:dyDescent="0.25">
      <c r="B67" s="88" t="s">
        <v>15</v>
      </c>
      <c r="C67" s="60">
        <v>18230627</v>
      </c>
      <c r="D67" s="60" t="s">
        <v>76</v>
      </c>
      <c r="E67" s="37" t="s">
        <v>1656</v>
      </c>
      <c r="F67" s="38" t="s">
        <v>640</v>
      </c>
      <c r="G67" s="38">
        <v>45</v>
      </c>
      <c r="H67" s="38">
        <v>0</v>
      </c>
      <c r="I67" s="39" t="s">
        <v>273</v>
      </c>
      <c r="J67" s="40">
        <v>3400</v>
      </c>
      <c r="K67" s="487">
        <v>3.6252</v>
      </c>
      <c r="L67" s="40">
        <v>0</v>
      </c>
      <c r="M67" s="41">
        <v>100</v>
      </c>
      <c r="N67" s="41">
        <v>36.94</v>
      </c>
      <c r="O67" s="42">
        <v>12325.68</v>
      </c>
      <c r="P67" s="43">
        <v>10400</v>
      </c>
      <c r="Q67" s="43">
        <v>125595.99999999999</v>
      </c>
      <c r="R67" s="44">
        <v>0</v>
      </c>
      <c r="S67" s="45"/>
      <c r="T67" s="38">
        <f t="shared" si="19"/>
        <v>45</v>
      </c>
      <c r="U67" s="46">
        <f t="shared" si="20"/>
        <v>0.16592774175623334</v>
      </c>
      <c r="V67" s="47">
        <f t="shared" si="21"/>
        <v>-63.06</v>
      </c>
      <c r="W67" s="48">
        <f t="shared" si="22"/>
        <v>3.6872831501385188E-3</v>
      </c>
      <c r="X67" s="43">
        <f t="shared" si="23"/>
        <v>3710.9584577889273</v>
      </c>
      <c r="Y67" s="43">
        <f t="shared" si="24"/>
        <v>115195.99999999999</v>
      </c>
      <c r="Z67" s="43">
        <f t="shared" si="25"/>
        <v>26317.198830259331</v>
      </c>
      <c r="AA67" s="49">
        <f t="shared" si="26"/>
        <v>129306.95845778892</v>
      </c>
      <c r="AB67" s="50">
        <f t="shared" si="27"/>
        <v>24641.571938445064</v>
      </c>
      <c r="AC67" s="43">
        <f t="shared" si="28"/>
        <v>121073.93114025179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3.7416616988497218</v>
      </c>
      <c r="AG67" s="43">
        <f t="shared" si="31"/>
        <v>46118.524768278039</v>
      </c>
      <c r="AH67" s="51">
        <f>HLOOKUP(I67,ElecAvoidedCostsWOCC!$A$5:$Q$50,T67+1,FALSE)</f>
        <v>3.7416616988497218</v>
      </c>
      <c r="AI67" s="43">
        <f t="shared" si="32"/>
        <v>0</v>
      </c>
      <c r="AJ67" s="43">
        <f t="shared" si="33"/>
        <v>46118.524768278039</v>
      </c>
      <c r="AK67" s="43">
        <f>HLOOKUP(I67,ElecAvoidedCostsWOCC!$A$5:$Q$50,G67+1,FALSE)*J67*L67</f>
        <v>0</v>
      </c>
      <c r="AL67" s="43">
        <f t="shared" si="34"/>
        <v>46118.524768278039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46118.524768278039</v>
      </c>
      <c r="AN67" s="47">
        <f t="shared" si="35"/>
        <v>50730.377245105847</v>
      </c>
      <c r="AO67" s="46">
        <f t="shared" si="36"/>
        <v>1.8715739760224168</v>
      </c>
      <c r="AP67" s="46">
        <f t="shared" si="37"/>
        <v>0.41900330457049323</v>
      </c>
    </row>
    <row r="68" spans="2:42" x14ac:dyDescent="0.25">
      <c r="B68" s="88" t="s">
        <v>15</v>
      </c>
      <c r="C68" s="60">
        <v>18230627</v>
      </c>
      <c r="D68" s="60" t="s">
        <v>76</v>
      </c>
      <c r="E68" s="37" t="s">
        <v>1657</v>
      </c>
      <c r="F68" s="38" t="s">
        <v>1658</v>
      </c>
      <c r="G68" s="38">
        <v>45</v>
      </c>
      <c r="H68" s="38">
        <v>0</v>
      </c>
      <c r="I68" s="39" t="s">
        <v>273</v>
      </c>
      <c r="J68" s="40">
        <v>160</v>
      </c>
      <c r="K68" s="487">
        <v>3.6252</v>
      </c>
      <c r="L68" s="40">
        <v>0</v>
      </c>
      <c r="M68" s="41">
        <v>200</v>
      </c>
      <c r="N68" s="41">
        <v>36.94</v>
      </c>
      <c r="O68" s="42">
        <v>580.03200000000004</v>
      </c>
      <c r="P68" s="43">
        <v>1200</v>
      </c>
      <c r="Q68" s="43">
        <v>5910.4</v>
      </c>
      <c r="R68" s="44">
        <v>0</v>
      </c>
      <c r="S68" s="45"/>
      <c r="T68" s="38">
        <f t="shared" ref="T68:T131" si="38">G68+H68</f>
        <v>45</v>
      </c>
      <c r="U68" s="46">
        <f t="shared" ref="U68:U131" si="39">(O68/$A$10)*T68</f>
        <v>7.8083643179403918E-3</v>
      </c>
      <c r="V68" s="47">
        <f t="shared" ref="V68:V131" si="40">N68-M68</f>
        <v>-163.06</v>
      </c>
      <c r="W68" s="48">
        <f t="shared" ref="W68:W131" si="41">(O68/A$10)</f>
        <v>1.7351920706534205E-4</v>
      </c>
      <c r="X68" s="43">
        <f t="shared" ref="X68:X131" si="42">W68*A$8</f>
        <v>174.63333919006718</v>
      </c>
      <c r="Y68" s="43">
        <f t="shared" ref="Y68:Y131" si="43">Q68-P68</f>
        <v>4710.3999999999996</v>
      </c>
      <c r="Z68" s="43">
        <f t="shared" ref="Z68:Z131" si="44">X68+(A$6*W68)</f>
        <v>1238.4564155416153</v>
      </c>
      <c r="AA68" s="49">
        <f t="shared" ref="AA68:AA131" si="45">Q68+X68</f>
        <v>6085.0333391900667</v>
      </c>
      <c r="AB68" s="50">
        <f t="shared" ref="AB68:AB131" si="46">Z68/(1+ElecDiscountRate)^1</f>
        <v>1159.6033853385911</v>
      </c>
      <c r="AC68" s="43">
        <f t="shared" ref="AC68:AC131" si="47">AA68/(1+ElecDiscountRate)^1</f>
        <v>5697.5967595412603</v>
      </c>
      <c r="AD68" s="43">
        <f t="shared" ref="AD68:AD131" si="48">-PV(ElecDiscountRate,T68,R68)*J68</f>
        <v>0</v>
      </c>
      <c r="AE68" s="43">
        <f t="shared" ref="AE68:AE131" si="49">-PV(ElecDiscountRate,T68,S68)*J68</f>
        <v>0</v>
      </c>
      <c r="AF68" s="51">
        <f>HLOOKUP(I68,ElecAvoidedCostsWOCC!$A$5:$Q$50,G68+1,FALSE)</f>
        <v>3.7416616988497218</v>
      </c>
      <c r="AG68" s="43">
        <f t="shared" ref="AG68:AG131" si="50">AF68*J68*K68</f>
        <v>2170.2835185072017</v>
      </c>
      <c r="AH68" s="51">
        <f>HLOOKUP(I68,ElecAvoidedCostsWOCC!$A$5:$Q$50,T68+1,FALSE)</f>
        <v>3.7416616988497218</v>
      </c>
      <c r="AI68" s="43">
        <f t="shared" ref="AI68:AI131" si="51">AH68*J68*L68</f>
        <v>0</v>
      </c>
      <c r="AJ68" s="43">
        <f t="shared" ref="AJ68:AJ131" si="52">AG68+AI68</f>
        <v>2170.2835185072017</v>
      </c>
      <c r="AK68" s="43">
        <f>HLOOKUP(I68,ElecAvoidedCostsWOCC!$A$5:$Q$50,G68+1,FALSE)*J68*L68</f>
        <v>0</v>
      </c>
      <c r="AL68" s="43">
        <f t="shared" ref="AL68:AL131" si="53">AG68+AI68-AK68</f>
        <v>2170.2835185072017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2170.2835185072017</v>
      </c>
      <c r="AN68" s="47">
        <f t="shared" ref="AN68:AN131" si="54">AM68*1.1+AD68+AE68</f>
        <v>2387.3118703579221</v>
      </c>
      <c r="AO68" s="46">
        <f t="shared" ref="AO68:AO131" si="55">IFERROR(AM68/AB68,0)</f>
        <v>1.8715739760224168</v>
      </c>
      <c r="AP68" s="46">
        <f t="shared" ref="AP68:AP131" si="56">AN68/AC68</f>
        <v>0.41900330457049323</v>
      </c>
    </row>
    <row r="69" spans="2:42" x14ac:dyDescent="0.25">
      <c r="B69" s="88" t="s">
        <v>15</v>
      </c>
      <c r="C69" s="60">
        <v>18230627</v>
      </c>
      <c r="D69" s="60" t="s">
        <v>76</v>
      </c>
      <c r="E69" s="37" t="s">
        <v>1659</v>
      </c>
      <c r="F69" s="38" t="s">
        <v>641</v>
      </c>
      <c r="G69" s="38">
        <v>45</v>
      </c>
      <c r="H69" s="38">
        <v>0</v>
      </c>
      <c r="I69" s="39" t="s">
        <v>273</v>
      </c>
      <c r="J69" s="40">
        <v>16000</v>
      </c>
      <c r="K69" s="487">
        <v>0.23119999999999999</v>
      </c>
      <c r="L69" s="40">
        <v>0</v>
      </c>
      <c r="M69" s="41">
        <v>0</v>
      </c>
      <c r="N69" s="41">
        <v>0</v>
      </c>
      <c r="O69" s="42">
        <v>3699.2</v>
      </c>
      <c r="P69" s="43">
        <v>0</v>
      </c>
      <c r="Q69" s="43">
        <v>0</v>
      </c>
      <c r="R69" s="44">
        <v>0</v>
      </c>
      <c r="S69" s="45"/>
      <c r="T69" s="38">
        <f t="shared" si="38"/>
        <v>45</v>
      </c>
      <c r="U69" s="46">
        <f t="shared" si="39"/>
        <v>4.9798461610609579E-2</v>
      </c>
      <c r="V69" s="47">
        <f t="shared" si="40"/>
        <v>0</v>
      </c>
      <c r="W69" s="48">
        <f t="shared" si="41"/>
        <v>1.1066324802357684E-3</v>
      </c>
      <c r="X69" s="43">
        <f t="shared" si="42"/>
        <v>1113.737946064866</v>
      </c>
      <c r="Y69" s="43">
        <f t="shared" si="43"/>
        <v>0</v>
      </c>
      <c r="Z69" s="43">
        <f t="shared" si="44"/>
        <v>7898.3538362910031</v>
      </c>
      <c r="AA69" s="49">
        <f t="shared" si="45"/>
        <v>1113.737946064866</v>
      </c>
      <c r="AB69" s="50">
        <f t="shared" si="46"/>
        <v>7395.462393530901</v>
      </c>
      <c r="AC69" s="43">
        <f t="shared" si="47"/>
        <v>1042.8257921955674</v>
      </c>
      <c r="AD69" s="43">
        <f t="shared" si="48"/>
        <v>0</v>
      </c>
      <c r="AE69" s="43">
        <f t="shared" si="49"/>
        <v>0</v>
      </c>
      <c r="AF69" s="51">
        <f>HLOOKUP(I69,ElecAvoidedCostsWOCC!$A$5:$Q$50,G69+1,FALSE)</f>
        <v>3.7416616988497218</v>
      </c>
      <c r="AG69" s="43">
        <f t="shared" si="50"/>
        <v>13841.154956384889</v>
      </c>
      <c r="AH69" s="51">
        <f>HLOOKUP(I69,ElecAvoidedCostsWOCC!$A$5:$Q$50,T69+1,FALSE)</f>
        <v>3.7416616988497218</v>
      </c>
      <c r="AI69" s="43">
        <f t="shared" si="51"/>
        <v>0</v>
      </c>
      <c r="AJ69" s="43">
        <f t="shared" si="52"/>
        <v>13841.154956384889</v>
      </c>
      <c r="AK69" s="43">
        <f>HLOOKUP(I69,ElecAvoidedCostsWOCC!$A$5:$Q$50,G69+1,FALSE)*J69*L69</f>
        <v>0</v>
      </c>
      <c r="AL69" s="43">
        <f t="shared" si="53"/>
        <v>13841.154956384889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13841.154956384891</v>
      </c>
      <c r="AN69" s="47">
        <f t="shared" si="54"/>
        <v>15225.270452023382</v>
      </c>
      <c r="AO69" s="46">
        <f t="shared" si="55"/>
        <v>1.8715739760224173</v>
      </c>
      <c r="AP69" s="46">
        <f t="shared" si="56"/>
        <v>14.600013315712175</v>
      </c>
    </row>
    <row r="70" spans="2:42" x14ac:dyDescent="0.25">
      <c r="B70" s="88" t="s">
        <v>15</v>
      </c>
      <c r="C70" s="60">
        <v>18230627</v>
      </c>
      <c r="D70" s="60" t="s">
        <v>76</v>
      </c>
      <c r="E70" s="37" t="s">
        <v>1660</v>
      </c>
      <c r="F70" s="38" t="s">
        <v>1661</v>
      </c>
      <c r="G70" s="38">
        <v>45</v>
      </c>
      <c r="H70" s="38">
        <v>0</v>
      </c>
      <c r="I70" s="39" t="s">
        <v>273</v>
      </c>
      <c r="J70" s="40">
        <v>600</v>
      </c>
      <c r="K70" s="487">
        <v>0.23119999999999999</v>
      </c>
      <c r="L70" s="40">
        <v>0</v>
      </c>
      <c r="M70" s="41">
        <v>0</v>
      </c>
      <c r="N70" s="41">
        <v>0</v>
      </c>
      <c r="O70" s="42">
        <v>138.72</v>
      </c>
      <c r="P70" s="43">
        <v>0</v>
      </c>
      <c r="Q70" s="43">
        <v>0</v>
      </c>
      <c r="R70" s="44">
        <v>0</v>
      </c>
      <c r="S70" s="45"/>
      <c r="T70" s="38">
        <f t="shared" si="38"/>
        <v>45</v>
      </c>
      <c r="U70" s="46">
        <f t="shared" si="39"/>
        <v>1.8674423103978595E-3</v>
      </c>
      <c r="V70" s="47">
        <f t="shared" si="40"/>
        <v>0</v>
      </c>
      <c r="W70" s="48">
        <f t="shared" si="41"/>
        <v>4.1498718008841322E-5</v>
      </c>
      <c r="X70" s="43">
        <f t="shared" si="42"/>
        <v>41.765172977432485</v>
      </c>
      <c r="Y70" s="43">
        <f t="shared" si="43"/>
        <v>0</v>
      </c>
      <c r="Z70" s="43">
        <f t="shared" si="44"/>
        <v>296.18826886091267</v>
      </c>
      <c r="AA70" s="49">
        <f t="shared" si="45"/>
        <v>41.765172977432485</v>
      </c>
      <c r="AB70" s="50">
        <f t="shared" si="46"/>
        <v>277.32983975740888</v>
      </c>
      <c r="AC70" s="43">
        <f t="shared" si="47"/>
        <v>39.105967207333784</v>
      </c>
      <c r="AD70" s="43">
        <f t="shared" si="48"/>
        <v>0</v>
      </c>
      <c r="AE70" s="43">
        <f t="shared" si="49"/>
        <v>0</v>
      </c>
      <c r="AF70" s="51">
        <f>HLOOKUP(I70,ElecAvoidedCostsWOCC!$A$5:$Q$50,G70+1,FALSE)</f>
        <v>3.7416616988497218</v>
      </c>
      <c r="AG70" s="43">
        <f t="shared" si="50"/>
        <v>519.04331086443335</v>
      </c>
      <c r="AH70" s="51">
        <f>HLOOKUP(I70,ElecAvoidedCostsWOCC!$A$5:$Q$50,T70+1,FALSE)</f>
        <v>3.7416616988497218</v>
      </c>
      <c r="AI70" s="43">
        <f t="shared" si="51"/>
        <v>0</v>
      </c>
      <c r="AJ70" s="43">
        <f t="shared" si="52"/>
        <v>519.04331086443335</v>
      </c>
      <c r="AK70" s="43">
        <f>HLOOKUP(I70,ElecAvoidedCostsWOCC!$A$5:$Q$50,G70+1,FALSE)*J70*L70</f>
        <v>0</v>
      </c>
      <c r="AL70" s="43">
        <f t="shared" si="53"/>
        <v>519.04331086443335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519.04331086443335</v>
      </c>
      <c r="AN70" s="47">
        <f t="shared" si="54"/>
        <v>570.94764195087669</v>
      </c>
      <c r="AO70" s="46">
        <f t="shared" si="55"/>
        <v>1.8715739760224164</v>
      </c>
      <c r="AP70" s="46">
        <f t="shared" si="56"/>
        <v>14.60001331571217</v>
      </c>
    </row>
    <row r="71" spans="2:42" x14ac:dyDescent="0.25">
      <c r="B71" s="88" t="s">
        <v>15</v>
      </c>
      <c r="C71" s="60">
        <v>18230627</v>
      </c>
      <c r="D71" s="60" t="s">
        <v>76</v>
      </c>
      <c r="E71" s="37" t="s">
        <v>1662</v>
      </c>
      <c r="F71" s="38" t="s">
        <v>642</v>
      </c>
      <c r="G71" s="38">
        <v>45</v>
      </c>
      <c r="H71" s="38">
        <v>0</v>
      </c>
      <c r="I71" s="39" t="s">
        <v>273</v>
      </c>
      <c r="J71" s="40">
        <v>5500</v>
      </c>
      <c r="K71" s="487">
        <v>2.5678000000000001</v>
      </c>
      <c r="L71" s="40">
        <v>0</v>
      </c>
      <c r="M71" s="41">
        <v>100</v>
      </c>
      <c r="N71" s="41">
        <v>36.94</v>
      </c>
      <c r="O71" s="42">
        <v>14122.9</v>
      </c>
      <c r="P71" s="43">
        <v>16800</v>
      </c>
      <c r="Q71" s="43">
        <v>203170</v>
      </c>
      <c r="R71" s="44">
        <v>0</v>
      </c>
      <c r="S71" s="45"/>
      <c r="T71" s="38">
        <f t="shared" si="38"/>
        <v>45</v>
      </c>
      <c r="U71" s="46">
        <f t="shared" si="39"/>
        <v>0.19012183539156521</v>
      </c>
      <c r="V71" s="47">
        <f t="shared" si="40"/>
        <v>-63.06</v>
      </c>
      <c r="W71" s="48">
        <f t="shared" si="41"/>
        <v>4.2249296753681161E-3</v>
      </c>
      <c r="X71" s="43">
        <f t="shared" si="42"/>
        <v>4252.0571038277185</v>
      </c>
      <c r="Y71" s="43">
        <f t="shared" si="43"/>
        <v>186370</v>
      </c>
      <c r="Z71" s="43">
        <f t="shared" si="44"/>
        <v>30154.536492905012</v>
      </c>
      <c r="AA71" s="49">
        <f t="shared" si="45"/>
        <v>207422.05710382771</v>
      </c>
      <c r="AB71" s="50">
        <f t="shared" si="46"/>
        <v>28234.584731184466</v>
      </c>
      <c r="AC71" s="43">
        <f t="shared" si="47"/>
        <v>194215.40927324691</v>
      </c>
      <c r="AD71" s="43">
        <f t="shared" si="48"/>
        <v>0</v>
      </c>
      <c r="AE71" s="43">
        <f t="shared" si="49"/>
        <v>0</v>
      </c>
      <c r="AF71" s="51">
        <f>HLOOKUP(I71,ElecAvoidedCostsWOCC!$A$5:$Q$50,G71+1,FALSE)</f>
        <v>3.7416616988497218</v>
      </c>
      <c r="AG71" s="43">
        <f t="shared" si="50"/>
        <v>52843.114006684737</v>
      </c>
      <c r="AH71" s="51">
        <f>HLOOKUP(I71,ElecAvoidedCostsWOCC!$A$5:$Q$50,T71+1,FALSE)</f>
        <v>3.7416616988497218</v>
      </c>
      <c r="AI71" s="43">
        <f t="shared" si="51"/>
        <v>0</v>
      </c>
      <c r="AJ71" s="43">
        <f t="shared" si="52"/>
        <v>52843.114006684737</v>
      </c>
      <c r="AK71" s="43">
        <f>HLOOKUP(I71,ElecAvoidedCostsWOCC!$A$5:$Q$50,G71+1,FALSE)*J71*L71</f>
        <v>0</v>
      </c>
      <c r="AL71" s="43">
        <f t="shared" si="53"/>
        <v>52843.114006684737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52843.114006684744</v>
      </c>
      <c r="AN71" s="47">
        <f t="shared" si="54"/>
        <v>58127.425407353221</v>
      </c>
      <c r="AO71" s="46">
        <f t="shared" si="55"/>
        <v>1.8715739760224173</v>
      </c>
      <c r="AP71" s="46">
        <f t="shared" si="56"/>
        <v>0.29929358141491325</v>
      </c>
    </row>
    <row r="72" spans="2:42" x14ac:dyDescent="0.25">
      <c r="B72" s="88" t="s">
        <v>15</v>
      </c>
      <c r="C72" s="60">
        <v>18230627</v>
      </c>
      <c r="D72" s="60" t="s">
        <v>76</v>
      </c>
      <c r="E72" s="37" t="s">
        <v>1663</v>
      </c>
      <c r="F72" s="38" t="s">
        <v>1664</v>
      </c>
      <c r="G72" s="38">
        <v>45</v>
      </c>
      <c r="H72" s="38">
        <v>0</v>
      </c>
      <c r="I72" s="39" t="s">
        <v>273</v>
      </c>
      <c r="J72" s="40">
        <v>100</v>
      </c>
      <c r="K72" s="487">
        <v>2.5678000000000001</v>
      </c>
      <c r="L72" s="40">
        <v>0</v>
      </c>
      <c r="M72" s="41">
        <v>200</v>
      </c>
      <c r="N72" s="41">
        <v>36.94</v>
      </c>
      <c r="O72" s="42">
        <v>256.78000000000003</v>
      </c>
      <c r="P72" s="43">
        <v>800</v>
      </c>
      <c r="Q72" s="43">
        <v>3694</v>
      </c>
      <c r="R72" s="44">
        <v>0</v>
      </c>
      <c r="S72" s="45"/>
      <c r="T72" s="38">
        <f t="shared" si="38"/>
        <v>45</v>
      </c>
      <c r="U72" s="46">
        <f t="shared" si="39"/>
        <v>3.4567606434830044E-3</v>
      </c>
      <c r="V72" s="47">
        <f t="shared" si="40"/>
        <v>-163.06</v>
      </c>
      <c r="W72" s="48">
        <f t="shared" si="41"/>
        <v>7.6816903188511209E-5</v>
      </c>
      <c r="X72" s="43">
        <f t="shared" si="42"/>
        <v>77.31012916050399</v>
      </c>
      <c r="Y72" s="43">
        <f t="shared" si="43"/>
        <v>2894</v>
      </c>
      <c r="Z72" s="43">
        <f t="shared" si="44"/>
        <v>548.26429987100028</v>
      </c>
      <c r="AA72" s="49">
        <f t="shared" si="45"/>
        <v>3771.3101291605039</v>
      </c>
      <c r="AB72" s="50">
        <f t="shared" si="46"/>
        <v>513.35608602153582</v>
      </c>
      <c r="AC72" s="43">
        <f t="shared" si="47"/>
        <v>3531.1892595135801</v>
      </c>
      <c r="AD72" s="43">
        <f t="shared" si="48"/>
        <v>0</v>
      </c>
      <c r="AE72" s="43">
        <f t="shared" si="49"/>
        <v>0</v>
      </c>
      <c r="AF72" s="51">
        <f>HLOOKUP(I72,ElecAvoidedCostsWOCC!$A$5:$Q$50,G72+1,FALSE)</f>
        <v>3.7416616988497218</v>
      </c>
      <c r="AG72" s="43">
        <f t="shared" si="50"/>
        <v>960.78389103063159</v>
      </c>
      <c r="AH72" s="51">
        <f>HLOOKUP(I72,ElecAvoidedCostsWOCC!$A$5:$Q$50,T72+1,FALSE)</f>
        <v>3.7416616988497218</v>
      </c>
      <c r="AI72" s="43">
        <f t="shared" si="51"/>
        <v>0</v>
      </c>
      <c r="AJ72" s="43">
        <f t="shared" si="52"/>
        <v>960.78389103063159</v>
      </c>
      <c r="AK72" s="43">
        <f>HLOOKUP(I72,ElecAvoidedCostsWOCC!$A$5:$Q$50,G72+1,FALSE)*J72*L72</f>
        <v>0</v>
      </c>
      <c r="AL72" s="43">
        <f t="shared" si="53"/>
        <v>960.78389103063159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960.78389103063171</v>
      </c>
      <c r="AN72" s="47">
        <f t="shared" si="54"/>
        <v>1056.8622801336949</v>
      </c>
      <c r="AO72" s="46">
        <f t="shared" si="55"/>
        <v>1.871573976022417</v>
      </c>
      <c r="AP72" s="46">
        <f t="shared" si="56"/>
        <v>0.29929358141491325</v>
      </c>
    </row>
    <row r="73" spans="2:42" x14ac:dyDescent="0.25">
      <c r="B73" s="88" t="s">
        <v>15</v>
      </c>
      <c r="C73" s="60">
        <v>18230627</v>
      </c>
      <c r="D73" s="60" t="s">
        <v>76</v>
      </c>
      <c r="E73" s="37" t="s">
        <v>1665</v>
      </c>
      <c r="F73" s="38" t="s">
        <v>643</v>
      </c>
      <c r="G73" s="38">
        <v>45</v>
      </c>
      <c r="H73" s="38">
        <v>0</v>
      </c>
      <c r="I73" s="39" t="s">
        <v>273</v>
      </c>
      <c r="J73" s="40">
        <v>1500</v>
      </c>
      <c r="K73" s="487">
        <v>3.4018999999999999</v>
      </c>
      <c r="L73" s="40">
        <v>0</v>
      </c>
      <c r="M73" s="41">
        <v>100</v>
      </c>
      <c r="N73" s="41">
        <v>36.94</v>
      </c>
      <c r="O73" s="42">
        <v>5102.8499999999995</v>
      </c>
      <c r="P73" s="43">
        <v>4600</v>
      </c>
      <c r="Q73" s="43">
        <v>55410</v>
      </c>
      <c r="R73" s="44">
        <v>0</v>
      </c>
      <c r="S73" s="45"/>
      <c r="T73" s="38">
        <f t="shared" si="38"/>
        <v>45</v>
      </c>
      <c r="U73" s="46">
        <f t="shared" si="39"/>
        <v>6.8694333863997384E-2</v>
      </c>
      <c r="V73" s="47">
        <f t="shared" si="40"/>
        <v>-63.06</v>
      </c>
      <c r="W73" s="48">
        <f t="shared" si="41"/>
        <v>1.5265407525332751E-3</v>
      </c>
      <c r="X73" s="43">
        <f t="shared" si="42"/>
        <v>1536.3423653971404</v>
      </c>
      <c r="Y73" s="43">
        <f t="shared" si="43"/>
        <v>50810</v>
      </c>
      <c r="Z73" s="43">
        <f t="shared" si="44"/>
        <v>10895.359773334112</v>
      </c>
      <c r="AA73" s="49">
        <f t="shared" si="45"/>
        <v>56946.34236539714</v>
      </c>
      <c r="AB73" s="50">
        <f t="shared" si="46"/>
        <v>10201.647727840927</v>
      </c>
      <c r="AC73" s="43">
        <f t="shared" si="47"/>
        <v>53320.545285952372</v>
      </c>
      <c r="AD73" s="43">
        <f t="shared" si="48"/>
        <v>0</v>
      </c>
      <c r="AE73" s="43">
        <f t="shared" si="49"/>
        <v>0</v>
      </c>
      <c r="AF73" s="51">
        <f>HLOOKUP(I73,ElecAvoidedCostsWOCC!$A$5:$Q$50,G73+1,FALSE)</f>
        <v>3.7416616988497218</v>
      </c>
      <c r="AG73" s="43">
        <f t="shared" si="50"/>
        <v>19093.138399975305</v>
      </c>
      <c r="AH73" s="51">
        <f>HLOOKUP(I73,ElecAvoidedCostsWOCC!$A$5:$Q$50,T73+1,FALSE)</f>
        <v>3.7416616988497218</v>
      </c>
      <c r="AI73" s="43">
        <f t="shared" si="51"/>
        <v>0</v>
      </c>
      <c r="AJ73" s="43">
        <f t="shared" si="52"/>
        <v>19093.138399975305</v>
      </c>
      <c r="AK73" s="43">
        <f>HLOOKUP(I73,ElecAvoidedCostsWOCC!$A$5:$Q$50,G73+1,FALSE)*J73*L73</f>
        <v>0</v>
      </c>
      <c r="AL73" s="43">
        <f t="shared" si="53"/>
        <v>19093.138399975305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19093.138399975302</v>
      </c>
      <c r="AN73" s="47">
        <f t="shared" si="54"/>
        <v>21002.452239972834</v>
      </c>
      <c r="AO73" s="46">
        <f t="shared" si="55"/>
        <v>1.871573976022417</v>
      </c>
      <c r="AP73" s="46">
        <f t="shared" si="56"/>
        <v>0.3938904249260568</v>
      </c>
    </row>
    <row r="74" spans="2:42" x14ac:dyDescent="0.25">
      <c r="B74" s="88" t="s">
        <v>15</v>
      </c>
      <c r="C74" s="60">
        <v>18230627</v>
      </c>
      <c r="D74" s="60" t="s">
        <v>76</v>
      </c>
      <c r="E74" s="37" t="s">
        <v>1666</v>
      </c>
      <c r="F74" s="38" t="s">
        <v>1667</v>
      </c>
      <c r="G74" s="38">
        <v>45</v>
      </c>
      <c r="H74" s="38">
        <v>0</v>
      </c>
      <c r="I74" s="39" t="s">
        <v>273</v>
      </c>
      <c r="J74" s="40">
        <v>300</v>
      </c>
      <c r="K74" s="487">
        <v>3.4018999999999999</v>
      </c>
      <c r="L74" s="40">
        <v>0</v>
      </c>
      <c r="M74" s="41">
        <v>200</v>
      </c>
      <c r="N74" s="41">
        <v>36.94</v>
      </c>
      <c r="O74" s="42">
        <v>1020.5699999999999</v>
      </c>
      <c r="P74" s="43">
        <v>2000</v>
      </c>
      <c r="Q74" s="43">
        <v>11082</v>
      </c>
      <c r="R74" s="44">
        <v>0</v>
      </c>
      <c r="S74" s="45"/>
      <c r="T74" s="38">
        <f t="shared" si="38"/>
        <v>45</v>
      </c>
      <c r="U74" s="46">
        <f t="shared" si="39"/>
        <v>1.3738866772799474E-2</v>
      </c>
      <c r="V74" s="47">
        <f t="shared" si="40"/>
        <v>-163.06</v>
      </c>
      <c r="W74" s="48">
        <f t="shared" si="41"/>
        <v>3.05308150506655E-4</v>
      </c>
      <c r="X74" s="43">
        <f t="shared" si="42"/>
        <v>307.26847307942808</v>
      </c>
      <c r="Y74" s="43">
        <f t="shared" si="43"/>
        <v>9082</v>
      </c>
      <c r="Z74" s="43">
        <f t="shared" si="44"/>
        <v>2179.0719546668224</v>
      </c>
      <c r="AA74" s="49">
        <f t="shared" si="45"/>
        <v>11389.268473079428</v>
      </c>
      <c r="AB74" s="50">
        <f t="shared" si="46"/>
        <v>2040.3295455681857</v>
      </c>
      <c r="AC74" s="43">
        <f t="shared" si="47"/>
        <v>10664.109057190475</v>
      </c>
      <c r="AD74" s="43">
        <f t="shared" si="48"/>
        <v>0</v>
      </c>
      <c r="AE74" s="43">
        <f t="shared" si="49"/>
        <v>0</v>
      </c>
      <c r="AF74" s="51">
        <f>HLOOKUP(I74,ElecAvoidedCostsWOCC!$A$5:$Q$50,G74+1,FALSE)</f>
        <v>3.7416616988497218</v>
      </c>
      <c r="AG74" s="43">
        <f t="shared" si="50"/>
        <v>3818.6276799950601</v>
      </c>
      <c r="AH74" s="51">
        <f>HLOOKUP(I74,ElecAvoidedCostsWOCC!$A$5:$Q$50,T74+1,FALSE)</f>
        <v>3.7416616988497218</v>
      </c>
      <c r="AI74" s="43">
        <f t="shared" si="51"/>
        <v>0</v>
      </c>
      <c r="AJ74" s="43">
        <f t="shared" si="52"/>
        <v>3818.6276799950601</v>
      </c>
      <c r="AK74" s="43">
        <f>HLOOKUP(I74,ElecAvoidedCostsWOCC!$A$5:$Q$50,G74+1,FALSE)*J74*L74</f>
        <v>0</v>
      </c>
      <c r="AL74" s="43">
        <f t="shared" si="53"/>
        <v>3818.6276799950601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3818.6276799950606</v>
      </c>
      <c r="AN74" s="47">
        <f t="shared" si="54"/>
        <v>4200.4904479945671</v>
      </c>
      <c r="AO74" s="46">
        <f t="shared" si="55"/>
        <v>1.871573976022417</v>
      </c>
      <c r="AP74" s="46">
        <f t="shared" si="56"/>
        <v>0.3938904249260568</v>
      </c>
    </row>
    <row r="75" spans="2:42" x14ac:dyDescent="0.25">
      <c r="B75" s="88" t="s">
        <v>15</v>
      </c>
      <c r="C75" s="60">
        <v>18230627</v>
      </c>
      <c r="D75" s="60" t="s">
        <v>76</v>
      </c>
      <c r="E75" s="37" t="s">
        <v>1668</v>
      </c>
      <c r="F75" s="38" t="s">
        <v>644</v>
      </c>
      <c r="G75" s="38">
        <v>45</v>
      </c>
      <c r="H75" s="38">
        <v>0</v>
      </c>
      <c r="I75" s="39" t="s">
        <v>273</v>
      </c>
      <c r="J75" s="40">
        <v>2000</v>
      </c>
      <c r="K75" s="487">
        <v>5.2209000000000003</v>
      </c>
      <c r="L75" s="40">
        <v>0</v>
      </c>
      <c r="M75" s="41">
        <v>100</v>
      </c>
      <c r="N75" s="41">
        <v>36.94</v>
      </c>
      <c r="O75" s="42">
        <v>10441.800000000001</v>
      </c>
      <c r="P75" s="43">
        <v>6200</v>
      </c>
      <c r="Q75" s="43">
        <v>73880</v>
      </c>
      <c r="R75" s="44">
        <v>0</v>
      </c>
      <c r="S75" s="45"/>
      <c r="T75" s="38">
        <f t="shared" si="38"/>
        <v>45</v>
      </c>
      <c r="U75" s="46">
        <f t="shared" si="39"/>
        <v>0.14056703515507765</v>
      </c>
      <c r="V75" s="47">
        <f t="shared" si="40"/>
        <v>-63.06</v>
      </c>
      <c r="W75" s="48">
        <f t="shared" si="41"/>
        <v>3.1237118923350586E-3</v>
      </c>
      <c r="X75" s="43">
        <f t="shared" si="42"/>
        <v>3143.768621653363</v>
      </c>
      <c r="Y75" s="43">
        <f t="shared" si="43"/>
        <v>67680</v>
      </c>
      <c r="Z75" s="43">
        <f t="shared" si="44"/>
        <v>22294.828905650793</v>
      </c>
      <c r="AA75" s="49">
        <f t="shared" si="45"/>
        <v>77023.768621653362</v>
      </c>
      <c r="AB75" s="50">
        <f t="shared" si="46"/>
        <v>20875.307964092503</v>
      </c>
      <c r="AC75" s="43">
        <f t="shared" si="47"/>
        <v>72119.633540873925</v>
      </c>
      <c r="AD75" s="43">
        <f t="shared" si="48"/>
        <v>0</v>
      </c>
      <c r="AE75" s="43">
        <f t="shared" si="49"/>
        <v>0</v>
      </c>
      <c r="AF75" s="51">
        <f>HLOOKUP(I75,ElecAvoidedCostsWOCC!$A$5:$Q$50,G75+1,FALSE)</f>
        <v>3.7416616988497218</v>
      </c>
      <c r="AG75" s="43">
        <f t="shared" si="50"/>
        <v>39069.683127049029</v>
      </c>
      <c r="AH75" s="51">
        <f>HLOOKUP(I75,ElecAvoidedCostsWOCC!$A$5:$Q$50,T75+1,FALSE)</f>
        <v>3.7416616988497218</v>
      </c>
      <c r="AI75" s="43">
        <f t="shared" si="51"/>
        <v>0</v>
      </c>
      <c r="AJ75" s="43">
        <f t="shared" si="52"/>
        <v>39069.683127049029</v>
      </c>
      <c r="AK75" s="43">
        <f>HLOOKUP(I75,ElecAvoidedCostsWOCC!$A$5:$Q$50,G75+1,FALSE)*J75*L75</f>
        <v>0</v>
      </c>
      <c r="AL75" s="43">
        <f t="shared" si="53"/>
        <v>39069.683127049029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39069.683127049022</v>
      </c>
      <c r="AN75" s="47">
        <f t="shared" si="54"/>
        <v>42976.651439753929</v>
      </c>
      <c r="AO75" s="46">
        <f t="shared" si="55"/>
        <v>1.8715739760224166</v>
      </c>
      <c r="AP75" s="46">
        <f t="shared" si="56"/>
        <v>0.5959077900111186</v>
      </c>
    </row>
    <row r="76" spans="2:42" x14ac:dyDescent="0.25">
      <c r="B76" s="88" t="s">
        <v>15</v>
      </c>
      <c r="C76" s="60">
        <v>18230627</v>
      </c>
      <c r="D76" s="60" t="s">
        <v>76</v>
      </c>
      <c r="E76" s="37" t="s">
        <v>1669</v>
      </c>
      <c r="F76" s="38" t="s">
        <v>1670</v>
      </c>
      <c r="G76" s="38">
        <v>45</v>
      </c>
      <c r="H76" s="38">
        <v>0</v>
      </c>
      <c r="I76" s="39" t="s">
        <v>273</v>
      </c>
      <c r="J76" s="40">
        <v>200</v>
      </c>
      <c r="K76" s="487">
        <v>5.2209000000000003</v>
      </c>
      <c r="L76" s="40">
        <v>0</v>
      </c>
      <c r="M76" s="41">
        <v>200</v>
      </c>
      <c r="N76" s="41">
        <v>36.94</v>
      </c>
      <c r="O76" s="42">
        <v>1044.18</v>
      </c>
      <c r="P76" s="43">
        <v>1600</v>
      </c>
      <c r="Q76" s="43">
        <v>7388</v>
      </c>
      <c r="R76" s="44">
        <v>0</v>
      </c>
      <c r="S76" s="45"/>
      <c r="T76" s="38">
        <f t="shared" si="38"/>
        <v>45</v>
      </c>
      <c r="U76" s="46">
        <f t="shared" si="39"/>
        <v>1.4056703515507763E-2</v>
      </c>
      <c r="V76" s="47">
        <f t="shared" si="40"/>
        <v>-163.06</v>
      </c>
      <c r="W76" s="48">
        <f t="shared" si="41"/>
        <v>3.1237118923350585E-4</v>
      </c>
      <c r="X76" s="43">
        <f t="shared" si="42"/>
        <v>314.37686216533626</v>
      </c>
      <c r="Y76" s="43">
        <f t="shared" si="43"/>
        <v>5788</v>
      </c>
      <c r="Z76" s="43">
        <f t="shared" si="44"/>
        <v>2229.4828905650793</v>
      </c>
      <c r="AA76" s="49">
        <f t="shared" si="45"/>
        <v>7702.3768621653362</v>
      </c>
      <c r="AB76" s="50">
        <f t="shared" si="46"/>
        <v>2087.5307964092503</v>
      </c>
      <c r="AC76" s="43">
        <f t="shared" si="47"/>
        <v>7211.9633540873929</v>
      </c>
      <c r="AD76" s="43">
        <f t="shared" si="48"/>
        <v>0</v>
      </c>
      <c r="AE76" s="43">
        <f t="shared" si="49"/>
        <v>0</v>
      </c>
      <c r="AF76" s="51">
        <f>HLOOKUP(I76,ElecAvoidedCostsWOCC!$A$5:$Q$50,G76+1,FALSE)</f>
        <v>3.7416616988497218</v>
      </c>
      <c r="AG76" s="43">
        <f t="shared" si="50"/>
        <v>3906.9683127049029</v>
      </c>
      <c r="AH76" s="51">
        <f>HLOOKUP(I76,ElecAvoidedCostsWOCC!$A$5:$Q$50,T76+1,FALSE)</f>
        <v>3.7416616988497218</v>
      </c>
      <c r="AI76" s="43">
        <f t="shared" si="51"/>
        <v>0</v>
      </c>
      <c r="AJ76" s="43">
        <f t="shared" si="52"/>
        <v>3906.9683127049029</v>
      </c>
      <c r="AK76" s="43">
        <f>HLOOKUP(I76,ElecAvoidedCostsWOCC!$A$5:$Q$50,G76+1,FALSE)*J76*L76</f>
        <v>0</v>
      </c>
      <c r="AL76" s="43">
        <f t="shared" si="53"/>
        <v>3906.9683127049029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3906.9683127049025</v>
      </c>
      <c r="AN76" s="47">
        <f t="shared" si="54"/>
        <v>4297.6651439753932</v>
      </c>
      <c r="AO76" s="46">
        <f t="shared" si="55"/>
        <v>1.8715739760224166</v>
      </c>
      <c r="AP76" s="46">
        <f t="shared" si="56"/>
        <v>0.59590779001111871</v>
      </c>
    </row>
    <row r="77" spans="2:42" x14ac:dyDescent="0.25">
      <c r="B77" s="88" t="s">
        <v>15</v>
      </c>
      <c r="C77" s="60">
        <v>18230627</v>
      </c>
      <c r="D77" s="60" t="s">
        <v>76</v>
      </c>
      <c r="E77" s="37" t="s">
        <v>1671</v>
      </c>
      <c r="F77" s="38" t="s">
        <v>645</v>
      </c>
      <c r="G77" s="38">
        <v>45</v>
      </c>
      <c r="H77" s="38">
        <v>0</v>
      </c>
      <c r="I77" s="39" t="s">
        <v>273</v>
      </c>
      <c r="J77" s="40">
        <v>18000</v>
      </c>
      <c r="K77" s="487">
        <v>0.35260000000000002</v>
      </c>
      <c r="L77" s="40">
        <v>0</v>
      </c>
      <c r="M77" s="41">
        <v>0</v>
      </c>
      <c r="N77" s="41">
        <v>0</v>
      </c>
      <c r="O77" s="42">
        <v>6346.8</v>
      </c>
      <c r="P77" s="43">
        <v>0</v>
      </c>
      <c r="Q77" s="43">
        <v>0</v>
      </c>
      <c r="R77" s="44">
        <v>0</v>
      </c>
      <c r="S77" s="45"/>
      <c r="T77" s="38">
        <f t="shared" si="38"/>
        <v>45</v>
      </c>
      <c r="U77" s="46">
        <f t="shared" si="39"/>
        <v>8.5440332004275768E-2</v>
      </c>
      <c r="V77" s="47">
        <f t="shared" si="40"/>
        <v>0</v>
      </c>
      <c r="W77" s="48">
        <f t="shared" si="41"/>
        <v>1.8986740445394615E-3</v>
      </c>
      <c r="X77" s="43">
        <f t="shared" si="42"/>
        <v>1910.8650508446401</v>
      </c>
      <c r="Y77" s="43">
        <f t="shared" si="43"/>
        <v>0</v>
      </c>
      <c r="Z77" s="43">
        <f t="shared" si="44"/>
        <v>13551.381955063729</v>
      </c>
      <c r="AA77" s="49">
        <f t="shared" si="45"/>
        <v>1910.8650508446401</v>
      </c>
      <c r="AB77" s="50">
        <f t="shared" si="46"/>
        <v>12688.559883018472</v>
      </c>
      <c r="AC77" s="43">
        <f t="shared" si="47"/>
        <v>1789.1994858095879</v>
      </c>
      <c r="AD77" s="43">
        <f t="shared" si="48"/>
        <v>0</v>
      </c>
      <c r="AE77" s="43">
        <f t="shared" si="49"/>
        <v>0</v>
      </c>
      <c r="AF77" s="51">
        <f>HLOOKUP(I77,ElecAvoidedCostsWOCC!$A$5:$Q$50,G77+1,FALSE)</f>
        <v>3.7416616988497218</v>
      </c>
      <c r="AG77" s="43">
        <f t="shared" si="50"/>
        <v>23747.578470259414</v>
      </c>
      <c r="AH77" s="51">
        <f>HLOOKUP(I77,ElecAvoidedCostsWOCC!$A$5:$Q$50,T77+1,FALSE)</f>
        <v>3.7416616988497218</v>
      </c>
      <c r="AI77" s="43">
        <f t="shared" si="51"/>
        <v>0</v>
      </c>
      <c r="AJ77" s="43">
        <f t="shared" si="52"/>
        <v>23747.578470259414</v>
      </c>
      <c r="AK77" s="43">
        <f>HLOOKUP(I77,ElecAvoidedCostsWOCC!$A$5:$Q$50,G77+1,FALSE)*J77*L77</f>
        <v>0</v>
      </c>
      <c r="AL77" s="43">
        <f t="shared" si="53"/>
        <v>23747.578470259414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23747.578470259417</v>
      </c>
      <c r="AN77" s="47">
        <f t="shared" si="54"/>
        <v>26122.336317285361</v>
      </c>
      <c r="AO77" s="46">
        <f t="shared" si="55"/>
        <v>1.871573976022417</v>
      </c>
      <c r="AP77" s="46">
        <f t="shared" si="56"/>
        <v>14.600013315712175</v>
      </c>
    </row>
    <row r="78" spans="2:42" x14ac:dyDescent="0.25">
      <c r="B78" s="88" t="s">
        <v>15</v>
      </c>
      <c r="C78" s="60">
        <v>18230627</v>
      </c>
      <c r="D78" s="60" t="s">
        <v>76</v>
      </c>
      <c r="E78" s="37" t="s">
        <v>1672</v>
      </c>
      <c r="F78" s="38" t="s">
        <v>1673</v>
      </c>
      <c r="G78" s="38">
        <v>45</v>
      </c>
      <c r="H78" s="38">
        <v>0</v>
      </c>
      <c r="I78" s="39" t="s">
        <v>273</v>
      </c>
      <c r="J78" s="40">
        <v>500</v>
      </c>
      <c r="K78" s="487">
        <v>0.35260000000000002</v>
      </c>
      <c r="L78" s="40">
        <v>0</v>
      </c>
      <c r="M78" s="41">
        <v>0</v>
      </c>
      <c r="N78" s="41">
        <v>0</v>
      </c>
      <c r="O78" s="42">
        <v>176.3</v>
      </c>
      <c r="P78" s="43">
        <v>0</v>
      </c>
      <c r="Q78" s="43">
        <v>0</v>
      </c>
      <c r="R78" s="44">
        <v>0</v>
      </c>
      <c r="S78" s="45"/>
      <c r="T78" s="38">
        <f t="shared" si="38"/>
        <v>45</v>
      </c>
      <c r="U78" s="46">
        <f t="shared" si="39"/>
        <v>2.3733425556743269E-3</v>
      </c>
      <c r="V78" s="47">
        <f t="shared" si="40"/>
        <v>0</v>
      </c>
      <c r="W78" s="48">
        <f t="shared" si="41"/>
        <v>5.2740945681651714E-5</v>
      </c>
      <c r="X78" s="43">
        <f t="shared" si="42"/>
        <v>53.079584745684457</v>
      </c>
      <c r="Y78" s="43">
        <f t="shared" si="43"/>
        <v>0</v>
      </c>
      <c r="Z78" s="43">
        <f t="shared" si="44"/>
        <v>376.42727652954807</v>
      </c>
      <c r="AA78" s="49">
        <f t="shared" si="45"/>
        <v>53.079584745684457</v>
      </c>
      <c r="AB78" s="50">
        <f t="shared" si="46"/>
        <v>352.45999675051314</v>
      </c>
      <c r="AC78" s="43">
        <f t="shared" si="47"/>
        <v>49.699985716933007</v>
      </c>
      <c r="AD78" s="43">
        <f t="shared" si="48"/>
        <v>0</v>
      </c>
      <c r="AE78" s="43">
        <f t="shared" si="49"/>
        <v>0</v>
      </c>
      <c r="AF78" s="51">
        <f>HLOOKUP(I78,ElecAvoidedCostsWOCC!$A$5:$Q$50,G78+1,FALSE)</f>
        <v>3.7416616988497218</v>
      </c>
      <c r="AG78" s="43">
        <f t="shared" si="50"/>
        <v>659.65495750720595</v>
      </c>
      <c r="AH78" s="51">
        <f>HLOOKUP(I78,ElecAvoidedCostsWOCC!$A$5:$Q$50,T78+1,FALSE)</f>
        <v>3.7416616988497218</v>
      </c>
      <c r="AI78" s="43">
        <f t="shared" si="51"/>
        <v>0</v>
      </c>
      <c r="AJ78" s="43">
        <f t="shared" si="52"/>
        <v>659.65495750720595</v>
      </c>
      <c r="AK78" s="43">
        <f>HLOOKUP(I78,ElecAvoidedCostsWOCC!$A$5:$Q$50,G78+1,FALSE)*J78*L78</f>
        <v>0</v>
      </c>
      <c r="AL78" s="43">
        <f t="shared" si="53"/>
        <v>659.65495750720595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659.65495750720606</v>
      </c>
      <c r="AN78" s="47">
        <f t="shared" si="54"/>
        <v>725.62045325792678</v>
      </c>
      <c r="AO78" s="46">
        <f t="shared" si="55"/>
        <v>1.871573976022417</v>
      </c>
      <c r="AP78" s="46">
        <f t="shared" si="56"/>
        <v>14.600013315712175</v>
      </c>
    </row>
    <row r="79" spans="2:42" x14ac:dyDescent="0.25">
      <c r="B79" s="88" t="s">
        <v>15</v>
      </c>
      <c r="C79" s="60">
        <v>18230627</v>
      </c>
      <c r="D79" s="60" t="s">
        <v>76</v>
      </c>
      <c r="E79" s="37" t="s">
        <v>1674</v>
      </c>
      <c r="F79" s="38" t="s">
        <v>646</v>
      </c>
      <c r="G79" s="38">
        <v>45</v>
      </c>
      <c r="H79" s="38">
        <v>0</v>
      </c>
      <c r="I79" s="39" t="s">
        <v>273</v>
      </c>
      <c r="J79" s="40">
        <v>3000</v>
      </c>
      <c r="K79" s="487">
        <v>3.2793000000000001</v>
      </c>
      <c r="L79" s="40">
        <v>0</v>
      </c>
      <c r="M79" s="41">
        <v>100</v>
      </c>
      <c r="N79" s="41">
        <v>36.94</v>
      </c>
      <c r="O79" s="42">
        <v>9837.9</v>
      </c>
      <c r="P79" s="43">
        <v>9200</v>
      </c>
      <c r="Q79" s="43">
        <v>110820</v>
      </c>
      <c r="R79" s="44">
        <v>0</v>
      </c>
      <c r="S79" s="45"/>
      <c r="T79" s="38">
        <f t="shared" si="38"/>
        <v>45</v>
      </c>
      <c r="U79" s="46">
        <f t="shared" si="39"/>
        <v>0.13243736091020111</v>
      </c>
      <c r="V79" s="47">
        <f t="shared" si="40"/>
        <v>-63.06</v>
      </c>
      <c r="W79" s="48">
        <f t="shared" si="41"/>
        <v>2.943052464671136E-3</v>
      </c>
      <c r="X79" s="43">
        <f t="shared" si="42"/>
        <v>2961.9492159362958</v>
      </c>
      <c r="Y79" s="43">
        <f t="shared" si="43"/>
        <v>101620</v>
      </c>
      <c r="Z79" s="43">
        <f t="shared" si="44"/>
        <v>21005.410685025752</v>
      </c>
      <c r="AA79" s="49">
        <f t="shared" si="45"/>
        <v>113781.9492159363</v>
      </c>
      <c r="AB79" s="50">
        <f t="shared" si="46"/>
        <v>19667.987532795647</v>
      </c>
      <c r="AC79" s="43">
        <f t="shared" si="47"/>
        <v>106537.40563289916</v>
      </c>
      <c r="AD79" s="43">
        <f t="shared" si="48"/>
        <v>0</v>
      </c>
      <c r="AE79" s="43">
        <f t="shared" si="49"/>
        <v>0</v>
      </c>
      <c r="AF79" s="51">
        <f>HLOOKUP(I79,ElecAvoidedCostsWOCC!$A$5:$Q$50,G79+1,FALSE)</f>
        <v>3.7416616988497218</v>
      </c>
      <c r="AG79" s="43">
        <f t="shared" si="50"/>
        <v>36810.093627113682</v>
      </c>
      <c r="AH79" s="51">
        <f>HLOOKUP(I79,ElecAvoidedCostsWOCC!$A$5:$Q$50,T79+1,FALSE)</f>
        <v>3.7416616988497218</v>
      </c>
      <c r="AI79" s="43">
        <f t="shared" si="51"/>
        <v>0</v>
      </c>
      <c r="AJ79" s="43">
        <f t="shared" si="52"/>
        <v>36810.093627113682</v>
      </c>
      <c r="AK79" s="43">
        <f>HLOOKUP(I79,ElecAvoidedCostsWOCC!$A$5:$Q$50,G79+1,FALSE)*J79*L79</f>
        <v>0</v>
      </c>
      <c r="AL79" s="43">
        <f t="shared" si="53"/>
        <v>36810.093627113682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36810.093627113674</v>
      </c>
      <c r="AN79" s="47">
        <f t="shared" si="54"/>
        <v>40491.102989825042</v>
      </c>
      <c r="AO79" s="46">
        <f t="shared" si="55"/>
        <v>1.8715739760224168</v>
      </c>
      <c r="AP79" s="46">
        <f t="shared" si="56"/>
        <v>0.38006466132042954</v>
      </c>
    </row>
    <row r="80" spans="2:42" x14ac:dyDescent="0.25">
      <c r="B80" s="88" t="s">
        <v>15</v>
      </c>
      <c r="C80" s="60">
        <v>18230627</v>
      </c>
      <c r="D80" s="60" t="s">
        <v>76</v>
      </c>
      <c r="E80" s="37" t="s">
        <v>1675</v>
      </c>
      <c r="F80" s="38" t="s">
        <v>1676</v>
      </c>
      <c r="G80" s="38">
        <v>45</v>
      </c>
      <c r="H80" s="38">
        <v>0</v>
      </c>
      <c r="I80" s="39" t="s">
        <v>273</v>
      </c>
      <c r="J80" s="40">
        <v>100</v>
      </c>
      <c r="K80" s="487">
        <v>3.2793000000000001</v>
      </c>
      <c r="L80" s="40">
        <v>0</v>
      </c>
      <c r="M80" s="41">
        <v>200</v>
      </c>
      <c r="N80" s="41">
        <v>36.94</v>
      </c>
      <c r="O80" s="42">
        <v>327.93</v>
      </c>
      <c r="P80" s="43">
        <v>800</v>
      </c>
      <c r="Q80" s="43">
        <v>3694</v>
      </c>
      <c r="R80" s="44">
        <v>0</v>
      </c>
      <c r="S80" s="45"/>
      <c r="T80" s="38">
        <f t="shared" si="38"/>
        <v>45</v>
      </c>
      <c r="U80" s="46">
        <f t="shared" si="39"/>
        <v>4.4145786970067047E-3</v>
      </c>
      <c r="V80" s="47">
        <f t="shared" si="40"/>
        <v>-163.06</v>
      </c>
      <c r="W80" s="48">
        <f t="shared" si="41"/>
        <v>9.8101748822371218E-5</v>
      </c>
      <c r="X80" s="43">
        <f t="shared" si="42"/>
        <v>98.731640531209877</v>
      </c>
      <c r="Y80" s="43">
        <f t="shared" si="43"/>
        <v>2894</v>
      </c>
      <c r="Z80" s="43">
        <f t="shared" si="44"/>
        <v>700.18035616752525</v>
      </c>
      <c r="AA80" s="49">
        <f t="shared" si="45"/>
        <v>3792.7316405312099</v>
      </c>
      <c r="AB80" s="50">
        <f t="shared" si="46"/>
        <v>655.59958442652169</v>
      </c>
      <c r="AC80" s="43">
        <f t="shared" si="47"/>
        <v>3551.2468544299718</v>
      </c>
      <c r="AD80" s="43">
        <f t="shared" si="48"/>
        <v>0</v>
      </c>
      <c r="AE80" s="43">
        <f t="shared" si="49"/>
        <v>0</v>
      </c>
      <c r="AF80" s="51">
        <f>HLOOKUP(I80,ElecAvoidedCostsWOCC!$A$5:$Q$50,G80+1,FALSE)</f>
        <v>3.7416616988497218</v>
      </c>
      <c r="AG80" s="43">
        <f t="shared" si="50"/>
        <v>1227.0031209037893</v>
      </c>
      <c r="AH80" s="51">
        <f>HLOOKUP(I80,ElecAvoidedCostsWOCC!$A$5:$Q$50,T80+1,FALSE)</f>
        <v>3.7416616988497218</v>
      </c>
      <c r="AI80" s="43">
        <f t="shared" si="51"/>
        <v>0</v>
      </c>
      <c r="AJ80" s="43">
        <f t="shared" si="52"/>
        <v>1227.0031209037893</v>
      </c>
      <c r="AK80" s="43">
        <f>HLOOKUP(I80,ElecAvoidedCostsWOCC!$A$5:$Q$50,G80+1,FALSE)*J80*L80</f>
        <v>0</v>
      </c>
      <c r="AL80" s="43">
        <f t="shared" si="53"/>
        <v>1227.0031209037893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1227.0031209037893</v>
      </c>
      <c r="AN80" s="47">
        <f t="shared" si="54"/>
        <v>1349.7034329941682</v>
      </c>
      <c r="AO80" s="46">
        <f t="shared" si="55"/>
        <v>1.8715739760224168</v>
      </c>
      <c r="AP80" s="46">
        <f t="shared" si="56"/>
        <v>0.3800646613204296</v>
      </c>
    </row>
    <row r="81" spans="2:42" x14ac:dyDescent="0.25">
      <c r="B81" s="88" t="s">
        <v>15</v>
      </c>
      <c r="C81" s="60">
        <v>18230627</v>
      </c>
      <c r="D81" s="60" t="s">
        <v>76</v>
      </c>
      <c r="E81" s="37" t="s">
        <v>1677</v>
      </c>
      <c r="F81" s="38" t="s">
        <v>647</v>
      </c>
      <c r="G81" s="38">
        <v>45</v>
      </c>
      <c r="H81" s="38">
        <v>0</v>
      </c>
      <c r="I81" s="39" t="s">
        <v>273</v>
      </c>
      <c r="J81" s="40">
        <v>3500</v>
      </c>
      <c r="K81" s="487">
        <v>4.9474999999999998</v>
      </c>
      <c r="L81" s="40">
        <v>0</v>
      </c>
      <c r="M81" s="41">
        <v>100</v>
      </c>
      <c r="N81" s="41">
        <v>36.94</v>
      </c>
      <c r="O81" s="42">
        <v>17316.25</v>
      </c>
      <c r="P81" s="43">
        <v>10800</v>
      </c>
      <c r="Q81" s="43">
        <v>129289.99999999999</v>
      </c>
      <c r="R81" s="44">
        <v>0</v>
      </c>
      <c r="S81" s="45"/>
      <c r="T81" s="38">
        <f t="shared" si="38"/>
        <v>45</v>
      </c>
      <c r="U81" s="46">
        <f t="shared" si="39"/>
        <v>0.23311056738341213</v>
      </c>
      <c r="V81" s="47">
        <f t="shared" si="40"/>
        <v>-63.06</v>
      </c>
      <c r="W81" s="48">
        <f t="shared" si="41"/>
        <v>5.1802348307424919E-3</v>
      </c>
      <c r="X81" s="43">
        <f t="shared" si="42"/>
        <v>5213.496082543722</v>
      </c>
      <c r="Y81" s="43">
        <f t="shared" si="43"/>
        <v>118489.99999999999</v>
      </c>
      <c r="Z81" s="43">
        <f t="shared" si="44"/>
        <v>36972.823750452553</v>
      </c>
      <c r="AA81" s="49">
        <f t="shared" si="45"/>
        <v>134503.49608254372</v>
      </c>
      <c r="AB81" s="50">
        <f t="shared" si="46"/>
        <v>34618.748830011755</v>
      </c>
      <c r="AC81" s="43">
        <f t="shared" si="47"/>
        <v>125939.60307354279</v>
      </c>
      <c r="AD81" s="43">
        <f t="shared" si="48"/>
        <v>0</v>
      </c>
      <c r="AE81" s="43">
        <f t="shared" si="49"/>
        <v>0</v>
      </c>
      <c r="AF81" s="51">
        <f>HLOOKUP(I81,ElecAvoidedCostsWOCC!$A$5:$Q$50,G81+1,FALSE)</f>
        <v>3.7416616988497218</v>
      </c>
      <c r="AG81" s="43">
        <f t="shared" si="50"/>
        <v>64791.549392706489</v>
      </c>
      <c r="AH81" s="51">
        <f>HLOOKUP(I81,ElecAvoidedCostsWOCC!$A$5:$Q$50,T81+1,FALSE)</f>
        <v>3.7416616988497218</v>
      </c>
      <c r="AI81" s="43">
        <f t="shared" si="51"/>
        <v>0</v>
      </c>
      <c r="AJ81" s="43">
        <f t="shared" si="52"/>
        <v>64791.549392706489</v>
      </c>
      <c r="AK81" s="43">
        <f>HLOOKUP(I81,ElecAvoidedCostsWOCC!$A$5:$Q$50,G81+1,FALSE)*J81*L81</f>
        <v>0</v>
      </c>
      <c r="AL81" s="43">
        <f t="shared" si="53"/>
        <v>64791.549392706489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64791.549392706496</v>
      </c>
      <c r="AN81" s="47">
        <f t="shared" si="54"/>
        <v>71270.704331977147</v>
      </c>
      <c r="AO81" s="46">
        <f t="shared" si="55"/>
        <v>1.871573976022417</v>
      </c>
      <c r="AP81" s="46">
        <f t="shared" si="56"/>
        <v>0.56591177510983903</v>
      </c>
    </row>
    <row r="82" spans="2:42" x14ac:dyDescent="0.25">
      <c r="B82" s="88" t="s">
        <v>15</v>
      </c>
      <c r="C82" s="60">
        <v>18230627</v>
      </c>
      <c r="D82" s="60" t="s">
        <v>76</v>
      </c>
      <c r="E82" s="37" t="s">
        <v>1678</v>
      </c>
      <c r="F82" s="38" t="s">
        <v>648</v>
      </c>
      <c r="G82" s="38">
        <v>45</v>
      </c>
      <c r="H82" s="38">
        <v>0</v>
      </c>
      <c r="I82" s="39" t="s">
        <v>273</v>
      </c>
      <c r="J82" s="40">
        <v>500</v>
      </c>
      <c r="K82" s="487">
        <v>4.9474999999999998</v>
      </c>
      <c r="L82" s="40">
        <v>0</v>
      </c>
      <c r="M82" s="41">
        <v>200</v>
      </c>
      <c r="N82" s="41">
        <v>36.94</v>
      </c>
      <c r="O82" s="42">
        <v>2473.75</v>
      </c>
      <c r="P82" s="43">
        <v>3200</v>
      </c>
      <c r="Q82" s="43">
        <v>18470</v>
      </c>
      <c r="R82" s="44">
        <v>0</v>
      </c>
      <c r="S82" s="45"/>
      <c r="T82" s="38">
        <f t="shared" si="38"/>
        <v>45</v>
      </c>
      <c r="U82" s="46">
        <f t="shared" si="39"/>
        <v>3.3301509626201736E-2</v>
      </c>
      <c r="V82" s="47">
        <f t="shared" si="40"/>
        <v>-163.06</v>
      </c>
      <c r="W82" s="48">
        <f t="shared" si="41"/>
        <v>7.4003354724892746E-4</v>
      </c>
      <c r="X82" s="43">
        <f t="shared" si="42"/>
        <v>744.78515464910322</v>
      </c>
      <c r="Y82" s="43">
        <f t="shared" si="43"/>
        <v>15270</v>
      </c>
      <c r="Z82" s="43">
        <f t="shared" si="44"/>
        <v>5281.8319643503646</v>
      </c>
      <c r="AA82" s="49">
        <f t="shared" si="45"/>
        <v>19214.785154649104</v>
      </c>
      <c r="AB82" s="50">
        <f t="shared" si="46"/>
        <v>4945.5355471445355</v>
      </c>
      <c r="AC82" s="43">
        <f t="shared" si="47"/>
        <v>17991.371867648973</v>
      </c>
      <c r="AD82" s="43">
        <f t="shared" si="48"/>
        <v>0</v>
      </c>
      <c r="AE82" s="43">
        <f t="shared" si="49"/>
        <v>0</v>
      </c>
      <c r="AF82" s="51">
        <f>HLOOKUP(I82,ElecAvoidedCostsWOCC!$A$5:$Q$50,G82+1,FALSE)</f>
        <v>3.7416616988497218</v>
      </c>
      <c r="AG82" s="43">
        <f t="shared" si="50"/>
        <v>9255.9356275294995</v>
      </c>
      <c r="AH82" s="51">
        <f>HLOOKUP(I82,ElecAvoidedCostsWOCC!$A$5:$Q$50,T82+1,FALSE)</f>
        <v>3.7416616988497218</v>
      </c>
      <c r="AI82" s="43">
        <f t="shared" si="51"/>
        <v>0</v>
      </c>
      <c r="AJ82" s="43">
        <f t="shared" si="52"/>
        <v>9255.9356275294995</v>
      </c>
      <c r="AK82" s="43">
        <f>HLOOKUP(I82,ElecAvoidedCostsWOCC!$A$5:$Q$50,G82+1,FALSE)*J82*L82</f>
        <v>0</v>
      </c>
      <c r="AL82" s="43">
        <f t="shared" si="53"/>
        <v>9255.9356275294995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9255.9356275294995</v>
      </c>
      <c r="AN82" s="47">
        <f t="shared" si="54"/>
        <v>10181.52919028245</v>
      </c>
      <c r="AO82" s="46">
        <f t="shared" si="55"/>
        <v>1.8715739760224173</v>
      </c>
      <c r="AP82" s="46">
        <f t="shared" si="56"/>
        <v>0.56591177510983903</v>
      </c>
    </row>
    <row r="83" spans="2:42" x14ac:dyDescent="0.25">
      <c r="B83" s="88" t="s">
        <v>15</v>
      </c>
      <c r="C83" s="60">
        <v>18230627</v>
      </c>
      <c r="D83" s="60" t="s">
        <v>76</v>
      </c>
      <c r="E83" s="37" t="s">
        <v>1679</v>
      </c>
      <c r="F83" s="38" t="s">
        <v>1680</v>
      </c>
      <c r="G83" s="38">
        <v>45</v>
      </c>
      <c r="H83" s="38">
        <v>0</v>
      </c>
      <c r="I83" s="39" t="s">
        <v>273</v>
      </c>
      <c r="J83" s="40">
        <v>28000</v>
      </c>
      <c r="K83" s="487">
        <v>4.6673999999999998</v>
      </c>
      <c r="L83" s="40">
        <v>0</v>
      </c>
      <c r="M83" s="41">
        <v>50</v>
      </c>
      <c r="N83" s="41">
        <v>31.8</v>
      </c>
      <c r="O83" s="42">
        <v>130687.2</v>
      </c>
      <c r="P83" s="43">
        <v>77800</v>
      </c>
      <c r="Q83" s="43">
        <v>890400</v>
      </c>
      <c r="R83" s="44">
        <v>8.9999999999999998E-4</v>
      </c>
      <c r="S83" s="45"/>
      <c r="T83" s="38">
        <f t="shared" si="38"/>
        <v>45</v>
      </c>
      <c r="U83" s="46">
        <f t="shared" si="39"/>
        <v>1.7593051233234365</v>
      </c>
      <c r="V83" s="47">
        <f t="shared" si="40"/>
        <v>-18.2</v>
      </c>
      <c r="W83" s="48">
        <f t="shared" si="41"/>
        <v>3.9095669407187478E-2</v>
      </c>
      <c r="X83" s="43">
        <f t="shared" si="42"/>
        <v>39346.69488131714</v>
      </c>
      <c r="Y83" s="43">
        <f t="shared" si="43"/>
        <v>812600</v>
      </c>
      <c r="Z83" s="43">
        <f t="shared" si="44"/>
        <v>279037.02083535079</v>
      </c>
      <c r="AA83" s="49">
        <f t="shared" si="45"/>
        <v>929746.69488131709</v>
      </c>
      <c r="AB83" s="50">
        <f t="shared" si="46"/>
        <v>261270.61875969174</v>
      </c>
      <c r="AC83" s="43">
        <f t="shared" si="47"/>
        <v>870549.3397765141</v>
      </c>
      <c r="AD83" s="43">
        <f t="shared" si="48"/>
        <v>351.39336168009811</v>
      </c>
      <c r="AE83" s="43">
        <f t="shared" si="49"/>
        <v>0</v>
      </c>
      <c r="AF83" s="51">
        <f>HLOOKUP(I83,ElecAvoidedCostsWOCC!$A$5:$Q$50,G83+1,FALSE)</f>
        <v>3.7416616988497218</v>
      </c>
      <c r="AG83" s="43">
        <f t="shared" si="50"/>
        <v>488987.29076991329</v>
      </c>
      <c r="AH83" s="51">
        <f>HLOOKUP(I83,ElecAvoidedCostsWOCC!$A$5:$Q$50,T83+1,FALSE)</f>
        <v>3.7416616988497218</v>
      </c>
      <c r="AI83" s="43">
        <f t="shared" si="51"/>
        <v>0</v>
      </c>
      <c r="AJ83" s="43">
        <f t="shared" si="52"/>
        <v>488987.29076991329</v>
      </c>
      <c r="AK83" s="43">
        <f>HLOOKUP(I83,ElecAvoidedCostsWOCC!$A$5:$Q$50,G83+1,FALSE)*J83*L83</f>
        <v>0</v>
      </c>
      <c r="AL83" s="43">
        <f t="shared" si="53"/>
        <v>488987.29076991329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488987.29076991329</v>
      </c>
      <c r="AN83" s="47">
        <f t="shared" si="54"/>
        <v>538237.41320858477</v>
      </c>
      <c r="AO83" s="46">
        <f t="shared" si="55"/>
        <v>1.8715739760224166</v>
      </c>
      <c r="AP83" s="46">
        <f t="shared" si="56"/>
        <v>0.61827330010583903</v>
      </c>
    </row>
    <row r="84" spans="2:42" x14ac:dyDescent="0.25">
      <c r="B84" s="88" t="s">
        <v>15</v>
      </c>
      <c r="C84" s="60">
        <v>18230627</v>
      </c>
      <c r="D84" s="60" t="s">
        <v>76</v>
      </c>
      <c r="E84" s="37" t="s">
        <v>1681</v>
      </c>
      <c r="F84" s="38" t="s">
        <v>1682</v>
      </c>
      <c r="G84" s="38">
        <v>25</v>
      </c>
      <c r="H84" s="38">
        <v>0</v>
      </c>
      <c r="I84" s="39" t="s">
        <v>273</v>
      </c>
      <c r="J84" s="40">
        <v>16500</v>
      </c>
      <c r="K84" s="487">
        <v>16.535299999999999</v>
      </c>
      <c r="L84" s="40">
        <v>0</v>
      </c>
      <c r="M84" s="41">
        <v>200</v>
      </c>
      <c r="N84" s="41">
        <v>26.07</v>
      </c>
      <c r="O84" s="42">
        <v>272832.45</v>
      </c>
      <c r="P84" s="43">
        <v>183600</v>
      </c>
      <c r="Q84" s="43">
        <v>430155</v>
      </c>
      <c r="R84" s="44">
        <v>3.3E-3</v>
      </c>
      <c r="S84" s="45"/>
      <c r="T84" s="38">
        <f t="shared" si="38"/>
        <v>25</v>
      </c>
      <c r="U84" s="46">
        <f t="shared" si="39"/>
        <v>2.040476662739926</v>
      </c>
      <c r="V84" s="47">
        <f t="shared" si="40"/>
        <v>-173.93</v>
      </c>
      <c r="W84" s="48">
        <f t="shared" si="41"/>
        <v>8.1619066509597035E-2</v>
      </c>
      <c r="X84" s="43">
        <f t="shared" si="42"/>
        <v>82143.126211841838</v>
      </c>
      <c r="Y84" s="43">
        <f t="shared" si="43"/>
        <v>246555</v>
      </c>
      <c r="Z84" s="43">
        <f t="shared" si="44"/>
        <v>582538.71867489559</v>
      </c>
      <c r="AA84" s="49">
        <f t="shared" si="45"/>
        <v>512298.12621184182</v>
      </c>
      <c r="AB84" s="50">
        <f t="shared" si="46"/>
        <v>545448.23845964007</v>
      </c>
      <c r="AC84" s="43">
        <f t="shared" si="47"/>
        <v>479679.8934567807</v>
      </c>
      <c r="AD84" s="43">
        <f t="shared" si="48"/>
        <v>646.13594752055087</v>
      </c>
      <c r="AE84" s="43">
        <f t="shared" si="49"/>
        <v>0</v>
      </c>
      <c r="AF84" s="51">
        <f>HLOOKUP(I84,ElecAvoidedCostsWOCC!$A$5:$Q$50,G84+1,FALSE)</f>
        <v>2.3312175480570905</v>
      </c>
      <c r="AG84" s="43">
        <f t="shared" si="50"/>
        <v>636031.79511940863</v>
      </c>
      <c r="AH84" s="51">
        <f>HLOOKUP(I84,ElecAvoidedCostsWOCC!$A$5:$Q$50,T84+1,FALSE)</f>
        <v>2.3312175480570905</v>
      </c>
      <c r="AI84" s="43">
        <f t="shared" si="51"/>
        <v>0</v>
      </c>
      <c r="AJ84" s="43">
        <f t="shared" si="52"/>
        <v>636031.79511940863</v>
      </c>
      <c r="AK84" s="43">
        <f>HLOOKUP(I84,ElecAvoidedCostsWOCC!$A$5:$Q$50,G84+1,FALSE)*J84*L84</f>
        <v>0</v>
      </c>
      <c r="AL84" s="43">
        <f t="shared" si="53"/>
        <v>636031.79511940863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636031.79511940875</v>
      </c>
      <c r="AN84" s="47">
        <f t="shared" si="54"/>
        <v>700281.11057887017</v>
      </c>
      <c r="AO84" s="46">
        <f t="shared" si="55"/>
        <v>1.1660717741349371</v>
      </c>
      <c r="AP84" s="46">
        <f t="shared" si="56"/>
        <v>1.4598925661285107</v>
      </c>
    </row>
    <row r="85" spans="2:42" x14ac:dyDescent="0.25">
      <c r="B85" s="88" t="s">
        <v>15</v>
      </c>
      <c r="C85" s="60">
        <v>18230627</v>
      </c>
      <c r="D85" s="60" t="s">
        <v>76</v>
      </c>
      <c r="E85" s="37" t="s">
        <v>1683</v>
      </c>
      <c r="F85" s="38" t="s">
        <v>1684</v>
      </c>
      <c r="G85" s="38">
        <v>25</v>
      </c>
      <c r="H85" s="38">
        <v>0</v>
      </c>
      <c r="I85" s="39" t="s">
        <v>273</v>
      </c>
      <c r="J85" s="40">
        <v>1200</v>
      </c>
      <c r="K85" s="487">
        <v>0.56140000000000001</v>
      </c>
      <c r="L85" s="40">
        <v>0</v>
      </c>
      <c r="M85" s="41">
        <v>0</v>
      </c>
      <c r="N85" s="41">
        <v>0</v>
      </c>
      <c r="O85" s="42">
        <v>673.68000000000006</v>
      </c>
      <c r="P85" s="43">
        <v>0</v>
      </c>
      <c r="Q85" s="43">
        <v>0</v>
      </c>
      <c r="R85" s="44">
        <v>0</v>
      </c>
      <c r="S85" s="45"/>
      <c r="T85" s="38">
        <f t="shared" si="38"/>
        <v>25</v>
      </c>
      <c r="U85" s="46">
        <f t="shared" si="39"/>
        <v>5.0383607893952249E-3</v>
      </c>
      <c r="V85" s="47">
        <f t="shared" si="40"/>
        <v>0</v>
      </c>
      <c r="W85" s="48">
        <f t="shared" si="41"/>
        <v>2.0153443157580898E-4</v>
      </c>
      <c r="X85" s="43">
        <f t="shared" si="42"/>
        <v>202.82844385407091</v>
      </c>
      <c r="Y85" s="43">
        <f t="shared" si="43"/>
        <v>0</v>
      </c>
      <c r="Z85" s="43">
        <f t="shared" si="44"/>
        <v>1438.4091188452974</v>
      </c>
      <c r="AA85" s="49">
        <f t="shared" si="45"/>
        <v>202.82844385407091</v>
      </c>
      <c r="AB85" s="50">
        <f t="shared" si="46"/>
        <v>1346.8250176454094</v>
      </c>
      <c r="AC85" s="43">
        <f t="shared" si="47"/>
        <v>189.91427327160196</v>
      </c>
      <c r="AD85" s="43">
        <f t="shared" si="48"/>
        <v>0</v>
      </c>
      <c r="AE85" s="43">
        <f t="shared" si="49"/>
        <v>0</v>
      </c>
      <c r="AF85" s="51">
        <f>HLOOKUP(I85,ElecAvoidedCostsWOCC!$A$5:$Q$50,G85+1,FALSE)</f>
        <v>2.3312175480570905</v>
      </c>
      <c r="AG85" s="43">
        <f t="shared" si="50"/>
        <v>1570.4946377751007</v>
      </c>
      <c r="AH85" s="51">
        <f>HLOOKUP(I85,ElecAvoidedCostsWOCC!$A$5:$Q$50,T85+1,FALSE)</f>
        <v>2.3312175480570905</v>
      </c>
      <c r="AI85" s="43">
        <f t="shared" si="51"/>
        <v>0</v>
      </c>
      <c r="AJ85" s="43">
        <f t="shared" si="52"/>
        <v>1570.4946377751007</v>
      </c>
      <c r="AK85" s="43">
        <f>HLOOKUP(I85,ElecAvoidedCostsWOCC!$A$5:$Q$50,G85+1,FALSE)*J85*L85</f>
        <v>0</v>
      </c>
      <c r="AL85" s="43">
        <f t="shared" si="53"/>
        <v>1570.4946377751007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1570.4946377751007</v>
      </c>
      <c r="AN85" s="47">
        <f t="shared" si="54"/>
        <v>1727.544101552611</v>
      </c>
      <c r="AO85" s="46">
        <f t="shared" si="55"/>
        <v>1.1660717741349373</v>
      </c>
      <c r="AP85" s="46">
        <f t="shared" si="56"/>
        <v>9.096441630176999</v>
      </c>
    </row>
    <row r="86" spans="2:42" x14ac:dyDescent="0.25">
      <c r="B86" s="88" t="s">
        <v>15</v>
      </c>
      <c r="C86" s="60">
        <v>18230627</v>
      </c>
      <c r="D86" s="60" t="s">
        <v>76</v>
      </c>
      <c r="E86" s="37" t="s">
        <v>1685</v>
      </c>
      <c r="F86" s="38" t="s">
        <v>1686</v>
      </c>
      <c r="G86" s="38">
        <v>45</v>
      </c>
      <c r="H86" s="38">
        <v>0</v>
      </c>
      <c r="I86" s="39" t="s">
        <v>273</v>
      </c>
      <c r="J86" s="40">
        <v>250000</v>
      </c>
      <c r="K86" s="487">
        <v>0.31830000000000003</v>
      </c>
      <c r="L86" s="40">
        <v>0</v>
      </c>
      <c r="M86" s="41">
        <v>0</v>
      </c>
      <c r="N86" s="41">
        <v>0</v>
      </c>
      <c r="O86" s="42">
        <v>79575</v>
      </c>
      <c r="P86" s="43">
        <v>0</v>
      </c>
      <c r="Q86" s="43">
        <v>0</v>
      </c>
      <c r="R86" s="44">
        <v>0</v>
      </c>
      <c r="S86" s="45"/>
      <c r="T86" s="38">
        <f t="shared" si="38"/>
        <v>45</v>
      </c>
      <c r="U86" s="46">
        <f t="shared" si="39"/>
        <v>1.0712350191025783</v>
      </c>
      <c r="V86" s="47">
        <f t="shared" si="40"/>
        <v>0</v>
      </c>
      <c r="W86" s="48">
        <f t="shared" si="41"/>
        <v>2.3805222646723963E-2</v>
      </c>
      <c r="X86" s="43">
        <f t="shared" si="42"/>
        <v>23958.071220294045</v>
      </c>
      <c r="Y86" s="43">
        <f t="shared" si="43"/>
        <v>0</v>
      </c>
      <c r="Z86" s="43">
        <f t="shared" si="44"/>
        <v>169904.71088961308</v>
      </c>
      <c r="AA86" s="49">
        <f t="shared" si="45"/>
        <v>23958.071220294045</v>
      </c>
      <c r="AB86" s="50">
        <f t="shared" si="46"/>
        <v>159086.80794907591</v>
      </c>
      <c r="AC86" s="43">
        <f t="shared" si="47"/>
        <v>22432.650955331501</v>
      </c>
      <c r="AD86" s="43">
        <f t="shared" si="48"/>
        <v>0</v>
      </c>
      <c r="AE86" s="43">
        <f t="shared" si="49"/>
        <v>0</v>
      </c>
      <c r="AF86" s="51">
        <f>HLOOKUP(I86,ElecAvoidedCostsWOCC!$A$5:$Q$50,G86+1,FALSE)</f>
        <v>3.7416616988497218</v>
      </c>
      <c r="AG86" s="43">
        <f t="shared" si="50"/>
        <v>297742.72968596662</v>
      </c>
      <c r="AH86" s="51">
        <f>HLOOKUP(I86,ElecAvoidedCostsWOCC!$A$5:$Q$50,T86+1,FALSE)</f>
        <v>3.7416616988497218</v>
      </c>
      <c r="AI86" s="43">
        <f t="shared" si="51"/>
        <v>0</v>
      </c>
      <c r="AJ86" s="43">
        <f t="shared" si="52"/>
        <v>297742.72968596662</v>
      </c>
      <c r="AK86" s="43">
        <f>HLOOKUP(I86,ElecAvoidedCostsWOCC!$A$5:$Q$50,G86+1,FALSE)*J86*L86</f>
        <v>0</v>
      </c>
      <c r="AL86" s="43">
        <f t="shared" si="53"/>
        <v>297742.72968596662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297742.72968596668</v>
      </c>
      <c r="AN86" s="47">
        <f t="shared" si="54"/>
        <v>327517.0026545634</v>
      </c>
      <c r="AO86" s="46">
        <f t="shared" si="55"/>
        <v>1.871573976022417</v>
      </c>
      <c r="AP86" s="46">
        <f t="shared" si="56"/>
        <v>14.600013315712177</v>
      </c>
    </row>
    <row r="87" spans="2:42" x14ac:dyDescent="0.25">
      <c r="B87" s="88" t="s">
        <v>15</v>
      </c>
      <c r="C87" s="60">
        <v>18230627</v>
      </c>
      <c r="D87" s="60" t="s">
        <v>76</v>
      </c>
      <c r="E87" s="37" t="s">
        <v>1687</v>
      </c>
      <c r="F87" s="38" t="s">
        <v>1688</v>
      </c>
      <c r="G87" s="38">
        <v>45</v>
      </c>
      <c r="H87" s="38">
        <v>0</v>
      </c>
      <c r="I87" s="39" t="s">
        <v>273</v>
      </c>
      <c r="J87" s="40">
        <v>35000</v>
      </c>
      <c r="K87" s="487">
        <v>2.8994</v>
      </c>
      <c r="L87" s="40">
        <v>0</v>
      </c>
      <c r="M87" s="41">
        <v>50</v>
      </c>
      <c r="N87" s="41">
        <v>31.8</v>
      </c>
      <c r="O87" s="42">
        <v>101479</v>
      </c>
      <c r="P87" s="43">
        <v>97300</v>
      </c>
      <c r="Q87" s="43">
        <v>1113000</v>
      </c>
      <c r="R87" s="44">
        <v>5.9999999999999995E-4</v>
      </c>
      <c r="S87" s="45"/>
      <c r="T87" s="38">
        <f t="shared" si="38"/>
        <v>45</v>
      </c>
      <c r="U87" s="46">
        <f t="shared" si="39"/>
        <v>1.3661056676532901</v>
      </c>
      <c r="V87" s="47">
        <f t="shared" si="40"/>
        <v>-18.2</v>
      </c>
      <c r="W87" s="48">
        <f t="shared" si="41"/>
        <v>3.0357903725628667E-2</v>
      </c>
      <c r="X87" s="43">
        <f t="shared" si="42"/>
        <v>30552.825753870176</v>
      </c>
      <c r="Y87" s="43">
        <f t="shared" si="43"/>
        <v>1015700</v>
      </c>
      <c r="Z87" s="43">
        <f t="shared" si="44"/>
        <v>216673.0776797618</v>
      </c>
      <c r="AA87" s="49">
        <f t="shared" si="45"/>
        <v>1143552.8257538702</v>
      </c>
      <c r="AB87" s="50">
        <f t="shared" si="46"/>
        <v>202877.41355782939</v>
      </c>
      <c r="AC87" s="43">
        <f t="shared" si="47"/>
        <v>1070742.3462114888</v>
      </c>
      <c r="AD87" s="43">
        <f t="shared" si="48"/>
        <v>292.82780140008174</v>
      </c>
      <c r="AE87" s="43">
        <f t="shared" si="49"/>
        <v>0</v>
      </c>
      <c r="AF87" s="51">
        <f>HLOOKUP(I87,ElecAvoidedCostsWOCC!$A$5:$Q$50,G87+1,FALSE)</f>
        <v>3.7416616988497218</v>
      </c>
      <c r="AG87" s="43">
        <f t="shared" si="50"/>
        <v>379700.08753757091</v>
      </c>
      <c r="AH87" s="51">
        <f>HLOOKUP(I87,ElecAvoidedCostsWOCC!$A$5:$Q$50,T87+1,FALSE)</f>
        <v>3.7416616988497218</v>
      </c>
      <c r="AI87" s="43">
        <f t="shared" si="51"/>
        <v>0</v>
      </c>
      <c r="AJ87" s="43">
        <f t="shared" si="52"/>
        <v>379700.08753757091</v>
      </c>
      <c r="AK87" s="43">
        <f>HLOOKUP(I87,ElecAvoidedCostsWOCC!$A$5:$Q$50,G87+1,FALSE)*J87*L87</f>
        <v>0</v>
      </c>
      <c r="AL87" s="43">
        <f t="shared" si="53"/>
        <v>379700.08753757091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379700.08753757091</v>
      </c>
      <c r="AN87" s="47">
        <f t="shared" si="54"/>
        <v>417962.92409272812</v>
      </c>
      <c r="AO87" s="46">
        <f t="shared" si="55"/>
        <v>1.8715739760224168</v>
      </c>
      <c r="AP87" s="46">
        <f t="shared" si="56"/>
        <v>0.39034873849116802</v>
      </c>
    </row>
    <row r="88" spans="2:42" x14ac:dyDescent="0.25">
      <c r="B88" s="88" t="s">
        <v>15</v>
      </c>
      <c r="C88" s="60">
        <v>18230627</v>
      </c>
      <c r="D88" s="60" t="s">
        <v>76</v>
      </c>
      <c r="E88" s="37" t="s">
        <v>1689</v>
      </c>
      <c r="F88" s="38" t="s">
        <v>1690</v>
      </c>
      <c r="G88" s="38">
        <v>45</v>
      </c>
      <c r="H88" s="38">
        <v>0</v>
      </c>
      <c r="I88" s="39" t="s">
        <v>273</v>
      </c>
      <c r="J88" s="40">
        <v>40000</v>
      </c>
      <c r="K88" s="487">
        <v>4.4339000000000004</v>
      </c>
      <c r="L88" s="40">
        <v>0</v>
      </c>
      <c r="M88" s="41">
        <v>50</v>
      </c>
      <c r="N88" s="41">
        <v>31.8</v>
      </c>
      <c r="O88" s="42">
        <v>177356.00000000003</v>
      </c>
      <c r="P88" s="43">
        <v>111200</v>
      </c>
      <c r="Q88" s="43">
        <v>1272000</v>
      </c>
      <c r="R88" s="44">
        <v>8.9999999999999998E-4</v>
      </c>
      <c r="S88" s="45"/>
      <c r="T88" s="38">
        <f t="shared" si="38"/>
        <v>45</v>
      </c>
      <c r="U88" s="46">
        <f t="shared" si="39"/>
        <v>2.3875583794905046</v>
      </c>
      <c r="V88" s="47">
        <f t="shared" si="40"/>
        <v>-18.2</v>
      </c>
      <c r="W88" s="48">
        <f t="shared" si="41"/>
        <v>5.3056852877566771E-2</v>
      </c>
      <c r="X88" s="43">
        <f t="shared" si="42"/>
        <v>53397.520318523042</v>
      </c>
      <c r="Y88" s="43">
        <f t="shared" si="43"/>
        <v>1160800</v>
      </c>
      <c r="Z88" s="43">
        <f t="shared" si="44"/>
        <v>378681.99691534048</v>
      </c>
      <c r="AA88" s="49">
        <f t="shared" si="45"/>
        <v>1325397.520318523</v>
      </c>
      <c r="AB88" s="50">
        <f t="shared" si="46"/>
        <v>354571.15816043114</v>
      </c>
      <c r="AC88" s="43">
        <f t="shared" si="47"/>
        <v>1241008.9141559205</v>
      </c>
      <c r="AD88" s="43">
        <f t="shared" si="48"/>
        <v>501.99051668585446</v>
      </c>
      <c r="AE88" s="43">
        <f t="shared" si="49"/>
        <v>0</v>
      </c>
      <c r="AF88" s="51">
        <f>HLOOKUP(I88,ElecAvoidedCostsWOCC!$A$5:$Q$50,G88+1,FALSE)</f>
        <v>3.7416616988497218</v>
      </c>
      <c r="AG88" s="43">
        <f t="shared" si="50"/>
        <v>663606.15226119128</v>
      </c>
      <c r="AH88" s="51">
        <f>HLOOKUP(I88,ElecAvoidedCostsWOCC!$A$5:$Q$50,T88+1,FALSE)</f>
        <v>3.7416616988497218</v>
      </c>
      <c r="AI88" s="43">
        <f t="shared" si="51"/>
        <v>0</v>
      </c>
      <c r="AJ88" s="43">
        <f t="shared" si="52"/>
        <v>663606.15226119128</v>
      </c>
      <c r="AK88" s="43">
        <f>HLOOKUP(I88,ElecAvoidedCostsWOCC!$A$5:$Q$50,G88+1,FALSE)*J88*L88</f>
        <v>0</v>
      </c>
      <c r="AL88" s="43">
        <f t="shared" si="53"/>
        <v>663606.15226119128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663606.1522611914</v>
      </c>
      <c r="AN88" s="47">
        <f t="shared" si="54"/>
        <v>730468.75800399645</v>
      </c>
      <c r="AO88" s="46">
        <f t="shared" si="55"/>
        <v>1.871573976022417</v>
      </c>
      <c r="AP88" s="46">
        <f t="shared" si="56"/>
        <v>0.58860879214621042</v>
      </c>
    </row>
    <row r="89" spans="2:42" x14ac:dyDescent="0.25">
      <c r="B89" s="88" t="s">
        <v>15</v>
      </c>
      <c r="C89" s="60">
        <v>18230627</v>
      </c>
      <c r="D89" s="60" t="s">
        <v>76</v>
      </c>
      <c r="E89" s="37" t="s">
        <v>1362</v>
      </c>
      <c r="F89" s="38" t="s">
        <v>614</v>
      </c>
      <c r="G89" s="38">
        <v>19</v>
      </c>
      <c r="H89" s="38">
        <v>0</v>
      </c>
      <c r="I89" s="39" t="s">
        <v>267</v>
      </c>
      <c r="J89" s="40">
        <v>30</v>
      </c>
      <c r="K89" s="487">
        <v>127</v>
      </c>
      <c r="L89" s="40">
        <v>0</v>
      </c>
      <c r="M89" s="41">
        <v>50</v>
      </c>
      <c r="N89" s="41">
        <v>60.87</v>
      </c>
      <c r="O89" s="42">
        <v>3810</v>
      </c>
      <c r="P89" s="43">
        <v>1500</v>
      </c>
      <c r="Q89" s="43">
        <v>1826.1</v>
      </c>
      <c r="R89" s="44">
        <v>10.2753</v>
      </c>
      <c r="S89" s="45"/>
      <c r="T89" s="38">
        <f t="shared" si="38"/>
        <v>19</v>
      </c>
      <c r="U89" s="46">
        <f t="shared" si="39"/>
        <v>2.1655797265426924E-2</v>
      </c>
      <c r="V89" s="47">
        <f t="shared" si="40"/>
        <v>10.869999999999997</v>
      </c>
      <c r="W89" s="48">
        <f t="shared" si="41"/>
        <v>1.1397788034435224E-3</v>
      </c>
      <c r="X89" s="43">
        <f t="shared" si="42"/>
        <v>1147.0970951846723</v>
      </c>
      <c r="Y89" s="43">
        <f t="shared" si="43"/>
        <v>326.09999999999991</v>
      </c>
      <c r="Z89" s="43">
        <f t="shared" si="44"/>
        <v>8134.9286646487681</v>
      </c>
      <c r="AA89" s="49">
        <f t="shared" si="45"/>
        <v>2973.1970951846724</v>
      </c>
      <c r="AB89" s="50">
        <f t="shared" si="46"/>
        <v>7616.9744051018424</v>
      </c>
      <c r="AC89" s="43">
        <f t="shared" si="47"/>
        <v>2783.8924112216032</v>
      </c>
      <c r="AD89" s="43">
        <f t="shared" si="48"/>
        <v>3234.3883749283436</v>
      </c>
      <c r="AE89" s="43">
        <f t="shared" si="49"/>
        <v>0</v>
      </c>
      <c r="AF89" s="51">
        <f>HLOOKUP(I89,ElecAvoidedCostsWOCC!$A$5:$Q$50,G89+1,FALSE)</f>
        <v>1.5762928068990063</v>
      </c>
      <c r="AG89" s="43">
        <f t="shared" si="50"/>
        <v>6005.6755942852142</v>
      </c>
      <c r="AH89" s="51">
        <f>HLOOKUP(I89,ElecAvoidedCostsWOCC!$A$5:$Q$50,T89+1,FALSE)</f>
        <v>1.5762928068990063</v>
      </c>
      <c r="AI89" s="43">
        <f t="shared" si="51"/>
        <v>0</v>
      </c>
      <c r="AJ89" s="43">
        <f t="shared" si="52"/>
        <v>6005.6755942852142</v>
      </c>
      <c r="AK89" s="43">
        <f>HLOOKUP(I89,ElecAvoidedCostsWOCC!$A$5:$Q$50,G89+1,FALSE)*J89*L89</f>
        <v>0</v>
      </c>
      <c r="AL89" s="43">
        <f t="shared" si="53"/>
        <v>6005.6755942852142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6005.6755942852142</v>
      </c>
      <c r="AN89" s="47">
        <f t="shared" si="54"/>
        <v>9840.6315286420795</v>
      </c>
      <c r="AO89" s="46">
        <f t="shared" si="55"/>
        <v>0.78845946892805863</v>
      </c>
      <c r="AP89" s="46">
        <f t="shared" si="56"/>
        <v>3.5348462063316233</v>
      </c>
    </row>
    <row r="90" spans="2:42" x14ac:dyDescent="0.25">
      <c r="B90" s="88" t="s">
        <v>15</v>
      </c>
      <c r="C90" s="60">
        <v>18230627</v>
      </c>
      <c r="D90" s="60" t="s">
        <v>76</v>
      </c>
      <c r="E90" s="37" t="s">
        <v>1691</v>
      </c>
      <c r="F90" s="38" t="s">
        <v>610</v>
      </c>
      <c r="G90" s="38">
        <v>0</v>
      </c>
      <c r="H90" s="38">
        <v>0</v>
      </c>
      <c r="I90" s="39" t="s">
        <v>273</v>
      </c>
      <c r="J90" s="40">
        <v>406</v>
      </c>
      <c r="K90" s="487">
        <v>0</v>
      </c>
      <c r="L90" s="40">
        <v>0</v>
      </c>
      <c r="M90" s="41">
        <v>350</v>
      </c>
      <c r="N90" s="41">
        <v>0</v>
      </c>
      <c r="O90" s="42">
        <v>0</v>
      </c>
      <c r="P90" s="43">
        <v>142100</v>
      </c>
      <c r="Q90" s="43">
        <v>0</v>
      </c>
      <c r="R90" s="44">
        <v>0</v>
      </c>
      <c r="S90" s="45"/>
      <c r="T90" s="38">
        <f t="shared" si="38"/>
        <v>0</v>
      </c>
      <c r="U90" s="46">
        <f t="shared" si="39"/>
        <v>0</v>
      </c>
      <c r="V90" s="47">
        <f t="shared" si="40"/>
        <v>-350</v>
      </c>
      <c r="W90" s="48">
        <f t="shared" si="41"/>
        <v>0</v>
      </c>
      <c r="X90" s="43">
        <f t="shared" si="42"/>
        <v>0</v>
      </c>
      <c r="Y90" s="43">
        <f t="shared" si="43"/>
        <v>-142100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str">
        <f>HLOOKUP(I90,ElecAvoidedCostsWOCC!$A$5:$Q$50,G90+1,FALSE)</f>
        <v>SF Space Heat</v>
      </c>
      <c r="AG90" s="43" t="e">
        <f t="shared" si="50"/>
        <v>#VALUE!</v>
      </c>
      <c r="AH90" s="51" t="str">
        <f>HLOOKUP(I90,ElecAvoidedCostsWOCC!$A$5:$Q$50,T90+1,FALSE)</f>
        <v>SF Space Heat</v>
      </c>
      <c r="AI90" s="43" t="e">
        <f t="shared" si="51"/>
        <v>#VALUE!</v>
      </c>
      <c r="AJ90" s="43" t="e">
        <f t="shared" si="52"/>
        <v>#VALUE!</v>
      </c>
      <c r="AK90" s="43" t="e">
        <f>HLOOKUP(I90,ElecAvoidedCostsWOCC!$A$5:$Q$50,G90+1,FALSE)*J90*L90</f>
        <v>#VALUE!</v>
      </c>
      <c r="AL90" s="43" t="e">
        <f t="shared" si="53"/>
        <v>#VALUE!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15</v>
      </c>
      <c r="C91" s="60">
        <v>18230627</v>
      </c>
      <c r="D91" s="60" t="s">
        <v>76</v>
      </c>
      <c r="E91" s="37" t="s">
        <v>1692</v>
      </c>
      <c r="F91" s="38" t="s">
        <v>612</v>
      </c>
      <c r="G91" s="38">
        <v>0</v>
      </c>
      <c r="H91" s="38">
        <v>0</v>
      </c>
      <c r="I91" s="39" t="s">
        <v>273</v>
      </c>
      <c r="J91" s="40">
        <v>82</v>
      </c>
      <c r="K91" s="487">
        <v>0</v>
      </c>
      <c r="L91" s="40">
        <v>0</v>
      </c>
      <c r="M91" s="41">
        <v>500</v>
      </c>
      <c r="N91" s="41">
        <v>0</v>
      </c>
      <c r="O91" s="42">
        <v>0</v>
      </c>
      <c r="P91" s="43">
        <v>41000</v>
      </c>
      <c r="Q91" s="43">
        <v>0</v>
      </c>
      <c r="R91" s="44">
        <v>0</v>
      </c>
      <c r="S91" s="45"/>
      <c r="T91" s="38">
        <f t="shared" si="38"/>
        <v>0</v>
      </c>
      <c r="U91" s="46">
        <f t="shared" si="39"/>
        <v>0</v>
      </c>
      <c r="V91" s="47">
        <f t="shared" si="40"/>
        <v>-500</v>
      </c>
      <c r="W91" s="48">
        <f t="shared" si="41"/>
        <v>0</v>
      </c>
      <c r="X91" s="43">
        <f t="shared" si="42"/>
        <v>0</v>
      </c>
      <c r="Y91" s="43">
        <f t="shared" si="43"/>
        <v>-41000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str">
        <f>HLOOKUP(I91,ElecAvoidedCostsWOCC!$A$5:$Q$50,G91+1,FALSE)</f>
        <v>SF Space Heat</v>
      </c>
      <c r="AG91" s="43" t="e">
        <f t="shared" si="50"/>
        <v>#VALUE!</v>
      </c>
      <c r="AH91" s="51" t="str">
        <f>HLOOKUP(I91,ElecAvoidedCostsWOCC!$A$5:$Q$50,T91+1,FALSE)</f>
        <v>SF Space Heat</v>
      </c>
      <c r="AI91" s="43" t="e">
        <f t="shared" si="51"/>
        <v>#VALUE!</v>
      </c>
      <c r="AJ91" s="43" t="e">
        <f t="shared" si="52"/>
        <v>#VALUE!</v>
      </c>
      <c r="AK91" s="43" t="e">
        <f>HLOOKUP(I91,ElecAvoidedCostsWOCC!$A$5:$Q$50,G91+1,FALSE)*J91*L91</f>
        <v>#VALUE!</v>
      </c>
      <c r="AL91" s="43" t="e">
        <f t="shared" si="53"/>
        <v>#VALUE!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15</v>
      </c>
      <c r="C92" s="60">
        <v>18230627</v>
      </c>
      <c r="D92" s="60" t="s">
        <v>76</v>
      </c>
      <c r="E92" s="37"/>
      <c r="F92" s="38"/>
      <c r="G92" s="38"/>
      <c r="H92" s="38"/>
      <c r="I92" s="39"/>
      <c r="J92" s="40"/>
      <c r="K92" s="487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15</v>
      </c>
      <c r="C93" s="60">
        <v>18230627</v>
      </c>
      <c r="D93" s="60" t="s">
        <v>76</v>
      </c>
      <c r="E93" s="37"/>
      <c r="F93" s="38"/>
      <c r="G93" s="38"/>
      <c r="H93" s="38"/>
      <c r="I93" s="39"/>
      <c r="J93" s="40"/>
      <c r="K93" s="487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15</v>
      </c>
      <c r="C94" s="60">
        <v>18230627</v>
      </c>
      <c r="D94" s="60" t="s">
        <v>76</v>
      </c>
      <c r="E94" s="37"/>
      <c r="F94" s="38"/>
      <c r="G94" s="38"/>
      <c r="H94" s="38"/>
      <c r="I94" s="39"/>
      <c r="J94" s="40"/>
      <c r="K94" s="487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15</v>
      </c>
      <c r="C95" s="60">
        <v>18230627</v>
      </c>
      <c r="D95" s="60" t="s">
        <v>76</v>
      </c>
      <c r="E95" s="37"/>
      <c r="F95" s="38"/>
      <c r="G95" s="38"/>
      <c r="H95" s="38"/>
      <c r="I95" s="39"/>
      <c r="J95" s="40"/>
      <c r="K95" s="487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15</v>
      </c>
      <c r="C96" s="60">
        <v>18230627</v>
      </c>
      <c r="D96" s="60" t="s">
        <v>76</v>
      </c>
      <c r="E96" s="37"/>
      <c r="F96" s="38"/>
      <c r="G96" s="38"/>
      <c r="H96" s="38"/>
      <c r="I96" s="39"/>
      <c r="J96" s="40"/>
      <c r="K96" s="487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15</v>
      </c>
      <c r="C97" s="60">
        <v>18230627</v>
      </c>
      <c r="D97" s="60" t="s">
        <v>76</v>
      </c>
      <c r="E97" s="37"/>
      <c r="F97" s="38"/>
      <c r="G97" s="38"/>
      <c r="H97" s="38"/>
      <c r="I97" s="39"/>
      <c r="J97" s="40"/>
      <c r="K97" s="487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15</v>
      </c>
      <c r="C98" s="60">
        <v>18230627</v>
      </c>
      <c r="D98" s="60" t="s">
        <v>76</v>
      </c>
      <c r="E98" s="37"/>
      <c r="F98" s="38"/>
      <c r="G98" s="38"/>
      <c r="H98" s="38"/>
      <c r="I98" s="39"/>
      <c r="J98" s="40"/>
      <c r="K98" s="487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15</v>
      </c>
      <c r="C99" s="60">
        <v>18230627</v>
      </c>
      <c r="D99" s="60" t="s">
        <v>76</v>
      </c>
      <c r="E99" s="37"/>
      <c r="F99" s="38"/>
      <c r="G99" s="38"/>
      <c r="H99" s="38"/>
      <c r="I99" s="39"/>
      <c r="J99" s="40"/>
      <c r="K99" s="487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15</v>
      </c>
      <c r="C100" s="60">
        <v>18230627</v>
      </c>
      <c r="D100" s="60" t="s">
        <v>76</v>
      </c>
      <c r="E100" s="37"/>
      <c r="F100" s="38"/>
      <c r="G100" s="38"/>
      <c r="H100" s="38"/>
      <c r="I100" s="39"/>
      <c r="J100" s="40"/>
      <c r="K100" s="487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15</v>
      </c>
      <c r="C101" s="60">
        <v>18230627</v>
      </c>
      <c r="D101" s="60" t="s">
        <v>76</v>
      </c>
      <c r="E101" s="37"/>
      <c r="F101" s="38"/>
      <c r="G101" s="38"/>
      <c r="H101" s="38"/>
      <c r="I101" s="39"/>
      <c r="J101" s="40"/>
      <c r="K101" s="487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15</v>
      </c>
      <c r="C102" s="60">
        <v>18230627</v>
      </c>
      <c r="D102" s="60" t="s">
        <v>76</v>
      </c>
      <c r="E102" s="37"/>
      <c r="F102" s="38"/>
      <c r="G102" s="38"/>
      <c r="H102" s="38"/>
      <c r="I102" s="39"/>
      <c r="J102" s="40"/>
      <c r="K102" s="487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15</v>
      </c>
      <c r="C103" s="60">
        <v>18230627</v>
      </c>
      <c r="D103" s="60" t="s">
        <v>76</v>
      </c>
      <c r="E103" s="37"/>
      <c r="F103" s="38"/>
      <c r="G103" s="38"/>
      <c r="H103" s="38"/>
      <c r="I103" s="39"/>
      <c r="J103" s="40"/>
      <c r="K103" s="487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87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87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87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87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87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87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87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87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87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87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87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87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87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87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87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87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87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87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87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87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87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87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87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87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87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87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87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87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87"/>
      <c r="L132" s="40"/>
      <c r="M132" s="41"/>
      <c r="N132" s="41"/>
      <c r="O132" s="42"/>
      <c r="P132" s="43"/>
      <c r="Q132" s="43"/>
      <c r="R132" s="44"/>
      <c r="S132" s="45"/>
      <c r="T132" s="38">
        <f t="shared" ref="T132:T195" si="57">G132+H132</f>
        <v>0</v>
      </c>
      <c r="U132" s="46">
        <f t="shared" ref="U132:U195" si="58">(O132/$A$10)*T132</f>
        <v>0</v>
      </c>
      <c r="V132" s="47">
        <f t="shared" ref="V132:V195" si="59">N132-M132</f>
        <v>0</v>
      </c>
      <c r="W132" s="48">
        <f t="shared" ref="W132:W195" si="60">(O132/A$10)</f>
        <v>0</v>
      </c>
      <c r="X132" s="43">
        <f t="shared" ref="X132:X195" si="61">W132*A$8</f>
        <v>0</v>
      </c>
      <c r="Y132" s="43">
        <f t="shared" ref="Y132:Y195" si="62">Q132-P132</f>
        <v>0</v>
      </c>
      <c r="Z132" s="43">
        <f t="shared" ref="Z132:Z195" si="63">X132+(A$6*W132)</f>
        <v>0</v>
      </c>
      <c r="AA132" s="49">
        <f t="shared" ref="AA132:AA195" si="64">Q132+X132</f>
        <v>0</v>
      </c>
      <c r="AB132" s="50">
        <f t="shared" ref="AB132:AB195" si="65">Z132/(1+ElecDiscountRate)^1</f>
        <v>0</v>
      </c>
      <c r="AC132" s="43">
        <f t="shared" ref="AC132:AC195" si="66">AA132/(1+ElecDiscountRate)^1</f>
        <v>0</v>
      </c>
      <c r="AD132" s="43">
        <f t="shared" ref="AD132:AD195" si="67">-PV(ElecDiscountRate,T132,R132)*J132</f>
        <v>0</v>
      </c>
      <c r="AE132" s="43">
        <f t="shared" ref="AE132:AE195" si="68">-PV(ElecDiscountRate,T132,S132)*J132</f>
        <v>0</v>
      </c>
      <c r="AF132" s="51" t="e">
        <f>HLOOKUP(I132,ElecAvoidedCostsWOCC!$A$5:$Q$50,G132+1,FALSE)</f>
        <v>#N/A</v>
      </c>
      <c r="AG132" s="43" t="e">
        <f t="shared" ref="AG132:AG195" si="69">AF132*J132*K132</f>
        <v>#N/A</v>
      </c>
      <c r="AH132" s="51" t="e">
        <f>HLOOKUP(I132,ElecAvoidedCostsWOCC!$A$5:$Q$50,T132+1,FALSE)</f>
        <v>#N/A</v>
      </c>
      <c r="AI132" s="43" t="e">
        <f t="shared" ref="AI132:AI195" si="70">AH132*J132*L132</f>
        <v>#N/A</v>
      </c>
      <c r="AJ132" s="43" t="e">
        <f t="shared" ref="AJ132:AJ195" si="71">AG132+AI132</f>
        <v>#N/A</v>
      </c>
      <c r="AK132" s="43" t="e">
        <f>HLOOKUP(I132,ElecAvoidedCostsWOCC!$A$5:$Q$50,G132+1,FALSE)*J132*L132</f>
        <v>#N/A</v>
      </c>
      <c r="AL132" s="43" t="e">
        <f t="shared" ref="AL132:AL195" si="72">AG132+AI132-AK132</f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ref="AN132:AN195" si="73">AM132*1.1+AD132+AE132</f>
        <v>0</v>
      </c>
      <c r="AO132" s="46">
        <f t="shared" ref="AO132:AO195" si="74">IFERROR(AM132/AB132,0)</f>
        <v>0</v>
      </c>
      <c r="AP132" s="46" t="e">
        <f t="shared" ref="AP132:AP195" si="75">AN132/AC132</f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87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HLOOKUP(I133,ElecAvoidedCostsWOCC!$A$5:$Q$50,G133+1,FALSE)</f>
        <v>#N/A</v>
      </c>
      <c r="AG133" s="43" t="e">
        <f t="shared" si="69"/>
        <v>#N/A</v>
      </c>
      <c r="AH133" s="51" t="e">
        <f>HLOOKUP(I133,ElecAvoidedCostsWOCC!$A$5:$Q$50,T133+1,FALSE)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HLOOKUP(I133,ElecAvoidedCostsWOCC!$A$5:$Q$50,G133+1,FALSE)*J133*L133</f>
        <v>#N/A</v>
      </c>
      <c r="AL133" s="43" t="e">
        <f t="shared" si="72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87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HLOOKUP(I134,ElecAvoidedCostsWOCC!$A$5:$Q$50,G134+1,FALSE)</f>
        <v>#N/A</v>
      </c>
      <c r="AG134" s="43" t="e">
        <f t="shared" si="69"/>
        <v>#N/A</v>
      </c>
      <c r="AH134" s="51" t="e">
        <f>HLOOKUP(I134,ElecAvoidedCostsWOCC!$A$5:$Q$50,T134+1,FALSE)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HLOOKUP(I134,ElecAvoidedCostsWOCC!$A$5:$Q$50,G134+1,FALSE)*J134*L134</f>
        <v>#N/A</v>
      </c>
      <c r="AL134" s="43" t="e">
        <f t="shared" si="72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87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HLOOKUP(I135,ElecAvoidedCostsWOCC!$A$5:$Q$50,G135+1,FALSE)</f>
        <v>#N/A</v>
      </c>
      <c r="AG135" s="43" t="e">
        <f t="shared" si="69"/>
        <v>#N/A</v>
      </c>
      <c r="AH135" s="51" t="e">
        <f>HLOOKUP(I135,ElecAvoidedCostsWOCC!$A$5:$Q$50,T135+1,FALSE)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HLOOKUP(I135,ElecAvoidedCostsWOCC!$A$5:$Q$50,G135+1,FALSE)*J135*L135</f>
        <v>#N/A</v>
      </c>
      <c r="AL135" s="43" t="e">
        <f t="shared" si="72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87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HLOOKUP(I136,ElecAvoidedCostsWOCC!$A$5:$Q$50,G136+1,FALSE)</f>
        <v>#N/A</v>
      </c>
      <c r="AG136" s="43" t="e">
        <f t="shared" si="69"/>
        <v>#N/A</v>
      </c>
      <c r="AH136" s="51" t="e">
        <f>HLOOKUP(I136,ElecAvoidedCostsWOCC!$A$5:$Q$50,T136+1,FALSE)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HLOOKUP(I136,ElecAvoidedCostsWOCC!$A$5:$Q$50,G136+1,FALSE)*J136*L136</f>
        <v>#N/A</v>
      </c>
      <c r="AL136" s="43" t="e">
        <f t="shared" si="72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87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HLOOKUP(I137,ElecAvoidedCostsWOCC!$A$5:$Q$50,G137+1,FALSE)</f>
        <v>#N/A</v>
      </c>
      <c r="AG137" s="43" t="e">
        <f t="shared" si="69"/>
        <v>#N/A</v>
      </c>
      <c r="AH137" s="51" t="e">
        <f>HLOOKUP(I137,ElecAvoidedCostsWOCC!$A$5:$Q$50,T137+1,FALSE)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HLOOKUP(I137,ElecAvoidedCostsWOCC!$A$5:$Q$50,G137+1,FALSE)*J137*L137</f>
        <v>#N/A</v>
      </c>
      <c r="AL137" s="43" t="e">
        <f t="shared" si="72"/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87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87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87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87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87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87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87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87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87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87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87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87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87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87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87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87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87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87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87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87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87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87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87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87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87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87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87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87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87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87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87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87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87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87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57"/>
        <v>0</v>
      </c>
      <c r="U178" s="46">
        <f t="shared" si="58"/>
        <v>0</v>
      </c>
      <c r="V178" s="47">
        <f t="shared" si="59"/>
        <v>0</v>
      </c>
      <c r="W178" s="48">
        <f t="shared" si="60"/>
        <v>0</v>
      </c>
      <c r="X178" s="43">
        <f t="shared" si="61"/>
        <v>0</v>
      </c>
      <c r="Y178" s="43">
        <f t="shared" si="62"/>
        <v>0</v>
      </c>
      <c r="Z178" s="43">
        <f t="shared" si="63"/>
        <v>0</v>
      </c>
      <c r="AA178" s="49">
        <f t="shared" si="64"/>
        <v>0</v>
      </c>
      <c r="AB178" s="50">
        <f t="shared" si="65"/>
        <v>0</v>
      </c>
      <c r="AC178" s="43">
        <f t="shared" si="66"/>
        <v>0</v>
      </c>
      <c r="AD178" s="43">
        <f t="shared" si="67"/>
        <v>0</v>
      </c>
      <c r="AE178" s="43">
        <f t="shared" si="68"/>
        <v>0</v>
      </c>
      <c r="AF178" s="51" t="e">
        <f>HLOOKUP(I178,ElecAvoidedCostsWOCC!$A$5:$Q$50,G178+1,FALSE)</f>
        <v>#N/A</v>
      </c>
      <c r="AG178" s="43" t="e">
        <f t="shared" si="69"/>
        <v>#N/A</v>
      </c>
      <c r="AH178" s="51" t="e">
        <f>HLOOKUP(I178,ElecAvoidedCostsWOCC!$A$5:$Q$50,T178+1,FALSE)</f>
        <v>#N/A</v>
      </c>
      <c r="AI178" s="43" t="e">
        <f t="shared" si="70"/>
        <v>#N/A</v>
      </c>
      <c r="AJ178" s="43" t="e">
        <f t="shared" si="71"/>
        <v>#N/A</v>
      </c>
      <c r="AK178" s="43" t="e">
        <f>HLOOKUP(I178,ElecAvoidedCostsWOCC!$A$5:$Q$50,G178+1,FALSE)*J178*L178</f>
        <v>#N/A</v>
      </c>
      <c r="AL178" s="43" t="e">
        <f t="shared" si="72"/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si="73"/>
        <v>0</v>
      </c>
      <c r="AO178" s="46">
        <f t="shared" si="74"/>
        <v>0</v>
      </c>
      <c r="AP178" s="46" t="e">
        <f t="shared" si="75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57"/>
        <v>0</v>
      </c>
      <c r="U179" s="46">
        <f t="shared" si="58"/>
        <v>0</v>
      </c>
      <c r="V179" s="47">
        <f t="shared" si="59"/>
        <v>0</v>
      </c>
      <c r="W179" s="48">
        <f t="shared" si="60"/>
        <v>0</v>
      </c>
      <c r="X179" s="43">
        <f t="shared" si="61"/>
        <v>0</v>
      </c>
      <c r="Y179" s="43">
        <f t="shared" si="62"/>
        <v>0</v>
      </c>
      <c r="Z179" s="43">
        <f t="shared" si="63"/>
        <v>0</v>
      </c>
      <c r="AA179" s="49">
        <f t="shared" si="64"/>
        <v>0</v>
      </c>
      <c r="AB179" s="50">
        <f t="shared" si="65"/>
        <v>0</v>
      </c>
      <c r="AC179" s="43">
        <f t="shared" si="66"/>
        <v>0</v>
      </c>
      <c r="AD179" s="43">
        <f t="shared" si="67"/>
        <v>0</v>
      </c>
      <c r="AE179" s="43">
        <f t="shared" si="68"/>
        <v>0</v>
      </c>
      <c r="AF179" s="51" t="e">
        <f>HLOOKUP(I179,ElecAvoidedCostsWOCC!$A$5:$Q$50,G179+1,FALSE)</f>
        <v>#N/A</v>
      </c>
      <c r="AG179" s="43" t="e">
        <f t="shared" si="69"/>
        <v>#N/A</v>
      </c>
      <c r="AH179" s="51" t="e">
        <f>HLOOKUP(I179,ElecAvoidedCostsWOCC!$A$5:$Q$50,T179+1,FALSE)</f>
        <v>#N/A</v>
      </c>
      <c r="AI179" s="43" t="e">
        <f t="shared" si="70"/>
        <v>#N/A</v>
      </c>
      <c r="AJ179" s="43" t="e">
        <f t="shared" si="71"/>
        <v>#N/A</v>
      </c>
      <c r="AK179" s="43" t="e">
        <f>HLOOKUP(I179,ElecAvoidedCostsWOCC!$A$5:$Q$50,G179+1,FALSE)*J179*L179</f>
        <v>#N/A</v>
      </c>
      <c r="AL179" s="43" t="e">
        <f t="shared" si="72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73"/>
        <v>0</v>
      </c>
      <c r="AO179" s="46">
        <f t="shared" si="74"/>
        <v>0</v>
      </c>
      <c r="AP179" s="46" t="e">
        <f t="shared" si="75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57"/>
        <v>0</v>
      </c>
      <c r="U180" s="46">
        <f t="shared" si="58"/>
        <v>0</v>
      </c>
      <c r="V180" s="47">
        <f t="shared" si="59"/>
        <v>0</v>
      </c>
      <c r="W180" s="48">
        <f t="shared" si="60"/>
        <v>0</v>
      </c>
      <c r="X180" s="43">
        <f t="shared" si="61"/>
        <v>0</v>
      </c>
      <c r="Y180" s="43">
        <f t="shared" si="62"/>
        <v>0</v>
      </c>
      <c r="Z180" s="43">
        <f t="shared" si="63"/>
        <v>0</v>
      </c>
      <c r="AA180" s="49">
        <f t="shared" si="64"/>
        <v>0</v>
      </c>
      <c r="AB180" s="50">
        <f t="shared" si="65"/>
        <v>0</v>
      </c>
      <c r="AC180" s="43">
        <f t="shared" si="66"/>
        <v>0</v>
      </c>
      <c r="AD180" s="43">
        <f t="shared" si="67"/>
        <v>0</v>
      </c>
      <c r="AE180" s="43">
        <f t="shared" si="68"/>
        <v>0</v>
      </c>
      <c r="AF180" s="51" t="e">
        <f>HLOOKUP(I180,ElecAvoidedCostsWOCC!$A$5:$Q$50,G180+1,FALSE)</f>
        <v>#N/A</v>
      </c>
      <c r="AG180" s="43" t="e">
        <f t="shared" si="69"/>
        <v>#N/A</v>
      </c>
      <c r="AH180" s="51" t="e">
        <f>HLOOKUP(I180,ElecAvoidedCostsWOCC!$A$5:$Q$50,T180+1,FALSE)</f>
        <v>#N/A</v>
      </c>
      <c r="AI180" s="43" t="e">
        <f t="shared" si="70"/>
        <v>#N/A</v>
      </c>
      <c r="AJ180" s="43" t="e">
        <f t="shared" si="71"/>
        <v>#N/A</v>
      </c>
      <c r="AK180" s="43" t="e">
        <f>HLOOKUP(I180,ElecAvoidedCostsWOCC!$A$5:$Q$50,G180+1,FALSE)*J180*L180</f>
        <v>#N/A</v>
      </c>
      <c r="AL180" s="43" t="e">
        <f t="shared" si="72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73"/>
        <v>0</v>
      </c>
      <c r="AO180" s="46">
        <f t="shared" si="74"/>
        <v>0</v>
      </c>
      <c r="AP180" s="46" t="e">
        <f t="shared" si="75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57"/>
        <v>0</v>
      </c>
      <c r="U181" s="46">
        <f t="shared" si="58"/>
        <v>0</v>
      </c>
      <c r="V181" s="47">
        <f t="shared" si="59"/>
        <v>0</v>
      </c>
      <c r="W181" s="48">
        <f t="shared" si="60"/>
        <v>0</v>
      </c>
      <c r="X181" s="43">
        <f t="shared" si="61"/>
        <v>0</v>
      </c>
      <c r="Y181" s="43">
        <f t="shared" si="62"/>
        <v>0</v>
      </c>
      <c r="Z181" s="43">
        <f t="shared" si="63"/>
        <v>0</v>
      </c>
      <c r="AA181" s="49">
        <f t="shared" si="64"/>
        <v>0</v>
      </c>
      <c r="AB181" s="50">
        <f t="shared" si="65"/>
        <v>0</v>
      </c>
      <c r="AC181" s="43">
        <f t="shared" si="66"/>
        <v>0</v>
      </c>
      <c r="AD181" s="43">
        <f t="shared" si="67"/>
        <v>0</v>
      </c>
      <c r="AE181" s="43">
        <f t="shared" si="68"/>
        <v>0</v>
      </c>
      <c r="AF181" s="51" t="e">
        <f>HLOOKUP(I181,ElecAvoidedCostsWOCC!$A$5:$Q$50,G181+1,FALSE)</f>
        <v>#N/A</v>
      </c>
      <c r="AG181" s="43" t="e">
        <f t="shared" si="69"/>
        <v>#N/A</v>
      </c>
      <c r="AH181" s="51" t="e">
        <f>HLOOKUP(I181,ElecAvoidedCostsWOCC!$A$5:$Q$50,T181+1,FALSE)</f>
        <v>#N/A</v>
      </c>
      <c r="AI181" s="43" t="e">
        <f t="shared" si="70"/>
        <v>#N/A</v>
      </c>
      <c r="AJ181" s="43" t="e">
        <f t="shared" si="71"/>
        <v>#N/A</v>
      </c>
      <c r="AK181" s="43" t="e">
        <f>HLOOKUP(I181,ElecAvoidedCostsWOCC!$A$5:$Q$50,G181+1,FALSE)*J181*L181</f>
        <v>#N/A</v>
      </c>
      <c r="AL181" s="43" t="e">
        <f t="shared" si="72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73"/>
        <v>0</v>
      </c>
      <c r="AO181" s="46">
        <f t="shared" si="74"/>
        <v>0</v>
      </c>
      <c r="AP181" s="46" t="e">
        <f t="shared" si="75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57"/>
        <v>0</v>
      </c>
      <c r="U182" s="46">
        <f t="shared" si="58"/>
        <v>0</v>
      </c>
      <c r="V182" s="47">
        <f t="shared" si="59"/>
        <v>0</v>
      </c>
      <c r="W182" s="48">
        <f t="shared" si="60"/>
        <v>0</v>
      </c>
      <c r="X182" s="43">
        <f t="shared" si="61"/>
        <v>0</v>
      </c>
      <c r="Y182" s="43">
        <f t="shared" si="62"/>
        <v>0</v>
      </c>
      <c r="Z182" s="43">
        <f t="shared" si="63"/>
        <v>0</v>
      </c>
      <c r="AA182" s="49">
        <f t="shared" si="64"/>
        <v>0</v>
      </c>
      <c r="AB182" s="50">
        <f t="shared" si="65"/>
        <v>0</v>
      </c>
      <c r="AC182" s="43">
        <f t="shared" si="66"/>
        <v>0</v>
      </c>
      <c r="AD182" s="43">
        <f t="shared" si="67"/>
        <v>0</v>
      </c>
      <c r="AE182" s="43">
        <f t="shared" si="68"/>
        <v>0</v>
      </c>
      <c r="AF182" s="51" t="e">
        <f>HLOOKUP(I182,ElecAvoidedCostsWOCC!$A$5:$Q$50,G182+1,FALSE)</f>
        <v>#N/A</v>
      </c>
      <c r="AG182" s="43" t="e">
        <f t="shared" si="69"/>
        <v>#N/A</v>
      </c>
      <c r="AH182" s="51" t="e">
        <f>HLOOKUP(I182,ElecAvoidedCostsWOCC!$A$5:$Q$50,T182+1,FALSE)</f>
        <v>#N/A</v>
      </c>
      <c r="AI182" s="43" t="e">
        <f t="shared" si="70"/>
        <v>#N/A</v>
      </c>
      <c r="AJ182" s="43" t="e">
        <f t="shared" si="71"/>
        <v>#N/A</v>
      </c>
      <c r="AK182" s="43" t="e">
        <f>HLOOKUP(I182,ElecAvoidedCostsWOCC!$A$5:$Q$50,G182+1,FALSE)*J182*L182</f>
        <v>#N/A</v>
      </c>
      <c r="AL182" s="43" t="e">
        <f t="shared" si="72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73"/>
        <v>0</v>
      </c>
      <c r="AO182" s="46">
        <f t="shared" si="74"/>
        <v>0</v>
      </c>
      <c r="AP182" s="46" t="e">
        <f t="shared" si="75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57"/>
        <v>0</v>
      </c>
      <c r="U183" s="46">
        <f t="shared" si="58"/>
        <v>0</v>
      </c>
      <c r="V183" s="47">
        <f t="shared" si="59"/>
        <v>0</v>
      </c>
      <c r="W183" s="48">
        <f t="shared" si="60"/>
        <v>0</v>
      </c>
      <c r="X183" s="43">
        <f t="shared" si="61"/>
        <v>0</v>
      </c>
      <c r="Y183" s="43">
        <f t="shared" si="62"/>
        <v>0</v>
      </c>
      <c r="Z183" s="43">
        <f t="shared" si="63"/>
        <v>0</v>
      </c>
      <c r="AA183" s="49">
        <f t="shared" si="64"/>
        <v>0</v>
      </c>
      <c r="AB183" s="50">
        <f t="shared" si="65"/>
        <v>0</v>
      </c>
      <c r="AC183" s="43">
        <f t="shared" si="66"/>
        <v>0</v>
      </c>
      <c r="AD183" s="43">
        <f t="shared" si="67"/>
        <v>0</v>
      </c>
      <c r="AE183" s="43">
        <f t="shared" si="68"/>
        <v>0</v>
      </c>
      <c r="AF183" s="51" t="e">
        <f>HLOOKUP(I183,ElecAvoidedCostsWOCC!$A$5:$Q$50,G183+1,FALSE)</f>
        <v>#N/A</v>
      </c>
      <c r="AG183" s="43" t="e">
        <f t="shared" si="69"/>
        <v>#N/A</v>
      </c>
      <c r="AH183" s="51" t="e">
        <f>HLOOKUP(I183,ElecAvoidedCostsWOCC!$A$5:$Q$50,T183+1,FALSE)</f>
        <v>#N/A</v>
      </c>
      <c r="AI183" s="43" t="e">
        <f t="shared" si="70"/>
        <v>#N/A</v>
      </c>
      <c r="AJ183" s="43" t="e">
        <f t="shared" si="71"/>
        <v>#N/A</v>
      </c>
      <c r="AK183" s="43" t="e">
        <f>HLOOKUP(I183,ElecAvoidedCostsWOCC!$A$5:$Q$50,G183+1,FALSE)*J183*L183</f>
        <v>#N/A</v>
      </c>
      <c r="AL183" s="43" t="e">
        <f t="shared" si="72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73"/>
        <v>0</v>
      </c>
      <c r="AO183" s="46">
        <f t="shared" si="74"/>
        <v>0</v>
      </c>
      <c r="AP183" s="46" t="e">
        <f t="shared" si="75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57"/>
        <v>0</v>
      </c>
      <c r="U184" s="46">
        <f t="shared" si="58"/>
        <v>0</v>
      </c>
      <c r="V184" s="47">
        <f t="shared" si="59"/>
        <v>0</v>
      </c>
      <c r="W184" s="48">
        <f t="shared" si="60"/>
        <v>0</v>
      </c>
      <c r="X184" s="43">
        <f t="shared" si="61"/>
        <v>0</v>
      </c>
      <c r="Y184" s="43">
        <f t="shared" si="62"/>
        <v>0</v>
      </c>
      <c r="Z184" s="43">
        <f t="shared" si="63"/>
        <v>0</v>
      </c>
      <c r="AA184" s="49">
        <f t="shared" si="64"/>
        <v>0</v>
      </c>
      <c r="AB184" s="50">
        <f t="shared" si="65"/>
        <v>0</v>
      </c>
      <c r="AC184" s="43">
        <f t="shared" si="66"/>
        <v>0</v>
      </c>
      <c r="AD184" s="43">
        <f t="shared" si="67"/>
        <v>0</v>
      </c>
      <c r="AE184" s="43">
        <f t="shared" si="68"/>
        <v>0</v>
      </c>
      <c r="AF184" s="51" t="e">
        <f>HLOOKUP(I184,ElecAvoidedCostsWOCC!$A$5:$Q$50,G184+1,FALSE)</f>
        <v>#N/A</v>
      </c>
      <c r="AG184" s="43" t="e">
        <f t="shared" si="69"/>
        <v>#N/A</v>
      </c>
      <c r="AH184" s="51" t="e">
        <f>HLOOKUP(I184,ElecAvoidedCostsWOCC!$A$5:$Q$50,T184+1,FALSE)</f>
        <v>#N/A</v>
      </c>
      <c r="AI184" s="43" t="e">
        <f t="shared" si="70"/>
        <v>#N/A</v>
      </c>
      <c r="AJ184" s="43" t="e">
        <f t="shared" si="71"/>
        <v>#N/A</v>
      </c>
      <c r="AK184" s="43" t="e">
        <f>HLOOKUP(I184,ElecAvoidedCostsWOCC!$A$5:$Q$50,G184+1,FALSE)*J184*L184</f>
        <v>#N/A</v>
      </c>
      <c r="AL184" s="43" t="e">
        <f t="shared" si="72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73"/>
        <v>0</v>
      </c>
      <c r="AO184" s="46">
        <f t="shared" si="74"/>
        <v>0</v>
      </c>
      <c r="AP184" s="46" t="e">
        <f t="shared" si="75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57"/>
        <v>0</v>
      </c>
      <c r="U185" s="46">
        <f t="shared" si="58"/>
        <v>0</v>
      </c>
      <c r="V185" s="47">
        <f t="shared" si="59"/>
        <v>0</v>
      </c>
      <c r="W185" s="48">
        <f t="shared" si="60"/>
        <v>0</v>
      </c>
      <c r="X185" s="43">
        <f t="shared" si="61"/>
        <v>0</v>
      </c>
      <c r="Y185" s="43">
        <f t="shared" si="62"/>
        <v>0</v>
      </c>
      <c r="Z185" s="43">
        <f t="shared" si="63"/>
        <v>0</v>
      </c>
      <c r="AA185" s="49">
        <f t="shared" si="64"/>
        <v>0</v>
      </c>
      <c r="AB185" s="50">
        <f t="shared" si="65"/>
        <v>0</v>
      </c>
      <c r="AC185" s="43">
        <f t="shared" si="66"/>
        <v>0</v>
      </c>
      <c r="AD185" s="43">
        <f t="shared" si="67"/>
        <v>0</v>
      </c>
      <c r="AE185" s="43">
        <f t="shared" si="68"/>
        <v>0</v>
      </c>
      <c r="AF185" s="51" t="e">
        <f>HLOOKUP(I185,ElecAvoidedCostsWOCC!$A$5:$Q$50,G185+1,FALSE)</f>
        <v>#N/A</v>
      </c>
      <c r="AG185" s="43" t="e">
        <f t="shared" si="69"/>
        <v>#N/A</v>
      </c>
      <c r="AH185" s="51" t="e">
        <f>HLOOKUP(I185,ElecAvoidedCostsWOCC!$A$5:$Q$50,T185+1,FALSE)</f>
        <v>#N/A</v>
      </c>
      <c r="AI185" s="43" t="e">
        <f t="shared" si="70"/>
        <v>#N/A</v>
      </c>
      <c r="AJ185" s="43" t="e">
        <f t="shared" si="71"/>
        <v>#N/A</v>
      </c>
      <c r="AK185" s="43" t="e">
        <f>HLOOKUP(I185,ElecAvoidedCostsWOCC!$A$5:$Q$50,G185+1,FALSE)*J185*L185</f>
        <v>#N/A</v>
      </c>
      <c r="AL185" s="43" t="e">
        <f t="shared" si="72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73"/>
        <v>0</v>
      </c>
      <c r="AO185" s="46">
        <f t="shared" si="74"/>
        <v>0</v>
      </c>
      <c r="AP185" s="46" t="e">
        <f t="shared" si="75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57"/>
        <v>0</v>
      </c>
      <c r="U186" s="46">
        <f t="shared" si="58"/>
        <v>0</v>
      </c>
      <c r="V186" s="47">
        <f t="shared" si="59"/>
        <v>0</v>
      </c>
      <c r="W186" s="48">
        <f t="shared" si="60"/>
        <v>0</v>
      </c>
      <c r="X186" s="43">
        <f t="shared" si="61"/>
        <v>0</v>
      </c>
      <c r="Y186" s="43">
        <f t="shared" si="62"/>
        <v>0</v>
      </c>
      <c r="Z186" s="43">
        <f t="shared" si="63"/>
        <v>0</v>
      </c>
      <c r="AA186" s="49">
        <f t="shared" si="64"/>
        <v>0</v>
      </c>
      <c r="AB186" s="50">
        <f t="shared" si="65"/>
        <v>0</v>
      </c>
      <c r="AC186" s="43">
        <f t="shared" si="66"/>
        <v>0</v>
      </c>
      <c r="AD186" s="43">
        <f t="shared" si="67"/>
        <v>0</v>
      </c>
      <c r="AE186" s="43">
        <f t="shared" si="68"/>
        <v>0</v>
      </c>
      <c r="AF186" s="51" t="e">
        <f>HLOOKUP(I186,ElecAvoidedCostsWOCC!$A$5:$Q$50,G186+1,FALSE)</f>
        <v>#N/A</v>
      </c>
      <c r="AG186" s="43" t="e">
        <f t="shared" si="69"/>
        <v>#N/A</v>
      </c>
      <c r="AH186" s="51" t="e">
        <f>HLOOKUP(I186,ElecAvoidedCostsWOCC!$A$5:$Q$50,T186+1,FALSE)</f>
        <v>#N/A</v>
      </c>
      <c r="AI186" s="43" t="e">
        <f t="shared" si="70"/>
        <v>#N/A</v>
      </c>
      <c r="AJ186" s="43" t="e">
        <f t="shared" si="71"/>
        <v>#N/A</v>
      </c>
      <c r="AK186" s="43" t="e">
        <f>HLOOKUP(I186,ElecAvoidedCostsWOCC!$A$5:$Q$50,G186+1,FALSE)*J186*L186</f>
        <v>#N/A</v>
      </c>
      <c r="AL186" s="43" t="e">
        <f t="shared" si="72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73"/>
        <v>0</v>
      </c>
      <c r="AO186" s="46">
        <f t="shared" si="74"/>
        <v>0</v>
      </c>
      <c r="AP186" s="46" t="e">
        <f t="shared" si="75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57"/>
        <v>0</v>
      </c>
      <c r="U187" s="46">
        <f t="shared" si="58"/>
        <v>0</v>
      </c>
      <c r="V187" s="47">
        <f t="shared" si="59"/>
        <v>0</v>
      </c>
      <c r="W187" s="48">
        <f t="shared" si="60"/>
        <v>0</v>
      </c>
      <c r="X187" s="43">
        <f t="shared" si="61"/>
        <v>0</v>
      </c>
      <c r="Y187" s="43">
        <f t="shared" si="62"/>
        <v>0</v>
      </c>
      <c r="Z187" s="43">
        <f t="shared" si="63"/>
        <v>0</v>
      </c>
      <c r="AA187" s="49">
        <f t="shared" si="64"/>
        <v>0</v>
      </c>
      <c r="AB187" s="50">
        <f t="shared" si="65"/>
        <v>0</v>
      </c>
      <c r="AC187" s="43">
        <f t="shared" si="66"/>
        <v>0</v>
      </c>
      <c r="AD187" s="43">
        <f t="shared" si="67"/>
        <v>0</v>
      </c>
      <c r="AE187" s="43">
        <f t="shared" si="68"/>
        <v>0</v>
      </c>
      <c r="AF187" s="51" t="e">
        <f>HLOOKUP(I187,ElecAvoidedCostsWOCC!$A$5:$Q$50,G187+1,FALSE)</f>
        <v>#N/A</v>
      </c>
      <c r="AG187" s="43" t="e">
        <f t="shared" si="69"/>
        <v>#N/A</v>
      </c>
      <c r="AH187" s="51" t="e">
        <f>HLOOKUP(I187,ElecAvoidedCostsWOCC!$A$5:$Q$50,T187+1,FALSE)</f>
        <v>#N/A</v>
      </c>
      <c r="AI187" s="43" t="e">
        <f t="shared" si="70"/>
        <v>#N/A</v>
      </c>
      <c r="AJ187" s="43" t="e">
        <f t="shared" si="71"/>
        <v>#N/A</v>
      </c>
      <c r="AK187" s="43" t="e">
        <f>HLOOKUP(I187,ElecAvoidedCostsWOCC!$A$5:$Q$50,G187+1,FALSE)*J187*L187</f>
        <v>#N/A</v>
      </c>
      <c r="AL187" s="43" t="e">
        <f t="shared" si="72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73"/>
        <v>0</v>
      </c>
      <c r="AO187" s="46">
        <f t="shared" si="74"/>
        <v>0</v>
      </c>
      <c r="AP187" s="46" t="e">
        <f t="shared" si="75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57"/>
        <v>0</v>
      </c>
      <c r="U188" s="46">
        <f t="shared" si="58"/>
        <v>0</v>
      </c>
      <c r="V188" s="47">
        <f t="shared" si="59"/>
        <v>0</v>
      </c>
      <c r="W188" s="48">
        <f t="shared" si="60"/>
        <v>0</v>
      </c>
      <c r="X188" s="43">
        <f t="shared" si="61"/>
        <v>0</v>
      </c>
      <c r="Y188" s="43">
        <f t="shared" si="62"/>
        <v>0</v>
      </c>
      <c r="Z188" s="43">
        <f t="shared" si="63"/>
        <v>0</v>
      </c>
      <c r="AA188" s="49">
        <f t="shared" si="64"/>
        <v>0</v>
      </c>
      <c r="AB188" s="50">
        <f t="shared" si="65"/>
        <v>0</v>
      </c>
      <c r="AC188" s="43">
        <f t="shared" si="66"/>
        <v>0</v>
      </c>
      <c r="AD188" s="43">
        <f t="shared" si="67"/>
        <v>0</v>
      </c>
      <c r="AE188" s="43">
        <f t="shared" si="68"/>
        <v>0</v>
      </c>
      <c r="AF188" s="51" t="e">
        <f>HLOOKUP(I188,ElecAvoidedCostsWOCC!$A$5:$Q$50,G188+1,FALSE)</f>
        <v>#N/A</v>
      </c>
      <c r="AG188" s="43" t="e">
        <f t="shared" si="69"/>
        <v>#N/A</v>
      </c>
      <c r="AH188" s="51" t="e">
        <f>HLOOKUP(I188,ElecAvoidedCostsWOCC!$A$5:$Q$50,T188+1,FALSE)</f>
        <v>#N/A</v>
      </c>
      <c r="AI188" s="43" t="e">
        <f t="shared" si="70"/>
        <v>#N/A</v>
      </c>
      <c r="AJ188" s="43" t="e">
        <f t="shared" si="71"/>
        <v>#N/A</v>
      </c>
      <c r="AK188" s="43" t="e">
        <f>HLOOKUP(I188,ElecAvoidedCostsWOCC!$A$5:$Q$50,G188+1,FALSE)*J188*L188</f>
        <v>#N/A</v>
      </c>
      <c r="AL188" s="43" t="e">
        <f t="shared" si="72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73"/>
        <v>0</v>
      </c>
      <c r="AO188" s="46">
        <f t="shared" si="74"/>
        <v>0</v>
      </c>
      <c r="AP188" s="46" t="e">
        <f t="shared" si="75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57"/>
        <v>0</v>
      </c>
      <c r="U189" s="46">
        <f t="shared" si="58"/>
        <v>0</v>
      </c>
      <c r="V189" s="47">
        <f t="shared" si="59"/>
        <v>0</v>
      </c>
      <c r="W189" s="48">
        <f t="shared" si="60"/>
        <v>0</v>
      </c>
      <c r="X189" s="43">
        <f t="shared" si="61"/>
        <v>0</v>
      </c>
      <c r="Y189" s="43">
        <f t="shared" si="62"/>
        <v>0</v>
      </c>
      <c r="Z189" s="43">
        <f t="shared" si="63"/>
        <v>0</v>
      </c>
      <c r="AA189" s="49">
        <f t="shared" si="64"/>
        <v>0</v>
      </c>
      <c r="AB189" s="50">
        <f t="shared" si="65"/>
        <v>0</v>
      </c>
      <c r="AC189" s="43">
        <f t="shared" si="66"/>
        <v>0</v>
      </c>
      <c r="AD189" s="43">
        <f t="shared" si="67"/>
        <v>0</v>
      </c>
      <c r="AE189" s="43">
        <f t="shared" si="68"/>
        <v>0</v>
      </c>
      <c r="AF189" s="51" t="e">
        <f>HLOOKUP(I189,ElecAvoidedCostsWOCC!$A$5:$Q$50,G189+1,FALSE)</f>
        <v>#N/A</v>
      </c>
      <c r="AG189" s="43" t="e">
        <f t="shared" si="69"/>
        <v>#N/A</v>
      </c>
      <c r="AH189" s="51" t="e">
        <f>HLOOKUP(I189,ElecAvoidedCostsWOCC!$A$5:$Q$50,T189+1,FALSE)</f>
        <v>#N/A</v>
      </c>
      <c r="AI189" s="43" t="e">
        <f t="shared" si="70"/>
        <v>#N/A</v>
      </c>
      <c r="AJ189" s="43" t="e">
        <f t="shared" si="71"/>
        <v>#N/A</v>
      </c>
      <c r="AK189" s="43" t="e">
        <f>HLOOKUP(I189,ElecAvoidedCostsWOCC!$A$5:$Q$50,G189+1,FALSE)*J189*L189</f>
        <v>#N/A</v>
      </c>
      <c r="AL189" s="43" t="e">
        <f t="shared" si="72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73"/>
        <v>0</v>
      </c>
      <c r="AO189" s="46">
        <f t="shared" si="74"/>
        <v>0</v>
      </c>
      <c r="AP189" s="46" t="e">
        <f t="shared" si="75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57"/>
        <v>0</v>
      </c>
      <c r="U190" s="46">
        <f t="shared" si="58"/>
        <v>0</v>
      </c>
      <c r="V190" s="47">
        <f t="shared" si="59"/>
        <v>0</v>
      </c>
      <c r="W190" s="48">
        <f t="shared" si="60"/>
        <v>0</v>
      </c>
      <c r="X190" s="43">
        <f t="shared" si="61"/>
        <v>0</v>
      </c>
      <c r="Y190" s="43">
        <f t="shared" si="62"/>
        <v>0</v>
      </c>
      <c r="Z190" s="43">
        <f t="shared" si="63"/>
        <v>0</v>
      </c>
      <c r="AA190" s="49">
        <f t="shared" si="64"/>
        <v>0</v>
      </c>
      <c r="AB190" s="50">
        <f t="shared" si="65"/>
        <v>0</v>
      </c>
      <c r="AC190" s="43">
        <f t="shared" si="66"/>
        <v>0</v>
      </c>
      <c r="AD190" s="43">
        <f t="shared" si="67"/>
        <v>0</v>
      </c>
      <c r="AE190" s="43">
        <f t="shared" si="68"/>
        <v>0</v>
      </c>
      <c r="AF190" s="51" t="e">
        <f>HLOOKUP(I190,ElecAvoidedCostsWOCC!$A$5:$Q$50,G190+1,FALSE)</f>
        <v>#N/A</v>
      </c>
      <c r="AG190" s="43" t="e">
        <f t="shared" si="69"/>
        <v>#N/A</v>
      </c>
      <c r="AH190" s="51" t="e">
        <f>HLOOKUP(I190,ElecAvoidedCostsWOCC!$A$5:$Q$50,T190+1,FALSE)</f>
        <v>#N/A</v>
      </c>
      <c r="AI190" s="43" t="e">
        <f t="shared" si="70"/>
        <v>#N/A</v>
      </c>
      <c r="AJ190" s="43" t="e">
        <f t="shared" si="71"/>
        <v>#N/A</v>
      </c>
      <c r="AK190" s="43" t="e">
        <f>HLOOKUP(I190,ElecAvoidedCostsWOCC!$A$5:$Q$50,G190+1,FALSE)*J190*L190</f>
        <v>#N/A</v>
      </c>
      <c r="AL190" s="43" t="e">
        <f t="shared" si="72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73"/>
        <v>0</v>
      </c>
      <c r="AO190" s="46">
        <f t="shared" si="74"/>
        <v>0</v>
      </c>
      <c r="AP190" s="46" t="e">
        <f t="shared" si="75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57"/>
        <v>0</v>
      </c>
      <c r="U191" s="46">
        <f t="shared" si="58"/>
        <v>0</v>
      </c>
      <c r="V191" s="47">
        <f t="shared" si="59"/>
        <v>0</v>
      </c>
      <c r="W191" s="48">
        <f t="shared" si="60"/>
        <v>0</v>
      </c>
      <c r="X191" s="43">
        <f t="shared" si="61"/>
        <v>0</v>
      </c>
      <c r="Y191" s="43">
        <f t="shared" si="62"/>
        <v>0</v>
      </c>
      <c r="Z191" s="43">
        <f t="shared" si="63"/>
        <v>0</v>
      </c>
      <c r="AA191" s="49">
        <f t="shared" si="64"/>
        <v>0</v>
      </c>
      <c r="AB191" s="50">
        <f t="shared" si="65"/>
        <v>0</v>
      </c>
      <c r="AC191" s="43">
        <f t="shared" si="66"/>
        <v>0</v>
      </c>
      <c r="AD191" s="43">
        <f t="shared" si="67"/>
        <v>0</v>
      </c>
      <c r="AE191" s="43">
        <f t="shared" si="68"/>
        <v>0</v>
      </c>
      <c r="AF191" s="51" t="e">
        <f>HLOOKUP(I191,ElecAvoidedCostsWOCC!$A$5:$Q$50,G191+1,FALSE)</f>
        <v>#N/A</v>
      </c>
      <c r="AG191" s="43" t="e">
        <f t="shared" si="69"/>
        <v>#N/A</v>
      </c>
      <c r="AH191" s="51" t="e">
        <f>HLOOKUP(I191,ElecAvoidedCostsWOCC!$A$5:$Q$50,T191+1,FALSE)</f>
        <v>#N/A</v>
      </c>
      <c r="AI191" s="43" t="e">
        <f t="shared" si="70"/>
        <v>#N/A</v>
      </c>
      <c r="AJ191" s="43" t="e">
        <f t="shared" si="71"/>
        <v>#N/A</v>
      </c>
      <c r="AK191" s="43" t="e">
        <f>HLOOKUP(I191,ElecAvoidedCostsWOCC!$A$5:$Q$50,G191+1,FALSE)*J191*L191</f>
        <v>#N/A</v>
      </c>
      <c r="AL191" s="43" t="e">
        <f t="shared" si="72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73"/>
        <v>0</v>
      </c>
      <c r="AO191" s="46">
        <f t="shared" si="74"/>
        <v>0</v>
      </c>
      <c r="AP191" s="46" t="e">
        <f t="shared" si="75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57"/>
        <v>0</v>
      </c>
      <c r="U192" s="46">
        <f t="shared" si="58"/>
        <v>0</v>
      </c>
      <c r="V192" s="47">
        <f t="shared" si="59"/>
        <v>0</v>
      </c>
      <c r="W192" s="48">
        <f t="shared" si="60"/>
        <v>0</v>
      </c>
      <c r="X192" s="43">
        <f t="shared" si="61"/>
        <v>0</v>
      </c>
      <c r="Y192" s="43">
        <f t="shared" si="62"/>
        <v>0</v>
      </c>
      <c r="Z192" s="43">
        <f t="shared" si="63"/>
        <v>0</v>
      </c>
      <c r="AA192" s="49">
        <f t="shared" si="64"/>
        <v>0</v>
      </c>
      <c r="AB192" s="50">
        <f t="shared" si="65"/>
        <v>0</v>
      </c>
      <c r="AC192" s="43">
        <f t="shared" si="66"/>
        <v>0</v>
      </c>
      <c r="AD192" s="43">
        <f t="shared" si="67"/>
        <v>0</v>
      </c>
      <c r="AE192" s="43">
        <f t="shared" si="68"/>
        <v>0</v>
      </c>
      <c r="AF192" s="51" t="e">
        <f>HLOOKUP(I192,ElecAvoidedCostsWOCC!$A$5:$Q$50,G192+1,FALSE)</f>
        <v>#N/A</v>
      </c>
      <c r="AG192" s="43" t="e">
        <f t="shared" si="69"/>
        <v>#N/A</v>
      </c>
      <c r="AH192" s="51" t="e">
        <f>HLOOKUP(I192,ElecAvoidedCostsWOCC!$A$5:$Q$50,T192+1,FALSE)</f>
        <v>#N/A</v>
      </c>
      <c r="AI192" s="43" t="e">
        <f t="shared" si="70"/>
        <v>#N/A</v>
      </c>
      <c r="AJ192" s="43" t="e">
        <f t="shared" si="71"/>
        <v>#N/A</v>
      </c>
      <c r="AK192" s="43" t="e">
        <f>HLOOKUP(I192,ElecAvoidedCostsWOCC!$A$5:$Q$50,G192+1,FALSE)*J192*L192</f>
        <v>#N/A</v>
      </c>
      <c r="AL192" s="43" t="e">
        <f t="shared" si="72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73"/>
        <v>0</v>
      </c>
      <c r="AO192" s="46">
        <f t="shared" si="74"/>
        <v>0</v>
      </c>
      <c r="AP192" s="46" t="e">
        <f t="shared" si="75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57"/>
        <v>0</v>
      </c>
      <c r="U193" s="46">
        <f t="shared" si="58"/>
        <v>0</v>
      </c>
      <c r="V193" s="47">
        <f t="shared" si="59"/>
        <v>0</v>
      </c>
      <c r="W193" s="48">
        <f t="shared" si="60"/>
        <v>0</v>
      </c>
      <c r="X193" s="43">
        <f t="shared" si="61"/>
        <v>0</v>
      </c>
      <c r="Y193" s="43">
        <f t="shared" si="62"/>
        <v>0</v>
      </c>
      <c r="Z193" s="43">
        <f t="shared" si="63"/>
        <v>0</v>
      </c>
      <c r="AA193" s="49">
        <f t="shared" si="64"/>
        <v>0</v>
      </c>
      <c r="AB193" s="50">
        <f t="shared" si="65"/>
        <v>0</v>
      </c>
      <c r="AC193" s="43">
        <f t="shared" si="66"/>
        <v>0</v>
      </c>
      <c r="AD193" s="43">
        <f t="shared" si="67"/>
        <v>0</v>
      </c>
      <c r="AE193" s="43">
        <f t="shared" si="68"/>
        <v>0</v>
      </c>
      <c r="AF193" s="51" t="e">
        <f>HLOOKUP(I193,ElecAvoidedCostsWOCC!$A$5:$Q$50,G193+1,FALSE)</f>
        <v>#N/A</v>
      </c>
      <c r="AG193" s="43" t="e">
        <f t="shared" si="69"/>
        <v>#N/A</v>
      </c>
      <c r="AH193" s="51" t="e">
        <f>HLOOKUP(I193,ElecAvoidedCostsWOCC!$A$5:$Q$50,T193+1,FALSE)</f>
        <v>#N/A</v>
      </c>
      <c r="AI193" s="43" t="e">
        <f t="shared" si="70"/>
        <v>#N/A</v>
      </c>
      <c r="AJ193" s="43" t="e">
        <f t="shared" si="71"/>
        <v>#N/A</v>
      </c>
      <c r="AK193" s="43" t="e">
        <f>HLOOKUP(I193,ElecAvoidedCostsWOCC!$A$5:$Q$50,G193+1,FALSE)*J193*L193</f>
        <v>#N/A</v>
      </c>
      <c r="AL193" s="43" t="e">
        <f t="shared" si="72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73"/>
        <v>0</v>
      </c>
      <c r="AO193" s="46">
        <f t="shared" si="74"/>
        <v>0</v>
      </c>
      <c r="AP193" s="46" t="e">
        <f t="shared" si="75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57"/>
        <v>0</v>
      </c>
      <c r="U194" s="46">
        <f t="shared" si="58"/>
        <v>0</v>
      </c>
      <c r="V194" s="47">
        <f t="shared" si="59"/>
        <v>0</v>
      </c>
      <c r="W194" s="48">
        <f t="shared" si="60"/>
        <v>0</v>
      </c>
      <c r="X194" s="43">
        <f t="shared" si="61"/>
        <v>0</v>
      </c>
      <c r="Y194" s="43">
        <f t="shared" si="62"/>
        <v>0</v>
      </c>
      <c r="Z194" s="43">
        <f t="shared" si="63"/>
        <v>0</v>
      </c>
      <c r="AA194" s="49">
        <f t="shared" si="64"/>
        <v>0</v>
      </c>
      <c r="AB194" s="50">
        <f t="shared" si="65"/>
        <v>0</v>
      </c>
      <c r="AC194" s="43">
        <f t="shared" si="66"/>
        <v>0</v>
      </c>
      <c r="AD194" s="43">
        <f t="shared" si="67"/>
        <v>0</v>
      </c>
      <c r="AE194" s="43">
        <f t="shared" si="68"/>
        <v>0</v>
      </c>
      <c r="AF194" s="51" t="e">
        <f>HLOOKUP(I194,ElecAvoidedCostsWOCC!$A$5:$Q$50,G194+1,FALSE)</f>
        <v>#N/A</v>
      </c>
      <c r="AG194" s="43" t="e">
        <f t="shared" si="69"/>
        <v>#N/A</v>
      </c>
      <c r="AH194" s="51" t="e">
        <f>HLOOKUP(I194,ElecAvoidedCostsWOCC!$A$5:$Q$50,T194+1,FALSE)</f>
        <v>#N/A</v>
      </c>
      <c r="AI194" s="43" t="e">
        <f t="shared" si="70"/>
        <v>#N/A</v>
      </c>
      <c r="AJ194" s="43" t="e">
        <f t="shared" si="71"/>
        <v>#N/A</v>
      </c>
      <c r="AK194" s="43" t="e">
        <f>HLOOKUP(I194,ElecAvoidedCostsWOCC!$A$5:$Q$50,G194+1,FALSE)*J194*L194</f>
        <v>#N/A</v>
      </c>
      <c r="AL194" s="43" t="e">
        <f t="shared" si="72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73"/>
        <v>0</v>
      </c>
      <c r="AO194" s="46">
        <f t="shared" si="74"/>
        <v>0</v>
      </c>
      <c r="AP194" s="46" t="e">
        <f t="shared" si="75"/>
        <v>#DIV/0!</v>
      </c>
    </row>
    <row r="195" spans="2:42" x14ac:dyDescent="0.25">
      <c r="B195" s="36"/>
      <c r="C195" s="60"/>
      <c r="D195" s="60"/>
      <c r="E195" s="37"/>
      <c r="F195" s="38"/>
      <c r="G195" s="38"/>
      <c r="H195" s="38"/>
      <c r="I195" s="39"/>
      <c r="J195" s="40"/>
      <c r="K195" s="40"/>
      <c r="L195" s="40"/>
      <c r="M195" s="41"/>
      <c r="N195" s="41"/>
      <c r="O195" s="42"/>
      <c r="P195" s="43"/>
      <c r="Q195" s="43"/>
      <c r="R195" s="44"/>
      <c r="S195" s="45"/>
      <c r="T195" s="38">
        <f t="shared" si="57"/>
        <v>0</v>
      </c>
      <c r="U195" s="46">
        <f t="shared" si="58"/>
        <v>0</v>
      </c>
      <c r="V195" s="47">
        <f t="shared" si="59"/>
        <v>0</v>
      </c>
      <c r="W195" s="48">
        <f t="shared" si="60"/>
        <v>0</v>
      </c>
      <c r="X195" s="43">
        <f t="shared" si="61"/>
        <v>0</v>
      </c>
      <c r="Y195" s="43">
        <f t="shared" si="62"/>
        <v>0</v>
      </c>
      <c r="Z195" s="43">
        <f t="shared" si="63"/>
        <v>0</v>
      </c>
      <c r="AA195" s="49">
        <f t="shared" si="64"/>
        <v>0</v>
      </c>
      <c r="AB195" s="50">
        <f t="shared" si="65"/>
        <v>0</v>
      </c>
      <c r="AC195" s="43">
        <f t="shared" si="66"/>
        <v>0</v>
      </c>
      <c r="AD195" s="43">
        <f t="shared" si="67"/>
        <v>0</v>
      </c>
      <c r="AE195" s="43">
        <f t="shared" si="68"/>
        <v>0</v>
      </c>
      <c r="AF195" s="51" t="e">
        <f>HLOOKUP(I195,ElecAvoidedCostsWOCC!$A$5:$Q$50,G195+1,FALSE)</f>
        <v>#N/A</v>
      </c>
      <c r="AG195" s="43" t="e">
        <f t="shared" si="69"/>
        <v>#N/A</v>
      </c>
      <c r="AH195" s="51" t="e">
        <f>HLOOKUP(I195,ElecAvoidedCostsWOCC!$A$5:$Q$50,T195+1,FALSE)</f>
        <v>#N/A</v>
      </c>
      <c r="AI195" s="43" t="e">
        <f t="shared" si="70"/>
        <v>#N/A</v>
      </c>
      <c r="AJ195" s="43" t="e">
        <f t="shared" si="71"/>
        <v>#N/A</v>
      </c>
      <c r="AK195" s="43" t="e">
        <f>HLOOKUP(I195,ElecAvoidedCostsWOCC!$A$5:$Q$50,G195+1,FALSE)*J195*L195</f>
        <v>#N/A</v>
      </c>
      <c r="AL195" s="43" t="e">
        <f t="shared" si="72"/>
        <v>#N/A</v>
      </c>
      <c r="AM195" s="47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7">
        <f t="shared" si="73"/>
        <v>0</v>
      </c>
      <c r="AO195" s="46">
        <f t="shared" si="74"/>
        <v>0</v>
      </c>
      <c r="AP195" s="46" t="e">
        <f t="shared" si="75"/>
        <v>#DIV/0!</v>
      </c>
    </row>
    <row r="196" spans="2:42" x14ac:dyDescent="0.25">
      <c r="B196" s="36"/>
      <c r="C196" s="60"/>
      <c r="D196" s="60"/>
      <c r="E196" s="37"/>
      <c r="F196" s="38"/>
      <c r="G196" s="38"/>
      <c r="H196" s="38"/>
      <c r="I196" s="39"/>
      <c r="J196" s="40"/>
      <c r="K196" s="40"/>
      <c r="L196" s="40"/>
      <c r="M196" s="41"/>
      <c r="N196" s="41"/>
      <c r="O196" s="42"/>
      <c r="P196" s="43"/>
      <c r="Q196" s="43"/>
      <c r="R196" s="44"/>
      <c r="S196" s="45"/>
      <c r="T196" s="38">
        <f t="shared" ref="T196:T259" si="76">G196+H196</f>
        <v>0</v>
      </c>
      <c r="U196" s="46">
        <f t="shared" ref="U196:U259" si="77">(O196/$A$10)*T196</f>
        <v>0</v>
      </c>
      <c r="V196" s="47">
        <f t="shared" ref="V196:V259" si="78">N196-M196</f>
        <v>0</v>
      </c>
      <c r="W196" s="48">
        <f t="shared" ref="W196:W259" si="79">(O196/A$10)</f>
        <v>0</v>
      </c>
      <c r="X196" s="43">
        <f t="shared" ref="X196:X259" si="80">W196*A$8</f>
        <v>0</v>
      </c>
      <c r="Y196" s="43">
        <f t="shared" ref="Y196:Y259" si="81">Q196-P196</f>
        <v>0</v>
      </c>
      <c r="Z196" s="43">
        <f t="shared" ref="Z196:Z259" si="82">X196+(A$6*W196)</f>
        <v>0</v>
      </c>
      <c r="AA196" s="49">
        <f t="shared" ref="AA196:AA259" si="83">Q196+X196</f>
        <v>0</v>
      </c>
      <c r="AB196" s="50">
        <f t="shared" ref="AB196:AB259" si="84">Z196/(1+ElecDiscountRate)^1</f>
        <v>0</v>
      </c>
      <c r="AC196" s="43">
        <f t="shared" ref="AC196:AC259" si="85">AA196/(1+ElecDiscountRate)^1</f>
        <v>0</v>
      </c>
      <c r="AD196" s="43">
        <f t="shared" ref="AD196:AD259" si="86">-PV(ElecDiscountRate,T196,R196)*J196</f>
        <v>0</v>
      </c>
      <c r="AE196" s="43">
        <f t="shared" ref="AE196:AE259" si="87">-PV(ElecDiscountRate,T196,S196)*J196</f>
        <v>0</v>
      </c>
      <c r="AF196" s="51" t="e">
        <f>HLOOKUP(I196,ElecAvoidedCostsWOCC!$A$5:$Q$50,G196+1,FALSE)</f>
        <v>#N/A</v>
      </c>
      <c r="AG196" s="43" t="e">
        <f t="shared" ref="AG196:AG259" si="88">AF196*J196*K196</f>
        <v>#N/A</v>
      </c>
      <c r="AH196" s="51" t="e">
        <f>HLOOKUP(I196,ElecAvoidedCostsWOCC!$A$5:$Q$50,T196+1,FALSE)</f>
        <v>#N/A</v>
      </c>
      <c r="AI196" s="43" t="e">
        <f t="shared" ref="AI196:AI259" si="89">AH196*J196*L196</f>
        <v>#N/A</v>
      </c>
      <c r="AJ196" s="43" t="e">
        <f t="shared" ref="AJ196:AJ259" si="90">AG196+AI196</f>
        <v>#N/A</v>
      </c>
      <c r="AK196" s="43" t="e">
        <f>HLOOKUP(I196,ElecAvoidedCostsWOCC!$A$5:$Q$50,G196+1,FALSE)*J196*L196</f>
        <v>#N/A</v>
      </c>
      <c r="AL196" s="43" t="e">
        <f t="shared" ref="AL196:AL259" si="91">AG196+AI196-AK196</f>
        <v>#N/A</v>
      </c>
      <c r="AM196" s="47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7">
        <f t="shared" ref="AN196:AN259" si="92">AM196*1.1+AD196+AE196</f>
        <v>0</v>
      </c>
      <c r="AO196" s="46">
        <f t="shared" ref="AO196:AO259" si="93">IFERROR(AM196/AB196,0)</f>
        <v>0</v>
      </c>
      <c r="AP196" s="46" t="e">
        <f t="shared" ref="AP196:AP259" si="94">AN196/AC196</f>
        <v>#DIV/0!</v>
      </c>
    </row>
    <row r="197" spans="2:42" x14ac:dyDescent="0.25">
      <c r="B197" s="36"/>
      <c r="C197" s="60"/>
      <c r="D197" s="60"/>
      <c r="E197" s="37"/>
      <c r="F197" s="38"/>
      <c r="G197" s="38"/>
      <c r="H197" s="38"/>
      <c r="I197" s="39"/>
      <c r="J197" s="40"/>
      <c r="K197" s="40"/>
      <c r="L197" s="40"/>
      <c r="M197" s="41"/>
      <c r="N197" s="41"/>
      <c r="O197" s="42"/>
      <c r="P197" s="43"/>
      <c r="Q197" s="43"/>
      <c r="R197" s="44"/>
      <c r="S197" s="45"/>
      <c r="T197" s="38">
        <f t="shared" si="76"/>
        <v>0</v>
      </c>
      <c r="U197" s="46">
        <f t="shared" si="77"/>
        <v>0</v>
      </c>
      <c r="V197" s="47">
        <f t="shared" si="78"/>
        <v>0</v>
      </c>
      <c r="W197" s="48">
        <f t="shared" si="79"/>
        <v>0</v>
      </c>
      <c r="X197" s="43">
        <f t="shared" si="80"/>
        <v>0</v>
      </c>
      <c r="Y197" s="43">
        <f t="shared" si="81"/>
        <v>0</v>
      </c>
      <c r="Z197" s="43">
        <f t="shared" si="82"/>
        <v>0</v>
      </c>
      <c r="AA197" s="49">
        <f t="shared" si="83"/>
        <v>0</v>
      </c>
      <c r="AB197" s="50">
        <f t="shared" si="84"/>
        <v>0</v>
      </c>
      <c r="AC197" s="43">
        <f t="shared" si="85"/>
        <v>0</v>
      </c>
      <c r="AD197" s="43">
        <f t="shared" si="86"/>
        <v>0</v>
      </c>
      <c r="AE197" s="43">
        <f t="shared" si="87"/>
        <v>0</v>
      </c>
      <c r="AF197" s="51" t="e">
        <f>HLOOKUP(I197,ElecAvoidedCostsWOCC!$A$5:$Q$50,G197+1,FALSE)</f>
        <v>#N/A</v>
      </c>
      <c r="AG197" s="43" t="e">
        <f t="shared" si="88"/>
        <v>#N/A</v>
      </c>
      <c r="AH197" s="51" t="e">
        <f>HLOOKUP(I197,ElecAvoidedCostsWOCC!$A$5:$Q$50,T197+1,FALSE)</f>
        <v>#N/A</v>
      </c>
      <c r="AI197" s="43" t="e">
        <f t="shared" si="89"/>
        <v>#N/A</v>
      </c>
      <c r="AJ197" s="43" t="e">
        <f t="shared" si="90"/>
        <v>#N/A</v>
      </c>
      <c r="AK197" s="43" t="e">
        <f>HLOOKUP(I197,ElecAvoidedCostsWOCC!$A$5:$Q$50,G197+1,FALSE)*J197*L197</f>
        <v>#N/A</v>
      </c>
      <c r="AL197" s="43" t="e">
        <f t="shared" si="91"/>
        <v>#N/A</v>
      </c>
      <c r="AM197" s="47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7">
        <f t="shared" si="92"/>
        <v>0</v>
      </c>
      <c r="AO197" s="46">
        <f t="shared" si="93"/>
        <v>0</v>
      </c>
      <c r="AP197" s="46" t="e">
        <f t="shared" si="94"/>
        <v>#DIV/0!</v>
      </c>
    </row>
    <row r="198" spans="2:42" x14ac:dyDescent="0.25">
      <c r="B198" s="36"/>
      <c r="C198" s="60"/>
      <c r="D198" s="60"/>
      <c r="E198" s="37"/>
      <c r="F198" s="38"/>
      <c r="G198" s="38"/>
      <c r="H198" s="38"/>
      <c r="I198" s="39"/>
      <c r="J198" s="40"/>
      <c r="K198" s="40"/>
      <c r="L198" s="40"/>
      <c r="M198" s="41"/>
      <c r="N198" s="41"/>
      <c r="O198" s="42"/>
      <c r="P198" s="43"/>
      <c r="Q198" s="43"/>
      <c r="R198" s="44"/>
      <c r="S198" s="45"/>
      <c r="T198" s="38">
        <f t="shared" si="76"/>
        <v>0</v>
      </c>
      <c r="U198" s="46">
        <f t="shared" si="77"/>
        <v>0</v>
      </c>
      <c r="V198" s="47">
        <f t="shared" si="78"/>
        <v>0</v>
      </c>
      <c r="W198" s="48">
        <f t="shared" si="79"/>
        <v>0</v>
      </c>
      <c r="X198" s="43">
        <f t="shared" si="80"/>
        <v>0</v>
      </c>
      <c r="Y198" s="43">
        <f t="shared" si="81"/>
        <v>0</v>
      </c>
      <c r="Z198" s="43">
        <f t="shared" si="82"/>
        <v>0</v>
      </c>
      <c r="AA198" s="49">
        <f t="shared" si="83"/>
        <v>0</v>
      </c>
      <c r="AB198" s="50">
        <f t="shared" si="84"/>
        <v>0</v>
      </c>
      <c r="AC198" s="43">
        <f t="shared" si="85"/>
        <v>0</v>
      </c>
      <c r="AD198" s="43">
        <f t="shared" si="86"/>
        <v>0</v>
      </c>
      <c r="AE198" s="43">
        <f t="shared" si="87"/>
        <v>0</v>
      </c>
      <c r="AF198" s="51" t="e">
        <f>HLOOKUP(I198,ElecAvoidedCostsWOCC!$A$5:$Q$50,G198+1,FALSE)</f>
        <v>#N/A</v>
      </c>
      <c r="AG198" s="43" t="e">
        <f t="shared" si="88"/>
        <v>#N/A</v>
      </c>
      <c r="AH198" s="51" t="e">
        <f>HLOOKUP(I198,ElecAvoidedCostsWOCC!$A$5:$Q$50,T198+1,FALSE)</f>
        <v>#N/A</v>
      </c>
      <c r="AI198" s="43" t="e">
        <f t="shared" si="89"/>
        <v>#N/A</v>
      </c>
      <c r="AJ198" s="43" t="e">
        <f t="shared" si="90"/>
        <v>#N/A</v>
      </c>
      <c r="AK198" s="43" t="e">
        <f>HLOOKUP(I198,ElecAvoidedCostsWOCC!$A$5:$Q$50,G198+1,FALSE)*J198*L198</f>
        <v>#N/A</v>
      </c>
      <c r="AL198" s="43" t="e">
        <f t="shared" si="91"/>
        <v>#N/A</v>
      </c>
      <c r="AM198" s="47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7">
        <f t="shared" si="92"/>
        <v>0</v>
      </c>
      <c r="AO198" s="46">
        <f t="shared" si="93"/>
        <v>0</v>
      </c>
      <c r="AP198" s="46" t="e">
        <f t="shared" si="94"/>
        <v>#DIV/0!</v>
      </c>
    </row>
    <row r="199" spans="2:42" x14ac:dyDescent="0.25">
      <c r="B199" s="36"/>
      <c r="C199" s="60"/>
      <c r="D199" s="60"/>
      <c r="E199" s="37"/>
      <c r="F199" s="38"/>
      <c r="G199" s="38"/>
      <c r="H199" s="38"/>
      <c r="I199" s="39"/>
      <c r="J199" s="40"/>
      <c r="K199" s="40"/>
      <c r="L199" s="40"/>
      <c r="M199" s="41"/>
      <c r="N199" s="41"/>
      <c r="O199" s="42"/>
      <c r="P199" s="43"/>
      <c r="Q199" s="43"/>
      <c r="R199" s="44"/>
      <c r="S199" s="45"/>
      <c r="T199" s="38">
        <f t="shared" si="76"/>
        <v>0</v>
      </c>
      <c r="U199" s="46">
        <f t="shared" si="77"/>
        <v>0</v>
      </c>
      <c r="V199" s="47">
        <f t="shared" si="78"/>
        <v>0</v>
      </c>
      <c r="W199" s="48">
        <f t="shared" si="79"/>
        <v>0</v>
      </c>
      <c r="X199" s="43">
        <f t="shared" si="80"/>
        <v>0</v>
      </c>
      <c r="Y199" s="43">
        <f t="shared" si="81"/>
        <v>0</v>
      </c>
      <c r="Z199" s="43">
        <f t="shared" si="82"/>
        <v>0</v>
      </c>
      <c r="AA199" s="49">
        <f t="shared" si="83"/>
        <v>0</v>
      </c>
      <c r="AB199" s="50">
        <f t="shared" si="84"/>
        <v>0</v>
      </c>
      <c r="AC199" s="43">
        <f t="shared" si="85"/>
        <v>0</v>
      </c>
      <c r="AD199" s="43">
        <f t="shared" si="86"/>
        <v>0</v>
      </c>
      <c r="AE199" s="43">
        <f t="shared" si="87"/>
        <v>0</v>
      </c>
      <c r="AF199" s="51" t="e">
        <f>HLOOKUP(I199,ElecAvoidedCostsWOCC!$A$5:$Q$50,G199+1,FALSE)</f>
        <v>#N/A</v>
      </c>
      <c r="AG199" s="43" t="e">
        <f t="shared" si="88"/>
        <v>#N/A</v>
      </c>
      <c r="AH199" s="51" t="e">
        <f>HLOOKUP(I199,ElecAvoidedCostsWOCC!$A$5:$Q$50,T199+1,FALSE)</f>
        <v>#N/A</v>
      </c>
      <c r="AI199" s="43" t="e">
        <f t="shared" si="89"/>
        <v>#N/A</v>
      </c>
      <c r="AJ199" s="43" t="e">
        <f t="shared" si="90"/>
        <v>#N/A</v>
      </c>
      <c r="AK199" s="43" t="e">
        <f>HLOOKUP(I199,ElecAvoidedCostsWOCC!$A$5:$Q$50,G199+1,FALSE)*J199*L199</f>
        <v>#N/A</v>
      </c>
      <c r="AL199" s="43" t="e">
        <f t="shared" si="91"/>
        <v>#N/A</v>
      </c>
      <c r="AM199" s="47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7">
        <f t="shared" si="92"/>
        <v>0</v>
      </c>
      <c r="AO199" s="46">
        <f t="shared" si="93"/>
        <v>0</v>
      </c>
      <c r="AP199" s="46" t="e">
        <f t="shared" si="94"/>
        <v>#DIV/0!</v>
      </c>
    </row>
    <row r="200" spans="2:42" x14ac:dyDescent="0.25">
      <c r="B200" s="36"/>
      <c r="C200" s="60"/>
      <c r="D200" s="60"/>
      <c r="E200" s="37"/>
      <c r="F200" s="38"/>
      <c r="G200" s="38"/>
      <c r="H200" s="38"/>
      <c r="I200" s="39"/>
      <c r="J200" s="40"/>
      <c r="K200" s="40"/>
      <c r="L200" s="40"/>
      <c r="M200" s="41"/>
      <c r="N200" s="41"/>
      <c r="O200" s="42"/>
      <c r="P200" s="43"/>
      <c r="Q200" s="43"/>
      <c r="R200" s="44"/>
      <c r="S200" s="45"/>
      <c r="T200" s="38">
        <f t="shared" si="76"/>
        <v>0</v>
      </c>
      <c r="U200" s="46">
        <f t="shared" si="77"/>
        <v>0</v>
      </c>
      <c r="V200" s="47">
        <f t="shared" si="78"/>
        <v>0</v>
      </c>
      <c r="W200" s="48">
        <f t="shared" si="79"/>
        <v>0</v>
      </c>
      <c r="X200" s="43">
        <f t="shared" si="80"/>
        <v>0</v>
      </c>
      <c r="Y200" s="43">
        <f t="shared" si="81"/>
        <v>0</v>
      </c>
      <c r="Z200" s="43">
        <f t="shared" si="82"/>
        <v>0</v>
      </c>
      <c r="AA200" s="49">
        <f t="shared" si="83"/>
        <v>0</v>
      </c>
      <c r="AB200" s="50">
        <f t="shared" si="84"/>
        <v>0</v>
      </c>
      <c r="AC200" s="43">
        <f t="shared" si="85"/>
        <v>0</v>
      </c>
      <c r="AD200" s="43">
        <f t="shared" si="86"/>
        <v>0</v>
      </c>
      <c r="AE200" s="43">
        <f t="shared" si="87"/>
        <v>0</v>
      </c>
      <c r="AF200" s="51" t="e">
        <f>HLOOKUP(I200,ElecAvoidedCostsWOCC!$A$5:$Q$50,G200+1,FALSE)</f>
        <v>#N/A</v>
      </c>
      <c r="AG200" s="43" t="e">
        <f t="shared" si="88"/>
        <v>#N/A</v>
      </c>
      <c r="AH200" s="51" t="e">
        <f>HLOOKUP(I200,ElecAvoidedCostsWOCC!$A$5:$Q$50,T200+1,FALSE)</f>
        <v>#N/A</v>
      </c>
      <c r="AI200" s="43" t="e">
        <f t="shared" si="89"/>
        <v>#N/A</v>
      </c>
      <c r="AJ200" s="43" t="e">
        <f t="shared" si="90"/>
        <v>#N/A</v>
      </c>
      <c r="AK200" s="43" t="e">
        <f>HLOOKUP(I200,ElecAvoidedCostsWOCC!$A$5:$Q$50,G200+1,FALSE)*J200*L200</f>
        <v>#N/A</v>
      </c>
      <c r="AL200" s="43" t="e">
        <f t="shared" si="91"/>
        <v>#N/A</v>
      </c>
      <c r="AM200" s="47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7">
        <f t="shared" si="92"/>
        <v>0</v>
      </c>
      <c r="AO200" s="46">
        <f t="shared" si="93"/>
        <v>0</v>
      </c>
      <c r="AP200" s="46" t="e">
        <f t="shared" si="94"/>
        <v>#DIV/0!</v>
      </c>
    </row>
    <row r="201" spans="2:42" x14ac:dyDescent="0.25">
      <c r="B201" s="36"/>
      <c r="C201" s="60"/>
      <c r="D201" s="60"/>
      <c r="E201" s="37"/>
      <c r="F201" s="38"/>
      <c r="G201" s="38"/>
      <c r="H201" s="38"/>
      <c r="I201" s="39"/>
      <c r="J201" s="40"/>
      <c r="K201" s="40"/>
      <c r="L201" s="40"/>
      <c r="M201" s="41"/>
      <c r="N201" s="41"/>
      <c r="O201" s="42"/>
      <c r="P201" s="43"/>
      <c r="Q201" s="43"/>
      <c r="R201" s="44"/>
      <c r="S201" s="45"/>
      <c r="T201" s="38">
        <f t="shared" si="76"/>
        <v>0</v>
      </c>
      <c r="U201" s="46">
        <f t="shared" si="77"/>
        <v>0</v>
      </c>
      <c r="V201" s="47">
        <f t="shared" si="78"/>
        <v>0</v>
      </c>
      <c r="W201" s="48">
        <f t="shared" si="79"/>
        <v>0</v>
      </c>
      <c r="X201" s="43">
        <f t="shared" si="80"/>
        <v>0</v>
      </c>
      <c r="Y201" s="43">
        <f t="shared" si="81"/>
        <v>0</v>
      </c>
      <c r="Z201" s="43">
        <f t="shared" si="82"/>
        <v>0</v>
      </c>
      <c r="AA201" s="49">
        <f t="shared" si="83"/>
        <v>0</v>
      </c>
      <c r="AB201" s="50">
        <f t="shared" si="84"/>
        <v>0</v>
      </c>
      <c r="AC201" s="43">
        <f t="shared" si="85"/>
        <v>0</v>
      </c>
      <c r="AD201" s="43">
        <f t="shared" si="86"/>
        <v>0</v>
      </c>
      <c r="AE201" s="43">
        <f t="shared" si="87"/>
        <v>0</v>
      </c>
      <c r="AF201" s="51" t="e">
        <f>HLOOKUP(I201,ElecAvoidedCostsWOCC!$A$5:$Q$50,G201+1,FALSE)</f>
        <v>#N/A</v>
      </c>
      <c r="AG201" s="43" t="e">
        <f t="shared" si="88"/>
        <v>#N/A</v>
      </c>
      <c r="AH201" s="51" t="e">
        <f>HLOOKUP(I201,ElecAvoidedCostsWOCC!$A$5:$Q$50,T201+1,FALSE)</f>
        <v>#N/A</v>
      </c>
      <c r="AI201" s="43" t="e">
        <f t="shared" si="89"/>
        <v>#N/A</v>
      </c>
      <c r="AJ201" s="43" t="e">
        <f t="shared" si="90"/>
        <v>#N/A</v>
      </c>
      <c r="AK201" s="43" t="e">
        <f>HLOOKUP(I201,ElecAvoidedCostsWOCC!$A$5:$Q$50,G201+1,FALSE)*J201*L201</f>
        <v>#N/A</v>
      </c>
      <c r="AL201" s="43" t="e">
        <f t="shared" si="91"/>
        <v>#N/A</v>
      </c>
      <c r="AM201" s="47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7">
        <f t="shared" si="92"/>
        <v>0</v>
      </c>
      <c r="AO201" s="46">
        <f t="shared" si="93"/>
        <v>0</v>
      </c>
      <c r="AP201" s="46" t="e">
        <f t="shared" si="94"/>
        <v>#DIV/0!</v>
      </c>
    </row>
    <row r="202" spans="2:42" x14ac:dyDescent="0.25">
      <c r="B202" s="36"/>
      <c r="C202" s="60"/>
      <c r="D202" s="60"/>
      <c r="E202" s="37"/>
      <c r="F202" s="38"/>
      <c r="G202" s="38"/>
      <c r="H202" s="38"/>
      <c r="I202" s="39"/>
      <c r="J202" s="40"/>
      <c r="K202" s="40"/>
      <c r="L202" s="40"/>
      <c r="M202" s="41"/>
      <c r="N202" s="41"/>
      <c r="O202" s="42"/>
      <c r="P202" s="43"/>
      <c r="Q202" s="43"/>
      <c r="R202" s="44"/>
      <c r="S202" s="45"/>
      <c r="T202" s="38">
        <f t="shared" si="76"/>
        <v>0</v>
      </c>
      <c r="U202" s="46">
        <f t="shared" si="77"/>
        <v>0</v>
      </c>
      <c r="V202" s="47">
        <f t="shared" si="78"/>
        <v>0</v>
      </c>
      <c r="W202" s="48">
        <f t="shared" si="79"/>
        <v>0</v>
      </c>
      <c r="X202" s="43">
        <f t="shared" si="80"/>
        <v>0</v>
      </c>
      <c r="Y202" s="43">
        <f t="shared" si="81"/>
        <v>0</v>
      </c>
      <c r="Z202" s="43">
        <f t="shared" si="82"/>
        <v>0</v>
      </c>
      <c r="AA202" s="49">
        <f t="shared" si="83"/>
        <v>0</v>
      </c>
      <c r="AB202" s="50">
        <f t="shared" si="84"/>
        <v>0</v>
      </c>
      <c r="AC202" s="43">
        <f t="shared" si="85"/>
        <v>0</v>
      </c>
      <c r="AD202" s="43">
        <f t="shared" si="86"/>
        <v>0</v>
      </c>
      <c r="AE202" s="43">
        <f t="shared" si="87"/>
        <v>0</v>
      </c>
      <c r="AF202" s="51" t="e">
        <f>HLOOKUP(I202,ElecAvoidedCostsWOCC!$A$5:$Q$50,G202+1,FALSE)</f>
        <v>#N/A</v>
      </c>
      <c r="AG202" s="43" t="e">
        <f t="shared" si="88"/>
        <v>#N/A</v>
      </c>
      <c r="AH202" s="51" t="e">
        <f>HLOOKUP(I202,ElecAvoidedCostsWOCC!$A$5:$Q$50,T202+1,FALSE)</f>
        <v>#N/A</v>
      </c>
      <c r="AI202" s="43" t="e">
        <f t="shared" si="89"/>
        <v>#N/A</v>
      </c>
      <c r="AJ202" s="43" t="e">
        <f t="shared" si="90"/>
        <v>#N/A</v>
      </c>
      <c r="AK202" s="43" t="e">
        <f>HLOOKUP(I202,ElecAvoidedCostsWOCC!$A$5:$Q$50,G202+1,FALSE)*J202*L202</f>
        <v>#N/A</v>
      </c>
      <c r="AL202" s="43" t="e">
        <f t="shared" si="91"/>
        <v>#N/A</v>
      </c>
      <c r="AM202" s="47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7">
        <f t="shared" si="92"/>
        <v>0</v>
      </c>
      <c r="AO202" s="46">
        <f t="shared" si="93"/>
        <v>0</v>
      </c>
      <c r="AP202" s="46" t="e">
        <f t="shared" si="94"/>
        <v>#DIV/0!</v>
      </c>
    </row>
    <row r="203" spans="2:42" x14ac:dyDescent="0.25">
      <c r="B203" s="36"/>
      <c r="C203" s="60"/>
      <c r="D203" s="60"/>
      <c r="E203" s="37"/>
      <c r="F203" s="38"/>
      <c r="G203" s="38"/>
      <c r="H203" s="38"/>
      <c r="I203" s="39"/>
      <c r="J203" s="40"/>
      <c r="K203" s="40"/>
      <c r="L203" s="40"/>
      <c r="M203" s="41"/>
      <c r="N203" s="41"/>
      <c r="O203" s="42"/>
      <c r="P203" s="43"/>
      <c r="Q203" s="43"/>
      <c r="R203" s="44"/>
      <c r="S203" s="45"/>
      <c r="T203" s="38">
        <f t="shared" si="76"/>
        <v>0</v>
      </c>
      <c r="U203" s="46">
        <f t="shared" si="77"/>
        <v>0</v>
      </c>
      <c r="V203" s="47">
        <f t="shared" si="78"/>
        <v>0</v>
      </c>
      <c r="W203" s="48">
        <f t="shared" si="79"/>
        <v>0</v>
      </c>
      <c r="X203" s="43">
        <f t="shared" si="80"/>
        <v>0</v>
      </c>
      <c r="Y203" s="43">
        <f t="shared" si="81"/>
        <v>0</v>
      </c>
      <c r="Z203" s="43">
        <f t="shared" si="82"/>
        <v>0</v>
      </c>
      <c r="AA203" s="49">
        <f t="shared" si="83"/>
        <v>0</v>
      </c>
      <c r="AB203" s="50">
        <f t="shared" si="84"/>
        <v>0</v>
      </c>
      <c r="AC203" s="43">
        <f t="shared" si="85"/>
        <v>0</v>
      </c>
      <c r="AD203" s="43">
        <f t="shared" si="86"/>
        <v>0</v>
      </c>
      <c r="AE203" s="43">
        <f t="shared" si="87"/>
        <v>0</v>
      </c>
      <c r="AF203" s="51" t="e">
        <f>HLOOKUP(I203,ElecAvoidedCostsWOCC!$A$5:$Q$50,G203+1,FALSE)</f>
        <v>#N/A</v>
      </c>
      <c r="AG203" s="43" t="e">
        <f t="shared" si="88"/>
        <v>#N/A</v>
      </c>
      <c r="AH203" s="51" t="e">
        <f>HLOOKUP(I203,ElecAvoidedCostsWOCC!$A$5:$Q$50,T203+1,FALSE)</f>
        <v>#N/A</v>
      </c>
      <c r="AI203" s="43" t="e">
        <f t="shared" si="89"/>
        <v>#N/A</v>
      </c>
      <c r="AJ203" s="43" t="e">
        <f t="shared" si="90"/>
        <v>#N/A</v>
      </c>
      <c r="AK203" s="43" t="e">
        <f>HLOOKUP(I203,ElecAvoidedCostsWOCC!$A$5:$Q$50,G203+1,FALSE)*J203*L203</f>
        <v>#N/A</v>
      </c>
      <c r="AL203" s="43" t="e">
        <f t="shared" si="91"/>
        <v>#N/A</v>
      </c>
      <c r="AM203" s="47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7">
        <f t="shared" si="92"/>
        <v>0</v>
      </c>
      <c r="AO203" s="46">
        <f t="shared" si="93"/>
        <v>0</v>
      </c>
      <c r="AP203" s="46" t="e">
        <f t="shared" si="94"/>
        <v>#DIV/0!</v>
      </c>
    </row>
    <row r="204" spans="2:42" x14ac:dyDescent="0.25">
      <c r="B204" s="36"/>
      <c r="C204" s="60"/>
      <c r="D204" s="60"/>
      <c r="E204" s="37"/>
      <c r="F204" s="38"/>
      <c r="G204" s="38"/>
      <c r="H204" s="38"/>
      <c r="I204" s="39"/>
      <c r="J204" s="40"/>
      <c r="K204" s="40"/>
      <c r="L204" s="40"/>
      <c r="M204" s="41"/>
      <c r="N204" s="41"/>
      <c r="O204" s="42"/>
      <c r="P204" s="43"/>
      <c r="Q204" s="43"/>
      <c r="R204" s="44"/>
      <c r="S204" s="45"/>
      <c r="T204" s="38">
        <f t="shared" si="76"/>
        <v>0</v>
      </c>
      <c r="U204" s="46">
        <f t="shared" si="77"/>
        <v>0</v>
      </c>
      <c r="V204" s="47">
        <f t="shared" si="78"/>
        <v>0</v>
      </c>
      <c r="W204" s="48">
        <f t="shared" si="79"/>
        <v>0</v>
      </c>
      <c r="X204" s="43">
        <f t="shared" si="80"/>
        <v>0</v>
      </c>
      <c r="Y204" s="43">
        <f t="shared" si="81"/>
        <v>0</v>
      </c>
      <c r="Z204" s="43">
        <f t="shared" si="82"/>
        <v>0</v>
      </c>
      <c r="AA204" s="49">
        <f t="shared" si="83"/>
        <v>0</v>
      </c>
      <c r="AB204" s="50">
        <f t="shared" si="84"/>
        <v>0</v>
      </c>
      <c r="AC204" s="43">
        <f t="shared" si="85"/>
        <v>0</v>
      </c>
      <c r="AD204" s="43">
        <f t="shared" si="86"/>
        <v>0</v>
      </c>
      <c r="AE204" s="43">
        <f t="shared" si="87"/>
        <v>0</v>
      </c>
      <c r="AF204" s="51" t="e">
        <f>HLOOKUP(I204,ElecAvoidedCostsWOCC!$A$5:$Q$50,G204+1,FALSE)</f>
        <v>#N/A</v>
      </c>
      <c r="AG204" s="43" t="e">
        <f t="shared" si="88"/>
        <v>#N/A</v>
      </c>
      <c r="AH204" s="51" t="e">
        <f>HLOOKUP(I204,ElecAvoidedCostsWOCC!$A$5:$Q$50,T204+1,FALSE)</f>
        <v>#N/A</v>
      </c>
      <c r="AI204" s="43" t="e">
        <f t="shared" si="89"/>
        <v>#N/A</v>
      </c>
      <c r="AJ204" s="43" t="e">
        <f t="shared" si="90"/>
        <v>#N/A</v>
      </c>
      <c r="AK204" s="43" t="e">
        <f>HLOOKUP(I204,ElecAvoidedCostsWOCC!$A$5:$Q$50,G204+1,FALSE)*J204*L204</f>
        <v>#N/A</v>
      </c>
      <c r="AL204" s="43" t="e">
        <f t="shared" si="91"/>
        <v>#N/A</v>
      </c>
      <c r="AM204" s="47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7">
        <f t="shared" si="92"/>
        <v>0</v>
      </c>
      <c r="AO204" s="46">
        <f t="shared" si="93"/>
        <v>0</v>
      </c>
      <c r="AP204" s="46" t="e">
        <f t="shared" si="94"/>
        <v>#DIV/0!</v>
      </c>
    </row>
    <row r="205" spans="2:42" x14ac:dyDescent="0.25">
      <c r="B205" s="36"/>
      <c r="C205" s="60"/>
      <c r="D205" s="60"/>
      <c r="E205" s="37"/>
      <c r="F205" s="38"/>
      <c r="G205" s="38"/>
      <c r="H205" s="38"/>
      <c r="I205" s="39"/>
      <c r="J205" s="40"/>
      <c r="K205" s="40"/>
      <c r="L205" s="40"/>
      <c r="M205" s="41"/>
      <c r="N205" s="41"/>
      <c r="O205" s="42"/>
      <c r="P205" s="43"/>
      <c r="Q205" s="43"/>
      <c r="R205" s="44"/>
      <c r="S205" s="45"/>
      <c r="T205" s="38">
        <f t="shared" si="76"/>
        <v>0</v>
      </c>
      <c r="U205" s="46">
        <f t="shared" si="77"/>
        <v>0</v>
      </c>
      <c r="V205" s="47">
        <f t="shared" si="78"/>
        <v>0</v>
      </c>
      <c r="W205" s="48">
        <f t="shared" si="79"/>
        <v>0</v>
      </c>
      <c r="X205" s="43">
        <f t="shared" si="80"/>
        <v>0</v>
      </c>
      <c r="Y205" s="43">
        <f t="shared" si="81"/>
        <v>0</v>
      </c>
      <c r="Z205" s="43">
        <f t="shared" si="82"/>
        <v>0</v>
      </c>
      <c r="AA205" s="49">
        <f t="shared" si="83"/>
        <v>0</v>
      </c>
      <c r="AB205" s="50">
        <f t="shared" si="84"/>
        <v>0</v>
      </c>
      <c r="AC205" s="43">
        <f t="shared" si="85"/>
        <v>0</v>
      </c>
      <c r="AD205" s="43">
        <f t="shared" si="86"/>
        <v>0</v>
      </c>
      <c r="AE205" s="43">
        <f t="shared" si="87"/>
        <v>0</v>
      </c>
      <c r="AF205" s="51" t="e">
        <f>HLOOKUP(I205,ElecAvoidedCostsWOCC!$A$5:$Q$50,G205+1,FALSE)</f>
        <v>#N/A</v>
      </c>
      <c r="AG205" s="43" t="e">
        <f t="shared" si="88"/>
        <v>#N/A</v>
      </c>
      <c r="AH205" s="51" t="e">
        <f>HLOOKUP(I205,ElecAvoidedCostsWOCC!$A$5:$Q$50,T205+1,FALSE)</f>
        <v>#N/A</v>
      </c>
      <c r="AI205" s="43" t="e">
        <f t="shared" si="89"/>
        <v>#N/A</v>
      </c>
      <c r="AJ205" s="43" t="e">
        <f t="shared" si="90"/>
        <v>#N/A</v>
      </c>
      <c r="AK205" s="43" t="e">
        <f>HLOOKUP(I205,ElecAvoidedCostsWOCC!$A$5:$Q$50,G205+1,FALSE)*J205*L205</f>
        <v>#N/A</v>
      </c>
      <c r="AL205" s="43" t="e">
        <f t="shared" si="91"/>
        <v>#N/A</v>
      </c>
      <c r="AM205" s="47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7">
        <f t="shared" si="92"/>
        <v>0</v>
      </c>
      <c r="AO205" s="46">
        <f t="shared" si="93"/>
        <v>0</v>
      </c>
      <c r="AP205" s="46" t="e">
        <f t="shared" si="94"/>
        <v>#DIV/0!</v>
      </c>
    </row>
    <row r="206" spans="2:42" x14ac:dyDescent="0.25">
      <c r="B206" s="36"/>
      <c r="C206" s="60"/>
      <c r="D206" s="60"/>
      <c r="E206" s="37"/>
      <c r="F206" s="38"/>
      <c r="G206" s="38"/>
      <c r="H206" s="38"/>
      <c r="I206" s="39"/>
      <c r="J206" s="40"/>
      <c r="K206" s="40"/>
      <c r="L206" s="40"/>
      <c r="M206" s="41"/>
      <c r="N206" s="41"/>
      <c r="O206" s="42"/>
      <c r="P206" s="43"/>
      <c r="Q206" s="43"/>
      <c r="R206" s="44"/>
      <c r="S206" s="45"/>
      <c r="T206" s="38">
        <f t="shared" si="76"/>
        <v>0</v>
      </c>
      <c r="U206" s="46">
        <f t="shared" si="77"/>
        <v>0</v>
      </c>
      <c r="V206" s="47">
        <f t="shared" si="78"/>
        <v>0</v>
      </c>
      <c r="W206" s="48">
        <f t="shared" si="79"/>
        <v>0</v>
      </c>
      <c r="X206" s="43">
        <f t="shared" si="80"/>
        <v>0</v>
      </c>
      <c r="Y206" s="43">
        <f t="shared" si="81"/>
        <v>0</v>
      </c>
      <c r="Z206" s="43">
        <f t="shared" si="82"/>
        <v>0</v>
      </c>
      <c r="AA206" s="49">
        <f t="shared" si="83"/>
        <v>0</v>
      </c>
      <c r="AB206" s="50">
        <f t="shared" si="84"/>
        <v>0</v>
      </c>
      <c r="AC206" s="43">
        <f t="shared" si="85"/>
        <v>0</v>
      </c>
      <c r="AD206" s="43">
        <f t="shared" si="86"/>
        <v>0</v>
      </c>
      <c r="AE206" s="43">
        <f t="shared" si="87"/>
        <v>0</v>
      </c>
      <c r="AF206" s="51" t="e">
        <f>HLOOKUP(I206,ElecAvoidedCostsWOCC!$A$5:$Q$50,G206+1,FALSE)</f>
        <v>#N/A</v>
      </c>
      <c r="AG206" s="43" t="e">
        <f t="shared" si="88"/>
        <v>#N/A</v>
      </c>
      <c r="AH206" s="51" t="e">
        <f>HLOOKUP(I206,ElecAvoidedCostsWOCC!$A$5:$Q$50,T206+1,FALSE)</f>
        <v>#N/A</v>
      </c>
      <c r="AI206" s="43" t="e">
        <f t="shared" si="89"/>
        <v>#N/A</v>
      </c>
      <c r="AJ206" s="43" t="e">
        <f t="shared" si="90"/>
        <v>#N/A</v>
      </c>
      <c r="AK206" s="43" t="e">
        <f>HLOOKUP(I206,ElecAvoidedCostsWOCC!$A$5:$Q$50,G206+1,FALSE)*J206*L206</f>
        <v>#N/A</v>
      </c>
      <c r="AL206" s="43" t="e">
        <f t="shared" si="91"/>
        <v>#N/A</v>
      </c>
      <c r="AM206" s="47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7">
        <f t="shared" si="92"/>
        <v>0</v>
      </c>
      <c r="AO206" s="46">
        <f t="shared" si="93"/>
        <v>0</v>
      </c>
      <c r="AP206" s="46" t="e">
        <f t="shared" si="94"/>
        <v>#DIV/0!</v>
      </c>
    </row>
    <row r="207" spans="2:42" x14ac:dyDescent="0.25">
      <c r="B207" s="36"/>
      <c r="C207" s="60"/>
      <c r="D207" s="60"/>
      <c r="E207" s="37"/>
      <c r="F207" s="38"/>
      <c r="G207" s="38"/>
      <c r="H207" s="38"/>
      <c r="I207" s="39"/>
      <c r="J207" s="40"/>
      <c r="K207" s="40"/>
      <c r="L207" s="40"/>
      <c r="M207" s="41"/>
      <c r="N207" s="41"/>
      <c r="O207" s="42"/>
      <c r="P207" s="43"/>
      <c r="Q207" s="43"/>
      <c r="R207" s="44"/>
      <c r="S207" s="45"/>
      <c r="T207" s="38">
        <f t="shared" si="76"/>
        <v>0</v>
      </c>
      <c r="U207" s="46">
        <f t="shared" si="77"/>
        <v>0</v>
      </c>
      <c r="V207" s="47">
        <f t="shared" si="78"/>
        <v>0</v>
      </c>
      <c r="W207" s="48">
        <f t="shared" si="79"/>
        <v>0</v>
      </c>
      <c r="X207" s="43">
        <f t="shared" si="80"/>
        <v>0</v>
      </c>
      <c r="Y207" s="43">
        <f t="shared" si="81"/>
        <v>0</v>
      </c>
      <c r="Z207" s="43">
        <f t="shared" si="82"/>
        <v>0</v>
      </c>
      <c r="AA207" s="49">
        <f t="shared" si="83"/>
        <v>0</v>
      </c>
      <c r="AB207" s="50">
        <f t="shared" si="84"/>
        <v>0</v>
      </c>
      <c r="AC207" s="43">
        <f t="shared" si="85"/>
        <v>0</v>
      </c>
      <c r="AD207" s="43">
        <f t="shared" si="86"/>
        <v>0</v>
      </c>
      <c r="AE207" s="43">
        <f t="shared" si="87"/>
        <v>0</v>
      </c>
      <c r="AF207" s="51" t="e">
        <f>HLOOKUP(I207,ElecAvoidedCostsWOCC!$A$5:$Q$50,G207+1,FALSE)</f>
        <v>#N/A</v>
      </c>
      <c r="AG207" s="43" t="e">
        <f t="shared" si="88"/>
        <v>#N/A</v>
      </c>
      <c r="AH207" s="51" t="e">
        <f>HLOOKUP(I207,ElecAvoidedCostsWOCC!$A$5:$Q$50,T207+1,FALSE)</f>
        <v>#N/A</v>
      </c>
      <c r="AI207" s="43" t="e">
        <f t="shared" si="89"/>
        <v>#N/A</v>
      </c>
      <c r="AJ207" s="43" t="e">
        <f t="shared" si="90"/>
        <v>#N/A</v>
      </c>
      <c r="AK207" s="43" t="e">
        <f>HLOOKUP(I207,ElecAvoidedCostsWOCC!$A$5:$Q$50,G207+1,FALSE)*J207*L207</f>
        <v>#N/A</v>
      </c>
      <c r="AL207" s="43" t="e">
        <f t="shared" si="91"/>
        <v>#N/A</v>
      </c>
      <c r="AM207" s="47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7">
        <f t="shared" si="92"/>
        <v>0</v>
      </c>
      <c r="AO207" s="46">
        <f t="shared" si="93"/>
        <v>0</v>
      </c>
      <c r="AP207" s="46" t="e">
        <f t="shared" si="94"/>
        <v>#DIV/0!</v>
      </c>
    </row>
    <row r="208" spans="2:42" x14ac:dyDescent="0.25">
      <c r="B208" s="36"/>
      <c r="C208" s="60"/>
      <c r="D208" s="60"/>
      <c r="E208" s="37"/>
      <c r="F208" s="38"/>
      <c r="G208" s="38"/>
      <c r="H208" s="38"/>
      <c r="I208" s="39"/>
      <c r="J208" s="40"/>
      <c r="K208" s="40"/>
      <c r="L208" s="40"/>
      <c r="M208" s="41"/>
      <c r="N208" s="41"/>
      <c r="O208" s="42"/>
      <c r="P208" s="43"/>
      <c r="Q208" s="43"/>
      <c r="R208" s="44"/>
      <c r="S208" s="45"/>
      <c r="T208" s="38">
        <f t="shared" si="76"/>
        <v>0</v>
      </c>
      <c r="U208" s="46">
        <f t="shared" si="77"/>
        <v>0</v>
      </c>
      <c r="V208" s="47">
        <f t="shared" si="78"/>
        <v>0</v>
      </c>
      <c r="W208" s="48">
        <f t="shared" si="79"/>
        <v>0</v>
      </c>
      <c r="X208" s="43">
        <f t="shared" si="80"/>
        <v>0</v>
      </c>
      <c r="Y208" s="43">
        <f t="shared" si="81"/>
        <v>0</v>
      </c>
      <c r="Z208" s="43">
        <f t="shared" si="82"/>
        <v>0</v>
      </c>
      <c r="AA208" s="49">
        <f t="shared" si="83"/>
        <v>0</v>
      </c>
      <c r="AB208" s="50">
        <f t="shared" si="84"/>
        <v>0</v>
      </c>
      <c r="AC208" s="43">
        <f t="shared" si="85"/>
        <v>0</v>
      </c>
      <c r="AD208" s="43">
        <f t="shared" si="86"/>
        <v>0</v>
      </c>
      <c r="AE208" s="43">
        <f t="shared" si="87"/>
        <v>0</v>
      </c>
      <c r="AF208" s="51" t="e">
        <f>HLOOKUP(I208,ElecAvoidedCostsWOCC!$A$5:$Q$50,G208+1,FALSE)</f>
        <v>#N/A</v>
      </c>
      <c r="AG208" s="43" t="e">
        <f t="shared" si="88"/>
        <v>#N/A</v>
      </c>
      <c r="AH208" s="51" t="e">
        <f>HLOOKUP(I208,ElecAvoidedCostsWOCC!$A$5:$Q$50,T208+1,FALSE)</f>
        <v>#N/A</v>
      </c>
      <c r="AI208" s="43" t="e">
        <f t="shared" si="89"/>
        <v>#N/A</v>
      </c>
      <c r="AJ208" s="43" t="e">
        <f t="shared" si="90"/>
        <v>#N/A</v>
      </c>
      <c r="AK208" s="43" t="e">
        <f>HLOOKUP(I208,ElecAvoidedCostsWOCC!$A$5:$Q$50,G208+1,FALSE)*J208*L208</f>
        <v>#N/A</v>
      </c>
      <c r="AL208" s="43" t="e">
        <f t="shared" si="91"/>
        <v>#N/A</v>
      </c>
      <c r="AM208" s="47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7">
        <f t="shared" si="92"/>
        <v>0</v>
      </c>
      <c r="AO208" s="46">
        <f t="shared" si="93"/>
        <v>0</v>
      </c>
      <c r="AP208" s="46" t="e">
        <f t="shared" si="94"/>
        <v>#DIV/0!</v>
      </c>
    </row>
    <row r="209" spans="2:42" x14ac:dyDescent="0.25">
      <c r="B209" s="36"/>
      <c r="C209" s="60"/>
      <c r="D209" s="60"/>
      <c r="E209" s="37"/>
      <c r="F209" s="38"/>
      <c r="G209" s="38"/>
      <c r="H209" s="38"/>
      <c r="I209" s="39"/>
      <c r="J209" s="40"/>
      <c r="K209" s="40"/>
      <c r="L209" s="40"/>
      <c r="M209" s="41"/>
      <c r="N209" s="41"/>
      <c r="O209" s="42"/>
      <c r="P209" s="43"/>
      <c r="Q209" s="43"/>
      <c r="R209" s="44"/>
      <c r="S209" s="45"/>
      <c r="T209" s="38">
        <f t="shared" si="76"/>
        <v>0</v>
      </c>
      <c r="U209" s="46">
        <f t="shared" si="77"/>
        <v>0</v>
      </c>
      <c r="V209" s="47">
        <f t="shared" si="78"/>
        <v>0</v>
      </c>
      <c r="W209" s="48">
        <f t="shared" si="79"/>
        <v>0</v>
      </c>
      <c r="X209" s="43">
        <f t="shared" si="80"/>
        <v>0</v>
      </c>
      <c r="Y209" s="43">
        <f t="shared" si="81"/>
        <v>0</v>
      </c>
      <c r="Z209" s="43">
        <f t="shared" si="82"/>
        <v>0</v>
      </c>
      <c r="AA209" s="49">
        <f t="shared" si="83"/>
        <v>0</v>
      </c>
      <c r="AB209" s="50">
        <f t="shared" si="84"/>
        <v>0</v>
      </c>
      <c r="AC209" s="43">
        <f t="shared" si="85"/>
        <v>0</v>
      </c>
      <c r="AD209" s="43">
        <f t="shared" si="86"/>
        <v>0</v>
      </c>
      <c r="AE209" s="43">
        <f t="shared" si="87"/>
        <v>0</v>
      </c>
      <c r="AF209" s="51" t="e">
        <f>HLOOKUP(I209,ElecAvoidedCostsWOCC!$A$5:$Q$50,G209+1,FALSE)</f>
        <v>#N/A</v>
      </c>
      <c r="AG209" s="43" t="e">
        <f t="shared" si="88"/>
        <v>#N/A</v>
      </c>
      <c r="AH209" s="51" t="e">
        <f>HLOOKUP(I209,ElecAvoidedCostsWOCC!$A$5:$Q$50,T209+1,FALSE)</f>
        <v>#N/A</v>
      </c>
      <c r="AI209" s="43" t="e">
        <f t="shared" si="89"/>
        <v>#N/A</v>
      </c>
      <c r="AJ209" s="43" t="e">
        <f t="shared" si="90"/>
        <v>#N/A</v>
      </c>
      <c r="AK209" s="43" t="e">
        <f>HLOOKUP(I209,ElecAvoidedCostsWOCC!$A$5:$Q$50,G209+1,FALSE)*J209*L209</f>
        <v>#N/A</v>
      </c>
      <c r="AL209" s="43" t="e">
        <f t="shared" si="91"/>
        <v>#N/A</v>
      </c>
      <c r="AM209" s="47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7">
        <f t="shared" si="92"/>
        <v>0</v>
      </c>
      <c r="AO209" s="46">
        <f t="shared" si="93"/>
        <v>0</v>
      </c>
      <c r="AP209" s="46" t="e">
        <f t="shared" si="94"/>
        <v>#DIV/0!</v>
      </c>
    </row>
    <row r="210" spans="2:42" x14ac:dyDescent="0.25">
      <c r="B210" s="36"/>
      <c r="C210" s="60"/>
      <c r="D210" s="60"/>
      <c r="E210" s="37"/>
      <c r="F210" s="38"/>
      <c r="G210" s="38"/>
      <c r="H210" s="38"/>
      <c r="I210" s="39"/>
      <c r="J210" s="40"/>
      <c r="K210" s="40"/>
      <c r="L210" s="40"/>
      <c r="M210" s="41"/>
      <c r="N210" s="41"/>
      <c r="O210" s="42"/>
      <c r="P210" s="43"/>
      <c r="Q210" s="43"/>
      <c r="R210" s="44"/>
      <c r="S210" s="45"/>
      <c r="T210" s="38">
        <f t="shared" si="76"/>
        <v>0</v>
      </c>
      <c r="U210" s="46">
        <f t="shared" si="77"/>
        <v>0</v>
      </c>
      <c r="V210" s="47">
        <f t="shared" si="78"/>
        <v>0</v>
      </c>
      <c r="W210" s="48">
        <f t="shared" si="79"/>
        <v>0</v>
      </c>
      <c r="X210" s="43">
        <f t="shared" si="80"/>
        <v>0</v>
      </c>
      <c r="Y210" s="43">
        <f t="shared" si="81"/>
        <v>0</v>
      </c>
      <c r="Z210" s="43">
        <f t="shared" si="82"/>
        <v>0</v>
      </c>
      <c r="AA210" s="49">
        <f t="shared" si="83"/>
        <v>0</v>
      </c>
      <c r="AB210" s="50">
        <f t="shared" si="84"/>
        <v>0</v>
      </c>
      <c r="AC210" s="43">
        <f t="shared" si="85"/>
        <v>0</v>
      </c>
      <c r="AD210" s="43">
        <f t="shared" si="86"/>
        <v>0</v>
      </c>
      <c r="AE210" s="43">
        <f t="shared" si="87"/>
        <v>0</v>
      </c>
      <c r="AF210" s="51" t="e">
        <f>HLOOKUP(I210,ElecAvoidedCostsWOCC!$A$5:$Q$50,G210+1,FALSE)</f>
        <v>#N/A</v>
      </c>
      <c r="AG210" s="43" t="e">
        <f t="shared" si="88"/>
        <v>#N/A</v>
      </c>
      <c r="AH210" s="51" t="e">
        <f>HLOOKUP(I210,ElecAvoidedCostsWOCC!$A$5:$Q$50,T210+1,FALSE)</f>
        <v>#N/A</v>
      </c>
      <c r="AI210" s="43" t="e">
        <f t="shared" si="89"/>
        <v>#N/A</v>
      </c>
      <c r="AJ210" s="43" t="e">
        <f t="shared" si="90"/>
        <v>#N/A</v>
      </c>
      <c r="AK210" s="43" t="e">
        <f>HLOOKUP(I210,ElecAvoidedCostsWOCC!$A$5:$Q$50,G210+1,FALSE)*J210*L210</f>
        <v>#N/A</v>
      </c>
      <c r="AL210" s="43" t="e">
        <f t="shared" si="91"/>
        <v>#N/A</v>
      </c>
      <c r="AM210" s="47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7">
        <f t="shared" si="92"/>
        <v>0</v>
      </c>
      <c r="AO210" s="46">
        <f t="shared" si="93"/>
        <v>0</v>
      </c>
      <c r="AP210" s="46" t="e">
        <f t="shared" si="94"/>
        <v>#DIV/0!</v>
      </c>
    </row>
    <row r="211" spans="2:42" x14ac:dyDescent="0.25">
      <c r="B211" s="36"/>
      <c r="C211" s="60"/>
      <c r="D211" s="60"/>
      <c r="E211" s="37"/>
      <c r="F211" s="38"/>
      <c r="G211" s="38"/>
      <c r="H211" s="38"/>
      <c r="I211" s="39"/>
      <c r="J211" s="40"/>
      <c r="K211" s="40"/>
      <c r="L211" s="40"/>
      <c r="M211" s="41"/>
      <c r="N211" s="41"/>
      <c r="O211" s="42"/>
      <c r="P211" s="43"/>
      <c r="Q211" s="43"/>
      <c r="R211" s="44"/>
      <c r="S211" s="45"/>
      <c r="T211" s="38">
        <f t="shared" si="76"/>
        <v>0</v>
      </c>
      <c r="U211" s="46">
        <f t="shared" si="77"/>
        <v>0</v>
      </c>
      <c r="V211" s="47">
        <f t="shared" si="78"/>
        <v>0</v>
      </c>
      <c r="W211" s="48">
        <f t="shared" si="79"/>
        <v>0</v>
      </c>
      <c r="X211" s="43">
        <f t="shared" si="80"/>
        <v>0</v>
      </c>
      <c r="Y211" s="43">
        <f t="shared" si="81"/>
        <v>0</v>
      </c>
      <c r="Z211" s="43">
        <f t="shared" si="82"/>
        <v>0</v>
      </c>
      <c r="AA211" s="49">
        <f t="shared" si="83"/>
        <v>0</v>
      </c>
      <c r="AB211" s="50">
        <f t="shared" si="84"/>
        <v>0</v>
      </c>
      <c r="AC211" s="43">
        <f t="shared" si="85"/>
        <v>0</v>
      </c>
      <c r="AD211" s="43">
        <f t="shared" si="86"/>
        <v>0</v>
      </c>
      <c r="AE211" s="43">
        <f t="shared" si="87"/>
        <v>0</v>
      </c>
      <c r="AF211" s="51" t="e">
        <f>HLOOKUP(I211,ElecAvoidedCostsWOCC!$A$5:$Q$50,G211+1,FALSE)</f>
        <v>#N/A</v>
      </c>
      <c r="AG211" s="43" t="e">
        <f t="shared" si="88"/>
        <v>#N/A</v>
      </c>
      <c r="AH211" s="51" t="e">
        <f>HLOOKUP(I211,ElecAvoidedCostsWOCC!$A$5:$Q$50,T211+1,FALSE)</f>
        <v>#N/A</v>
      </c>
      <c r="AI211" s="43" t="e">
        <f t="shared" si="89"/>
        <v>#N/A</v>
      </c>
      <c r="AJ211" s="43" t="e">
        <f t="shared" si="90"/>
        <v>#N/A</v>
      </c>
      <c r="AK211" s="43" t="e">
        <f>HLOOKUP(I211,ElecAvoidedCostsWOCC!$A$5:$Q$50,G211+1,FALSE)*J211*L211</f>
        <v>#N/A</v>
      </c>
      <c r="AL211" s="43" t="e">
        <f t="shared" si="91"/>
        <v>#N/A</v>
      </c>
      <c r="AM211" s="47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7">
        <f t="shared" si="92"/>
        <v>0</v>
      </c>
      <c r="AO211" s="46">
        <f t="shared" si="93"/>
        <v>0</v>
      </c>
      <c r="AP211" s="46" t="e">
        <f t="shared" si="94"/>
        <v>#DIV/0!</v>
      </c>
    </row>
    <row r="212" spans="2:42" x14ac:dyDescent="0.25">
      <c r="B212" s="36"/>
      <c r="C212" s="60"/>
      <c r="D212" s="60"/>
      <c r="E212" s="37"/>
      <c r="F212" s="38"/>
      <c r="G212" s="38"/>
      <c r="H212" s="38"/>
      <c r="I212" s="39"/>
      <c r="J212" s="40"/>
      <c r="K212" s="40"/>
      <c r="L212" s="40"/>
      <c r="M212" s="41"/>
      <c r="N212" s="41"/>
      <c r="O212" s="42"/>
      <c r="P212" s="43"/>
      <c r="Q212" s="43"/>
      <c r="R212" s="44"/>
      <c r="S212" s="45"/>
      <c r="T212" s="38">
        <f t="shared" si="76"/>
        <v>0</v>
      </c>
      <c r="U212" s="46">
        <f t="shared" si="77"/>
        <v>0</v>
      </c>
      <c r="V212" s="47">
        <f t="shared" si="78"/>
        <v>0</v>
      </c>
      <c r="W212" s="48">
        <f t="shared" si="79"/>
        <v>0</v>
      </c>
      <c r="X212" s="43">
        <f t="shared" si="80"/>
        <v>0</v>
      </c>
      <c r="Y212" s="43">
        <f t="shared" si="81"/>
        <v>0</v>
      </c>
      <c r="Z212" s="43">
        <f t="shared" si="82"/>
        <v>0</v>
      </c>
      <c r="AA212" s="49">
        <f t="shared" si="83"/>
        <v>0</v>
      </c>
      <c r="AB212" s="50">
        <f t="shared" si="84"/>
        <v>0</v>
      </c>
      <c r="AC212" s="43">
        <f t="shared" si="85"/>
        <v>0</v>
      </c>
      <c r="AD212" s="43">
        <f t="shared" si="86"/>
        <v>0</v>
      </c>
      <c r="AE212" s="43">
        <f t="shared" si="87"/>
        <v>0</v>
      </c>
      <c r="AF212" s="51" t="e">
        <f>HLOOKUP(I212,ElecAvoidedCostsWOCC!$A$5:$Q$50,G212+1,FALSE)</f>
        <v>#N/A</v>
      </c>
      <c r="AG212" s="43" t="e">
        <f t="shared" si="88"/>
        <v>#N/A</v>
      </c>
      <c r="AH212" s="51" t="e">
        <f>HLOOKUP(I212,ElecAvoidedCostsWOCC!$A$5:$Q$50,T212+1,FALSE)</f>
        <v>#N/A</v>
      </c>
      <c r="AI212" s="43" t="e">
        <f t="shared" si="89"/>
        <v>#N/A</v>
      </c>
      <c r="AJ212" s="43" t="e">
        <f t="shared" si="90"/>
        <v>#N/A</v>
      </c>
      <c r="AK212" s="43" t="e">
        <f>HLOOKUP(I212,ElecAvoidedCostsWOCC!$A$5:$Q$50,G212+1,FALSE)*J212*L212</f>
        <v>#N/A</v>
      </c>
      <c r="AL212" s="43" t="e">
        <f t="shared" si="91"/>
        <v>#N/A</v>
      </c>
      <c r="AM212" s="47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7">
        <f t="shared" si="92"/>
        <v>0</v>
      </c>
      <c r="AO212" s="46">
        <f t="shared" si="93"/>
        <v>0</v>
      </c>
      <c r="AP212" s="46" t="e">
        <f t="shared" si="94"/>
        <v>#DIV/0!</v>
      </c>
    </row>
    <row r="213" spans="2:42" x14ac:dyDescent="0.25">
      <c r="B213" s="36"/>
      <c r="C213" s="60"/>
      <c r="D213" s="60"/>
      <c r="E213" s="37"/>
      <c r="F213" s="38"/>
      <c r="G213" s="38"/>
      <c r="H213" s="38"/>
      <c r="I213" s="39"/>
      <c r="J213" s="40"/>
      <c r="K213" s="40"/>
      <c r="L213" s="40"/>
      <c r="M213" s="41"/>
      <c r="N213" s="41"/>
      <c r="O213" s="42"/>
      <c r="P213" s="43"/>
      <c r="Q213" s="43"/>
      <c r="R213" s="44"/>
      <c r="S213" s="45"/>
      <c r="T213" s="38">
        <f t="shared" si="76"/>
        <v>0</v>
      </c>
      <c r="U213" s="46">
        <f t="shared" si="77"/>
        <v>0</v>
      </c>
      <c r="V213" s="47">
        <f t="shared" si="78"/>
        <v>0</v>
      </c>
      <c r="W213" s="48">
        <f t="shared" si="79"/>
        <v>0</v>
      </c>
      <c r="X213" s="43">
        <f t="shared" si="80"/>
        <v>0</v>
      </c>
      <c r="Y213" s="43">
        <f t="shared" si="81"/>
        <v>0</v>
      </c>
      <c r="Z213" s="43">
        <f t="shared" si="82"/>
        <v>0</v>
      </c>
      <c r="AA213" s="49">
        <f t="shared" si="83"/>
        <v>0</v>
      </c>
      <c r="AB213" s="50">
        <f t="shared" si="84"/>
        <v>0</v>
      </c>
      <c r="AC213" s="43">
        <f t="shared" si="85"/>
        <v>0</v>
      </c>
      <c r="AD213" s="43">
        <f t="shared" si="86"/>
        <v>0</v>
      </c>
      <c r="AE213" s="43">
        <f t="shared" si="87"/>
        <v>0</v>
      </c>
      <c r="AF213" s="51" t="e">
        <f>HLOOKUP(I213,ElecAvoidedCostsWOCC!$A$5:$Q$50,G213+1,FALSE)</f>
        <v>#N/A</v>
      </c>
      <c r="AG213" s="43" t="e">
        <f t="shared" si="88"/>
        <v>#N/A</v>
      </c>
      <c r="AH213" s="51" t="e">
        <f>HLOOKUP(I213,ElecAvoidedCostsWOCC!$A$5:$Q$50,T213+1,FALSE)</f>
        <v>#N/A</v>
      </c>
      <c r="AI213" s="43" t="e">
        <f t="shared" si="89"/>
        <v>#N/A</v>
      </c>
      <c r="AJ213" s="43" t="e">
        <f t="shared" si="90"/>
        <v>#N/A</v>
      </c>
      <c r="AK213" s="43" t="e">
        <f>HLOOKUP(I213,ElecAvoidedCostsWOCC!$A$5:$Q$50,G213+1,FALSE)*J213*L213</f>
        <v>#N/A</v>
      </c>
      <c r="AL213" s="43" t="e">
        <f t="shared" si="91"/>
        <v>#N/A</v>
      </c>
      <c r="AM213" s="47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7">
        <f t="shared" si="92"/>
        <v>0</v>
      </c>
      <c r="AO213" s="46">
        <f t="shared" si="93"/>
        <v>0</v>
      </c>
      <c r="AP213" s="46" t="e">
        <f t="shared" si="94"/>
        <v>#DIV/0!</v>
      </c>
    </row>
    <row r="214" spans="2:42" x14ac:dyDescent="0.25">
      <c r="B214" s="36"/>
      <c r="C214" s="60"/>
      <c r="D214" s="60"/>
      <c r="E214" s="37"/>
      <c r="F214" s="38"/>
      <c r="G214" s="38"/>
      <c r="H214" s="38"/>
      <c r="I214" s="39"/>
      <c r="J214" s="40"/>
      <c r="K214" s="40"/>
      <c r="L214" s="40"/>
      <c r="M214" s="41"/>
      <c r="N214" s="41"/>
      <c r="O214" s="42"/>
      <c r="P214" s="43"/>
      <c r="Q214" s="43"/>
      <c r="R214" s="44"/>
      <c r="S214" s="45"/>
      <c r="T214" s="38">
        <f t="shared" si="76"/>
        <v>0</v>
      </c>
      <c r="U214" s="46">
        <f t="shared" si="77"/>
        <v>0</v>
      </c>
      <c r="V214" s="47">
        <f t="shared" si="78"/>
        <v>0</v>
      </c>
      <c r="W214" s="48">
        <f t="shared" si="79"/>
        <v>0</v>
      </c>
      <c r="X214" s="43">
        <f t="shared" si="80"/>
        <v>0</v>
      </c>
      <c r="Y214" s="43">
        <f t="shared" si="81"/>
        <v>0</v>
      </c>
      <c r="Z214" s="43">
        <f t="shared" si="82"/>
        <v>0</v>
      </c>
      <c r="AA214" s="49">
        <f t="shared" si="83"/>
        <v>0</v>
      </c>
      <c r="AB214" s="50">
        <f t="shared" si="84"/>
        <v>0</v>
      </c>
      <c r="AC214" s="43">
        <f t="shared" si="85"/>
        <v>0</v>
      </c>
      <c r="AD214" s="43">
        <f t="shared" si="86"/>
        <v>0</v>
      </c>
      <c r="AE214" s="43">
        <f t="shared" si="87"/>
        <v>0</v>
      </c>
      <c r="AF214" s="51" t="e">
        <f>HLOOKUP(I214,ElecAvoidedCostsWOCC!$A$5:$Q$50,G214+1,FALSE)</f>
        <v>#N/A</v>
      </c>
      <c r="AG214" s="43" t="e">
        <f t="shared" si="88"/>
        <v>#N/A</v>
      </c>
      <c r="AH214" s="51" t="e">
        <f>HLOOKUP(I214,ElecAvoidedCostsWOCC!$A$5:$Q$50,T214+1,FALSE)</f>
        <v>#N/A</v>
      </c>
      <c r="AI214" s="43" t="e">
        <f t="shared" si="89"/>
        <v>#N/A</v>
      </c>
      <c r="AJ214" s="43" t="e">
        <f t="shared" si="90"/>
        <v>#N/A</v>
      </c>
      <c r="AK214" s="43" t="e">
        <f>HLOOKUP(I214,ElecAvoidedCostsWOCC!$A$5:$Q$50,G214+1,FALSE)*J214*L214</f>
        <v>#N/A</v>
      </c>
      <c r="AL214" s="43" t="e">
        <f t="shared" si="91"/>
        <v>#N/A</v>
      </c>
      <c r="AM214" s="47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7">
        <f t="shared" si="92"/>
        <v>0</v>
      </c>
      <c r="AO214" s="46">
        <f t="shared" si="93"/>
        <v>0</v>
      </c>
      <c r="AP214" s="46" t="e">
        <f t="shared" si="94"/>
        <v>#DIV/0!</v>
      </c>
    </row>
    <row r="215" spans="2:42" x14ac:dyDescent="0.25">
      <c r="B215" s="36"/>
      <c r="C215" s="60"/>
      <c r="D215" s="60"/>
      <c r="E215" s="37"/>
      <c r="F215" s="38"/>
      <c r="G215" s="38"/>
      <c r="H215" s="38"/>
      <c r="I215" s="39"/>
      <c r="J215" s="40"/>
      <c r="K215" s="40"/>
      <c r="L215" s="40"/>
      <c r="M215" s="41"/>
      <c r="N215" s="41"/>
      <c r="O215" s="42"/>
      <c r="P215" s="43"/>
      <c r="Q215" s="43"/>
      <c r="R215" s="44"/>
      <c r="S215" s="45"/>
      <c r="T215" s="38">
        <f t="shared" si="76"/>
        <v>0</v>
      </c>
      <c r="U215" s="46">
        <f t="shared" si="77"/>
        <v>0</v>
      </c>
      <c r="V215" s="47">
        <f t="shared" si="78"/>
        <v>0</v>
      </c>
      <c r="W215" s="48">
        <f t="shared" si="79"/>
        <v>0</v>
      </c>
      <c r="X215" s="43">
        <f t="shared" si="80"/>
        <v>0</v>
      </c>
      <c r="Y215" s="43">
        <f t="shared" si="81"/>
        <v>0</v>
      </c>
      <c r="Z215" s="43">
        <f t="shared" si="82"/>
        <v>0</v>
      </c>
      <c r="AA215" s="49">
        <f t="shared" si="83"/>
        <v>0</v>
      </c>
      <c r="AB215" s="50">
        <f t="shared" si="84"/>
        <v>0</v>
      </c>
      <c r="AC215" s="43">
        <f t="shared" si="85"/>
        <v>0</v>
      </c>
      <c r="AD215" s="43">
        <f t="shared" si="86"/>
        <v>0</v>
      </c>
      <c r="AE215" s="43">
        <f t="shared" si="87"/>
        <v>0</v>
      </c>
      <c r="AF215" s="51" t="e">
        <f>HLOOKUP(I215,ElecAvoidedCostsWOCC!$A$5:$Q$50,G215+1,FALSE)</f>
        <v>#N/A</v>
      </c>
      <c r="AG215" s="43" t="e">
        <f t="shared" si="88"/>
        <v>#N/A</v>
      </c>
      <c r="AH215" s="51" t="e">
        <f>HLOOKUP(I215,ElecAvoidedCostsWOCC!$A$5:$Q$50,T215+1,FALSE)</f>
        <v>#N/A</v>
      </c>
      <c r="AI215" s="43" t="e">
        <f t="shared" si="89"/>
        <v>#N/A</v>
      </c>
      <c r="AJ215" s="43" t="e">
        <f t="shared" si="90"/>
        <v>#N/A</v>
      </c>
      <c r="AK215" s="43" t="e">
        <f>HLOOKUP(I215,ElecAvoidedCostsWOCC!$A$5:$Q$50,G215+1,FALSE)*J215*L215</f>
        <v>#N/A</v>
      </c>
      <c r="AL215" s="43" t="e">
        <f t="shared" si="91"/>
        <v>#N/A</v>
      </c>
      <c r="AM215" s="47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7">
        <f t="shared" si="92"/>
        <v>0</v>
      </c>
      <c r="AO215" s="46">
        <f t="shared" si="93"/>
        <v>0</v>
      </c>
      <c r="AP215" s="46" t="e">
        <f t="shared" si="94"/>
        <v>#DIV/0!</v>
      </c>
    </row>
    <row r="216" spans="2:42" x14ac:dyDescent="0.25">
      <c r="B216" s="36"/>
      <c r="C216" s="60"/>
      <c r="D216" s="60"/>
      <c r="E216" s="37"/>
      <c r="F216" s="38"/>
      <c r="G216" s="38"/>
      <c r="H216" s="38"/>
      <c r="I216" s="39"/>
      <c r="J216" s="40"/>
      <c r="K216" s="40"/>
      <c r="L216" s="40"/>
      <c r="M216" s="41"/>
      <c r="N216" s="41"/>
      <c r="O216" s="42"/>
      <c r="P216" s="43"/>
      <c r="Q216" s="43"/>
      <c r="R216" s="44"/>
      <c r="S216" s="45"/>
      <c r="T216" s="38">
        <f t="shared" si="76"/>
        <v>0</v>
      </c>
      <c r="U216" s="46">
        <f t="shared" si="77"/>
        <v>0</v>
      </c>
      <c r="V216" s="47">
        <f t="shared" si="78"/>
        <v>0</v>
      </c>
      <c r="W216" s="48">
        <f t="shared" si="79"/>
        <v>0</v>
      </c>
      <c r="X216" s="43">
        <f t="shared" si="80"/>
        <v>0</v>
      </c>
      <c r="Y216" s="43">
        <f t="shared" si="81"/>
        <v>0</v>
      </c>
      <c r="Z216" s="43">
        <f t="shared" si="82"/>
        <v>0</v>
      </c>
      <c r="AA216" s="49">
        <f t="shared" si="83"/>
        <v>0</v>
      </c>
      <c r="AB216" s="50">
        <f t="shared" si="84"/>
        <v>0</v>
      </c>
      <c r="AC216" s="43">
        <f t="shared" si="85"/>
        <v>0</v>
      </c>
      <c r="AD216" s="43">
        <f t="shared" si="86"/>
        <v>0</v>
      </c>
      <c r="AE216" s="43">
        <f t="shared" si="87"/>
        <v>0</v>
      </c>
      <c r="AF216" s="51" t="e">
        <f>HLOOKUP(I216,ElecAvoidedCostsWOCC!$A$5:$Q$50,G216+1,FALSE)</f>
        <v>#N/A</v>
      </c>
      <c r="AG216" s="43" t="e">
        <f t="shared" si="88"/>
        <v>#N/A</v>
      </c>
      <c r="AH216" s="51" t="e">
        <f>HLOOKUP(I216,ElecAvoidedCostsWOCC!$A$5:$Q$50,T216+1,FALSE)</f>
        <v>#N/A</v>
      </c>
      <c r="AI216" s="43" t="e">
        <f t="shared" si="89"/>
        <v>#N/A</v>
      </c>
      <c r="AJ216" s="43" t="e">
        <f t="shared" si="90"/>
        <v>#N/A</v>
      </c>
      <c r="AK216" s="43" t="e">
        <f>HLOOKUP(I216,ElecAvoidedCostsWOCC!$A$5:$Q$50,G216+1,FALSE)*J216*L216</f>
        <v>#N/A</v>
      </c>
      <c r="AL216" s="43" t="e">
        <f t="shared" si="91"/>
        <v>#N/A</v>
      </c>
      <c r="AM216" s="47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7">
        <f t="shared" si="92"/>
        <v>0</v>
      </c>
      <c r="AO216" s="46">
        <f t="shared" si="93"/>
        <v>0</v>
      </c>
      <c r="AP216" s="46" t="e">
        <f t="shared" si="94"/>
        <v>#DIV/0!</v>
      </c>
    </row>
    <row r="217" spans="2:42" x14ac:dyDescent="0.25">
      <c r="B217" s="36"/>
      <c r="C217" s="60"/>
      <c r="D217" s="60"/>
      <c r="E217" s="37"/>
      <c r="F217" s="38"/>
      <c r="G217" s="38"/>
      <c r="H217" s="38"/>
      <c r="I217" s="39"/>
      <c r="J217" s="40"/>
      <c r="K217" s="40"/>
      <c r="L217" s="40"/>
      <c r="M217" s="41"/>
      <c r="N217" s="41"/>
      <c r="O217" s="42"/>
      <c r="P217" s="43"/>
      <c r="Q217" s="43"/>
      <c r="R217" s="44"/>
      <c r="S217" s="45"/>
      <c r="T217" s="38">
        <f t="shared" si="76"/>
        <v>0</v>
      </c>
      <c r="U217" s="46">
        <f t="shared" si="77"/>
        <v>0</v>
      </c>
      <c r="V217" s="47">
        <f t="shared" si="78"/>
        <v>0</v>
      </c>
      <c r="W217" s="48">
        <f t="shared" si="79"/>
        <v>0</v>
      </c>
      <c r="X217" s="43">
        <f t="shared" si="80"/>
        <v>0</v>
      </c>
      <c r="Y217" s="43">
        <f t="shared" si="81"/>
        <v>0</v>
      </c>
      <c r="Z217" s="43">
        <f t="shared" si="82"/>
        <v>0</v>
      </c>
      <c r="AA217" s="49">
        <f t="shared" si="83"/>
        <v>0</v>
      </c>
      <c r="AB217" s="50">
        <f t="shared" si="84"/>
        <v>0</v>
      </c>
      <c r="AC217" s="43">
        <f t="shared" si="85"/>
        <v>0</v>
      </c>
      <c r="AD217" s="43">
        <f t="shared" si="86"/>
        <v>0</v>
      </c>
      <c r="AE217" s="43">
        <f t="shared" si="87"/>
        <v>0</v>
      </c>
      <c r="AF217" s="51" t="e">
        <f>HLOOKUP(I217,ElecAvoidedCostsWOCC!$A$5:$Q$50,G217+1,FALSE)</f>
        <v>#N/A</v>
      </c>
      <c r="AG217" s="43" t="e">
        <f t="shared" si="88"/>
        <v>#N/A</v>
      </c>
      <c r="AH217" s="51" t="e">
        <f>HLOOKUP(I217,ElecAvoidedCostsWOCC!$A$5:$Q$50,T217+1,FALSE)</f>
        <v>#N/A</v>
      </c>
      <c r="AI217" s="43" t="e">
        <f t="shared" si="89"/>
        <v>#N/A</v>
      </c>
      <c r="AJ217" s="43" t="e">
        <f t="shared" si="90"/>
        <v>#N/A</v>
      </c>
      <c r="AK217" s="43" t="e">
        <f>HLOOKUP(I217,ElecAvoidedCostsWOCC!$A$5:$Q$50,G217+1,FALSE)*J217*L217</f>
        <v>#N/A</v>
      </c>
      <c r="AL217" s="43" t="e">
        <f t="shared" si="91"/>
        <v>#N/A</v>
      </c>
      <c r="AM217" s="47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7">
        <f t="shared" si="92"/>
        <v>0</v>
      </c>
      <c r="AO217" s="46">
        <f t="shared" si="93"/>
        <v>0</v>
      </c>
      <c r="AP217" s="46" t="e">
        <f t="shared" si="94"/>
        <v>#DIV/0!</v>
      </c>
    </row>
    <row r="218" spans="2:42" x14ac:dyDescent="0.25">
      <c r="B218" s="36"/>
      <c r="C218" s="60"/>
      <c r="D218" s="60"/>
      <c r="E218" s="37"/>
      <c r="F218" s="38"/>
      <c r="G218" s="38"/>
      <c r="H218" s="38"/>
      <c r="I218" s="39"/>
      <c r="J218" s="40"/>
      <c r="K218" s="40"/>
      <c r="L218" s="40"/>
      <c r="M218" s="41"/>
      <c r="N218" s="41"/>
      <c r="O218" s="42"/>
      <c r="P218" s="43"/>
      <c r="Q218" s="43"/>
      <c r="R218" s="44"/>
      <c r="S218" s="45"/>
      <c r="T218" s="38">
        <f t="shared" si="76"/>
        <v>0</v>
      </c>
      <c r="U218" s="46">
        <f t="shared" si="77"/>
        <v>0</v>
      </c>
      <c r="V218" s="47">
        <f t="shared" si="78"/>
        <v>0</v>
      </c>
      <c r="W218" s="48">
        <f t="shared" si="79"/>
        <v>0</v>
      </c>
      <c r="X218" s="43">
        <f t="shared" si="80"/>
        <v>0</v>
      </c>
      <c r="Y218" s="43">
        <f t="shared" si="81"/>
        <v>0</v>
      </c>
      <c r="Z218" s="43">
        <f t="shared" si="82"/>
        <v>0</v>
      </c>
      <c r="AA218" s="49">
        <f t="shared" si="83"/>
        <v>0</v>
      </c>
      <c r="AB218" s="50">
        <f t="shared" si="84"/>
        <v>0</v>
      </c>
      <c r="AC218" s="43">
        <f t="shared" si="85"/>
        <v>0</v>
      </c>
      <c r="AD218" s="43">
        <f t="shared" si="86"/>
        <v>0</v>
      </c>
      <c r="AE218" s="43">
        <f t="shared" si="87"/>
        <v>0</v>
      </c>
      <c r="AF218" s="51" t="e">
        <f>HLOOKUP(I218,ElecAvoidedCostsWOCC!$A$5:$Q$50,G218+1,FALSE)</f>
        <v>#N/A</v>
      </c>
      <c r="AG218" s="43" t="e">
        <f t="shared" si="88"/>
        <v>#N/A</v>
      </c>
      <c r="AH218" s="51" t="e">
        <f>HLOOKUP(I218,ElecAvoidedCostsWOCC!$A$5:$Q$50,T218+1,FALSE)</f>
        <v>#N/A</v>
      </c>
      <c r="AI218" s="43" t="e">
        <f t="shared" si="89"/>
        <v>#N/A</v>
      </c>
      <c r="AJ218" s="43" t="e">
        <f t="shared" si="90"/>
        <v>#N/A</v>
      </c>
      <c r="AK218" s="43" t="e">
        <f>HLOOKUP(I218,ElecAvoidedCostsWOCC!$A$5:$Q$50,G218+1,FALSE)*J218*L218</f>
        <v>#N/A</v>
      </c>
      <c r="AL218" s="43" t="e">
        <f t="shared" si="91"/>
        <v>#N/A</v>
      </c>
      <c r="AM218" s="47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7">
        <f t="shared" si="92"/>
        <v>0</v>
      </c>
      <c r="AO218" s="46">
        <f t="shared" si="93"/>
        <v>0</v>
      </c>
      <c r="AP218" s="46" t="e">
        <f t="shared" si="94"/>
        <v>#DIV/0!</v>
      </c>
    </row>
    <row r="219" spans="2:42" x14ac:dyDescent="0.25">
      <c r="B219" s="36"/>
      <c r="C219" s="60"/>
      <c r="D219" s="60"/>
      <c r="E219" s="37"/>
      <c r="F219" s="38"/>
      <c r="G219" s="38"/>
      <c r="H219" s="38"/>
      <c r="I219" s="39"/>
      <c r="J219" s="40"/>
      <c r="K219" s="40"/>
      <c r="L219" s="40"/>
      <c r="M219" s="41"/>
      <c r="N219" s="41"/>
      <c r="O219" s="42"/>
      <c r="P219" s="43"/>
      <c r="Q219" s="43"/>
      <c r="R219" s="44"/>
      <c r="S219" s="45"/>
      <c r="T219" s="38">
        <f t="shared" si="76"/>
        <v>0</v>
      </c>
      <c r="U219" s="46">
        <f t="shared" si="77"/>
        <v>0</v>
      </c>
      <c r="V219" s="47">
        <f t="shared" si="78"/>
        <v>0</v>
      </c>
      <c r="W219" s="48">
        <f t="shared" si="79"/>
        <v>0</v>
      </c>
      <c r="X219" s="43">
        <f t="shared" si="80"/>
        <v>0</v>
      </c>
      <c r="Y219" s="43">
        <f t="shared" si="81"/>
        <v>0</v>
      </c>
      <c r="Z219" s="43">
        <f t="shared" si="82"/>
        <v>0</v>
      </c>
      <c r="AA219" s="49">
        <f t="shared" si="83"/>
        <v>0</v>
      </c>
      <c r="AB219" s="50">
        <f t="shared" si="84"/>
        <v>0</v>
      </c>
      <c r="AC219" s="43">
        <f t="shared" si="85"/>
        <v>0</v>
      </c>
      <c r="AD219" s="43">
        <f t="shared" si="86"/>
        <v>0</v>
      </c>
      <c r="AE219" s="43">
        <f t="shared" si="87"/>
        <v>0</v>
      </c>
      <c r="AF219" s="51" t="e">
        <f>HLOOKUP(I219,ElecAvoidedCostsWOCC!$A$5:$Q$50,G219+1,FALSE)</f>
        <v>#N/A</v>
      </c>
      <c r="AG219" s="43" t="e">
        <f t="shared" si="88"/>
        <v>#N/A</v>
      </c>
      <c r="AH219" s="51" t="e">
        <f>HLOOKUP(I219,ElecAvoidedCostsWOCC!$A$5:$Q$50,T219+1,FALSE)</f>
        <v>#N/A</v>
      </c>
      <c r="AI219" s="43" t="e">
        <f t="shared" si="89"/>
        <v>#N/A</v>
      </c>
      <c r="AJ219" s="43" t="e">
        <f t="shared" si="90"/>
        <v>#N/A</v>
      </c>
      <c r="AK219" s="43" t="e">
        <f>HLOOKUP(I219,ElecAvoidedCostsWOCC!$A$5:$Q$50,G219+1,FALSE)*J219*L219</f>
        <v>#N/A</v>
      </c>
      <c r="AL219" s="43" t="e">
        <f t="shared" si="91"/>
        <v>#N/A</v>
      </c>
      <c r="AM219" s="47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7">
        <f t="shared" si="92"/>
        <v>0</v>
      </c>
      <c r="AO219" s="46">
        <f t="shared" si="93"/>
        <v>0</v>
      </c>
      <c r="AP219" s="46" t="e">
        <f t="shared" si="94"/>
        <v>#DIV/0!</v>
      </c>
    </row>
    <row r="220" spans="2:42" x14ac:dyDescent="0.25">
      <c r="B220" s="36"/>
      <c r="C220" s="60"/>
      <c r="D220" s="60"/>
      <c r="E220" s="37"/>
      <c r="F220" s="38"/>
      <c r="G220" s="38"/>
      <c r="H220" s="38"/>
      <c r="I220" s="39"/>
      <c r="J220" s="40"/>
      <c r="K220" s="40"/>
      <c r="L220" s="40"/>
      <c r="M220" s="41"/>
      <c r="N220" s="41"/>
      <c r="O220" s="42"/>
      <c r="P220" s="43"/>
      <c r="Q220" s="43"/>
      <c r="R220" s="44"/>
      <c r="S220" s="45"/>
      <c r="T220" s="38">
        <f t="shared" si="76"/>
        <v>0</v>
      </c>
      <c r="U220" s="46">
        <f t="shared" si="77"/>
        <v>0</v>
      </c>
      <c r="V220" s="47">
        <f t="shared" si="78"/>
        <v>0</v>
      </c>
      <c r="W220" s="48">
        <f t="shared" si="79"/>
        <v>0</v>
      </c>
      <c r="X220" s="43">
        <f t="shared" si="80"/>
        <v>0</v>
      </c>
      <c r="Y220" s="43">
        <f t="shared" si="81"/>
        <v>0</v>
      </c>
      <c r="Z220" s="43">
        <f t="shared" si="82"/>
        <v>0</v>
      </c>
      <c r="AA220" s="49">
        <f t="shared" si="83"/>
        <v>0</v>
      </c>
      <c r="AB220" s="50">
        <f t="shared" si="84"/>
        <v>0</v>
      </c>
      <c r="AC220" s="43">
        <f t="shared" si="85"/>
        <v>0</v>
      </c>
      <c r="AD220" s="43">
        <f t="shared" si="86"/>
        <v>0</v>
      </c>
      <c r="AE220" s="43">
        <f t="shared" si="87"/>
        <v>0</v>
      </c>
      <c r="AF220" s="51" t="e">
        <f>HLOOKUP(I220,ElecAvoidedCostsWOCC!$A$5:$Q$50,G220+1,FALSE)</f>
        <v>#N/A</v>
      </c>
      <c r="AG220" s="43" t="e">
        <f t="shared" si="88"/>
        <v>#N/A</v>
      </c>
      <c r="AH220" s="51" t="e">
        <f>HLOOKUP(I220,ElecAvoidedCostsWOCC!$A$5:$Q$50,T220+1,FALSE)</f>
        <v>#N/A</v>
      </c>
      <c r="AI220" s="43" t="e">
        <f t="shared" si="89"/>
        <v>#N/A</v>
      </c>
      <c r="AJ220" s="43" t="e">
        <f t="shared" si="90"/>
        <v>#N/A</v>
      </c>
      <c r="AK220" s="43" t="e">
        <f>HLOOKUP(I220,ElecAvoidedCostsWOCC!$A$5:$Q$50,G220+1,FALSE)*J220*L220</f>
        <v>#N/A</v>
      </c>
      <c r="AL220" s="43" t="e">
        <f t="shared" si="91"/>
        <v>#N/A</v>
      </c>
      <c r="AM220" s="47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7">
        <f t="shared" si="92"/>
        <v>0</v>
      </c>
      <c r="AO220" s="46">
        <f t="shared" si="93"/>
        <v>0</v>
      </c>
      <c r="AP220" s="46" t="e">
        <f t="shared" si="94"/>
        <v>#DIV/0!</v>
      </c>
    </row>
    <row r="221" spans="2:42" x14ac:dyDescent="0.25">
      <c r="B221" s="36"/>
      <c r="C221" s="60"/>
      <c r="D221" s="60"/>
      <c r="E221" s="37"/>
      <c r="F221" s="38"/>
      <c r="G221" s="38"/>
      <c r="H221" s="38"/>
      <c r="I221" s="39"/>
      <c r="J221" s="40"/>
      <c r="K221" s="40"/>
      <c r="L221" s="40"/>
      <c r="M221" s="41"/>
      <c r="N221" s="41"/>
      <c r="O221" s="42"/>
      <c r="P221" s="43"/>
      <c r="Q221" s="43"/>
      <c r="R221" s="44"/>
      <c r="S221" s="45"/>
      <c r="T221" s="38">
        <f t="shared" si="76"/>
        <v>0</v>
      </c>
      <c r="U221" s="46">
        <f t="shared" si="77"/>
        <v>0</v>
      </c>
      <c r="V221" s="47">
        <f t="shared" si="78"/>
        <v>0</v>
      </c>
      <c r="W221" s="48">
        <f t="shared" si="79"/>
        <v>0</v>
      </c>
      <c r="X221" s="43">
        <f t="shared" si="80"/>
        <v>0</v>
      </c>
      <c r="Y221" s="43">
        <f t="shared" si="81"/>
        <v>0</v>
      </c>
      <c r="Z221" s="43">
        <f t="shared" si="82"/>
        <v>0</v>
      </c>
      <c r="AA221" s="49">
        <f t="shared" si="83"/>
        <v>0</v>
      </c>
      <c r="AB221" s="50">
        <f t="shared" si="84"/>
        <v>0</v>
      </c>
      <c r="AC221" s="43">
        <f t="shared" si="85"/>
        <v>0</v>
      </c>
      <c r="AD221" s="43">
        <f t="shared" si="86"/>
        <v>0</v>
      </c>
      <c r="AE221" s="43">
        <f t="shared" si="87"/>
        <v>0</v>
      </c>
      <c r="AF221" s="51" t="e">
        <f>HLOOKUP(I221,ElecAvoidedCostsWOCC!$A$5:$Q$50,G221+1,FALSE)</f>
        <v>#N/A</v>
      </c>
      <c r="AG221" s="43" t="e">
        <f t="shared" si="88"/>
        <v>#N/A</v>
      </c>
      <c r="AH221" s="51" t="e">
        <f>HLOOKUP(I221,ElecAvoidedCostsWOCC!$A$5:$Q$50,T221+1,FALSE)</f>
        <v>#N/A</v>
      </c>
      <c r="AI221" s="43" t="e">
        <f t="shared" si="89"/>
        <v>#N/A</v>
      </c>
      <c r="AJ221" s="43" t="e">
        <f t="shared" si="90"/>
        <v>#N/A</v>
      </c>
      <c r="AK221" s="43" t="e">
        <f>HLOOKUP(I221,ElecAvoidedCostsWOCC!$A$5:$Q$50,G221+1,FALSE)*J221*L221</f>
        <v>#N/A</v>
      </c>
      <c r="AL221" s="43" t="e">
        <f t="shared" si="91"/>
        <v>#N/A</v>
      </c>
      <c r="AM221" s="47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7">
        <f t="shared" si="92"/>
        <v>0</v>
      </c>
      <c r="AO221" s="46">
        <f t="shared" si="93"/>
        <v>0</v>
      </c>
      <c r="AP221" s="46" t="e">
        <f t="shared" si="94"/>
        <v>#DIV/0!</v>
      </c>
    </row>
    <row r="222" spans="2:42" x14ac:dyDescent="0.25">
      <c r="B222" s="36"/>
      <c r="C222" s="60"/>
      <c r="D222" s="60"/>
      <c r="E222" s="37"/>
      <c r="F222" s="38"/>
      <c r="G222" s="38"/>
      <c r="H222" s="38"/>
      <c r="I222" s="39"/>
      <c r="J222" s="40"/>
      <c r="K222" s="40"/>
      <c r="L222" s="40"/>
      <c r="M222" s="41"/>
      <c r="N222" s="41"/>
      <c r="O222" s="42"/>
      <c r="P222" s="43"/>
      <c r="Q222" s="43"/>
      <c r="R222" s="44"/>
      <c r="S222" s="45"/>
      <c r="T222" s="38">
        <f t="shared" si="76"/>
        <v>0</v>
      </c>
      <c r="U222" s="46">
        <f t="shared" si="77"/>
        <v>0</v>
      </c>
      <c r="V222" s="47">
        <f t="shared" si="78"/>
        <v>0</v>
      </c>
      <c r="W222" s="48">
        <f t="shared" si="79"/>
        <v>0</v>
      </c>
      <c r="X222" s="43">
        <f t="shared" si="80"/>
        <v>0</v>
      </c>
      <c r="Y222" s="43">
        <f t="shared" si="81"/>
        <v>0</v>
      </c>
      <c r="Z222" s="43">
        <f t="shared" si="82"/>
        <v>0</v>
      </c>
      <c r="AA222" s="49">
        <f t="shared" si="83"/>
        <v>0</v>
      </c>
      <c r="AB222" s="50">
        <f t="shared" si="84"/>
        <v>0</v>
      </c>
      <c r="AC222" s="43">
        <f t="shared" si="85"/>
        <v>0</v>
      </c>
      <c r="AD222" s="43">
        <f t="shared" si="86"/>
        <v>0</v>
      </c>
      <c r="AE222" s="43">
        <f t="shared" si="87"/>
        <v>0</v>
      </c>
      <c r="AF222" s="51" t="e">
        <f>HLOOKUP(I222,ElecAvoidedCostsWOCC!$A$5:$Q$50,G222+1,FALSE)</f>
        <v>#N/A</v>
      </c>
      <c r="AG222" s="43" t="e">
        <f t="shared" si="88"/>
        <v>#N/A</v>
      </c>
      <c r="AH222" s="51" t="e">
        <f>HLOOKUP(I222,ElecAvoidedCostsWOCC!$A$5:$Q$50,T222+1,FALSE)</f>
        <v>#N/A</v>
      </c>
      <c r="AI222" s="43" t="e">
        <f t="shared" si="89"/>
        <v>#N/A</v>
      </c>
      <c r="AJ222" s="43" t="e">
        <f t="shared" si="90"/>
        <v>#N/A</v>
      </c>
      <c r="AK222" s="43" t="e">
        <f>HLOOKUP(I222,ElecAvoidedCostsWOCC!$A$5:$Q$50,G222+1,FALSE)*J222*L222</f>
        <v>#N/A</v>
      </c>
      <c r="AL222" s="43" t="e">
        <f t="shared" si="91"/>
        <v>#N/A</v>
      </c>
      <c r="AM222" s="47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7">
        <f t="shared" si="92"/>
        <v>0</v>
      </c>
      <c r="AO222" s="46">
        <f t="shared" si="93"/>
        <v>0</v>
      </c>
      <c r="AP222" s="46" t="e">
        <f t="shared" si="94"/>
        <v>#DIV/0!</v>
      </c>
    </row>
    <row r="223" spans="2:42" x14ac:dyDescent="0.25">
      <c r="B223" s="36"/>
      <c r="C223" s="60"/>
      <c r="D223" s="60"/>
      <c r="E223" s="37"/>
      <c r="F223" s="38"/>
      <c r="G223" s="38"/>
      <c r="H223" s="38"/>
      <c r="I223" s="39"/>
      <c r="J223" s="40"/>
      <c r="K223" s="40"/>
      <c r="L223" s="40"/>
      <c r="M223" s="41"/>
      <c r="N223" s="41"/>
      <c r="O223" s="42"/>
      <c r="P223" s="43"/>
      <c r="Q223" s="43"/>
      <c r="R223" s="44"/>
      <c r="S223" s="45"/>
      <c r="T223" s="38">
        <f t="shared" si="76"/>
        <v>0</v>
      </c>
      <c r="U223" s="46">
        <f t="shared" si="77"/>
        <v>0</v>
      </c>
      <c r="V223" s="47">
        <f t="shared" si="78"/>
        <v>0</v>
      </c>
      <c r="W223" s="48">
        <f t="shared" si="79"/>
        <v>0</v>
      </c>
      <c r="X223" s="43">
        <f t="shared" si="80"/>
        <v>0</v>
      </c>
      <c r="Y223" s="43">
        <f t="shared" si="81"/>
        <v>0</v>
      </c>
      <c r="Z223" s="43">
        <f t="shared" si="82"/>
        <v>0</v>
      </c>
      <c r="AA223" s="49">
        <f t="shared" si="83"/>
        <v>0</v>
      </c>
      <c r="AB223" s="50">
        <f t="shared" si="84"/>
        <v>0</v>
      </c>
      <c r="AC223" s="43">
        <f t="shared" si="85"/>
        <v>0</v>
      </c>
      <c r="AD223" s="43">
        <f t="shared" si="86"/>
        <v>0</v>
      </c>
      <c r="AE223" s="43">
        <f t="shared" si="87"/>
        <v>0</v>
      </c>
      <c r="AF223" s="51" t="e">
        <f>HLOOKUP(I223,ElecAvoidedCostsWOCC!$A$5:$Q$50,G223+1,FALSE)</f>
        <v>#N/A</v>
      </c>
      <c r="AG223" s="43" t="e">
        <f t="shared" si="88"/>
        <v>#N/A</v>
      </c>
      <c r="AH223" s="51" t="e">
        <f>HLOOKUP(I223,ElecAvoidedCostsWOCC!$A$5:$Q$50,T223+1,FALSE)</f>
        <v>#N/A</v>
      </c>
      <c r="AI223" s="43" t="e">
        <f t="shared" si="89"/>
        <v>#N/A</v>
      </c>
      <c r="AJ223" s="43" t="e">
        <f t="shared" si="90"/>
        <v>#N/A</v>
      </c>
      <c r="AK223" s="43" t="e">
        <f>HLOOKUP(I223,ElecAvoidedCostsWOCC!$A$5:$Q$50,G223+1,FALSE)*J223*L223</f>
        <v>#N/A</v>
      </c>
      <c r="AL223" s="43" t="e">
        <f t="shared" si="91"/>
        <v>#N/A</v>
      </c>
      <c r="AM223" s="47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7">
        <f t="shared" si="92"/>
        <v>0</v>
      </c>
      <c r="AO223" s="46">
        <f t="shared" si="93"/>
        <v>0</v>
      </c>
      <c r="AP223" s="46" t="e">
        <f t="shared" si="94"/>
        <v>#DIV/0!</v>
      </c>
    </row>
    <row r="224" spans="2:42" x14ac:dyDescent="0.25">
      <c r="B224" s="36"/>
      <c r="C224" s="60"/>
      <c r="D224" s="60"/>
      <c r="E224" s="37"/>
      <c r="F224" s="38"/>
      <c r="G224" s="38"/>
      <c r="H224" s="38"/>
      <c r="I224" s="39"/>
      <c r="J224" s="40"/>
      <c r="K224" s="40"/>
      <c r="L224" s="40"/>
      <c r="M224" s="41"/>
      <c r="N224" s="41"/>
      <c r="O224" s="42"/>
      <c r="P224" s="43"/>
      <c r="Q224" s="43"/>
      <c r="R224" s="44"/>
      <c r="S224" s="45"/>
      <c r="T224" s="38">
        <f t="shared" si="76"/>
        <v>0</v>
      </c>
      <c r="U224" s="46">
        <f t="shared" si="77"/>
        <v>0</v>
      </c>
      <c r="V224" s="47">
        <f t="shared" si="78"/>
        <v>0</v>
      </c>
      <c r="W224" s="48">
        <f t="shared" si="79"/>
        <v>0</v>
      </c>
      <c r="X224" s="43">
        <f t="shared" si="80"/>
        <v>0</v>
      </c>
      <c r="Y224" s="43">
        <f t="shared" si="81"/>
        <v>0</v>
      </c>
      <c r="Z224" s="43">
        <f t="shared" si="82"/>
        <v>0</v>
      </c>
      <c r="AA224" s="49">
        <f t="shared" si="83"/>
        <v>0</v>
      </c>
      <c r="AB224" s="50">
        <f t="shared" si="84"/>
        <v>0</v>
      </c>
      <c r="AC224" s="43">
        <f t="shared" si="85"/>
        <v>0</v>
      </c>
      <c r="AD224" s="43">
        <f t="shared" si="86"/>
        <v>0</v>
      </c>
      <c r="AE224" s="43">
        <f t="shared" si="87"/>
        <v>0</v>
      </c>
      <c r="AF224" s="51" t="e">
        <f>HLOOKUP(I224,ElecAvoidedCostsWOCC!$A$5:$Q$50,G224+1,FALSE)</f>
        <v>#N/A</v>
      </c>
      <c r="AG224" s="43" t="e">
        <f t="shared" si="88"/>
        <v>#N/A</v>
      </c>
      <c r="AH224" s="51" t="e">
        <f>HLOOKUP(I224,ElecAvoidedCostsWOCC!$A$5:$Q$50,T224+1,FALSE)</f>
        <v>#N/A</v>
      </c>
      <c r="AI224" s="43" t="e">
        <f t="shared" si="89"/>
        <v>#N/A</v>
      </c>
      <c r="AJ224" s="43" t="e">
        <f t="shared" si="90"/>
        <v>#N/A</v>
      </c>
      <c r="AK224" s="43" t="e">
        <f>HLOOKUP(I224,ElecAvoidedCostsWOCC!$A$5:$Q$50,G224+1,FALSE)*J224*L224</f>
        <v>#N/A</v>
      </c>
      <c r="AL224" s="43" t="e">
        <f t="shared" si="91"/>
        <v>#N/A</v>
      </c>
      <c r="AM224" s="47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7">
        <f t="shared" si="92"/>
        <v>0</v>
      </c>
      <c r="AO224" s="46">
        <f t="shared" si="93"/>
        <v>0</v>
      </c>
      <c r="AP224" s="46" t="e">
        <f t="shared" si="94"/>
        <v>#DIV/0!</v>
      </c>
    </row>
    <row r="225" spans="2:42" x14ac:dyDescent="0.25">
      <c r="B225" s="36"/>
      <c r="C225" s="60"/>
      <c r="D225" s="60"/>
      <c r="E225" s="37"/>
      <c r="F225" s="38"/>
      <c r="G225" s="38"/>
      <c r="H225" s="38"/>
      <c r="I225" s="39"/>
      <c r="J225" s="40"/>
      <c r="K225" s="40"/>
      <c r="L225" s="40"/>
      <c r="M225" s="41"/>
      <c r="N225" s="41"/>
      <c r="O225" s="42"/>
      <c r="P225" s="43"/>
      <c r="Q225" s="43"/>
      <c r="R225" s="44"/>
      <c r="S225" s="45"/>
      <c r="T225" s="38">
        <f t="shared" si="76"/>
        <v>0</v>
      </c>
      <c r="U225" s="46">
        <f t="shared" si="77"/>
        <v>0</v>
      </c>
      <c r="V225" s="47">
        <f t="shared" si="78"/>
        <v>0</v>
      </c>
      <c r="W225" s="48">
        <f t="shared" si="79"/>
        <v>0</v>
      </c>
      <c r="X225" s="43">
        <f t="shared" si="80"/>
        <v>0</v>
      </c>
      <c r="Y225" s="43">
        <f t="shared" si="81"/>
        <v>0</v>
      </c>
      <c r="Z225" s="43">
        <f t="shared" si="82"/>
        <v>0</v>
      </c>
      <c r="AA225" s="49">
        <f t="shared" si="83"/>
        <v>0</v>
      </c>
      <c r="AB225" s="50">
        <f t="shared" si="84"/>
        <v>0</v>
      </c>
      <c r="AC225" s="43">
        <f t="shared" si="85"/>
        <v>0</v>
      </c>
      <c r="AD225" s="43">
        <f t="shared" si="86"/>
        <v>0</v>
      </c>
      <c r="AE225" s="43">
        <f t="shared" si="87"/>
        <v>0</v>
      </c>
      <c r="AF225" s="51" t="e">
        <f>HLOOKUP(I225,ElecAvoidedCostsWOCC!$A$5:$Q$50,G225+1,FALSE)</f>
        <v>#N/A</v>
      </c>
      <c r="AG225" s="43" t="e">
        <f t="shared" si="88"/>
        <v>#N/A</v>
      </c>
      <c r="AH225" s="51" t="e">
        <f>HLOOKUP(I225,ElecAvoidedCostsWOCC!$A$5:$Q$50,T225+1,FALSE)</f>
        <v>#N/A</v>
      </c>
      <c r="AI225" s="43" t="e">
        <f t="shared" si="89"/>
        <v>#N/A</v>
      </c>
      <c r="AJ225" s="43" t="e">
        <f t="shared" si="90"/>
        <v>#N/A</v>
      </c>
      <c r="AK225" s="43" t="e">
        <f>HLOOKUP(I225,ElecAvoidedCostsWOCC!$A$5:$Q$50,G225+1,FALSE)*J225*L225</f>
        <v>#N/A</v>
      </c>
      <c r="AL225" s="43" t="e">
        <f t="shared" si="91"/>
        <v>#N/A</v>
      </c>
      <c r="AM225" s="47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7">
        <f t="shared" si="92"/>
        <v>0</v>
      </c>
      <c r="AO225" s="46">
        <f t="shared" si="93"/>
        <v>0</v>
      </c>
      <c r="AP225" s="46" t="e">
        <f t="shared" si="94"/>
        <v>#DIV/0!</v>
      </c>
    </row>
    <row r="226" spans="2:42" x14ac:dyDescent="0.25">
      <c r="B226" s="36"/>
      <c r="C226" s="60"/>
      <c r="D226" s="60"/>
      <c r="E226" s="37"/>
      <c r="F226" s="38"/>
      <c r="G226" s="38"/>
      <c r="H226" s="38"/>
      <c r="I226" s="39"/>
      <c r="J226" s="40"/>
      <c r="K226" s="40"/>
      <c r="L226" s="40"/>
      <c r="M226" s="41"/>
      <c r="N226" s="41"/>
      <c r="O226" s="42"/>
      <c r="P226" s="43"/>
      <c r="Q226" s="43"/>
      <c r="R226" s="44"/>
      <c r="S226" s="45"/>
      <c r="T226" s="38">
        <f t="shared" si="76"/>
        <v>0</v>
      </c>
      <c r="U226" s="46">
        <f t="shared" si="77"/>
        <v>0</v>
      </c>
      <c r="V226" s="47">
        <f t="shared" si="78"/>
        <v>0</v>
      </c>
      <c r="W226" s="48">
        <f t="shared" si="79"/>
        <v>0</v>
      </c>
      <c r="X226" s="43">
        <f t="shared" si="80"/>
        <v>0</v>
      </c>
      <c r="Y226" s="43">
        <f t="shared" si="81"/>
        <v>0</v>
      </c>
      <c r="Z226" s="43">
        <f t="shared" si="82"/>
        <v>0</v>
      </c>
      <c r="AA226" s="49">
        <f t="shared" si="83"/>
        <v>0</v>
      </c>
      <c r="AB226" s="50">
        <f t="shared" si="84"/>
        <v>0</v>
      </c>
      <c r="AC226" s="43">
        <f t="shared" si="85"/>
        <v>0</v>
      </c>
      <c r="AD226" s="43">
        <f t="shared" si="86"/>
        <v>0</v>
      </c>
      <c r="AE226" s="43">
        <f t="shared" si="87"/>
        <v>0</v>
      </c>
      <c r="AF226" s="51" t="e">
        <f>HLOOKUP(I226,ElecAvoidedCostsWOCC!$A$5:$Q$50,G226+1,FALSE)</f>
        <v>#N/A</v>
      </c>
      <c r="AG226" s="43" t="e">
        <f t="shared" si="88"/>
        <v>#N/A</v>
      </c>
      <c r="AH226" s="51" t="e">
        <f>HLOOKUP(I226,ElecAvoidedCostsWOCC!$A$5:$Q$50,T226+1,FALSE)</f>
        <v>#N/A</v>
      </c>
      <c r="AI226" s="43" t="e">
        <f t="shared" si="89"/>
        <v>#N/A</v>
      </c>
      <c r="AJ226" s="43" t="e">
        <f t="shared" si="90"/>
        <v>#N/A</v>
      </c>
      <c r="AK226" s="43" t="e">
        <f>HLOOKUP(I226,ElecAvoidedCostsWOCC!$A$5:$Q$50,G226+1,FALSE)*J226*L226</f>
        <v>#N/A</v>
      </c>
      <c r="AL226" s="43" t="e">
        <f t="shared" si="91"/>
        <v>#N/A</v>
      </c>
      <c r="AM226" s="47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7">
        <f t="shared" si="92"/>
        <v>0</v>
      </c>
      <c r="AO226" s="46">
        <f t="shared" si="93"/>
        <v>0</v>
      </c>
      <c r="AP226" s="46" t="e">
        <f t="shared" si="94"/>
        <v>#DIV/0!</v>
      </c>
    </row>
    <row r="227" spans="2:42" x14ac:dyDescent="0.25">
      <c r="B227" s="36"/>
      <c r="C227" s="60"/>
      <c r="D227" s="60"/>
      <c r="E227" s="37"/>
      <c r="F227" s="38"/>
      <c r="G227" s="38"/>
      <c r="H227" s="38"/>
      <c r="I227" s="39"/>
      <c r="J227" s="40"/>
      <c r="K227" s="40"/>
      <c r="L227" s="40"/>
      <c r="M227" s="41"/>
      <c r="N227" s="41"/>
      <c r="O227" s="42"/>
      <c r="P227" s="43"/>
      <c r="Q227" s="43"/>
      <c r="R227" s="44"/>
      <c r="S227" s="45"/>
      <c r="T227" s="38">
        <f t="shared" si="76"/>
        <v>0</v>
      </c>
      <c r="U227" s="46">
        <f t="shared" si="77"/>
        <v>0</v>
      </c>
      <c r="V227" s="47">
        <f t="shared" si="78"/>
        <v>0</v>
      </c>
      <c r="W227" s="48">
        <f t="shared" si="79"/>
        <v>0</v>
      </c>
      <c r="X227" s="43">
        <f t="shared" si="80"/>
        <v>0</v>
      </c>
      <c r="Y227" s="43">
        <f t="shared" si="81"/>
        <v>0</v>
      </c>
      <c r="Z227" s="43">
        <f t="shared" si="82"/>
        <v>0</v>
      </c>
      <c r="AA227" s="49">
        <f t="shared" si="83"/>
        <v>0</v>
      </c>
      <c r="AB227" s="50">
        <f t="shared" si="84"/>
        <v>0</v>
      </c>
      <c r="AC227" s="43">
        <f t="shared" si="85"/>
        <v>0</v>
      </c>
      <c r="AD227" s="43">
        <f t="shared" si="86"/>
        <v>0</v>
      </c>
      <c r="AE227" s="43">
        <f t="shared" si="87"/>
        <v>0</v>
      </c>
      <c r="AF227" s="51" t="e">
        <f>HLOOKUP(I227,ElecAvoidedCostsWOCC!$A$5:$Q$50,G227+1,FALSE)</f>
        <v>#N/A</v>
      </c>
      <c r="AG227" s="43" t="e">
        <f t="shared" si="88"/>
        <v>#N/A</v>
      </c>
      <c r="AH227" s="51" t="e">
        <f>HLOOKUP(I227,ElecAvoidedCostsWOCC!$A$5:$Q$50,T227+1,FALSE)</f>
        <v>#N/A</v>
      </c>
      <c r="AI227" s="43" t="e">
        <f t="shared" si="89"/>
        <v>#N/A</v>
      </c>
      <c r="AJ227" s="43" t="e">
        <f t="shared" si="90"/>
        <v>#N/A</v>
      </c>
      <c r="AK227" s="43" t="e">
        <f>HLOOKUP(I227,ElecAvoidedCostsWOCC!$A$5:$Q$50,G227+1,FALSE)*J227*L227</f>
        <v>#N/A</v>
      </c>
      <c r="AL227" s="43" t="e">
        <f t="shared" si="91"/>
        <v>#N/A</v>
      </c>
      <c r="AM227" s="47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7">
        <f t="shared" si="92"/>
        <v>0</v>
      </c>
      <c r="AO227" s="46">
        <f t="shared" si="93"/>
        <v>0</v>
      </c>
      <c r="AP227" s="46" t="e">
        <f t="shared" si="94"/>
        <v>#DIV/0!</v>
      </c>
    </row>
    <row r="228" spans="2:42" x14ac:dyDescent="0.25">
      <c r="B228" s="36"/>
      <c r="C228" s="60"/>
      <c r="D228" s="60"/>
      <c r="E228" s="37"/>
      <c r="F228" s="38"/>
      <c r="G228" s="38"/>
      <c r="H228" s="38"/>
      <c r="I228" s="39"/>
      <c r="J228" s="40"/>
      <c r="K228" s="40"/>
      <c r="L228" s="40"/>
      <c r="M228" s="41"/>
      <c r="N228" s="41"/>
      <c r="O228" s="42"/>
      <c r="P228" s="43"/>
      <c r="Q228" s="43"/>
      <c r="R228" s="44"/>
      <c r="S228" s="45"/>
      <c r="T228" s="38">
        <f t="shared" si="76"/>
        <v>0</v>
      </c>
      <c r="U228" s="46">
        <f t="shared" si="77"/>
        <v>0</v>
      </c>
      <c r="V228" s="47">
        <f t="shared" si="78"/>
        <v>0</v>
      </c>
      <c r="W228" s="48">
        <f t="shared" si="79"/>
        <v>0</v>
      </c>
      <c r="X228" s="43">
        <f t="shared" si="80"/>
        <v>0</v>
      </c>
      <c r="Y228" s="43">
        <f t="shared" si="81"/>
        <v>0</v>
      </c>
      <c r="Z228" s="43">
        <f t="shared" si="82"/>
        <v>0</v>
      </c>
      <c r="AA228" s="49">
        <f t="shared" si="83"/>
        <v>0</v>
      </c>
      <c r="AB228" s="50">
        <f t="shared" si="84"/>
        <v>0</v>
      </c>
      <c r="AC228" s="43">
        <f t="shared" si="85"/>
        <v>0</v>
      </c>
      <c r="AD228" s="43">
        <f t="shared" si="86"/>
        <v>0</v>
      </c>
      <c r="AE228" s="43">
        <f t="shared" si="87"/>
        <v>0</v>
      </c>
      <c r="AF228" s="51" t="e">
        <f>HLOOKUP(I228,ElecAvoidedCostsWOCC!$A$5:$Q$50,G228+1,FALSE)</f>
        <v>#N/A</v>
      </c>
      <c r="AG228" s="43" t="e">
        <f t="shared" si="88"/>
        <v>#N/A</v>
      </c>
      <c r="AH228" s="51" t="e">
        <f>HLOOKUP(I228,ElecAvoidedCostsWOCC!$A$5:$Q$50,T228+1,FALSE)</f>
        <v>#N/A</v>
      </c>
      <c r="AI228" s="43" t="e">
        <f t="shared" si="89"/>
        <v>#N/A</v>
      </c>
      <c r="AJ228" s="43" t="e">
        <f t="shared" si="90"/>
        <v>#N/A</v>
      </c>
      <c r="AK228" s="43" t="e">
        <f>HLOOKUP(I228,ElecAvoidedCostsWOCC!$A$5:$Q$50,G228+1,FALSE)*J228*L228</f>
        <v>#N/A</v>
      </c>
      <c r="AL228" s="43" t="e">
        <f t="shared" si="91"/>
        <v>#N/A</v>
      </c>
      <c r="AM228" s="47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7">
        <f t="shared" si="92"/>
        <v>0</v>
      </c>
      <c r="AO228" s="46">
        <f t="shared" si="93"/>
        <v>0</v>
      </c>
      <c r="AP228" s="46" t="e">
        <f t="shared" si="94"/>
        <v>#DIV/0!</v>
      </c>
    </row>
    <row r="229" spans="2:42" x14ac:dyDescent="0.25">
      <c r="B229" s="36"/>
      <c r="C229" s="60"/>
      <c r="D229" s="60"/>
      <c r="E229" s="37"/>
      <c r="F229" s="38"/>
      <c r="G229" s="38"/>
      <c r="H229" s="38"/>
      <c r="I229" s="39"/>
      <c r="J229" s="40"/>
      <c r="K229" s="40"/>
      <c r="L229" s="40"/>
      <c r="M229" s="41"/>
      <c r="N229" s="41"/>
      <c r="O229" s="42"/>
      <c r="P229" s="43"/>
      <c r="Q229" s="43"/>
      <c r="R229" s="44"/>
      <c r="S229" s="45"/>
      <c r="T229" s="38">
        <f t="shared" si="76"/>
        <v>0</v>
      </c>
      <c r="U229" s="46">
        <f t="shared" si="77"/>
        <v>0</v>
      </c>
      <c r="V229" s="47">
        <f t="shared" si="78"/>
        <v>0</v>
      </c>
      <c r="W229" s="48">
        <f t="shared" si="79"/>
        <v>0</v>
      </c>
      <c r="X229" s="43">
        <f t="shared" si="80"/>
        <v>0</v>
      </c>
      <c r="Y229" s="43">
        <f t="shared" si="81"/>
        <v>0</v>
      </c>
      <c r="Z229" s="43">
        <f t="shared" si="82"/>
        <v>0</v>
      </c>
      <c r="AA229" s="49">
        <f t="shared" si="83"/>
        <v>0</v>
      </c>
      <c r="AB229" s="50">
        <f t="shared" si="84"/>
        <v>0</v>
      </c>
      <c r="AC229" s="43">
        <f t="shared" si="85"/>
        <v>0</v>
      </c>
      <c r="AD229" s="43">
        <f t="shared" si="86"/>
        <v>0</v>
      </c>
      <c r="AE229" s="43">
        <f t="shared" si="87"/>
        <v>0</v>
      </c>
      <c r="AF229" s="51" t="e">
        <f>HLOOKUP(I229,ElecAvoidedCostsWOCC!$A$5:$Q$50,G229+1,FALSE)</f>
        <v>#N/A</v>
      </c>
      <c r="AG229" s="43" t="e">
        <f t="shared" si="88"/>
        <v>#N/A</v>
      </c>
      <c r="AH229" s="51" t="e">
        <f>HLOOKUP(I229,ElecAvoidedCostsWOCC!$A$5:$Q$50,T229+1,FALSE)</f>
        <v>#N/A</v>
      </c>
      <c r="AI229" s="43" t="e">
        <f t="shared" si="89"/>
        <v>#N/A</v>
      </c>
      <c r="AJ229" s="43" t="e">
        <f t="shared" si="90"/>
        <v>#N/A</v>
      </c>
      <c r="AK229" s="43" t="e">
        <f>HLOOKUP(I229,ElecAvoidedCostsWOCC!$A$5:$Q$50,G229+1,FALSE)*J229*L229</f>
        <v>#N/A</v>
      </c>
      <c r="AL229" s="43" t="e">
        <f t="shared" si="91"/>
        <v>#N/A</v>
      </c>
      <c r="AM229" s="47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7">
        <f t="shared" si="92"/>
        <v>0</v>
      </c>
      <c r="AO229" s="46">
        <f t="shared" si="93"/>
        <v>0</v>
      </c>
      <c r="AP229" s="46" t="e">
        <f t="shared" si="94"/>
        <v>#DIV/0!</v>
      </c>
    </row>
    <row r="230" spans="2:42" x14ac:dyDescent="0.25">
      <c r="B230" s="36"/>
      <c r="C230" s="60"/>
      <c r="D230" s="60"/>
      <c r="E230" s="37"/>
      <c r="F230" s="38"/>
      <c r="G230" s="38"/>
      <c r="H230" s="38"/>
      <c r="I230" s="39"/>
      <c r="J230" s="40"/>
      <c r="K230" s="40"/>
      <c r="L230" s="40"/>
      <c r="M230" s="41"/>
      <c r="N230" s="41"/>
      <c r="O230" s="42"/>
      <c r="P230" s="43"/>
      <c r="Q230" s="43"/>
      <c r="R230" s="44"/>
      <c r="S230" s="45"/>
      <c r="T230" s="38">
        <f t="shared" si="76"/>
        <v>0</v>
      </c>
      <c r="U230" s="46">
        <f t="shared" si="77"/>
        <v>0</v>
      </c>
      <c r="V230" s="47">
        <f t="shared" si="78"/>
        <v>0</v>
      </c>
      <c r="W230" s="48">
        <f t="shared" si="79"/>
        <v>0</v>
      </c>
      <c r="X230" s="43">
        <f t="shared" si="80"/>
        <v>0</v>
      </c>
      <c r="Y230" s="43">
        <f t="shared" si="81"/>
        <v>0</v>
      </c>
      <c r="Z230" s="43">
        <f t="shared" si="82"/>
        <v>0</v>
      </c>
      <c r="AA230" s="49">
        <f t="shared" si="83"/>
        <v>0</v>
      </c>
      <c r="AB230" s="50">
        <f t="shared" si="84"/>
        <v>0</v>
      </c>
      <c r="AC230" s="43">
        <f t="shared" si="85"/>
        <v>0</v>
      </c>
      <c r="AD230" s="43">
        <f t="shared" si="86"/>
        <v>0</v>
      </c>
      <c r="AE230" s="43">
        <f t="shared" si="87"/>
        <v>0</v>
      </c>
      <c r="AF230" s="51" t="e">
        <f>HLOOKUP(I230,ElecAvoidedCostsWOCC!$A$5:$Q$50,G230+1,FALSE)</f>
        <v>#N/A</v>
      </c>
      <c r="AG230" s="43" t="e">
        <f t="shared" si="88"/>
        <v>#N/A</v>
      </c>
      <c r="AH230" s="51" t="e">
        <f>HLOOKUP(I230,ElecAvoidedCostsWOCC!$A$5:$Q$50,T230+1,FALSE)</f>
        <v>#N/A</v>
      </c>
      <c r="AI230" s="43" t="e">
        <f t="shared" si="89"/>
        <v>#N/A</v>
      </c>
      <c r="AJ230" s="43" t="e">
        <f t="shared" si="90"/>
        <v>#N/A</v>
      </c>
      <c r="AK230" s="43" t="e">
        <f>HLOOKUP(I230,ElecAvoidedCostsWOCC!$A$5:$Q$50,G230+1,FALSE)*J230*L230</f>
        <v>#N/A</v>
      </c>
      <c r="AL230" s="43" t="e">
        <f t="shared" si="91"/>
        <v>#N/A</v>
      </c>
      <c r="AM230" s="47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7">
        <f t="shared" si="92"/>
        <v>0</v>
      </c>
      <c r="AO230" s="46">
        <f t="shared" si="93"/>
        <v>0</v>
      </c>
      <c r="AP230" s="46" t="e">
        <f t="shared" si="94"/>
        <v>#DIV/0!</v>
      </c>
    </row>
    <row r="231" spans="2:42" x14ac:dyDescent="0.25">
      <c r="B231" s="36"/>
      <c r="C231" s="60"/>
      <c r="D231" s="60"/>
      <c r="E231" s="37"/>
      <c r="F231" s="38"/>
      <c r="G231" s="38"/>
      <c r="H231" s="38"/>
      <c r="I231" s="39"/>
      <c r="J231" s="40"/>
      <c r="K231" s="40"/>
      <c r="L231" s="40"/>
      <c r="M231" s="41"/>
      <c r="N231" s="41"/>
      <c r="O231" s="42"/>
      <c r="P231" s="43"/>
      <c r="Q231" s="43"/>
      <c r="R231" s="44"/>
      <c r="S231" s="45"/>
      <c r="T231" s="38">
        <f t="shared" si="76"/>
        <v>0</v>
      </c>
      <c r="U231" s="46">
        <f t="shared" si="77"/>
        <v>0</v>
      </c>
      <c r="V231" s="47">
        <f t="shared" si="78"/>
        <v>0</v>
      </c>
      <c r="W231" s="48">
        <f t="shared" si="79"/>
        <v>0</v>
      </c>
      <c r="X231" s="43">
        <f t="shared" si="80"/>
        <v>0</v>
      </c>
      <c r="Y231" s="43">
        <f t="shared" si="81"/>
        <v>0</v>
      </c>
      <c r="Z231" s="43">
        <f t="shared" si="82"/>
        <v>0</v>
      </c>
      <c r="AA231" s="49">
        <f t="shared" si="83"/>
        <v>0</v>
      </c>
      <c r="AB231" s="50">
        <f t="shared" si="84"/>
        <v>0</v>
      </c>
      <c r="AC231" s="43">
        <f t="shared" si="85"/>
        <v>0</v>
      </c>
      <c r="AD231" s="43">
        <f t="shared" si="86"/>
        <v>0</v>
      </c>
      <c r="AE231" s="43">
        <f t="shared" si="87"/>
        <v>0</v>
      </c>
      <c r="AF231" s="51" t="e">
        <f>HLOOKUP(I231,ElecAvoidedCostsWOCC!$A$5:$Q$50,G231+1,FALSE)</f>
        <v>#N/A</v>
      </c>
      <c r="AG231" s="43" t="e">
        <f t="shared" si="88"/>
        <v>#N/A</v>
      </c>
      <c r="AH231" s="51" t="e">
        <f>HLOOKUP(I231,ElecAvoidedCostsWOCC!$A$5:$Q$50,T231+1,FALSE)</f>
        <v>#N/A</v>
      </c>
      <c r="AI231" s="43" t="e">
        <f t="shared" si="89"/>
        <v>#N/A</v>
      </c>
      <c r="AJ231" s="43" t="e">
        <f t="shared" si="90"/>
        <v>#N/A</v>
      </c>
      <c r="AK231" s="43" t="e">
        <f>HLOOKUP(I231,ElecAvoidedCostsWOCC!$A$5:$Q$50,G231+1,FALSE)*J231*L231</f>
        <v>#N/A</v>
      </c>
      <c r="AL231" s="43" t="e">
        <f t="shared" si="91"/>
        <v>#N/A</v>
      </c>
      <c r="AM231" s="47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7">
        <f t="shared" si="92"/>
        <v>0</v>
      </c>
      <c r="AO231" s="46">
        <f t="shared" si="93"/>
        <v>0</v>
      </c>
      <c r="AP231" s="46" t="e">
        <f t="shared" si="94"/>
        <v>#DIV/0!</v>
      </c>
    </row>
    <row r="232" spans="2:42" x14ac:dyDescent="0.25">
      <c r="B232" s="36"/>
      <c r="C232" s="60"/>
      <c r="D232" s="60"/>
      <c r="E232" s="37"/>
      <c r="F232" s="38"/>
      <c r="G232" s="38"/>
      <c r="H232" s="38"/>
      <c r="I232" s="39"/>
      <c r="J232" s="40"/>
      <c r="K232" s="40"/>
      <c r="L232" s="40"/>
      <c r="M232" s="41"/>
      <c r="N232" s="41"/>
      <c r="O232" s="42"/>
      <c r="P232" s="43"/>
      <c r="Q232" s="43"/>
      <c r="R232" s="44"/>
      <c r="S232" s="45"/>
      <c r="T232" s="38">
        <f t="shared" si="76"/>
        <v>0</v>
      </c>
      <c r="U232" s="46">
        <f t="shared" si="77"/>
        <v>0</v>
      </c>
      <c r="V232" s="47">
        <f t="shared" si="78"/>
        <v>0</v>
      </c>
      <c r="W232" s="48">
        <f t="shared" si="79"/>
        <v>0</v>
      </c>
      <c r="X232" s="43">
        <f t="shared" si="80"/>
        <v>0</v>
      </c>
      <c r="Y232" s="43">
        <f t="shared" si="81"/>
        <v>0</v>
      </c>
      <c r="Z232" s="43">
        <f t="shared" si="82"/>
        <v>0</v>
      </c>
      <c r="AA232" s="49">
        <f t="shared" si="83"/>
        <v>0</v>
      </c>
      <c r="AB232" s="50">
        <f t="shared" si="84"/>
        <v>0</v>
      </c>
      <c r="AC232" s="43">
        <f t="shared" si="85"/>
        <v>0</v>
      </c>
      <c r="AD232" s="43">
        <f t="shared" si="86"/>
        <v>0</v>
      </c>
      <c r="AE232" s="43">
        <f t="shared" si="87"/>
        <v>0</v>
      </c>
      <c r="AF232" s="51" t="e">
        <f>HLOOKUP(I232,ElecAvoidedCostsWOCC!$A$5:$Q$50,G232+1,FALSE)</f>
        <v>#N/A</v>
      </c>
      <c r="AG232" s="43" t="e">
        <f t="shared" si="88"/>
        <v>#N/A</v>
      </c>
      <c r="AH232" s="51" t="e">
        <f>HLOOKUP(I232,ElecAvoidedCostsWOCC!$A$5:$Q$50,T232+1,FALSE)</f>
        <v>#N/A</v>
      </c>
      <c r="AI232" s="43" t="e">
        <f t="shared" si="89"/>
        <v>#N/A</v>
      </c>
      <c r="AJ232" s="43" t="e">
        <f t="shared" si="90"/>
        <v>#N/A</v>
      </c>
      <c r="AK232" s="43" t="e">
        <f>HLOOKUP(I232,ElecAvoidedCostsWOCC!$A$5:$Q$50,G232+1,FALSE)*J232*L232</f>
        <v>#N/A</v>
      </c>
      <c r="AL232" s="43" t="e">
        <f t="shared" si="91"/>
        <v>#N/A</v>
      </c>
      <c r="AM232" s="47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7">
        <f t="shared" si="92"/>
        <v>0</v>
      </c>
      <c r="AO232" s="46">
        <f t="shared" si="93"/>
        <v>0</v>
      </c>
      <c r="AP232" s="46" t="e">
        <f t="shared" si="94"/>
        <v>#DIV/0!</v>
      </c>
    </row>
    <row r="233" spans="2:42" x14ac:dyDescent="0.25">
      <c r="B233" s="36"/>
      <c r="C233" s="60"/>
      <c r="D233" s="60"/>
      <c r="E233" s="37"/>
      <c r="F233" s="38"/>
      <c r="G233" s="38"/>
      <c r="H233" s="38"/>
      <c r="I233" s="39"/>
      <c r="J233" s="40"/>
      <c r="K233" s="40"/>
      <c r="L233" s="40"/>
      <c r="M233" s="41"/>
      <c r="N233" s="41"/>
      <c r="O233" s="42"/>
      <c r="P233" s="43"/>
      <c r="Q233" s="43"/>
      <c r="R233" s="44"/>
      <c r="S233" s="45"/>
      <c r="T233" s="38">
        <f t="shared" si="76"/>
        <v>0</v>
      </c>
      <c r="U233" s="46">
        <f t="shared" si="77"/>
        <v>0</v>
      </c>
      <c r="V233" s="47">
        <f t="shared" si="78"/>
        <v>0</v>
      </c>
      <c r="W233" s="48">
        <f t="shared" si="79"/>
        <v>0</v>
      </c>
      <c r="X233" s="43">
        <f t="shared" si="80"/>
        <v>0</v>
      </c>
      <c r="Y233" s="43">
        <f t="shared" si="81"/>
        <v>0</v>
      </c>
      <c r="Z233" s="43">
        <f t="shared" si="82"/>
        <v>0</v>
      </c>
      <c r="AA233" s="49">
        <f t="shared" si="83"/>
        <v>0</v>
      </c>
      <c r="AB233" s="50">
        <f t="shared" si="84"/>
        <v>0</v>
      </c>
      <c r="AC233" s="43">
        <f t="shared" si="85"/>
        <v>0</v>
      </c>
      <c r="AD233" s="43">
        <f t="shared" si="86"/>
        <v>0</v>
      </c>
      <c r="AE233" s="43">
        <f t="shared" si="87"/>
        <v>0</v>
      </c>
      <c r="AF233" s="51" t="e">
        <f>HLOOKUP(I233,ElecAvoidedCostsWOCC!$A$5:$Q$50,G233+1,FALSE)</f>
        <v>#N/A</v>
      </c>
      <c r="AG233" s="43" t="e">
        <f t="shared" si="88"/>
        <v>#N/A</v>
      </c>
      <c r="AH233" s="51" t="e">
        <f>HLOOKUP(I233,ElecAvoidedCostsWOCC!$A$5:$Q$50,T233+1,FALSE)</f>
        <v>#N/A</v>
      </c>
      <c r="AI233" s="43" t="e">
        <f t="shared" si="89"/>
        <v>#N/A</v>
      </c>
      <c r="AJ233" s="43" t="e">
        <f t="shared" si="90"/>
        <v>#N/A</v>
      </c>
      <c r="AK233" s="43" t="e">
        <f>HLOOKUP(I233,ElecAvoidedCostsWOCC!$A$5:$Q$50,G233+1,FALSE)*J233*L233</f>
        <v>#N/A</v>
      </c>
      <c r="AL233" s="43" t="e">
        <f t="shared" si="91"/>
        <v>#N/A</v>
      </c>
      <c r="AM233" s="47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7">
        <f t="shared" si="92"/>
        <v>0</v>
      </c>
      <c r="AO233" s="46">
        <f t="shared" si="93"/>
        <v>0</v>
      </c>
      <c r="AP233" s="46" t="e">
        <f t="shared" si="94"/>
        <v>#DIV/0!</v>
      </c>
    </row>
    <row r="234" spans="2:42" x14ac:dyDescent="0.25">
      <c r="B234" s="36"/>
      <c r="C234" s="60"/>
      <c r="D234" s="60"/>
      <c r="E234" s="37"/>
      <c r="F234" s="38"/>
      <c r="G234" s="38"/>
      <c r="H234" s="38"/>
      <c r="I234" s="39"/>
      <c r="J234" s="40"/>
      <c r="K234" s="40"/>
      <c r="L234" s="40"/>
      <c r="M234" s="41"/>
      <c r="N234" s="41"/>
      <c r="O234" s="42"/>
      <c r="P234" s="43"/>
      <c r="Q234" s="43"/>
      <c r="R234" s="44"/>
      <c r="S234" s="45"/>
      <c r="T234" s="38">
        <f t="shared" si="76"/>
        <v>0</v>
      </c>
      <c r="U234" s="46">
        <f t="shared" si="77"/>
        <v>0</v>
      </c>
      <c r="V234" s="47">
        <f t="shared" si="78"/>
        <v>0</v>
      </c>
      <c r="W234" s="48">
        <f t="shared" si="79"/>
        <v>0</v>
      </c>
      <c r="X234" s="43">
        <f t="shared" si="80"/>
        <v>0</v>
      </c>
      <c r="Y234" s="43">
        <f t="shared" si="81"/>
        <v>0</v>
      </c>
      <c r="Z234" s="43">
        <f t="shared" si="82"/>
        <v>0</v>
      </c>
      <c r="AA234" s="49">
        <f t="shared" si="83"/>
        <v>0</v>
      </c>
      <c r="AB234" s="50">
        <f t="shared" si="84"/>
        <v>0</v>
      </c>
      <c r="AC234" s="43">
        <f t="shared" si="85"/>
        <v>0</v>
      </c>
      <c r="AD234" s="43">
        <f t="shared" si="86"/>
        <v>0</v>
      </c>
      <c r="AE234" s="43">
        <f t="shared" si="87"/>
        <v>0</v>
      </c>
      <c r="AF234" s="51" t="e">
        <f>HLOOKUP(I234,ElecAvoidedCostsWOCC!$A$5:$Q$50,G234+1,FALSE)</f>
        <v>#N/A</v>
      </c>
      <c r="AG234" s="43" t="e">
        <f t="shared" si="88"/>
        <v>#N/A</v>
      </c>
      <c r="AH234" s="51" t="e">
        <f>HLOOKUP(I234,ElecAvoidedCostsWOCC!$A$5:$Q$50,T234+1,FALSE)</f>
        <v>#N/A</v>
      </c>
      <c r="AI234" s="43" t="e">
        <f t="shared" si="89"/>
        <v>#N/A</v>
      </c>
      <c r="AJ234" s="43" t="e">
        <f t="shared" si="90"/>
        <v>#N/A</v>
      </c>
      <c r="AK234" s="43" t="e">
        <f>HLOOKUP(I234,ElecAvoidedCostsWOCC!$A$5:$Q$50,G234+1,FALSE)*J234*L234</f>
        <v>#N/A</v>
      </c>
      <c r="AL234" s="43" t="e">
        <f t="shared" si="91"/>
        <v>#N/A</v>
      </c>
      <c r="AM234" s="47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7">
        <f t="shared" si="92"/>
        <v>0</v>
      </c>
      <c r="AO234" s="46">
        <f t="shared" si="93"/>
        <v>0</v>
      </c>
      <c r="AP234" s="46" t="e">
        <f t="shared" si="94"/>
        <v>#DIV/0!</v>
      </c>
    </row>
    <row r="235" spans="2:42" x14ac:dyDescent="0.25">
      <c r="B235" s="36"/>
      <c r="C235" s="60"/>
      <c r="D235" s="60"/>
      <c r="E235" s="37"/>
      <c r="F235" s="38"/>
      <c r="G235" s="38"/>
      <c r="H235" s="38"/>
      <c r="I235" s="39"/>
      <c r="J235" s="40"/>
      <c r="K235" s="40"/>
      <c r="L235" s="40"/>
      <c r="M235" s="41"/>
      <c r="N235" s="41"/>
      <c r="O235" s="42"/>
      <c r="P235" s="43"/>
      <c r="Q235" s="43"/>
      <c r="R235" s="44"/>
      <c r="S235" s="45"/>
      <c r="T235" s="38">
        <f t="shared" si="76"/>
        <v>0</v>
      </c>
      <c r="U235" s="46">
        <f t="shared" si="77"/>
        <v>0</v>
      </c>
      <c r="V235" s="47">
        <f t="shared" si="78"/>
        <v>0</v>
      </c>
      <c r="W235" s="48">
        <f t="shared" si="79"/>
        <v>0</v>
      </c>
      <c r="X235" s="43">
        <f t="shared" si="80"/>
        <v>0</v>
      </c>
      <c r="Y235" s="43">
        <f t="shared" si="81"/>
        <v>0</v>
      </c>
      <c r="Z235" s="43">
        <f t="shared" si="82"/>
        <v>0</v>
      </c>
      <c r="AA235" s="49">
        <f t="shared" si="83"/>
        <v>0</v>
      </c>
      <c r="AB235" s="50">
        <f t="shared" si="84"/>
        <v>0</v>
      </c>
      <c r="AC235" s="43">
        <f t="shared" si="85"/>
        <v>0</v>
      </c>
      <c r="AD235" s="43">
        <f t="shared" si="86"/>
        <v>0</v>
      </c>
      <c r="AE235" s="43">
        <f t="shared" si="87"/>
        <v>0</v>
      </c>
      <c r="AF235" s="51" t="e">
        <f>HLOOKUP(I235,ElecAvoidedCostsWOCC!$A$5:$Q$50,G235+1,FALSE)</f>
        <v>#N/A</v>
      </c>
      <c r="AG235" s="43" t="e">
        <f t="shared" si="88"/>
        <v>#N/A</v>
      </c>
      <c r="AH235" s="51" t="e">
        <f>HLOOKUP(I235,ElecAvoidedCostsWOCC!$A$5:$Q$50,T235+1,FALSE)</f>
        <v>#N/A</v>
      </c>
      <c r="AI235" s="43" t="e">
        <f t="shared" si="89"/>
        <v>#N/A</v>
      </c>
      <c r="AJ235" s="43" t="e">
        <f t="shared" si="90"/>
        <v>#N/A</v>
      </c>
      <c r="AK235" s="43" t="e">
        <f>HLOOKUP(I235,ElecAvoidedCostsWOCC!$A$5:$Q$50,G235+1,FALSE)*J235*L235</f>
        <v>#N/A</v>
      </c>
      <c r="AL235" s="43" t="e">
        <f t="shared" si="91"/>
        <v>#N/A</v>
      </c>
      <c r="AM235" s="47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7">
        <f t="shared" si="92"/>
        <v>0</v>
      </c>
      <c r="AO235" s="46">
        <f t="shared" si="93"/>
        <v>0</v>
      </c>
      <c r="AP235" s="46" t="e">
        <f t="shared" si="94"/>
        <v>#DIV/0!</v>
      </c>
    </row>
    <row r="236" spans="2:42" x14ac:dyDescent="0.25">
      <c r="B236" s="36"/>
      <c r="C236" s="60"/>
      <c r="D236" s="60"/>
      <c r="E236" s="37"/>
      <c r="F236" s="38"/>
      <c r="G236" s="38"/>
      <c r="H236" s="38"/>
      <c r="I236" s="39"/>
      <c r="J236" s="40"/>
      <c r="K236" s="40"/>
      <c r="L236" s="40"/>
      <c r="M236" s="41"/>
      <c r="N236" s="41"/>
      <c r="O236" s="42"/>
      <c r="P236" s="43"/>
      <c r="Q236" s="43"/>
      <c r="R236" s="44"/>
      <c r="S236" s="45"/>
      <c r="T236" s="38">
        <f t="shared" si="76"/>
        <v>0</v>
      </c>
      <c r="U236" s="46">
        <f t="shared" si="77"/>
        <v>0</v>
      </c>
      <c r="V236" s="47">
        <f t="shared" si="78"/>
        <v>0</v>
      </c>
      <c r="W236" s="48">
        <f t="shared" si="79"/>
        <v>0</v>
      </c>
      <c r="X236" s="43">
        <f t="shared" si="80"/>
        <v>0</v>
      </c>
      <c r="Y236" s="43">
        <f t="shared" si="81"/>
        <v>0</v>
      </c>
      <c r="Z236" s="43">
        <f t="shared" si="82"/>
        <v>0</v>
      </c>
      <c r="AA236" s="49">
        <f t="shared" si="83"/>
        <v>0</v>
      </c>
      <c r="AB236" s="50">
        <f t="shared" si="84"/>
        <v>0</v>
      </c>
      <c r="AC236" s="43">
        <f t="shared" si="85"/>
        <v>0</v>
      </c>
      <c r="AD236" s="43">
        <f t="shared" si="86"/>
        <v>0</v>
      </c>
      <c r="AE236" s="43">
        <f t="shared" si="87"/>
        <v>0</v>
      </c>
      <c r="AF236" s="51" t="e">
        <f>HLOOKUP(I236,ElecAvoidedCostsWOCC!$A$5:$Q$50,G236+1,FALSE)</f>
        <v>#N/A</v>
      </c>
      <c r="AG236" s="43" t="e">
        <f t="shared" si="88"/>
        <v>#N/A</v>
      </c>
      <c r="AH236" s="51" t="e">
        <f>HLOOKUP(I236,ElecAvoidedCostsWOCC!$A$5:$Q$50,T236+1,FALSE)</f>
        <v>#N/A</v>
      </c>
      <c r="AI236" s="43" t="e">
        <f t="shared" si="89"/>
        <v>#N/A</v>
      </c>
      <c r="AJ236" s="43" t="e">
        <f t="shared" si="90"/>
        <v>#N/A</v>
      </c>
      <c r="AK236" s="43" t="e">
        <f>HLOOKUP(I236,ElecAvoidedCostsWOCC!$A$5:$Q$50,G236+1,FALSE)*J236*L236</f>
        <v>#N/A</v>
      </c>
      <c r="AL236" s="43" t="e">
        <f t="shared" si="91"/>
        <v>#N/A</v>
      </c>
      <c r="AM236" s="47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7">
        <f t="shared" si="92"/>
        <v>0</v>
      </c>
      <c r="AO236" s="46">
        <f t="shared" si="93"/>
        <v>0</v>
      </c>
      <c r="AP236" s="46" t="e">
        <f t="shared" si="94"/>
        <v>#DIV/0!</v>
      </c>
    </row>
    <row r="237" spans="2:42" x14ac:dyDescent="0.25">
      <c r="B237" s="36"/>
      <c r="C237" s="60"/>
      <c r="D237" s="60"/>
      <c r="E237" s="37"/>
      <c r="F237" s="38"/>
      <c r="G237" s="38"/>
      <c r="H237" s="38"/>
      <c r="I237" s="39"/>
      <c r="J237" s="40"/>
      <c r="K237" s="40"/>
      <c r="L237" s="40"/>
      <c r="M237" s="41"/>
      <c r="N237" s="41"/>
      <c r="O237" s="42"/>
      <c r="P237" s="43"/>
      <c r="Q237" s="43"/>
      <c r="R237" s="44"/>
      <c r="S237" s="45"/>
      <c r="T237" s="38">
        <f t="shared" si="76"/>
        <v>0</v>
      </c>
      <c r="U237" s="46">
        <f t="shared" si="77"/>
        <v>0</v>
      </c>
      <c r="V237" s="47">
        <f t="shared" si="78"/>
        <v>0</v>
      </c>
      <c r="W237" s="48">
        <f t="shared" si="79"/>
        <v>0</v>
      </c>
      <c r="X237" s="43">
        <f t="shared" si="80"/>
        <v>0</v>
      </c>
      <c r="Y237" s="43">
        <f t="shared" si="81"/>
        <v>0</v>
      </c>
      <c r="Z237" s="43">
        <f t="shared" si="82"/>
        <v>0</v>
      </c>
      <c r="AA237" s="49">
        <f t="shared" si="83"/>
        <v>0</v>
      </c>
      <c r="AB237" s="50">
        <f t="shared" si="84"/>
        <v>0</v>
      </c>
      <c r="AC237" s="43">
        <f t="shared" si="85"/>
        <v>0</v>
      </c>
      <c r="AD237" s="43">
        <f t="shared" si="86"/>
        <v>0</v>
      </c>
      <c r="AE237" s="43">
        <f t="shared" si="87"/>
        <v>0</v>
      </c>
      <c r="AF237" s="51" t="e">
        <f>HLOOKUP(I237,ElecAvoidedCostsWOCC!$A$5:$Q$50,G237+1,FALSE)</f>
        <v>#N/A</v>
      </c>
      <c r="AG237" s="43" t="e">
        <f t="shared" si="88"/>
        <v>#N/A</v>
      </c>
      <c r="AH237" s="51" t="e">
        <f>HLOOKUP(I237,ElecAvoidedCostsWOCC!$A$5:$Q$50,T237+1,FALSE)</f>
        <v>#N/A</v>
      </c>
      <c r="AI237" s="43" t="e">
        <f t="shared" si="89"/>
        <v>#N/A</v>
      </c>
      <c r="AJ237" s="43" t="e">
        <f t="shared" si="90"/>
        <v>#N/A</v>
      </c>
      <c r="AK237" s="43" t="e">
        <f>HLOOKUP(I237,ElecAvoidedCostsWOCC!$A$5:$Q$50,G237+1,FALSE)*J237*L237</f>
        <v>#N/A</v>
      </c>
      <c r="AL237" s="43" t="e">
        <f t="shared" si="91"/>
        <v>#N/A</v>
      </c>
      <c r="AM237" s="47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7">
        <f t="shared" si="92"/>
        <v>0</v>
      </c>
      <c r="AO237" s="46">
        <f t="shared" si="93"/>
        <v>0</v>
      </c>
      <c r="AP237" s="46" t="e">
        <f t="shared" si="94"/>
        <v>#DIV/0!</v>
      </c>
    </row>
    <row r="238" spans="2:42" x14ac:dyDescent="0.25">
      <c r="B238" s="36"/>
      <c r="C238" s="60"/>
      <c r="D238" s="60"/>
      <c r="E238" s="37"/>
      <c r="F238" s="38"/>
      <c r="G238" s="38"/>
      <c r="H238" s="38"/>
      <c r="I238" s="39"/>
      <c r="J238" s="40"/>
      <c r="K238" s="40"/>
      <c r="L238" s="40"/>
      <c r="M238" s="41"/>
      <c r="N238" s="41"/>
      <c r="O238" s="42"/>
      <c r="P238" s="43"/>
      <c r="Q238" s="43"/>
      <c r="R238" s="44"/>
      <c r="S238" s="45"/>
      <c r="T238" s="38">
        <f t="shared" si="76"/>
        <v>0</v>
      </c>
      <c r="U238" s="46">
        <f t="shared" si="77"/>
        <v>0</v>
      </c>
      <c r="V238" s="47">
        <f t="shared" si="78"/>
        <v>0</v>
      </c>
      <c r="W238" s="48">
        <f t="shared" si="79"/>
        <v>0</v>
      </c>
      <c r="X238" s="43">
        <f t="shared" si="80"/>
        <v>0</v>
      </c>
      <c r="Y238" s="43">
        <f t="shared" si="81"/>
        <v>0</v>
      </c>
      <c r="Z238" s="43">
        <f t="shared" si="82"/>
        <v>0</v>
      </c>
      <c r="AA238" s="49">
        <f t="shared" si="83"/>
        <v>0</v>
      </c>
      <c r="AB238" s="50">
        <f t="shared" si="84"/>
        <v>0</v>
      </c>
      <c r="AC238" s="43">
        <f t="shared" si="85"/>
        <v>0</v>
      </c>
      <c r="AD238" s="43">
        <f t="shared" si="86"/>
        <v>0</v>
      </c>
      <c r="AE238" s="43">
        <f t="shared" si="87"/>
        <v>0</v>
      </c>
      <c r="AF238" s="51" t="e">
        <f>HLOOKUP(I238,ElecAvoidedCostsWOCC!$A$5:$Q$50,G238+1,FALSE)</f>
        <v>#N/A</v>
      </c>
      <c r="AG238" s="43" t="e">
        <f t="shared" si="88"/>
        <v>#N/A</v>
      </c>
      <c r="AH238" s="51" t="e">
        <f>HLOOKUP(I238,ElecAvoidedCostsWOCC!$A$5:$Q$50,T238+1,FALSE)</f>
        <v>#N/A</v>
      </c>
      <c r="AI238" s="43" t="e">
        <f t="shared" si="89"/>
        <v>#N/A</v>
      </c>
      <c r="AJ238" s="43" t="e">
        <f t="shared" si="90"/>
        <v>#N/A</v>
      </c>
      <c r="AK238" s="43" t="e">
        <f>HLOOKUP(I238,ElecAvoidedCostsWOCC!$A$5:$Q$50,G238+1,FALSE)*J238*L238</f>
        <v>#N/A</v>
      </c>
      <c r="AL238" s="43" t="e">
        <f t="shared" si="91"/>
        <v>#N/A</v>
      </c>
      <c r="AM238" s="47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7">
        <f t="shared" si="92"/>
        <v>0</v>
      </c>
      <c r="AO238" s="46">
        <f t="shared" si="93"/>
        <v>0</v>
      </c>
      <c r="AP238" s="46" t="e">
        <f t="shared" si="94"/>
        <v>#DIV/0!</v>
      </c>
    </row>
    <row r="239" spans="2:42" x14ac:dyDescent="0.25">
      <c r="B239" s="36"/>
      <c r="C239" s="60"/>
      <c r="D239" s="60"/>
      <c r="E239" s="37"/>
      <c r="F239" s="38"/>
      <c r="G239" s="38"/>
      <c r="H239" s="38"/>
      <c r="I239" s="39"/>
      <c r="J239" s="40"/>
      <c r="K239" s="40"/>
      <c r="L239" s="40"/>
      <c r="M239" s="41"/>
      <c r="N239" s="41"/>
      <c r="O239" s="42"/>
      <c r="P239" s="43"/>
      <c r="Q239" s="43"/>
      <c r="R239" s="44"/>
      <c r="S239" s="45"/>
      <c r="T239" s="38">
        <f t="shared" si="76"/>
        <v>0</v>
      </c>
      <c r="U239" s="46">
        <f t="shared" si="77"/>
        <v>0</v>
      </c>
      <c r="V239" s="47">
        <f t="shared" si="78"/>
        <v>0</v>
      </c>
      <c r="W239" s="48">
        <f t="shared" si="79"/>
        <v>0</v>
      </c>
      <c r="X239" s="43">
        <f t="shared" si="80"/>
        <v>0</v>
      </c>
      <c r="Y239" s="43">
        <f t="shared" si="81"/>
        <v>0</v>
      </c>
      <c r="Z239" s="43">
        <f t="shared" si="82"/>
        <v>0</v>
      </c>
      <c r="AA239" s="49">
        <f t="shared" si="83"/>
        <v>0</v>
      </c>
      <c r="AB239" s="50">
        <f t="shared" si="84"/>
        <v>0</v>
      </c>
      <c r="AC239" s="43">
        <f t="shared" si="85"/>
        <v>0</v>
      </c>
      <c r="AD239" s="43">
        <f t="shared" si="86"/>
        <v>0</v>
      </c>
      <c r="AE239" s="43">
        <f t="shared" si="87"/>
        <v>0</v>
      </c>
      <c r="AF239" s="51" t="e">
        <f>HLOOKUP(I239,ElecAvoidedCostsWOCC!$A$5:$Q$50,G239+1,FALSE)</f>
        <v>#N/A</v>
      </c>
      <c r="AG239" s="43" t="e">
        <f t="shared" si="88"/>
        <v>#N/A</v>
      </c>
      <c r="AH239" s="51" t="e">
        <f>HLOOKUP(I239,ElecAvoidedCostsWOCC!$A$5:$Q$50,T239+1,FALSE)</f>
        <v>#N/A</v>
      </c>
      <c r="AI239" s="43" t="e">
        <f t="shared" si="89"/>
        <v>#N/A</v>
      </c>
      <c r="AJ239" s="43" t="e">
        <f t="shared" si="90"/>
        <v>#N/A</v>
      </c>
      <c r="AK239" s="43" t="e">
        <f>HLOOKUP(I239,ElecAvoidedCostsWOCC!$A$5:$Q$50,G239+1,FALSE)*J239*L239</f>
        <v>#N/A</v>
      </c>
      <c r="AL239" s="43" t="e">
        <f t="shared" si="91"/>
        <v>#N/A</v>
      </c>
      <c r="AM239" s="47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7">
        <f t="shared" si="92"/>
        <v>0</v>
      </c>
      <c r="AO239" s="46">
        <f t="shared" si="93"/>
        <v>0</v>
      </c>
      <c r="AP239" s="46" t="e">
        <f t="shared" si="94"/>
        <v>#DIV/0!</v>
      </c>
    </row>
    <row r="240" spans="2:42" x14ac:dyDescent="0.25">
      <c r="B240" s="36"/>
      <c r="C240" s="60"/>
      <c r="D240" s="60"/>
      <c r="E240" s="37"/>
      <c r="F240" s="38"/>
      <c r="G240" s="38"/>
      <c r="H240" s="38"/>
      <c r="I240" s="39"/>
      <c r="J240" s="40"/>
      <c r="K240" s="40"/>
      <c r="L240" s="40"/>
      <c r="M240" s="41"/>
      <c r="N240" s="41"/>
      <c r="O240" s="42"/>
      <c r="P240" s="43"/>
      <c r="Q240" s="43"/>
      <c r="R240" s="44"/>
      <c r="S240" s="45"/>
      <c r="T240" s="38">
        <f t="shared" si="76"/>
        <v>0</v>
      </c>
      <c r="U240" s="46">
        <f t="shared" si="77"/>
        <v>0</v>
      </c>
      <c r="V240" s="47">
        <f t="shared" si="78"/>
        <v>0</v>
      </c>
      <c r="W240" s="48">
        <f t="shared" si="79"/>
        <v>0</v>
      </c>
      <c r="X240" s="43">
        <f t="shared" si="80"/>
        <v>0</v>
      </c>
      <c r="Y240" s="43">
        <f t="shared" si="81"/>
        <v>0</v>
      </c>
      <c r="Z240" s="43">
        <f t="shared" si="82"/>
        <v>0</v>
      </c>
      <c r="AA240" s="49">
        <f t="shared" si="83"/>
        <v>0</v>
      </c>
      <c r="AB240" s="50">
        <f t="shared" si="84"/>
        <v>0</v>
      </c>
      <c r="AC240" s="43">
        <f t="shared" si="85"/>
        <v>0</v>
      </c>
      <c r="AD240" s="43">
        <f t="shared" si="86"/>
        <v>0</v>
      </c>
      <c r="AE240" s="43">
        <f t="shared" si="87"/>
        <v>0</v>
      </c>
      <c r="AF240" s="51" t="e">
        <f>HLOOKUP(I240,ElecAvoidedCostsWOCC!$A$5:$Q$50,G240+1,FALSE)</f>
        <v>#N/A</v>
      </c>
      <c r="AG240" s="43" t="e">
        <f t="shared" si="88"/>
        <v>#N/A</v>
      </c>
      <c r="AH240" s="51" t="e">
        <f>HLOOKUP(I240,ElecAvoidedCostsWOCC!$A$5:$Q$50,T240+1,FALSE)</f>
        <v>#N/A</v>
      </c>
      <c r="AI240" s="43" t="e">
        <f t="shared" si="89"/>
        <v>#N/A</v>
      </c>
      <c r="AJ240" s="43" t="e">
        <f t="shared" si="90"/>
        <v>#N/A</v>
      </c>
      <c r="AK240" s="43" t="e">
        <f>HLOOKUP(I240,ElecAvoidedCostsWOCC!$A$5:$Q$50,G240+1,FALSE)*J240*L240</f>
        <v>#N/A</v>
      </c>
      <c r="AL240" s="43" t="e">
        <f t="shared" si="91"/>
        <v>#N/A</v>
      </c>
      <c r="AM240" s="47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7">
        <f t="shared" si="92"/>
        <v>0</v>
      </c>
      <c r="AO240" s="46">
        <f t="shared" si="93"/>
        <v>0</v>
      </c>
      <c r="AP240" s="46" t="e">
        <f t="shared" si="94"/>
        <v>#DIV/0!</v>
      </c>
    </row>
    <row r="241" spans="2:42" x14ac:dyDescent="0.25">
      <c r="B241" s="36"/>
      <c r="C241" s="60"/>
      <c r="D241" s="60"/>
      <c r="E241" s="37"/>
      <c r="F241" s="38"/>
      <c r="G241" s="38"/>
      <c r="H241" s="38"/>
      <c r="I241" s="39"/>
      <c r="J241" s="40"/>
      <c r="K241" s="40"/>
      <c r="L241" s="40"/>
      <c r="M241" s="41"/>
      <c r="N241" s="41"/>
      <c r="O241" s="42"/>
      <c r="P241" s="43"/>
      <c r="Q241" s="43"/>
      <c r="R241" s="44"/>
      <c r="S241" s="45"/>
      <c r="T241" s="38">
        <f t="shared" si="76"/>
        <v>0</v>
      </c>
      <c r="U241" s="46">
        <f t="shared" si="77"/>
        <v>0</v>
      </c>
      <c r="V241" s="47">
        <f t="shared" si="78"/>
        <v>0</v>
      </c>
      <c r="W241" s="48">
        <f t="shared" si="79"/>
        <v>0</v>
      </c>
      <c r="X241" s="43">
        <f t="shared" si="80"/>
        <v>0</v>
      </c>
      <c r="Y241" s="43">
        <f t="shared" si="81"/>
        <v>0</v>
      </c>
      <c r="Z241" s="43">
        <f t="shared" si="82"/>
        <v>0</v>
      </c>
      <c r="AA241" s="49">
        <f t="shared" si="83"/>
        <v>0</v>
      </c>
      <c r="AB241" s="50">
        <f t="shared" si="84"/>
        <v>0</v>
      </c>
      <c r="AC241" s="43">
        <f t="shared" si="85"/>
        <v>0</v>
      </c>
      <c r="AD241" s="43">
        <f t="shared" si="86"/>
        <v>0</v>
      </c>
      <c r="AE241" s="43">
        <f t="shared" si="87"/>
        <v>0</v>
      </c>
      <c r="AF241" s="51" t="e">
        <f>HLOOKUP(I241,ElecAvoidedCostsWOCC!$A$5:$Q$50,G241+1,FALSE)</f>
        <v>#N/A</v>
      </c>
      <c r="AG241" s="43" t="e">
        <f t="shared" si="88"/>
        <v>#N/A</v>
      </c>
      <c r="AH241" s="51" t="e">
        <f>HLOOKUP(I241,ElecAvoidedCostsWOCC!$A$5:$Q$50,T241+1,FALSE)</f>
        <v>#N/A</v>
      </c>
      <c r="AI241" s="43" t="e">
        <f t="shared" si="89"/>
        <v>#N/A</v>
      </c>
      <c r="AJ241" s="43" t="e">
        <f t="shared" si="90"/>
        <v>#N/A</v>
      </c>
      <c r="AK241" s="43" t="e">
        <f>HLOOKUP(I241,ElecAvoidedCostsWOCC!$A$5:$Q$50,G241+1,FALSE)*J241*L241</f>
        <v>#N/A</v>
      </c>
      <c r="AL241" s="43" t="e">
        <f t="shared" si="91"/>
        <v>#N/A</v>
      </c>
      <c r="AM241" s="47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7">
        <f t="shared" si="92"/>
        <v>0</v>
      </c>
      <c r="AO241" s="46">
        <f t="shared" si="93"/>
        <v>0</v>
      </c>
      <c r="AP241" s="46" t="e">
        <f t="shared" si="94"/>
        <v>#DIV/0!</v>
      </c>
    </row>
    <row r="242" spans="2:42" x14ac:dyDescent="0.25">
      <c r="B242" s="36"/>
      <c r="C242" s="60"/>
      <c r="D242" s="60"/>
      <c r="E242" s="37"/>
      <c r="F242" s="38"/>
      <c r="G242" s="38"/>
      <c r="H242" s="38"/>
      <c r="I242" s="39"/>
      <c r="J242" s="40"/>
      <c r="K242" s="40"/>
      <c r="L242" s="40"/>
      <c r="M242" s="41"/>
      <c r="N242" s="41"/>
      <c r="O242" s="42"/>
      <c r="P242" s="43"/>
      <c r="Q242" s="43"/>
      <c r="R242" s="44"/>
      <c r="S242" s="45"/>
      <c r="T242" s="38">
        <f t="shared" si="76"/>
        <v>0</v>
      </c>
      <c r="U242" s="46">
        <f t="shared" si="77"/>
        <v>0</v>
      </c>
      <c r="V242" s="47">
        <f t="shared" si="78"/>
        <v>0</v>
      </c>
      <c r="W242" s="48">
        <f t="shared" si="79"/>
        <v>0</v>
      </c>
      <c r="X242" s="43">
        <f t="shared" si="80"/>
        <v>0</v>
      </c>
      <c r="Y242" s="43">
        <f t="shared" si="81"/>
        <v>0</v>
      </c>
      <c r="Z242" s="43">
        <f t="shared" si="82"/>
        <v>0</v>
      </c>
      <c r="AA242" s="49">
        <f t="shared" si="83"/>
        <v>0</v>
      </c>
      <c r="AB242" s="50">
        <f t="shared" si="84"/>
        <v>0</v>
      </c>
      <c r="AC242" s="43">
        <f t="shared" si="85"/>
        <v>0</v>
      </c>
      <c r="AD242" s="43">
        <f t="shared" si="86"/>
        <v>0</v>
      </c>
      <c r="AE242" s="43">
        <f t="shared" si="87"/>
        <v>0</v>
      </c>
      <c r="AF242" s="51" t="e">
        <f>HLOOKUP(I242,ElecAvoidedCostsWOCC!$A$5:$Q$50,G242+1,FALSE)</f>
        <v>#N/A</v>
      </c>
      <c r="AG242" s="43" t="e">
        <f t="shared" si="88"/>
        <v>#N/A</v>
      </c>
      <c r="AH242" s="51" t="e">
        <f>HLOOKUP(I242,ElecAvoidedCostsWOCC!$A$5:$Q$50,T242+1,FALSE)</f>
        <v>#N/A</v>
      </c>
      <c r="AI242" s="43" t="e">
        <f t="shared" si="89"/>
        <v>#N/A</v>
      </c>
      <c r="AJ242" s="43" t="e">
        <f t="shared" si="90"/>
        <v>#N/A</v>
      </c>
      <c r="AK242" s="43" t="e">
        <f>HLOOKUP(I242,ElecAvoidedCostsWOCC!$A$5:$Q$50,G242+1,FALSE)*J242*L242</f>
        <v>#N/A</v>
      </c>
      <c r="AL242" s="43" t="e">
        <f t="shared" si="91"/>
        <v>#N/A</v>
      </c>
      <c r="AM242" s="47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7">
        <f t="shared" si="92"/>
        <v>0</v>
      </c>
      <c r="AO242" s="46">
        <f t="shared" si="93"/>
        <v>0</v>
      </c>
      <c r="AP242" s="46" t="e">
        <f t="shared" si="94"/>
        <v>#DIV/0!</v>
      </c>
    </row>
    <row r="243" spans="2:42" x14ac:dyDescent="0.25">
      <c r="B243" s="36"/>
      <c r="C243" s="60"/>
      <c r="D243" s="60"/>
      <c r="E243" s="37"/>
      <c r="F243" s="38"/>
      <c r="G243" s="38"/>
      <c r="H243" s="38"/>
      <c r="I243" s="39"/>
      <c r="J243" s="40"/>
      <c r="K243" s="40"/>
      <c r="L243" s="40"/>
      <c r="M243" s="41"/>
      <c r="N243" s="41"/>
      <c r="O243" s="42"/>
      <c r="P243" s="43"/>
      <c r="Q243" s="43"/>
      <c r="R243" s="44"/>
      <c r="S243" s="45"/>
      <c r="T243" s="38">
        <f t="shared" si="76"/>
        <v>0</v>
      </c>
      <c r="U243" s="46">
        <f t="shared" si="77"/>
        <v>0</v>
      </c>
      <c r="V243" s="47">
        <f t="shared" si="78"/>
        <v>0</v>
      </c>
      <c r="W243" s="48">
        <f t="shared" si="79"/>
        <v>0</v>
      </c>
      <c r="X243" s="43">
        <f t="shared" si="80"/>
        <v>0</v>
      </c>
      <c r="Y243" s="43">
        <f t="shared" si="81"/>
        <v>0</v>
      </c>
      <c r="Z243" s="43">
        <f t="shared" si="82"/>
        <v>0</v>
      </c>
      <c r="AA243" s="49">
        <f t="shared" si="83"/>
        <v>0</v>
      </c>
      <c r="AB243" s="50">
        <f t="shared" si="84"/>
        <v>0</v>
      </c>
      <c r="AC243" s="43">
        <f t="shared" si="85"/>
        <v>0</v>
      </c>
      <c r="AD243" s="43">
        <f t="shared" si="86"/>
        <v>0</v>
      </c>
      <c r="AE243" s="43">
        <f t="shared" si="87"/>
        <v>0</v>
      </c>
      <c r="AF243" s="51" t="e">
        <f>HLOOKUP(I243,ElecAvoidedCostsWOCC!$A$5:$Q$50,G243+1,FALSE)</f>
        <v>#N/A</v>
      </c>
      <c r="AG243" s="43" t="e">
        <f t="shared" si="88"/>
        <v>#N/A</v>
      </c>
      <c r="AH243" s="51" t="e">
        <f>HLOOKUP(I243,ElecAvoidedCostsWOCC!$A$5:$Q$50,T243+1,FALSE)</f>
        <v>#N/A</v>
      </c>
      <c r="AI243" s="43" t="e">
        <f t="shared" si="89"/>
        <v>#N/A</v>
      </c>
      <c r="AJ243" s="43" t="e">
        <f t="shared" si="90"/>
        <v>#N/A</v>
      </c>
      <c r="AK243" s="43" t="e">
        <f>HLOOKUP(I243,ElecAvoidedCostsWOCC!$A$5:$Q$50,G243+1,FALSE)*J243*L243</f>
        <v>#N/A</v>
      </c>
      <c r="AL243" s="43" t="e">
        <f t="shared" si="91"/>
        <v>#N/A</v>
      </c>
      <c r="AM243" s="47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7">
        <f t="shared" si="92"/>
        <v>0</v>
      </c>
      <c r="AO243" s="46">
        <f t="shared" si="93"/>
        <v>0</v>
      </c>
      <c r="AP243" s="46" t="e">
        <f t="shared" si="94"/>
        <v>#DIV/0!</v>
      </c>
    </row>
    <row r="244" spans="2:42" x14ac:dyDescent="0.25">
      <c r="B244" s="36"/>
      <c r="C244" s="60"/>
      <c r="D244" s="60"/>
      <c r="E244" s="37"/>
      <c r="F244" s="38"/>
      <c r="G244" s="38"/>
      <c r="H244" s="38"/>
      <c r="I244" s="39"/>
      <c r="J244" s="40"/>
      <c r="K244" s="40"/>
      <c r="L244" s="40"/>
      <c r="M244" s="41"/>
      <c r="N244" s="41"/>
      <c r="O244" s="42"/>
      <c r="P244" s="43"/>
      <c r="Q244" s="43"/>
      <c r="R244" s="44"/>
      <c r="S244" s="45"/>
      <c r="T244" s="38">
        <f t="shared" si="76"/>
        <v>0</v>
      </c>
      <c r="U244" s="46">
        <f t="shared" si="77"/>
        <v>0</v>
      </c>
      <c r="V244" s="47">
        <f t="shared" si="78"/>
        <v>0</v>
      </c>
      <c r="W244" s="48">
        <f t="shared" si="79"/>
        <v>0</v>
      </c>
      <c r="X244" s="43">
        <f t="shared" si="80"/>
        <v>0</v>
      </c>
      <c r="Y244" s="43">
        <f t="shared" si="81"/>
        <v>0</v>
      </c>
      <c r="Z244" s="43">
        <f t="shared" si="82"/>
        <v>0</v>
      </c>
      <c r="AA244" s="49">
        <f t="shared" si="83"/>
        <v>0</v>
      </c>
      <c r="AB244" s="50">
        <f t="shared" si="84"/>
        <v>0</v>
      </c>
      <c r="AC244" s="43">
        <f t="shared" si="85"/>
        <v>0</v>
      </c>
      <c r="AD244" s="43">
        <f t="shared" si="86"/>
        <v>0</v>
      </c>
      <c r="AE244" s="43">
        <f t="shared" si="87"/>
        <v>0</v>
      </c>
      <c r="AF244" s="51" t="e">
        <f>HLOOKUP(I244,ElecAvoidedCostsWOCC!$A$5:$Q$50,G244+1,FALSE)</f>
        <v>#N/A</v>
      </c>
      <c r="AG244" s="43" t="e">
        <f t="shared" si="88"/>
        <v>#N/A</v>
      </c>
      <c r="AH244" s="51" t="e">
        <f>HLOOKUP(I244,ElecAvoidedCostsWOCC!$A$5:$Q$50,T244+1,FALSE)</f>
        <v>#N/A</v>
      </c>
      <c r="AI244" s="43" t="e">
        <f t="shared" si="89"/>
        <v>#N/A</v>
      </c>
      <c r="AJ244" s="43" t="e">
        <f t="shared" si="90"/>
        <v>#N/A</v>
      </c>
      <c r="AK244" s="43" t="e">
        <f>HLOOKUP(I244,ElecAvoidedCostsWOCC!$A$5:$Q$50,G244+1,FALSE)*J244*L244</f>
        <v>#N/A</v>
      </c>
      <c r="AL244" s="43" t="e">
        <f t="shared" si="91"/>
        <v>#N/A</v>
      </c>
      <c r="AM244" s="47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7">
        <f t="shared" si="92"/>
        <v>0</v>
      </c>
      <c r="AO244" s="46">
        <f t="shared" si="93"/>
        <v>0</v>
      </c>
      <c r="AP244" s="46" t="e">
        <f t="shared" si="94"/>
        <v>#DIV/0!</v>
      </c>
    </row>
    <row r="245" spans="2:42" x14ac:dyDescent="0.25">
      <c r="B245" s="36"/>
      <c r="C245" s="60"/>
      <c r="D245" s="60"/>
      <c r="E245" s="37"/>
      <c r="F245" s="38"/>
      <c r="G245" s="38"/>
      <c r="H245" s="38"/>
      <c r="I245" s="39"/>
      <c r="J245" s="40"/>
      <c r="K245" s="40"/>
      <c r="L245" s="40"/>
      <c r="M245" s="41"/>
      <c r="N245" s="41"/>
      <c r="O245" s="42"/>
      <c r="P245" s="43"/>
      <c r="Q245" s="43"/>
      <c r="R245" s="44"/>
      <c r="S245" s="45"/>
      <c r="T245" s="38">
        <f t="shared" si="76"/>
        <v>0</v>
      </c>
      <c r="U245" s="46">
        <f t="shared" si="77"/>
        <v>0</v>
      </c>
      <c r="V245" s="47">
        <f t="shared" si="78"/>
        <v>0</v>
      </c>
      <c r="W245" s="48">
        <f t="shared" si="79"/>
        <v>0</v>
      </c>
      <c r="X245" s="43">
        <f t="shared" si="80"/>
        <v>0</v>
      </c>
      <c r="Y245" s="43">
        <f t="shared" si="81"/>
        <v>0</v>
      </c>
      <c r="Z245" s="43">
        <f t="shared" si="82"/>
        <v>0</v>
      </c>
      <c r="AA245" s="49">
        <f t="shared" si="83"/>
        <v>0</v>
      </c>
      <c r="AB245" s="50">
        <f t="shared" si="84"/>
        <v>0</v>
      </c>
      <c r="AC245" s="43">
        <f t="shared" si="85"/>
        <v>0</v>
      </c>
      <c r="AD245" s="43">
        <f t="shared" si="86"/>
        <v>0</v>
      </c>
      <c r="AE245" s="43">
        <f t="shared" si="87"/>
        <v>0</v>
      </c>
      <c r="AF245" s="51" t="e">
        <f>HLOOKUP(I245,ElecAvoidedCostsWOCC!$A$5:$Q$50,G245+1,FALSE)</f>
        <v>#N/A</v>
      </c>
      <c r="AG245" s="43" t="e">
        <f t="shared" si="88"/>
        <v>#N/A</v>
      </c>
      <c r="AH245" s="51" t="e">
        <f>HLOOKUP(I245,ElecAvoidedCostsWOCC!$A$5:$Q$50,T245+1,FALSE)</f>
        <v>#N/A</v>
      </c>
      <c r="AI245" s="43" t="e">
        <f t="shared" si="89"/>
        <v>#N/A</v>
      </c>
      <c r="AJ245" s="43" t="e">
        <f t="shared" si="90"/>
        <v>#N/A</v>
      </c>
      <c r="AK245" s="43" t="e">
        <f>HLOOKUP(I245,ElecAvoidedCostsWOCC!$A$5:$Q$50,G245+1,FALSE)*J245*L245</f>
        <v>#N/A</v>
      </c>
      <c r="AL245" s="43" t="e">
        <f t="shared" si="91"/>
        <v>#N/A</v>
      </c>
      <c r="AM245" s="47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7">
        <f t="shared" si="92"/>
        <v>0</v>
      </c>
      <c r="AO245" s="46">
        <f t="shared" si="93"/>
        <v>0</v>
      </c>
      <c r="AP245" s="46" t="e">
        <f t="shared" si="94"/>
        <v>#DIV/0!</v>
      </c>
    </row>
    <row r="246" spans="2:42" x14ac:dyDescent="0.25">
      <c r="B246" s="36"/>
      <c r="C246" s="60"/>
      <c r="D246" s="60"/>
      <c r="E246" s="37"/>
      <c r="F246" s="38"/>
      <c r="G246" s="38"/>
      <c r="H246" s="38"/>
      <c r="I246" s="39"/>
      <c r="J246" s="40"/>
      <c r="K246" s="40"/>
      <c r="L246" s="40"/>
      <c r="M246" s="41"/>
      <c r="N246" s="41"/>
      <c r="O246" s="42"/>
      <c r="P246" s="43"/>
      <c r="Q246" s="43"/>
      <c r="R246" s="44"/>
      <c r="S246" s="45"/>
      <c r="T246" s="38">
        <f t="shared" si="76"/>
        <v>0</v>
      </c>
      <c r="U246" s="46">
        <f t="shared" si="77"/>
        <v>0</v>
      </c>
      <c r="V246" s="47">
        <f t="shared" si="78"/>
        <v>0</v>
      </c>
      <c r="W246" s="48">
        <f t="shared" si="79"/>
        <v>0</v>
      </c>
      <c r="X246" s="43">
        <f t="shared" si="80"/>
        <v>0</v>
      </c>
      <c r="Y246" s="43">
        <f t="shared" si="81"/>
        <v>0</v>
      </c>
      <c r="Z246" s="43">
        <f t="shared" si="82"/>
        <v>0</v>
      </c>
      <c r="AA246" s="49">
        <f t="shared" si="83"/>
        <v>0</v>
      </c>
      <c r="AB246" s="50">
        <f t="shared" si="84"/>
        <v>0</v>
      </c>
      <c r="AC246" s="43">
        <f t="shared" si="85"/>
        <v>0</v>
      </c>
      <c r="AD246" s="43">
        <f t="shared" si="86"/>
        <v>0</v>
      </c>
      <c r="AE246" s="43">
        <f t="shared" si="87"/>
        <v>0</v>
      </c>
      <c r="AF246" s="51" t="e">
        <f>HLOOKUP(I246,ElecAvoidedCostsWOCC!$A$5:$Q$50,G246+1,FALSE)</f>
        <v>#N/A</v>
      </c>
      <c r="AG246" s="43" t="e">
        <f t="shared" si="88"/>
        <v>#N/A</v>
      </c>
      <c r="AH246" s="51" t="e">
        <f>HLOOKUP(I246,ElecAvoidedCostsWOCC!$A$5:$Q$50,T246+1,FALSE)</f>
        <v>#N/A</v>
      </c>
      <c r="AI246" s="43" t="e">
        <f t="shared" si="89"/>
        <v>#N/A</v>
      </c>
      <c r="AJ246" s="43" t="e">
        <f t="shared" si="90"/>
        <v>#N/A</v>
      </c>
      <c r="AK246" s="43" t="e">
        <f>HLOOKUP(I246,ElecAvoidedCostsWOCC!$A$5:$Q$50,G246+1,FALSE)*J246*L246</f>
        <v>#N/A</v>
      </c>
      <c r="AL246" s="43" t="e">
        <f t="shared" si="91"/>
        <v>#N/A</v>
      </c>
      <c r="AM246" s="47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7">
        <f t="shared" si="92"/>
        <v>0</v>
      </c>
      <c r="AO246" s="46">
        <f t="shared" si="93"/>
        <v>0</v>
      </c>
      <c r="AP246" s="46" t="e">
        <f t="shared" si="94"/>
        <v>#DIV/0!</v>
      </c>
    </row>
    <row r="247" spans="2:42" x14ac:dyDescent="0.25">
      <c r="B247" s="36"/>
      <c r="C247" s="60"/>
      <c r="D247" s="60"/>
      <c r="E247" s="37"/>
      <c r="F247" s="38"/>
      <c r="G247" s="38"/>
      <c r="H247" s="38"/>
      <c r="I247" s="39"/>
      <c r="J247" s="40"/>
      <c r="K247" s="40"/>
      <c r="L247" s="40"/>
      <c r="M247" s="41"/>
      <c r="N247" s="41"/>
      <c r="O247" s="42"/>
      <c r="P247" s="43"/>
      <c r="Q247" s="43"/>
      <c r="R247" s="44"/>
      <c r="S247" s="45"/>
      <c r="T247" s="38">
        <f t="shared" si="76"/>
        <v>0</v>
      </c>
      <c r="U247" s="46">
        <f t="shared" si="77"/>
        <v>0</v>
      </c>
      <c r="V247" s="47">
        <f t="shared" si="78"/>
        <v>0</v>
      </c>
      <c r="W247" s="48">
        <f t="shared" si="79"/>
        <v>0</v>
      </c>
      <c r="X247" s="43">
        <f t="shared" si="80"/>
        <v>0</v>
      </c>
      <c r="Y247" s="43">
        <f t="shared" si="81"/>
        <v>0</v>
      </c>
      <c r="Z247" s="43">
        <f t="shared" si="82"/>
        <v>0</v>
      </c>
      <c r="AA247" s="49">
        <f t="shared" si="83"/>
        <v>0</v>
      </c>
      <c r="AB247" s="50">
        <f t="shared" si="84"/>
        <v>0</v>
      </c>
      <c r="AC247" s="43">
        <f t="shared" si="85"/>
        <v>0</v>
      </c>
      <c r="AD247" s="43">
        <f t="shared" si="86"/>
        <v>0</v>
      </c>
      <c r="AE247" s="43">
        <f t="shared" si="87"/>
        <v>0</v>
      </c>
      <c r="AF247" s="51" t="e">
        <f>HLOOKUP(I247,ElecAvoidedCostsWOCC!$A$5:$Q$50,G247+1,FALSE)</f>
        <v>#N/A</v>
      </c>
      <c r="AG247" s="43" t="e">
        <f t="shared" si="88"/>
        <v>#N/A</v>
      </c>
      <c r="AH247" s="51" t="e">
        <f>HLOOKUP(I247,ElecAvoidedCostsWOCC!$A$5:$Q$50,T247+1,FALSE)</f>
        <v>#N/A</v>
      </c>
      <c r="AI247" s="43" t="e">
        <f t="shared" si="89"/>
        <v>#N/A</v>
      </c>
      <c r="AJ247" s="43" t="e">
        <f t="shared" si="90"/>
        <v>#N/A</v>
      </c>
      <c r="AK247" s="43" t="e">
        <f>HLOOKUP(I247,ElecAvoidedCostsWOCC!$A$5:$Q$50,G247+1,FALSE)*J247*L247</f>
        <v>#N/A</v>
      </c>
      <c r="AL247" s="43" t="e">
        <f t="shared" si="91"/>
        <v>#N/A</v>
      </c>
      <c r="AM247" s="47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7">
        <f t="shared" si="92"/>
        <v>0</v>
      </c>
      <c r="AO247" s="46">
        <f t="shared" si="93"/>
        <v>0</v>
      </c>
      <c r="AP247" s="46" t="e">
        <f t="shared" si="94"/>
        <v>#DIV/0!</v>
      </c>
    </row>
    <row r="248" spans="2:42" x14ac:dyDescent="0.25">
      <c r="B248" s="36"/>
      <c r="C248" s="60"/>
      <c r="D248" s="60"/>
      <c r="E248" s="37"/>
      <c r="F248" s="38"/>
      <c r="G248" s="38"/>
      <c r="H248" s="38"/>
      <c r="I248" s="39"/>
      <c r="J248" s="40"/>
      <c r="K248" s="40"/>
      <c r="L248" s="40"/>
      <c r="M248" s="41"/>
      <c r="N248" s="41"/>
      <c r="O248" s="42"/>
      <c r="P248" s="43"/>
      <c r="Q248" s="43"/>
      <c r="R248" s="44"/>
      <c r="S248" s="45"/>
      <c r="T248" s="38">
        <f t="shared" si="76"/>
        <v>0</v>
      </c>
      <c r="U248" s="46">
        <f t="shared" si="77"/>
        <v>0</v>
      </c>
      <c r="V248" s="47">
        <f t="shared" si="78"/>
        <v>0</v>
      </c>
      <c r="W248" s="48">
        <f t="shared" si="79"/>
        <v>0</v>
      </c>
      <c r="X248" s="43">
        <f t="shared" si="80"/>
        <v>0</v>
      </c>
      <c r="Y248" s="43">
        <f t="shared" si="81"/>
        <v>0</v>
      </c>
      <c r="Z248" s="43">
        <f t="shared" si="82"/>
        <v>0</v>
      </c>
      <c r="AA248" s="49">
        <f t="shared" si="83"/>
        <v>0</v>
      </c>
      <c r="AB248" s="50">
        <f t="shared" si="84"/>
        <v>0</v>
      </c>
      <c r="AC248" s="43">
        <f t="shared" si="85"/>
        <v>0</v>
      </c>
      <c r="AD248" s="43">
        <f t="shared" si="86"/>
        <v>0</v>
      </c>
      <c r="AE248" s="43">
        <f t="shared" si="87"/>
        <v>0</v>
      </c>
      <c r="AF248" s="51" t="e">
        <f>HLOOKUP(I248,ElecAvoidedCostsWOCC!$A$5:$Q$50,G248+1,FALSE)</f>
        <v>#N/A</v>
      </c>
      <c r="AG248" s="43" t="e">
        <f t="shared" si="88"/>
        <v>#N/A</v>
      </c>
      <c r="AH248" s="51" t="e">
        <f>HLOOKUP(I248,ElecAvoidedCostsWOCC!$A$5:$Q$50,T248+1,FALSE)</f>
        <v>#N/A</v>
      </c>
      <c r="AI248" s="43" t="e">
        <f t="shared" si="89"/>
        <v>#N/A</v>
      </c>
      <c r="AJ248" s="43" t="e">
        <f t="shared" si="90"/>
        <v>#N/A</v>
      </c>
      <c r="AK248" s="43" t="e">
        <f>HLOOKUP(I248,ElecAvoidedCostsWOCC!$A$5:$Q$50,G248+1,FALSE)*J248*L248</f>
        <v>#N/A</v>
      </c>
      <c r="AL248" s="43" t="e">
        <f t="shared" si="91"/>
        <v>#N/A</v>
      </c>
      <c r="AM248" s="47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7">
        <f t="shared" si="92"/>
        <v>0</v>
      </c>
      <c r="AO248" s="46">
        <f t="shared" si="93"/>
        <v>0</v>
      </c>
      <c r="AP248" s="46" t="e">
        <f t="shared" si="94"/>
        <v>#DIV/0!</v>
      </c>
    </row>
    <row r="249" spans="2:42" x14ac:dyDescent="0.25">
      <c r="B249" s="36"/>
      <c r="C249" s="60"/>
      <c r="D249" s="60"/>
      <c r="E249" s="37"/>
      <c r="F249" s="38"/>
      <c r="G249" s="38"/>
      <c r="H249" s="38"/>
      <c r="I249" s="39"/>
      <c r="J249" s="40"/>
      <c r="K249" s="40"/>
      <c r="L249" s="40"/>
      <c r="M249" s="41"/>
      <c r="N249" s="41"/>
      <c r="O249" s="42"/>
      <c r="P249" s="43"/>
      <c r="Q249" s="43"/>
      <c r="R249" s="44"/>
      <c r="S249" s="45"/>
      <c r="T249" s="38">
        <f t="shared" si="76"/>
        <v>0</v>
      </c>
      <c r="U249" s="46">
        <f t="shared" si="77"/>
        <v>0</v>
      </c>
      <c r="V249" s="47">
        <f t="shared" si="78"/>
        <v>0</v>
      </c>
      <c r="W249" s="48">
        <f t="shared" si="79"/>
        <v>0</v>
      </c>
      <c r="X249" s="43">
        <f t="shared" si="80"/>
        <v>0</v>
      </c>
      <c r="Y249" s="43">
        <f t="shared" si="81"/>
        <v>0</v>
      </c>
      <c r="Z249" s="43">
        <f t="shared" si="82"/>
        <v>0</v>
      </c>
      <c r="AA249" s="49">
        <f t="shared" si="83"/>
        <v>0</v>
      </c>
      <c r="AB249" s="50">
        <f t="shared" si="84"/>
        <v>0</v>
      </c>
      <c r="AC249" s="43">
        <f t="shared" si="85"/>
        <v>0</v>
      </c>
      <c r="AD249" s="43">
        <f t="shared" si="86"/>
        <v>0</v>
      </c>
      <c r="AE249" s="43">
        <f t="shared" si="87"/>
        <v>0</v>
      </c>
      <c r="AF249" s="51" t="e">
        <f>HLOOKUP(I249,ElecAvoidedCostsWOCC!$A$5:$Q$50,G249+1,FALSE)</f>
        <v>#N/A</v>
      </c>
      <c r="AG249" s="43" t="e">
        <f t="shared" si="88"/>
        <v>#N/A</v>
      </c>
      <c r="AH249" s="51" t="e">
        <f>HLOOKUP(I249,ElecAvoidedCostsWOCC!$A$5:$Q$50,T249+1,FALSE)</f>
        <v>#N/A</v>
      </c>
      <c r="AI249" s="43" t="e">
        <f t="shared" si="89"/>
        <v>#N/A</v>
      </c>
      <c r="AJ249" s="43" t="e">
        <f t="shared" si="90"/>
        <v>#N/A</v>
      </c>
      <c r="AK249" s="43" t="e">
        <f>HLOOKUP(I249,ElecAvoidedCostsWOCC!$A$5:$Q$50,G249+1,FALSE)*J249*L249</f>
        <v>#N/A</v>
      </c>
      <c r="AL249" s="43" t="e">
        <f t="shared" si="91"/>
        <v>#N/A</v>
      </c>
      <c r="AM249" s="47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7">
        <f t="shared" si="92"/>
        <v>0</v>
      </c>
      <c r="AO249" s="46">
        <f t="shared" si="93"/>
        <v>0</v>
      </c>
      <c r="AP249" s="46" t="e">
        <f t="shared" si="94"/>
        <v>#DIV/0!</v>
      </c>
    </row>
    <row r="250" spans="2:42" x14ac:dyDescent="0.25">
      <c r="B250" s="36"/>
      <c r="C250" s="60"/>
      <c r="D250" s="60"/>
      <c r="E250" s="37"/>
      <c r="F250" s="38"/>
      <c r="G250" s="38"/>
      <c r="H250" s="38"/>
      <c r="I250" s="39"/>
      <c r="J250" s="40"/>
      <c r="K250" s="40"/>
      <c r="L250" s="40"/>
      <c r="M250" s="41"/>
      <c r="N250" s="41"/>
      <c r="O250" s="42"/>
      <c r="P250" s="43"/>
      <c r="Q250" s="43"/>
      <c r="R250" s="44"/>
      <c r="S250" s="45"/>
      <c r="T250" s="38">
        <f t="shared" si="76"/>
        <v>0</v>
      </c>
      <c r="U250" s="46">
        <f t="shared" si="77"/>
        <v>0</v>
      </c>
      <c r="V250" s="47">
        <f t="shared" si="78"/>
        <v>0</v>
      </c>
      <c r="W250" s="48">
        <f t="shared" si="79"/>
        <v>0</v>
      </c>
      <c r="X250" s="43">
        <f t="shared" si="80"/>
        <v>0</v>
      </c>
      <c r="Y250" s="43">
        <f t="shared" si="81"/>
        <v>0</v>
      </c>
      <c r="Z250" s="43">
        <f t="shared" si="82"/>
        <v>0</v>
      </c>
      <c r="AA250" s="49">
        <f t="shared" si="83"/>
        <v>0</v>
      </c>
      <c r="AB250" s="50">
        <f t="shared" si="84"/>
        <v>0</v>
      </c>
      <c r="AC250" s="43">
        <f t="shared" si="85"/>
        <v>0</v>
      </c>
      <c r="AD250" s="43">
        <f t="shared" si="86"/>
        <v>0</v>
      </c>
      <c r="AE250" s="43">
        <f t="shared" si="87"/>
        <v>0</v>
      </c>
      <c r="AF250" s="51" t="e">
        <f>HLOOKUP(I250,ElecAvoidedCostsWOCC!$A$5:$Q$50,G250+1,FALSE)</f>
        <v>#N/A</v>
      </c>
      <c r="AG250" s="43" t="e">
        <f t="shared" si="88"/>
        <v>#N/A</v>
      </c>
      <c r="AH250" s="51" t="e">
        <f>HLOOKUP(I250,ElecAvoidedCostsWOCC!$A$5:$Q$50,T250+1,FALSE)</f>
        <v>#N/A</v>
      </c>
      <c r="AI250" s="43" t="e">
        <f t="shared" si="89"/>
        <v>#N/A</v>
      </c>
      <c r="AJ250" s="43" t="e">
        <f t="shared" si="90"/>
        <v>#N/A</v>
      </c>
      <c r="AK250" s="43" t="e">
        <f>HLOOKUP(I250,ElecAvoidedCostsWOCC!$A$5:$Q$50,G250+1,FALSE)*J250*L250</f>
        <v>#N/A</v>
      </c>
      <c r="AL250" s="43" t="e">
        <f t="shared" si="91"/>
        <v>#N/A</v>
      </c>
      <c r="AM250" s="47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7">
        <f t="shared" si="92"/>
        <v>0</v>
      </c>
      <c r="AO250" s="46">
        <f t="shared" si="93"/>
        <v>0</v>
      </c>
      <c r="AP250" s="46" t="e">
        <f t="shared" si="94"/>
        <v>#DIV/0!</v>
      </c>
    </row>
    <row r="251" spans="2:42" x14ac:dyDescent="0.25">
      <c r="B251" s="36"/>
      <c r="C251" s="60"/>
      <c r="D251" s="60"/>
      <c r="E251" s="37"/>
      <c r="F251" s="38"/>
      <c r="G251" s="38"/>
      <c r="H251" s="38"/>
      <c r="I251" s="39"/>
      <c r="J251" s="40"/>
      <c r="K251" s="40"/>
      <c r="L251" s="40"/>
      <c r="M251" s="41"/>
      <c r="N251" s="41"/>
      <c r="O251" s="42"/>
      <c r="P251" s="43"/>
      <c r="Q251" s="43"/>
      <c r="R251" s="44"/>
      <c r="S251" s="45"/>
      <c r="T251" s="38">
        <f t="shared" si="76"/>
        <v>0</v>
      </c>
      <c r="U251" s="46">
        <f t="shared" si="77"/>
        <v>0</v>
      </c>
      <c r="V251" s="47">
        <f t="shared" si="78"/>
        <v>0</v>
      </c>
      <c r="W251" s="48">
        <f t="shared" si="79"/>
        <v>0</v>
      </c>
      <c r="X251" s="43">
        <f t="shared" si="80"/>
        <v>0</v>
      </c>
      <c r="Y251" s="43">
        <f t="shared" si="81"/>
        <v>0</v>
      </c>
      <c r="Z251" s="43">
        <f t="shared" si="82"/>
        <v>0</v>
      </c>
      <c r="AA251" s="49">
        <f t="shared" si="83"/>
        <v>0</v>
      </c>
      <c r="AB251" s="50">
        <f t="shared" si="84"/>
        <v>0</v>
      </c>
      <c r="AC251" s="43">
        <f t="shared" si="85"/>
        <v>0</v>
      </c>
      <c r="AD251" s="43">
        <f t="shared" si="86"/>
        <v>0</v>
      </c>
      <c r="AE251" s="43">
        <f t="shared" si="87"/>
        <v>0</v>
      </c>
      <c r="AF251" s="51" t="e">
        <f>HLOOKUP(I251,ElecAvoidedCostsWOCC!$A$5:$Q$50,G251+1,FALSE)</f>
        <v>#N/A</v>
      </c>
      <c r="AG251" s="43" t="e">
        <f t="shared" si="88"/>
        <v>#N/A</v>
      </c>
      <c r="AH251" s="51" t="e">
        <f>HLOOKUP(I251,ElecAvoidedCostsWOCC!$A$5:$Q$50,T251+1,FALSE)</f>
        <v>#N/A</v>
      </c>
      <c r="AI251" s="43" t="e">
        <f t="shared" si="89"/>
        <v>#N/A</v>
      </c>
      <c r="AJ251" s="43" t="e">
        <f t="shared" si="90"/>
        <v>#N/A</v>
      </c>
      <c r="AK251" s="43" t="e">
        <f>HLOOKUP(I251,ElecAvoidedCostsWOCC!$A$5:$Q$50,G251+1,FALSE)*J251*L251</f>
        <v>#N/A</v>
      </c>
      <c r="AL251" s="43" t="e">
        <f t="shared" si="91"/>
        <v>#N/A</v>
      </c>
      <c r="AM251" s="47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7">
        <f t="shared" si="92"/>
        <v>0</v>
      </c>
      <c r="AO251" s="46">
        <f t="shared" si="93"/>
        <v>0</v>
      </c>
      <c r="AP251" s="46" t="e">
        <f t="shared" si="94"/>
        <v>#DIV/0!</v>
      </c>
    </row>
    <row r="252" spans="2:42" x14ac:dyDescent="0.25">
      <c r="B252" s="36"/>
      <c r="C252" s="60"/>
      <c r="D252" s="60"/>
      <c r="E252" s="37"/>
      <c r="F252" s="38"/>
      <c r="G252" s="38"/>
      <c r="H252" s="38"/>
      <c r="I252" s="39"/>
      <c r="J252" s="40"/>
      <c r="K252" s="40"/>
      <c r="L252" s="40"/>
      <c r="M252" s="41"/>
      <c r="N252" s="41"/>
      <c r="O252" s="42"/>
      <c r="P252" s="43"/>
      <c r="Q252" s="43"/>
      <c r="R252" s="44"/>
      <c r="S252" s="45"/>
      <c r="T252" s="38">
        <f t="shared" si="76"/>
        <v>0</v>
      </c>
      <c r="U252" s="46">
        <f t="shared" si="77"/>
        <v>0</v>
      </c>
      <c r="V252" s="47">
        <f t="shared" si="78"/>
        <v>0</v>
      </c>
      <c r="W252" s="48">
        <f t="shared" si="79"/>
        <v>0</v>
      </c>
      <c r="X252" s="43">
        <f t="shared" si="80"/>
        <v>0</v>
      </c>
      <c r="Y252" s="43">
        <f t="shared" si="81"/>
        <v>0</v>
      </c>
      <c r="Z252" s="43">
        <f t="shared" si="82"/>
        <v>0</v>
      </c>
      <c r="AA252" s="49">
        <f t="shared" si="83"/>
        <v>0</v>
      </c>
      <c r="AB252" s="50">
        <f t="shared" si="84"/>
        <v>0</v>
      </c>
      <c r="AC252" s="43">
        <f t="shared" si="85"/>
        <v>0</v>
      </c>
      <c r="AD252" s="43">
        <f t="shared" si="86"/>
        <v>0</v>
      </c>
      <c r="AE252" s="43">
        <f t="shared" si="87"/>
        <v>0</v>
      </c>
      <c r="AF252" s="51" t="e">
        <f>HLOOKUP(I252,ElecAvoidedCostsWOCC!$A$5:$Q$50,G252+1,FALSE)</f>
        <v>#N/A</v>
      </c>
      <c r="AG252" s="43" t="e">
        <f t="shared" si="88"/>
        <v>#N/A</v>
      </c>
      <c r="AH252" s="51" t="e">
        <f>HLOOKUP(I252,ElecAvoidedCostsWOCC!$A$5:$Q$50,T252+1,FALSE)</f>
        <v>#N/A</v>
      </c>
      <c r="AI252" s="43" t="e">
        <f t="shared" si="89"/>
        <v>#N/A</v>
      </c>
      <c r="AJ252" s="43" t="e">
        <f t="shared" si="90"/>
        <v>#N/A</v>
      </c>
      <c r="AK252" s="43" t="e">
        <f>HLOOKUP(I252,ElecAvoidedCostsWOCC!$A$5:$Q$50,G252+1,FALSE)*J252*L252</f>
        <v>#N/A</v>
      </c>
      <c r="AL252" s="43" t="e">
        <f t="shared" si="91"/>
        <v>#N/A</v>
      </c>
      <c r="AM252" s="47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7">
        <f t="shared" si="92"/>
        <v>0</v>
      </c>
      <c r="AO252" s="46">
        <f t="shared" si="93"/>
        <v>0</v>
      </c>
      <c r="AP252" s="46" t="e">
        <f t="shared" si="94"/>
        <v>#DIV/0!</v>
      </c>
    </row>
    <row r="253" spans="2:42" x14ac:dyDescent="0.25">
      <c r="B253" s="36"/>
      <c r="C253" s="60"/>
      <c r="D253" s="60"/>
      <c r="E253" s="37"/>
      <c r="F253" s="38"/>
      <c r="G253" s="38"/>
      <c r="H253" s="38"/>
      <c r="I253" s="39"/>
      <c r="J253" s="40"/>
      <c r="K253" s="40"/>
      <c r="L253" s="40"/>
      <c r="M253" s="41"/>
      <c r="N253" s="41"/>
      <c r="O253" s="42"/>
      <c r="P253" s="43"/>
      <c r="Q253" s="43"/>
      <c r="R253" s="44"/>
      <c r="S253" s="45"/>
      <c r="T253" s="38">
        <f t="shared" si="76"/>
        <v>0</v>
      </c>
      <c r="U253" s="46">
        <f t="shared" si="77"/>
        <v>0</v>
      </c>
      <c r="V253" s="47">
        <f t="shared" si="78"/>
        <v>0</v>
      </c>
      <c r="W253" s="48">
        <f t="shared" si="79"/>
        <v>0</v>
      </c>
      <c r="X253" s="43">
        <f t="shared" si="80"/>
        <v>0</v>
      </c>
      <c r="Y253" s="43">
        <f t="shared" si="81"/>
        <v>0</v>
      </c>
      <c r="Z253" s="43">
        <f t="shared" si="82"/>
        <v>0</v>
      </c>
      <c r="AA253" s="49">
        <f t="shared" si="83"/>
        <v>0</v>
      </c>
      <c r="AB253" s="50">
        <f t="shared" si="84"/>
        <v>0</v>
      </c>
      <c r="AC253" s="43">
        <f t="shared" si="85"/>
        <v>0</v>
      </c>
      <c r="AD253" s="43">
        <f t="shared" si="86"/>
        <v>0</v>
      </c>
      <c r="AE253" s="43">
        <f t="shared" si="87"/>
        <v>0</v>
      </c>
      <c r="AF253" s="51" t="e">
        <f>HLOOKUP(I253,ElecAvoidedCostsWOCC!$A$5:$Q$50,G253+1,FALSE)</f>
        <v>#N/A</v>
      </c>
      <c r="AG253" s="43" t="e">
        <f t="shared" si="88"/>
        <v>#N/A</v>
      </c>
      <c r="AH253" s="51" t="e">
        <f>HLOOKUP(I253,ElecAvoidedCostsWOCC!$A$5:$Q$50,T253+1,FALSE)</f>
        <v>#N/A</v>
      </c>
      <c r="AI253" s="43" t="e">
        <f t="shared" si="89"/>
        <v>#N/A</v>
      </c>
      <c r="AJ253" s="43" t="e">
        <f t="shared" si="90"/>
        <v>#N/A</v>
      </c>
      <c r="AK253" s="43" t="e">
        <f>HLOOKUP(I253,ElecAvoidedCostsWOCC!$A$5:$Q$50,G253+1,FALSE)*J253*L253</f>
        <v>#N/A</v>
      </c>
      <c r="AL253" s="43" t="e">
        <f t="shared" si="91"/>
        <v>#N/A</v>
      </c>
      <c r="AM253" s="47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7">
        <f t="shared" si="92"/>
        <v>0</v>
      </c>
      <c r="AO253" s="46">
        <f t="shared" si="93"/>
        <v>0</v>
      </c>
      <c r="AP253" s="46" t="e">
        <f t="shared" si="94"/>
        <v>#DIV/0!</v>
      </c>
    </row>
    <row r="254" spans="2:42" x14ac:dyDescent="0.25">
      <c r="B254" s="36"/>
      <c r="C254" s="60"/>
      <c r="D254" s="60"/>
      <c r="E254" s="37"/>
      <c r="F254" s="38"/>
      <c r="G254" s="38"/>
      <c r="H254" s="38"/>
      <c r="I254" s="39"/>
      <c r="J254" s="40"/>
      <c r="K254" s="40"/>
      <c r="L254" s="40"/>
      <c r="M254" s="41"/>
      <c r="N254" s="41"/>
      <c r="O254" s="42"/>
      <c r="P254" s="43"/>
      <c r="Q254" s="43"/>
      <c r="R254" s="44"/>
      <c r="S254" s="45"/>
      <c r="T254" s="38">
        <f t="shared" si="76"/>
        <v>0</v>
      </c>
      <c r="U254" s="46">
        <f t="shared" si="77"/>
        <v>0</v>
      </c>
      <c r="V254" s="47">
        <f t="shared" si="78"/>
        <v>0</v>
      </c>
      <c r="W254" s="48">
        <f t="shared" si="79"/>
        <v>0</v>
      </c>
      <c r="X254" s="43">
        <f t="shared" si="80"/>
        <v>0</v>
      </c>
      <c r="Y254" s="43">
        <f t="shared" si="81"/>
        <v>0</v>
      </c>
      <c r="Z254" s="43">
        <f t="shared" si="82"/>
        <v>0</v>
      </c>
      <c r="AA254" s="49">
        <f t="shared" si="83"/>
        <v>0</v>
      </c>
      <c r="AB254" s="50">
        <f t="shared" si="84"/>
        <v>0</v>
      </c>
      <c r="AC254" s="43">
        <f t="shared" si="85"/>
        <v>0</v>
      </c>
      <c r="AD254" s="43">
        <f t="shared" si="86"/>
        <v>0</v>
      </c>
      <c r="AE254" s="43">
        <f t="shared" si="87"/>
        <v>0</v>
      </c>
      <c r="AF254" s="51" t="e">
        <f>HLOOKUP(I254,ElecAvoidedCostsWOCC!$A$5:$Q$50,G254+1,FALSE)</f>
        <v>#N/A</v>
      </c>
      <c r="AG254" s="43" t="e">
        <f t="shared" si="88"/>
        <v>#N/A</v>
      </c>
      <c r="AH254" s="51" t="e">
        <f>HLOOKUP(I254,ElecAvoidedCostsWOCC!$A$5:$Q$50,T254+1,FALSE)</f>
        <v>#N/A</v>
      </c>
      <c r="AI254" s="43" t="e">
        <f t="shared" si="89"/>
        <v>#N/A</v>
      </c>
      <c r="AJ254" s="43" t="e">
        <f t="shared" si="90"/>
        <v>#N/A</v>
      </c>
      <c r="AK254" s="43" t="e">
        <f>HLOOKUP(I254,ElecAvoidedCostsWOCC!$A$5:$Q$50,G254+1,FALSE)*J254*L254</f>
        <v>#N/A</v>
      </c>
      <c r="AL254" s="43" t="e">
        <f t="shared" si="91"/>
        <v>#N/A</v>
      </c>
      <c r="AM254" s="47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7">
        <f t="shared" si="92"/>
        <v>0</v>
      </c>
      <c r="AO254" s="46">
        <f t="shared" si="93"/>
        <v>0</v>
      </c>
      <c r="AP254" s="46" t="e">
        <f t="shared" si="94"/>
        <v>#DIV/0!</v>
      </c>
    </row>
    <row r="255" spans="2:42" x14ac:dyDescent="0.25">
      <c r="B255" s="36"/>
      <c r="C255" s="60"/>
      <c r="D255" s="60"/>
      <c r="E255" s="37"/>
      <c r="F255" s="38"/>
      <c r="G255" s="38"/>
      <c r="H255" s="38"/>
      <c r="I255" s="39"/>
      <c r="J255" s="40"/>
      <c r="K255" s="40"/>
      <c r="L255" s="40"/>
      <c r="M255" s="41"/>
      <c r="N255" s="41"/>
      <c r="O255" s="42"/>
      <c r="P255" s="43"/>
      <c r="Q255" s="43"/>
      <c r="R255" s="44"/>
      <c r="S255" s="45"/>
      <c r="T255" s="38">
        <f t="shared" si="76"/>
        <v>0</v>
      </c>
      <c r="U255" s="46">
        <f t="shared" si="77"/>
        <v>0</v>
      </c>
      <c r="V255" s="47">
        <f t="shared" si="78"/>
        <v>0</v>
      </c>
      <c r="W255" s="48">
        <f t="shared" si="79"/>
        <v>0</v>
      </c>
      <c r="X255" s="43">
        <f t="shared" si="80"/>
        <v>0</v>
      </c>
      <c r="Y255" s="43">
        <f t="shared" si="81"/>
        <v>0</v>
      </c>
      <c r="Z255" s="43">
        <f t="shared" si="82"/>
        <v>0</v>
      </c>
      <c r="AA255" s="49">
        <f t="shared" si="83"/>
        <v>0</v>
      </c>
      <c r="AB255" s="50">
        <f t="shared" si="84"/>
        <v>0</v>
      </c>
      <c r="AC255" s="43">
        <f t="shared" si="85"/>
        <v>0</v>
      </c>
      <c r="AD255" s="43">
        <f t="shared" si="86"/>
        <v>0</v>
      </c>
      <c r="AE255" s="43">
        <f t="shared" si="87"/>
        <v>0</v>
      </c>
      <c r="AF255" s="51" t="e">
        <f>HLOOKUP(I255,ElecAvoidedCostsWOCC!$A$5:$Q$50,G255+1,FALSE)</f>
        <v>#N/A</v>
      </c>
      <c r="AG255" s="43" t="e">
        <f t="shared" si="88"/>
        <v>#N/A</v>
      </c>
      <c r="AH255" s="51" t="e">
        <f>HLOOKUP(I255,ElecAvoidedCostsWOCC!$A$5:$Q$50,T255+1,FALSE)</f>
        <v>#N/A</v>
      </c>
      <c r="AI255" s="43" t="e">
        <f t="shared" si="89"/>
        <v>#N/A</v>
      </c>
      <c r="AJ255" s="43" t="e">
        <f t="shared" si="90"/>
        <v>#N/A</v>
      </c>
      <c r="AK255" s="43" t="e">
        <f>HLOOKUP(I255,ElecAvoidedCostsWOCC!$A$5:$Q$50,G255+1,FALSE)*J255*L255</f>
        <v>#N/A</v>
      </c>
      <c r="AL255" s="43" t="e">
        <f t="shared" si="91"/>
        <v>#N/A</v>
      </c>
      <c r="AM255" s="47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7">
        <f t="shared" si="92"/>
        <v>0</v>
      </c>
      <c r="AO255" s="46">
        <f t="shared" si="93"/>
        <v>0</v>
      </c>
      <c r="AP255" s="46" t="e">
        <f t="shared" si="94"/>
        <v>#DIV/0!</v>
      </c>
    </row>
    <row r="256" spans="2:42" x14ac:dyDescent="0.25">
      <c r="B256" s="36"/>
      <c r="C256" s="60"/>
      <c r="D256" s="60"/>
      <c r="E256" s="37"/>
      <c r="F256" s="38"/>
      <c r="G256" s="38"/>
      <c r="H256" s="38"/>
      <c r="I256" s="39"/>
      <c r="J256" s="40"/>
      <c r="K256" s="40"/>
      <c r="L256" s="40"/>
      <c r="M256" s="41"/>
      <c r="N256" s="41"/>
      <c r="O256" s="42"/>
      <c r="P256" s="43"/>
      <c r="Q256" s="43"/>
      <c r="R256" s="44"/>
      <c r="S256" s="45"/>
      <c r="T256" s="38">
        <f t="shared" si="76"/>
        <v>0</v>
      </c>
      <c r="U256" s="46">
        <f t="shared" si="77"/>
        <v>0</v>
      </c>
      <c r="V256" s="47">
        <f t="shared" si="78"/>
        <v>0</v>
      </c>
      <c r="W256" s="48">
        <f t="shared" si="79"/>
        <v>0</v>
      </c>
      <c r="X256" s="43">
        <f t="shared" si="80"/>
        <v>0</v>
      </c>
      <c r="Y256" s="43">
        <f t="shared" si="81"/>
        <v>0</v>
      </c>
      <c r="Z256" s="43">
        <f t="shared" si="82"/>
        <v>0</v>
      </c>
      <c r="AA256" s="49">
        <f t="shared" si="83"/>
        <v>0</v>
      </c>
      <c r="AB256" s="50">
        <f t="shared" si="84"/>
        <v>0</v>
      </c>
      <c r="AC256" s="43">
        <f t="shared" si="85"/>
        <v>0</v>
      </c>
      <c r="AD256" s="43">
        <f t="shared" si="86"/>
        <v>0</v>
      </c>
      <c r="AE256" s="43">
        <f t="shared" si="87"/>
        <v>0</v>
      </c>
      <c r="AF256" s="51" t="e">
        <f>HLOOKUP(I256,ElecAvoidedCostsWOCC!$A$5:$Q$50,G256+1,FALSE)</f>
        <v>#N/A</v>
      </c>
      <c r="AG256" s="43" t="e">
        <f t="shared" si="88"/>
        <v>#N/A</v>
      </c>
      <c r="AH256" s="51" t="e">
        <f>HLOOKUP(I256,ElecAvoidedCostsWOCC!$A$5:$Q$50,T256+1,FALSE)</f>
        <v>#N/A</v>
      </c>
      <c r="AI256" s="43" t="e">
        <f t="shared" si="89"/>
        <v>#N/A</v>
      </c>
      <c r="AJ256" s="43" t="e">
        <f t="shared" si="90"/>
        <v>#N/A</v>
      </c>
      <c r="AK256" s="43" t="e">
        <f>HLOOKUP(I256,ElecAvoidedCostsWOCC!$A$5:$Q$50,G256+1,FALSE)*J256*L256</f>
        <v>#N/A</v>
      </c>
      <c r="AL256" s="43" t="e">
        <f t="shared" si="91"/>
        <v>#N/A</v>
      </c>
      <c r="AM256" s="47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7">
        <f t="shared" si="92"/>
        <v>0</v>
      </c>
      <c r="AO256" s="46">
        <f t="shared" si="93"/>
        <v>0</v>
      </c>
      <c r="AP256" s="46" t="e">
        <f t="shared" si="94"/>
        <v>#DIV/0!</v>
      </c>
    </row>
    <row r="257" spans="2:42" x14ac:dyDescent="0.25">
      <c r="B257" s="36"/>
      <c r="C257" s="60"/>
      <c r="D257" s="60"/>
      <c r="E257" s="37"/>
      <c r="F257" s="38"/>
      <c r="G257" s="38"/>
      <c r="H257" s="38"/>
      <c r="I257" s="39"/>
      <c r="J257" s="40"/>
      <c r="K257" s="40"/>
      <c r="L257" s="40"/>
      <c r="M257" s="41"/>
      <c r="N257" s="41"/>
      <c r="O257" s="42"/>
      <c r="P257" s="43"/>
      <c r="Q257" s="43"/>
      <c r="R257" s="44"/>
      <c r="S257" s="45"/>
      <c r="T257" s="38">
        <f t="shared" si="76"/>
        <v>0</v>
      </c>
      <c r="U257" s="46">
        <f t="shared" si="77"/>
        <v>0</v>
      </c>
      <c r="V257" s="47">
        <f t="shared" si="78"/>
        <v>0</v>
      </c>
      <c r="W257" s="48">
        <f t="shared" si="79"/>
        <v>0</v>
      </c>
      <c r="X257" s="43">
        <f t="shared" si="80"/>
        <v>0</v>
      </c>
      <c r="Y257" s="43">
        <f t="shared" si="81"/>
        <v>0</v>
      </c>
      <c r="Z257" s="43">
        <f t="shared" si="82"/>
        <v>0</v>
      </c>
      <c r="AA257" s="49">
        <f t="shared" si="83"/>
        <v>0</v>
      </c>
      <c r="AB257" s="50">
        <f t="shared" si="84"/>
        <v>0</v>
      </c>
      <c r="AC257" s="43">
        <f t="shared" si="85"/>
        <v>0</v>
      </c>
      <c r="AD257" s="43">
        <f t="shared" si="86"/>
        <v>0</v>
      </c>
      <c r="AE257" s="43">
        <f t="shared" si="87"/>
        <v>0</v>
      </c>
      <c r="AF257" s="51" t="e">
        <f>HLOOKUP(I257,ElecAvoidedCostsWOCC!$A$5:$Q$50,G257+1,FALSE)</f>
        <v>#N/A</v>
      </c>
      <c r="AG257" s="43" t="e">
        <f t="shared" si="88"/>
        <v>#N/A</v>
      </c>
      <c r="AH257" s="51" t="e">
        <f>HLOOKUP(I257,ElecAvoidedCostsWOCC!$A$5:$Q$50,T257+1,FALSE)</f>
        <v>#N/A</v>
      </c>
      <c r="AI257" s="43" t="e">
        <f t="shared" si="89"/>
        <v>#N/A</v>
      </c>
      <c r="AJ257" s="43" t="e">
        <f t="shared" si="90"/>
        <v>#N/A</v>
      </c>
      <c r="AK257" s="43" t="e">
        <f>HLOOKUP(I257,ElecAvoidedCostsWOCC!$A$5:$Q$50,G257+1,FALSE)*J257*L257</f>
        <v>#N/A</v>
      </c>
      <c r="AL257" s="43" t="e">
        <f t="shared" si="91"/>
        <v>#N/A</v>
      </c>
      <c r="AM257" s="47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7">
        <f t="shared" si="92"/>
        <v>0</v>
      </c>
      <c r="AO257" s="46">
        <f t="shared" si="93"/>
        <v>0</v>
      </c>
      <c r="AP257" s="46" t="e">
        <f t="shared" si="94"/>
        <v>#DIV/0!</v>
      </c>
    </row>
    <row r="258" spans="2:42" x14ac:dyDescent="0.25">
      <c r="B258" s="36"/>
      <c r="C258" s="60"/>
      <c r="D258" s="60"/>
      <c r="E258" s="37"/>
      <c r="F258" s="38"/>
      <c r="G258" s="38"/>
      <c r="H258" s="38"/>
      <c r="I258" s="39"/>
      <c r="J258" s="40"/>
      <c r="K258" s="40"/>
      <c r="L258" s="40"/>
      <c r="M258" s="41"/>
      <c r="N258" s="41"/>
      <c r="O258" s="42"/>
      <c r="P258" s="43"/>
      <c r="Q258" s="43"/>
      <c r="R258" s="44"/>
      <c r="S258" s="45"/>
      <c r="T258" s="38">
        <f t="shared" si="76"/>
        <v>0</v>
      </c>
      <c r="U258" s="46">
        <f t="shared" si="77"/>
        <v>0</v>
      </c>
      <c r="V258" s="47">
        <f t="shared" si="78"/>
        <v>0</v>
      </c>
      <c r="W258" s="48">
        <f t="shared" si="79"/>
        <v>0</v>
      </c>
      <c r="X258" s="43">
        <f t="shared" si="80"/>
        <v>0</v>
      </c>
      <c r="Y258" s="43">
        <f t="shared" si="81"/>
        <v>0</v>
      </c>
      <c r="Z258" s="43">
        <f t="shared" si="82"/>
        <v>0</v>
      </c>
      <c r="AA258" s="49">
        <f t="shared" si="83"/>
        <v>0</v>
      </c>
      <c r="AB258" s="50">
        <f t="shared" si="84"/>
        <v>0</v>
      </c>
      <c r="AC258" s="43">
        <f t="shared" si="85"/>
        <v>0</v>
      </c>
      <c r="AD258" s="43">
        <f t="shared" si="86"/>
        <v>0</v>
      </c>
      <c r="AE258" s="43">
        <f t="shared" si="87"/>
        <v>0</v>
      </c>
      <c r="AF258" s="51" t="e">
        <f>HLOOKUP(I258,ElecAvoidedCostsWOCC!$A$5:$Q$50,G258+1,FALSE)</f>
        <v>#N/A</v>
      </c>
      <c r="AG258" s="43" t="e">
        <f t="shared" si="88"/>
        <v>#N/A</v>
      </c>
      <c r="AH258" s="51" t="e">
        <f>HLOOKUP(I258,ElecAvoidedCostsWOCC!$A$5:$Q$50,T258+1,FALSE)</f>
        <v>#N/A</v>
      </c>
      <c r="AI258" s="43" t="e">
        <f t="shared" si="89"/>
        <v>#N/A</v>
      </c>
      <c r="AJ258" s="43" t="e">
        <f t="shared" si="90"/>
        <v>#N/A</v>
      </c>
      <c r="AK258" s="43" t="e">
        <f>HLOOKUP(I258,ElecAvoidedCostsWOCC!$A$5:$Q$50,G258+1,FALSE)*J258*L258</f>
        <v>#N/A</v>
      </c>
      <c r="AL258" s="43" t="e">
        <f t="shared" si="91"/>
        <v>#N/A</v>
      </c>
      <c r="AM258" s="47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7">
        <f t="shared" si="92"/>
        <v>0</v>
      </c>
      <c r="AO258" s="46">
        <f t="shared" si="93"/>
        <v>0</v>
      </c>
      <c r="AP258" s="46" t="e">
        <f t="shared" si="94"/>
        <v>#DIV/0!</v>
      </c>
    </row>
    <row r="259" spans="2:42" x14ac:dyDescent="0.25">
      <c r="B259" s="36"/>
      <c r="C259" s="60"/>
      <c r="D259" s="60"/>
      <c r="E259" s="37"/>
      <c r="F259" s="38"/>
      <c r="G259" s="38"/>
      <c r="H259" s="38"/>
      <c r="I259" s="39"/>
      <c r="J259" s="40"/>
      <c r="K259" s="40"/>
      <c r="L259" s="40"/>
      <c r="M259" s="41"/>
      <c r="N259" s="41"/>
      <c r="O259" s="42"/>
      <c r="P259" s="43"/>
      <c r="Q259" s="43"/>
      <c r="R259" s="44"/>
      <c r="S259" s="45"/>
      <c r="T259" s="38">
        <f t="shared" si="76"/>
        <v>0</v>
      </c>
      <c r="U259" s="46">
        <f t="shared" si="77"/>
        <v>0</v>
      </c>
      <c r="V259" s="47">
        <f t="shared" si="78"/>
        <v>0</v>
      </c>
      <c r="W259" s="48">
        <f t="shared" si="79"/>
        <v>0</v>
      </c>
      <c r="X259" s="43">
        <f t="shared" si="80"/>
        <v>0</v>
      </c>
      <c r="Y259" s="43">
        <f t="shared" si="81"/>
        <v>0</v>
      </c>
      <c r="Z259" s="43">
        <f t="shared" si="82"/>
        <v>0</v>
      </c>
      <c r="AA259" s="49">
        <f t="shared" si="83"/>
        <v>0</v>
      </c>
      <c r="AB259" s="50">
        <f t="shared" si="84"/>
        <v>0</v>
      </c>
      <c r="AC259" s="43">
        <f t="shared" si="85"/>
        <v>0</v>
      </c>
      <c r="AD259" s="43">
        <f t="shared" si="86"/>
        <v>0</v>
      </c>
      <c r="AE259" s="43">
        <f t="shared" si="87"/>
        <v>0</v>
      </c>
      <c r="AF259" s="51" t="e">
        <f>HLOOKUP(I259,ElecAvoidedCostsWOCC!$A$5:$Q$50,G259+1,FALSE)</f>
        <v>#N/A</v>
      </c>
      <c r="AG259" s="43" t="e">
        <f t="shared" si="88"/>
        <v>#N/A</v>
      </c>
      <c r="AH259" s="51" t="e">
        <f>HLOOKUP(I259,ElecAvoidedCostsWOCC!$A$5:$Q$50,T259+1,FALSE)</f>
        <v>#N/A</v>
      </c>
      <c r="AI259" s="43" t="e">
        <f t="shared" si="89"/>
        <v>#N/A</v>
      </c>
      <c r="AJ259" s="43" t="e">
        <f t="shared" si="90"/>
        <v>#N/A</v>
      </c>
      <c r="AK259" s="43" t="e">
        <f>HLOOKUP(I259,ElecAvoidedCostsWOCC!$A$5:$Q$50,G259+1,FALSE)*J259*L259</f>
        <v>#N/A</v>
      </c>
      <c r="AL259" s="43" t="e">
        <f t="shared" si="91"/>
        <v>#N/A</v>
      </c>
      <c r="AM259" s="47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7">
        <f t="shared" si="92"/>
        <v>0</v>
      </c>
      <c r="AO259" s="46">
        <f t="shared" si="93"/>
        <v>0</v>
      </c>
      <c r="AP259" s="46" t="e">
        <f t="shared" si="94"/>
        <v>#DIV/0!</v>
      </c>
    </row>
    <row r="260" spans="2:42" x14ac:dyDescent="0.25">
      <c r="B260" s="36"/>
      <c r="C260" s="60"/>
      <c r="D260" s="60"/>
      <c r="E260" s="37"/>
      <c r="F260" s="38"/>
      <c r="G260" s="38"/>
      <c r="H260" s="38"/>
      <c r="I260" s="39"/>
      <c r="J260" s="40"/>
      <c r="K260" s="40"/>
      <c r="L260" s="40"/>
      <c r="M260" s="41"/>
      <c r="N260" s="41"/>
      <c r="O260" s="42"/>
      <c r="P260" s="43"/>
      <c r="Q260" s="43"/>
      <c r="R260" s="44"/>
      <c r="S260" s="45"/>
      <c r="T260" s="38">
        <f t="shared" ref="T260:T323" si="95">G260+H260</f>
        <v>0</v>
      </c>
      <c r="U260" s="46">
        <f t="shared" ref="U260:U323" si="96">(O260/$A$10)*T260</f>
        <v>0</v>
      </c>
      <c r="V260" s="47">
        <f t="shared" ref="V260:V323" si="97">N260-M260</f>
        <v>0</v>
      </c>
      <c r="W260" s="48">
        <f t="shared" ref="W260:W323" si="98">(O260/A$10)</f>
        <v>0</v>
      </c>
      <c r="X260" s="43">
        <f t="shared" ref="X260:X323" si="99">W260*A$8</f>
        <v>0</v>
      </c>
      <c r="Y260" s="43">
        <f t="shared" ref="Y260:Y323" si="100">Q260-P260</f>
        <v>0</v>
      </c>
      <c r="Z260" s="43">
        <f t="shared" ref="Z260:Z323" si="101">X260+(A$6*W260)</f>
        <v>0</v>
      </c>
      <c r="AA260" s="49">
        <f t="shared" ref="AA260:AA323" si="102">Q260+X260</f>
        <v>0</v>
      </c>
      <c r="AB260" s="50">
        <f t="shared" ref="AB260:AB323" si="103">Z260/(1+ElecDiscountRate)^1</f>
        <v>0</v>
      </c>
      <c r="AC260" s="43">
        <f t="shared" ref="AC260:AC323" si="104">AA260/(1+ElecDiscountRate)^1</f>
        <v>0</v>
      </c>
      <c r="AD260" s="43">
        <f t="shared" ref="AD260:AD323" si="105">-PV(ElecDiscountRate,T260,R260)*J260</f>
        <v>0</v>
      </c>
      <c r="AE260" s="43">
        <f t="shared" ref="AE260:AE323" si="106">-PV(ElecDiscountRate,T260,S260)*J260</f>
        <v>0</v>
      </c>
      <c r="AF260" s="51" t="e">
        <f>HLOOKUP(I260,ElecAvoidedCostsWOCC!$A$5:$Q$50,G260+1,FALSE)</f>
        <v>#N/A</v>
      </c>
      <c r="AG260" s="43" t="e">
        <f t="shared" ref="AG260:AG323" si="107">AF260*J260*K260</f>
        <v>#N/A</v>
      </c>
      <c r="AH260" s="51" t="e">
        <f>HLOOKUP(I260,ElecAvoidedCostsWOCC!$A$5:$Q$50,T260+1,FALSE)</f>
        <v>#N/A</v>
      </c>
      <c r="AI260" s="43" t="e">
        <f t="shared" ref="AI260:AI323" si="108">AH260*J260*L260</f>
        <v>#N/A</v>
      </c>
      <c r="AJ260" s="43" t="e">
        <f t="shared" ref="AJ260:AJ323" si="109">AG260+AI260</f>
        <v>#N/A</v>
      </c>
      <c r="AK260" s="43" t="e">
        <f>HLOOKUP(I260,ElecAvoidedCostsWOCC!$A$5:$Q$50,G260+1,FALSE)*J260*L260</f>
        <v>#N/A</v>
      </c>
      <c r="AL260" s="43" t="e">
        <f t="shared" ref="AL260:AL323" si="110">AG260+AI260-AK260</f>
        <v>#N/A</v>
      </c>
      <c r="AM260" s="47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7">
        <f t="shared" ref="AN260:AN323" si="111">AM260*1.1+AD260+AE260</f>
        <v>0</v>
      </c>
      <c r="AO260" s="46">
        <f t="shared" ref="AO260:AO323" si="112">IFERROR(AM260/AB260,0)</f>
        <v>0</v>
      </c>
      <c r="AP260" s="46" t="e">
        <f t="shared" ref="AP260:AP323" si="113">AN260/AC260</f>
        <v>#DIV/0!</v>
      </c>
    </row>
    <row r="261" spans="2:42" x14ac:dyDescent="0.25">
      <c r="B261" s="36"/>
      <c r="C261" s="60"/>
      <c r="D261" s="60"/>
      <c r="E261" s="37"/>
      <c r="F261" s="38"/>
      <c r="G261" s="38"/>
      <c r="H261" s="38"/>
      <c r="I261" s="39"/>
      <c r="J261" s="40"/>
      <c r="K261" s="40"/>
      <c r="L261" s="40"/>
      <c r="M261" s="41"/>
      <c r="N261" s="41"/>
      <c r="O261" s="42"/>
      <c r="P261" s="43"/>
      <c r="Q261" s="43"/>
      <c r="R261" s="44"/>
      <c r="S261" s="45"/>
      <c r="T261" s="38">
        <f t="shared" si="95"/>
        <v>0</v>
      </c>
      <c r="U261" s="46">
        <f t="shared" si="96"/>
        <v>0</v>
      </c>
      <c r="V261" s="47">
        <f t="shared" si="97"/>
        <v>0</v>
      </c>
      <c r="W261" s="48">
        <f t="shared" si="98"/>
        <v>0</v>
      </c>
      <c r="X261" s="43">
        <f t="shared" si="99"/>
        <v>0</v>
      </c>
      <c r="Y261" s="43">
        <f t="shared" si="100"/>
        <v>0</v>
      </c>
      <c r="Z261" s="43">
        <f t="shared" si="101"/>
        <v>0</v>
      </c>
      <c r="AA261" s="49">
        <f t="shared" si="102"/>
        <v>0</v>
      </c>
      <c r="AB261" s="50">
        <f t="shared" si="103"/>
        <v>0</v>
      </c>
      <c r="AC261" s="43">
        <f t="shared" si="104"/>
        <v>0</v>
      </c>
      <c r="AD261" s="43">
        <f t="shared" si="105"/>
        <v>0</v>
      </c>
      <c r="AE261" s="43">
        <f t="shared" si="106"/>
        <v>0</v>
      </c>
      <c r="AF261" s="51" t="e">
        <f>HLOOKUP(I261,ElecAvoidedCostsWOCC!$A$5:$Q$50,G261+1,FALSE)</f>
        <v>#N/A</v>
      </c>
      <c r="AG261" s="43" t="e">
        <f t="shared" si="107"/>
        <v>#N/A</v>
      </c>
      <c r="AH261" s="51" t="e">
        <f>HLOOKUP(I261,ElecAvoidedCostsWOCC!$A$5:$Q$50,T261+1,FALSE)</f>
        <v>#N/A</v>
      </c>
      <c r="AI261" s="43" t="e">
        <f t="shared" si="108"/>
        <v>#N/A</v>
      </c>
      <c r="AJ261" s="43" t="e">
        <f t="shared" si="109"/>
        <v>#N/A</v>
      </c>
      <c r="AK261" s="43" t="e">
        <f>HLOOKUP(I261,ElecAvoidedCostsWOCC!$A$5:$Q$50,G261+1,FALSE)*J261*L261</f>
        <v>#N/A</v>
      </c>
      <c r="AL261" s="43" t="e">
        <f t="shared" si="110"/>
        <v>#N/A</v>
      </c>
      <c r="AM261" s="47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7">
        <f t="shared" si="111"/>
        <v>0</v>
      </c>
      <c r="AO261" s="46">
        <f t="shared" si="112"/>
        <v>0</v>
      </c>
      <c r="AP261" s="46" t="e">
        <f t="shared" si="113"/>
        <v>#DIV/0!</v>
      </c>
    </row>
    <row r="262" spans="2:42" x14ac:dyDescent="0.25">
      <c r="B262" s="36"/>
      <c r="C262" s="60"/>
      <c r="D262" s="60"/>
      <c r="E262" s="37"/>
      <c r="F262" s="38"/>
      <c r="G262" s="38"/>
      <c r="H262" s="38"/>
      <c r="I262" s="39"/>
      <c r="J262" s="40"/>
      <c r="K262" s="40"/>
      <c r="L262" s="40"/>
      <c r="M262" s="41"/>
      <c r="N262" s="41"/>
      <c r="O262" s="42"/>
      <c r="P262" s="43"/>
      <c r="Q262" s="43"/>
      <c r="R262" s="44"/>
      <c r="S262" s="45"/>
      <c r="T262" s="38">
        <f t="shared" si="95"/>
        <v>0</v>
      </c>
      <c r="U262" s="46">
        <f t="shared" si="96"/>
        <v>0</v>
      </c>
      <c r="V262" s="47">
        <f t="shared" si="97"/>
        <v>0</v>
      </c>
      <c r="W262" s="48">
        <f t="shared" si="98"/>
        <v>0</v>
      </c>
      <c r="X262" s="43">
        <f t="shared" si="99"/>
        <v>0</v>
      </c>
      <c r="Y262" s="43">
        <f t="shared" si="100"/>
        <v>0</v>
      </c>
      <c r="Z262" s="43">
        <f t="shared" si="101"/>
        <v>0</v>
      </c>
      <c r="AA262" s="49">
        <f t="shared" si="102"/>
        <v>0</v>
      </c>
      <c r="AB262" s="50">
        <f t="shared" si="103"/>
        <v>0</v>
      </c>
      <c r="AC262" s="43">
        <f t="shared" si="104"/>
        <v>0</v>
      </c>
      <c r="AD262" s="43">
        <f t="shared" si="105"/>
        <v>0</v>
      </c>
      <c r="AE262" s="43">
        <f t="shared" si="106"/>
        <v>0</v>
      </c>
      <c r="AF262" s="51" t="e">
        <f>HLOOKUP(I262,ElecAvoidedCostsWOCC!$A$5:$Q$50,G262+1,FALSE)</f>
        <v>#N/A</v>
      </c>
      <c r="AG262" s="43" t="e">
        <f t="shared" si="107"/>
        <v>#N/A</v>
      </c>
      <c r="AH262" s="51" t="e">
        <f>HLOOKUP(I262,ElecAvoidedCostsWOCC!$A$5:$Q$50,T262+1,FALSE)</f>
        <v>#N/A</v>
      </c>
      <c r="AI262" s="43" t="e">
        <f t="shared" si="108"/>
        <v>#N/A</v>
      </c>
      <c r="AJ262" s="43" t="e">
        <f t="shared" si="109"/>
        <v>#N/A</v>
      </c>
      <c r="AK262" s="43" t="e">
        <f>HLOOKUP(I262,ElecAvoidedCostsWOCC!$A$5:$Q$50,G262+1,FALSE)*J262*L262</f>
        <v>#N/A</v>
      </c>
      <c r="AL262" s="43" t="e">
        <f t="shared" si="110"/>
        <v>#N/A</v>
      </c>
      <c r="AM262" s="47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7">
        <f t="shared" si="111"/>
        <v>0</v>
      </c>
      <c r="AO262" s="46">
        <f t="shared" si="112"/>
        <v>0</v>
      </c>
      <c r="AP262" s="46" t="e">
        <f t="shared" si="113"/>
        <v>#DIV/0!</v>
      </c>
    </row>
    <row r="263" spans="2:42" x14ac:dyDescent="0.25">
      <c r="B263" s="36"/>
      <c r="C263" s="60"/>
      <c r="D263" s="60"/>
      <c r="E263" s="37"/>
      <c r="F263" s="38"/>
      <c r="G263" s="38"/>
      <c r="H263" s="38"/>
      <c r="I263" s="39"/>
      <c r="J263" s="40"/>
      <c r="K263" s="40"/>
      <c r="L263" s="40"/>
      <c r="M263" s="41"/>
      <c r="N263" s="41"/>
      <c r="O263" s="42"/>
      <c r="P263" s="43"/>
      <c r="Q263" s="43"/>
      <c r="R263" s="44"/>
      <c r="S263" s="45"/>
      <c r="T263" s="38">
        <f t="shared" si="95"/>
        <v>0</v>
      </c>
      <c r="U263" s="46">
        <f t="shared" si="96"/>
        <v>0</v>
      </c>
      <c r="V263" s="47">
        <f t="shared" si="97"/>
        <v>0</v>
      </c>
      <c r="W263" s="48">
        <f t="shared" si="98"/>
        <v>0</v>
      </c>
      <c r="X263" s="43">
        <f t="shared" si="99"/>
        <v>0</v>
      </c>
      <c r="Y263" s="43">
        <f t="shared" si="100"/>
        <v>0</v>
      </c>
      <c r="Z263" s="43">
        <f t="shared" si="101"/>
        <v>0</v>
      </c>
      <c r="AA263" s="49">
        <f t="shared" si="102"/>
        <v>0</v>
      </c>
      <c r="AB263" s="50">
        <f t="shared" si="103"/>
        <v>0</v>
      </c>
      <c r="AC263" s="43">
        <f t="shared" si="104"/>
        <v>0</v>
      </c>
      <c r="AD263" s="43">
        <f t="shared" si="105"/>
        <v>0</v>
      </c>
      <c r="AE263" s="43">
        <f t="shared" si="106"/>
        <v>0</v>
      </c>
      <c r="AF263" s="51" t="e">
        <f>HLOOKUP(I263,ElecAvoidedCostsWOCC!$A$5:$Q$50,G263+1,FALSE)</f>
        <v>#N/A</v>
      </c>
      <c r="AG263" s="43" t="e">
        <f t="shared" si="107"/>
        <v>#N/A</v>
      </c>
      <c r="AH263" s="51" t="e">
        <f>HLOOKUP(I263,ElecAvoidedCostsWOCC!$A$5:$Q$50,T263+1,FALSE)</f>
        <v>#N/A</v>
      </c>
      <c r="AI263" s="43" t="e">
        <f t="shared" si="108"/>
        <v>#N/A</v>
      </c>
      <c r="AJ263" s="43" t="e">
        <f t="shared" si="109"/>
        <v>#N/A</v>
      </c>
      <c r="AK263" s="43" t="e">
        <f>HLOOKUP(I263,ElecAvoidedCostsWOCC!$A$5:$Q$50,G263+1,FALSE)*J263*L263</f>
        <v>#N/A</v>
      </c>
      <c r="AL263" s="43" t="e">
        <f t="shared" si="110"/>
        <v>#N/A</v>
      </c>
      <c r="AM263" s="47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7">
        <f t="shared" si="111"/>
        <v>0</v>
      </c>
      <c r="AO263" s="46">
        <f t="shared" si="112"/>
        <v>0</v>
      </c>
      <c r="AP263" s="46" t="e">
        <f t="shared" si="113"/>
        <v>#DIV/0!</v>
      </c>
    </row>
    <row r="264" spans="2:42" x14ac:dyDescent="0.25">
      <c r="B264" s="36"/>
      <c r="C264" s="60"/>
      <c r="D264" s="60"/>
      <c r="E264" s="37"/>
      <c r="F264" s="38"/>
      <c r="G264" s="38"/>
      <c r="H264" s="38"/>
      <c r="I264" s="39"/>
      <c r="J264" s="40"/>
      <c r="K264" s="40"/>
      <c r="L264" s="40"/>
      <c r="M264" s="41"/>
      <c r="N264" s="41"/>
      <c r="O264" s="42"/>
      <c r="P264" s="43"/>
      <c r="Q264" s="43"/>
      <c r="R264" s="44"/>
      <c r="S264" s="45"/>
      <c r="T264" s="38">
        <f t="shared" si="95"/>
        <v>0</v>
      </c>
      <c r="U264" s="46">
        <f t="shared" si="96"/>
        <v>0</v>
      </c>
      <c r="V264" s="47">
        <f t="shared" si="97"/>
        <v>0</v>
      </c>
      <c r="W264" s="48">
        <f t="shared" si="98"/>
        <v>0</v>
      </c>
      <c r="X264" s="43">
        <f t="shared" si="99"/>
        <v>0</v>
      </c>
      <c r="Y264" s="43">
        <f t="shared" si="100"/>
        <v>0</v>
      </c>
      <c r="Z264" s="43">
        <f t="shared" si="101"/>
        <v>0</v>
      </c>
      <c r="AA264" s="49">
        <f t="shared" si="102"/>
        <v>0</v>
      </c>
      <c r="AB264" s="50">
        <f t="shared" si="103"/>
        <v>0</v>
      </c>
      <c r="AC264" s="43">
        <f t="shared" si="104"/>
        <v>0</v>
      </c>
      <c r="AD264" s="43">
        <f t="shared" si="105"/>
        <v>0</v>
      </c>
      <c r="AE264" s="43">
        <f t="shared" si="106"/>
        <v>0</v>
      </c>
      <c r="AF264" s="51" t="e">
        <f>HLOOKUP(I264,ElecAvoidedCostsWOCC!$A$5:$Q$50,G264+1,FALSE)</f>
        <v>#N/A</v>
      </c>
      <c r="AG264" s="43" t="e">
        <f t="shared" si="107"/>
        <v>#N/A</v>
      </c>
      <c r="AH264" s="51" t="e">
        <f>HLOOKUP(I264,ElecAvoidedCostsWOCC!$A$5:$Q$50,T264+1,FALSE)</f>
        <v>#N/A</v>
      </c>
      <c r="AI264" s="43" t="e">
        <f t="shared" si="108"/>
        <v>#N/A</v>
      </c>
      <c r="AJ264" s="43" t="e">
        <f t="shared" si="109"/>
        <v>#N/A</v>
      </c>
      <c r="AK264" s="43" t="e">
        <f>HLOOKUP(I264,ElecAvoidedCostsWOCC!$A$5:$Q$50,G264+1,FALSE)*J264*L264</f>
        <v>#N/A</v>
      </c>
      <c r="AL264" s="43" t="e">
        <f t="shared" si="110"/>
        <v>#N/A</v>
      </c>
      <c r="AM264" s="47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7">
        <f t="shared" si="111"/>
        <v>0</v>
      </c>
      <c r="AO264" s="46">
        <f t="shared" si="112"/>
        <v>0</v>
      </c>
      <c r="AP264" s="46" t="e">
        <f t="shared" si="113"/>
        <v>#DIV/0!</v>
      </c>
    </row>
    <row r="265" spans="2:42" x14ac:dyDescent="0.25">
      <c r="B265" s="36"/>
      <c r="C265" s="60"/>
      <c r="D265" s="60"/>
      <c r="E265" s="37"/>
      <c r="F265" s="38"/>
      <c r="G265" s="38"/>
      <c r="H265" s="38"/>
      <c r="I265" s="39"/>
      <c r="J265" s="40"/>
      <c r="K265" s="40"/>
      <c r="L265" s="40"/>
      <c r="M265" s="41"/>
      <c r="N265" s="41"/>
      <c r="O265" s="42"/>
      <c r="P265" s="43"/>
      <c r="Q265" s="43"/>
      <c r="R265" s="44"/>
      <c r="S265" s="45"/>
      <c r="T265" s="38">
        <f t="shared" si="95"/>
        <v>0</v>
      </c>
      <c r="U265" s="46">
        <f t="shared" si="96"/>
        <v>0</v>
      </c>
      <c r="V265" s="47">
        <f t="shared" si="97"/>
        <v>0</v>
      </c>
      <c r="W265" s="48">
        <f t="shared" si="98"/>
        <v>0</v>
      </c>
      <c r="X265" s="43">
        <f t="shared" si="99"/>
        <v>0</v>
      </c>
      <c r="Y265" s="43">
        <f t="shared" si="100"/>
        <v>0</v>
      </c>
      <c r="Z265" s="43">
        <f t="shared" si="101"/>
        <v>0</v>
      </c>
      <c r="AA265" s="49">
        <f t="shared" si="102"/>
        <v>0</v>
      </c>
      <c r="AB265" s="50">
        <f t="shared" si="103"/>
        <v>0</v>
      </c>
      <c r="AC265" s="43">
        <f t="shared" si="104"/>
        <v>0</v>
      </c>
      <c r="AD265" s="43">
        <f t="shared" si="105"/>
        <v>0</v>
      </c>
      <c r="AE265" s="43">
        <f t="shared" si="106"/>
        <v>0</v>
      </c>
      <c r="AF265" s="51" t="e">
        <f>HLOOKUP(I265,ElecAvoidedCostsWOCC!$A$5:$Q$50,G265+1,FALSE)</f>
        <v>#N/A</v>
      </c>
      <c r="AG265" s="43" t="e">
        <f t="shared" si="107"/>
        <v>#N/A</v>
      </c>
      <c r="AH265" s="51" t="e">
        <f>HLOOKUP(I265,ElecAvoidedCostsWOCC!$A$5:$Q$50,T265+1,FALSE)</f>
        <v>#N/A</v>
      </c>
      <c r="AI265" s="43" t="e">
        <f t="shared" si="108"/>
        <v>#N/A</v>
      </c>
      <c r="AJ265" s="43" t="e">
        <f t="shared" si="109"/>
        <v>#N/A</v>
      </c>
      <c r="AK265" s="43" t="e">
        <f>HLOOKUP(I265,ElecAvoidedCostsWOCC!$A$5:$Q$50,G265+1,FALSE)*J265*L265</f>
        <v>#N/A</v>
      </c>
      <c r="AL265" s="43" t="e">
        <f t="shared" si="110"/>
        <v>#N/A</v>
      </c>
      <c r="AM265" s="47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7">
        <f t="shared" si="111"/>
        <v>0</v>
      </c>
      <c r="AO265" s="46">
        <f t="shared" si="112"/>
        <v>0</v>
      </c>
      <c r="AP265" s="46" t="e">
        <f t="shared" si="113"/>
        <v>#DIV/0!</v>
      </c>
    </row>
    <row r="266" spans="2:42" x14ac:dyDescent="0.25">
      <c r="B266" s="36"/>
      <c r="C266" s="60"/>
      <c r="D266" s="60"/>
      <c r="E266" s="37"/>
      <c r="F266" s="38"/>
      <c r="G266" s="38"/>
      <c r="H266" s="38"/>
      <c r="I266" s="39"/>
      <c r="J266" s="40"/>
      <c r="K266" s="40"/>
      <c r="L266" s="40"/>
      <c r="M266" s="41"/>
      <c r="N266" s="41"/>
      <c r="O266" s="42"/>
      <c r="P266" s="43"/>
      <c r="Q266" s="43"/>
      <c r="R266" s="44"/>
      <c r="S266" s="45"/>
      <c r="T266" s="38">
        <f t="shared" si="95"/>
        <v>0</v>
      </c>
      <c r="U266" s="46">
        <f t="shared" si="96"/>
        <v>0</v>
      </c>
      <c r="V266" s="47">
        <f t="shared" si="97"/>
        <v>0</v>
      </c>
      <c r="W266" s="48">
        <f t="shared" si="98"/>
        <v>0</v>
      </c>
      <c r="X266" s="43">
        <f t="shared" si="99"/>
        <v>0</v>
      </c>
      <c r="Y266" s="43">
        <f t="shared" si="100"/>
        <v>0</v>
      </c>
      <c r="Z266" s="43">
        <f t="shared" si="101"/>
        <v>0</v>
      </c>
      <c r="AA266" s="49">
        <f t="shared" si="102"/>
        <v>0</v>
      </c>
      <c r="AB266" s="50">
        <f t="shared" si="103"/>
        <v>0</v>
      </c>
      <c r="AC266" s="43">
        <f t="shared" si="104"/>
        <v>0</v>
      </c>
      <c r="AD266" s="43">
        <f t="shared" si="105"/>
        <v>0</v>
      </c>
      <c r="AE266" s="43">
        <f t="shared" si="106"/>
        <v>0</v>
      </c>
      <c r="AF266" s="51" t="e">
        <f>HLOOKUP(I266,ElecAvoidedCostsWOCC!$A$5:$Q$50,G266+1,FALSE)</f>
        <v>#N/A</v>
      </c>
      <c r="AG266" s="43" t="e">
        <f t="shared" si="107"/>
        <v>#N/A</v>
      </c>
      <c r="AH266" s="51" t="e">
        <f>HLOOKUP(I266,ElecAvoidedCostsWOCC!$A$5:$Q$50,T266+1,FALSE)</f>
        <v>#N/A</v>
      </c>
      <c r="AI266" s="43" t="e">
        <f t="shared" si="108"/>
        <v>#N/A</v>
      </c>
      <c r="AJ266" s="43" t="e">
        <f t="shared" si="109"/>
        <v>#N/A</v>
      </c>
      <c r="AK266" s="43" t="e">
        <f>HLOOKUP(I266,ElecAvoidedCostsWOCC!$A$5:$Q$50,G266+1,FALSE)*J266*L266</f>
        <v>#N/A</v>
      </c>
      <c r="AL266" s="43" t="e">
        <f t="shared" si="110"/>
        <v>#N/A</v>
      </c>
      <c r="AM266" s="47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7">
        <f t="shared" si="111"/>
        <v>0</v>
      </c>
      <c r="AO266" s="46">
        <f t="shared" si="112"/>
        <v>0</v>
      </c>
      <c r="AP266" s="46" t="e">
        <f t="shared" si="113"/>
        <v>#DIV/0!</v>
      </c>
    </row>
    <row r="267" spans="2:42" x14ac:dyDescent="0.25">
      <c r="B267" s="36"/>
      <c r="C267" s="60"/>
      <c r="D267" s="60"/>
      <c r="E267" s="37"/>
      <c r="F267" s="38"/>
      <c r="G267" s="38"/>
      <c r="H267" s="38"/>
      <c r="I267" s="39"/>
      <c r="J267" s="40"/>
      <c r="K267" s="40"/>
      <c r="L267" s="40"/>
      <c r="M267" s="41"/>
      <c r="N267" s="41"/>
      <c r="O267" s="42"/>
      <c r="P267" s="43"/>
      <c r="Q267" s="43"/>
      <c r="R267" s="44"/>
      <c r="S267" s="45"/>
      <c r="T267" s="38">
        <f t="shared" si="95"/>
        <v>0</v>
      </c>
      <c r="U267" s="46">
        <f t="shared" si="96"/>
        <v>0</v>
      </c>
      <c r="V267" s="47">
        <f t="shared" si="97"/>
        <v>0</v>
      </c>
      <c r="W267" s="48">
        <f t="shared" si="98"/>
        <v>0</v>
      </c>
      <c r="X267" s="43">
        <f t="shared" si="99"/>
        <v>0</v>
      </c>
      <c r="Y267" s="43">
        <f t="shared" si="100"/>
        <v>0</v>
      </c>
      <c r="Z267" s="43">
        <f t="shared" si="101"/>
        <v>0</v>
      </c>
      <c r="AA267" s="49">
        <f t="shared" si="102"/>
        <v>0</v>
      </c>
      <c r="AB267" s="50">
        <f t="shared" si="103"/>
        <v>0</v>
      </c>
      <c r="AC267" s="43">
        <f t="shared" si="104"/>
        <v>0</v>
      </c>
      <c r="AD267" s="43">
        <f t="shared" si="105"/>
        <v>0</v>
      </c>
      <c r="AE267" s="43">
        <f t="shared" si="106"/>
        <v>0</v>
      </c>
      <c r="AF267" s="51" t="e">
        <f>HLOOKUP(I267,ElecAvoidedCostsWOCC!$A$5:$Q$50,G267+1,FALSE)</f>
        <v>#N/A</v>
      </c>
      <c r="AG267" s="43" t="e">
        <f t="shared" si="107"/>
        <v>#N/A</v>
      </c>
      <c r="AH267" s="51" t="e">
        <f>HLOOKUP(I267,ElecAvoidedCostsWOCC!$A$5:$Q$50,T267+1,FALSE)</f>
        <v>#N/A</v>
      </c>
      <c r="AI267" s="43" t="e">
        <f t="shared" si="108"/>
        <v>#N/A</v>
      </c>
      <c r="AJ267" s="43" t="e">
        <f t="shared" si="109"/>
        <v>#N/A</v>
      </c>
      <c r="AK267" s="43" t="e">
        <f>HLOOKUP(I267,ElecAvoidedCostsWOCC!$A$5:$Q$50,G267+1,FALSE)*J267*L267</f>
        <v>#N/A</v>
      </c>
      <c r="AL267" s="43" t="e">
        <f t="shared" si="110"/>
        <v>#N/A</v>
      </c>
      <c r="AM267" s="47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7">
        <f t="shared" si="111"/>
        <v>0</v>
      </c>
      <c r="AO267" s="46">
        <f t="shared" si="112"/>
        <v>0</v>
      </c>
      <c r="AP267" s="46" t="e">
        <f t="shared" si="113"/>
        <v>#DIV/0!</v>
      </c>
    </row>
    <row r="268" spans="2:42" x14ac:dyDescent="0.25">
      <c r="B268" s="36"/>
      <c r="C268" s="60"/>
      <c r="D268" s="60"/>
      <c r="E268" s="37"/>
      <c r="F268" s="38"/>
      <c r="G268" s="38"/>
      <c r="H268" s="38"/>
      <c r="I268" s="39"/>
      <c r="J268" s="40"/>
      <c r="K268" s="40"/>
      <c r="L268" s="40"/>
      <c r="M268" s="41"/>
      <c r="N268" s="41"/>
      <c r="O268" s="42"/>
      <c r="P268" s="43"/>
      <c r="Q268" s="43"/>
      <c r="R268" s="44"/>
      <c r="S268" s="45"/>
      <c r="T268" s="38">
        <f t="shared" si="95"/>
        <v>0</v>
      </c>
      <c r="U268" s="46">
        <f t="shared" si="96"/>
        <v>0</v>
      </c>
      <c r="V268" s="47">
        <f t="shared" si="97"/>
        <v>0</v>
      </c>
      <c r="W268" s="48">
        <f t="shared" si="98"/>
        <v>0</v>
      </c>
      <c r="X268" s="43">
        <f t="shared" si="99"/>
        <v>0</v>
      </c>
      <c r="Y268" s="43">
        <f t="shared" si="100"/>
        <v>0</v>
      </c>
      <c r="Z268" s="43">
        <f t="shared" si="101"/>
        <v>0</v>
      </c>
      <c r="AA268" s="49">
        <f t="shared" si="102"/>
        <v>0</v>
      </c>
      <c r="AB268" s="50">
        <f t="shared" si="103"/>
        <v>0</v>
      </c>
      <c r="AC268" s="43">
        <f t="shared" si="104"/>
        <v>0</v>
      </c>
      <c r="AD268" s="43">
        <f t="shared" si="105"/>
        <v>0</v>
      </c>
      <c r="AE268" s="43">
        <f t="shared" si="106"/>
        <v>0</v>
      </c>
      <c r="AF268" s="51" t="e">
        <f>HLOOKUP(I268,ElecAvoidedCostsWOCC!$A$5:$Q$50,G268+1,FALSE)</f>
        <v>#N/A</v>
      </c>
      <c r="AG268" s="43" t="e">
        <f t="shared" si="107"/>
        <v>#N/A</v>
      </c>
      <c r="AH268" s="51" t="e">
        <f>HLOOKUP(I268,ElecAvoidedCostsWOCC!$A$5:$Q$50,T268+1,FALSE)</f>
        <v>#N/A</v>
      </c>
      <c r="AI268" s="43" t="e">
        <f t="shared" si="108"/>
        <v>#N/A</v>
      </c>
      <c r="AJ268" s="43" t="e">
        <f t="shared" si="109"/>
        <v>#N/A</v>
      </c>
      <c r="AK268" s="43" t="e">
        <f>HLOOKUP(I268,ElecAvoidedCostsWOCC!$A$5:$Q$50,G268+1,FALSE)*J268*L268</f>
        <v>#N/A</v>
      </c>
      <c r="AL268" s="43" t="e">
        <f t="shared" si="110"/>
        <v>#N/A</v>
      </c>
      <c r="AM268" s="47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7">
        <f t="shared" si="111"/>
        <v>0</v>
      </c>
      <c r="AO268" s="46">
        <f t="shared" si="112"/>
        <v>0</v>
      </c>
      <c r="AP268" s="46" t="e">
        <f t="shared" si="113"/>
        <v>#DIV/0!</v>
      </c>
    </row>
    <row r="269" spans="2:42" x14ac:dyDescent="0.25">
      <c r="B269" s="36"/>
      <c r="C269" s="60"/>
      <c r="D269" s="60"/>
      <c r="E269" s="37"/>
      <c r="F269" s="38"/>
      <c r="G269" s="38"/>
      <c r="H269" s="38"/>
      <c r="I269" s="39"/>
      <c r="J269" s="40"/>
      <c r="K269" s="40"/>
      <c r="L269" s="40"/>
      <c r="M269" s="41"/>
      <c r="N269" s="41"/>
      <c r="O269" s="42"/>
      <c r="P269" s="43"/>
      <c r="Q269" s="43"/>
      <c r="R269" s="44"/>
      <c r="S269" s="45"/>
      <c r="T269" s="38">
        <f t="shared" si="95"/>
        <v>0</v>
      </c>
      <c r="U269" s="46">
        <f t="shared" si="96"/>
        <v>0</v>
      </c>
      <c r="V269" s="47">
        <f t="shared" si="97"/>
        <v>0</v>
      </c>
      <c r="W269" s="48">
        <f t="shared" si="98"/>
        <v>0</v>
      </c>
      <c r="X269" s="43">
        <f t="shared" si="99"/>
        <v>0</v>
      </c>
      <c r="Y269" s="43">
        <f t="shared" si="100"/>
        <v>0</v>
      </c>
      <c r="Z269" s="43">
        <f t="shared" si="101"/>
        <v>0</v>
      </c>
      <c r="AA269" s="49">
        <f t="shared" si="102"/>
        <v>0</v>
      </c>
      <c r="AB269" s="50">
        <f t="shared" si="103"/>
        <v>0</v>
      </c>
      <c r="AC269" s="43">
        <f t="shared" si="104"/>
        <v>0</v>
      </c>
      <c r="AD269" s="43">
        <f t="shared" si="105"/>
        <v>0</v>
      </c>
      <c r="AE269" s="43">
        <f t="shared" si="106"/>
        <v>0</v>
      </c>
      <c r="AF269" s="51" t="e">
        <f>HLOOKUP(I269,ElecAvoidedCostsWOCC!$A$5:$Q$50,G269+1,FALSE)</f>
        <v>#N/A</v>
      </c>
      <c r="AG269" s="43" t="e">
        <f t="shared" si="107"/>
        <v>#N/A</v>
      </c>
      <c r="AH269" s="51" t="e">
        <f>HLOOKUP(I269,ElecAvoidedCostsWOCC!$A$5:$Q$50,T269+1,FALSE)</f>
        <v>#N/A</v>
      </c>
      <c r="AI269" s="43" t="e">
        <f t="shared" si="108"/>
        <v>#N/A</v>
      </c>
      <c r="AJ269" s="43" t="e">
        <f t="shared" si="109"/>
        <v>#N/A</v>
      </c>
      <c r="AK269" s="43" t="e">
        <f>HLOOKUP(I269,ElecAvoidedCostsWOCC!$A$5:$Q$50,G269+1,FALSE)*J269*L269</f>
        <v>#N/A</v>
      </c>
      <c r="AL269" s="43" t="e">
        <f t="shared" si="110"/>
        <v>#N/A</v>
      </c>
      <c r="AM269" s="47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7">
        <f t="shared" si="111"/>
        <v>0</v>
      </c>
      <c r="AO269" s="46">
        <f t="shared" si="112"/>
        <v>0</v>
      </c>
      <c r="AP269" s="46" t="e">
        <f t="shared" si="113"/>
        <v>#DIV/0!</v>
      </c>
    </row>
    <row r="270" spans="2:42" x14ac:dyDescent="0.25">
      <c r="B270" s="36"/>
      <c r="C270" s="60"/>
      <c r="D270" s="60"/>
      <c r="E270" s="37"/>
      <c r="F270" s="38"/>
      <c r="G270" s="38"/>
      <c r="H270" s="38"/>
      <c r="I270" s="39"/>
      <c r="J270" s="40"/>
      <c r="K270" s="40"/>
      <c r="L270" s="40"/>
      <c r="M270" s="41"/>
      <c r="N270" s="41"/>
      <c r="O270" s="42"/>
      <c r="P270" s="43"/>
      <c r="Q270" s="43"/>
      <c r="R270" s="44"/>
      <c r="S270" s="45"/>
      <c r="T270" s="38">
        <f t="shared" si="95"/>
        <v>0</v>
      </c>
      <c r="U270" s="46">
        <f t="shared" si="96"/>
        <v>0</v>
      </c>
      <c r="V270" s="47">
        <f t="shared" si="97"/>
        <v>0</v>
      </c>
      <c r="W270" s="48">
        <f t="shared" si="98"/>
        <v>0</v>
      </c>
      <c r="X270" s="43">
        <f t="shared" si="99"/>
        <v>0</v>
      </c>
      <c r="Y270" s="43">
        <f t="shared" si="100"/>
        <v>0</v>
      </c>
      <c r="Z270" s="43">
        <f t="shared" si="101"/>
        <v>0</v>
      </c>
      <c r="AA270" s="49">
        <f t="shared" si="102"/>
        <v>0</v>
      </c>
      <c r="AB270" s="50">
        <f t="shared" si="103"/>
        <v>0</v>
      </c>
      <c r="AC270" s="43">
        <f t="shared" si="104"/>
        <v>0</v>
      </c>
      <c r="AD270" s="43">
        <f t="shared" si="105"/>
        <v>0</v>
      </c>
      <c r="AE270" s="43">
        <f t="shared" si="106"/>
        <v>0</v>
      </c>
      <c r="AF270" s="51" t="e">
        <f>HLOOKUP(I270,ElecAvoidedCostsWOCC!$A$5:$Q$50,G270+1,FALSE)</f>
        <v>#N/A</v>
      </c>
      <c r="AG270" s="43" t="e">
        <f t="shared" si="107"/>
        <v>#N/A</v>
      </c>
      <c r="AH270" s="51" t="e">
        <f>HLOOKUP(I270,ElecAvoidedCostsWOCC!$A$5:$Q$50,T270+1,FALSE)</f>
        <v>#N/A</v>
      </c>
      <c r="AI270" s="43" t="e">
        <f t="shared" si="108"/>
        <v>#N/A</v>
      </c>
      <c r="AJ270" s="43" t="e">
        <f t="shared" si="109"/>
        <v>#N/A</v>
      </c>
      <c r="AK270" s="43" t="e">
        <f>HLOOKUP(I270,ElecAvoidedCostsWOCC!$A$5:$Q$50,G270+1,FALSE)*J270*L270</f>
        <v>#N/A</v>
      </c>
      <c r="AL270" s="43" t="e">
        <f t="shared" si="110"/>
        <v>#N/A</v>
      </c>
      <c r="AM270" s="47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7">
        <f t="shared" si="111"/>
        <v>0</v>
      </c>
      <c r="AO270" s="46">
        <f t="shared" si="112"/>
        <v>0</v>
      </c>
      <c r="AP270" s="46" t="e">
        <f t="shared" si="113"/>
        <v>#DIV/0!</v>
      </c>
    </row>
    <row r="271" spans="2:42" x14ac:dyDescent="0.25">
      <c r="B271" s="36"/>
      <c r="C271" s="60"/>
      <c r="D271" s="60"/>
      <c r="E271" s="37"/>
      <c r="F271" s="38"/>
      <c r="G271" s="38"/>
      <c r="H271" s="38"/>
      <c r="I271" s="39"/>
      <c r="J271" s="40"/>
      <c r="K271" s="40"/>
      <c r="L271" s="40"/>
      <c r="M271" s="41"/>
      <c r="N271" s="41"/>
      <c r="O271" s="42"/>
      <c r="P271" s="43"/>
      <c r="Q271" s="43"/>
      <c r="R271" s="44"/>
      <c r="S271" s="45"/>
      <c r="T271" s="38">
        <f t="shared" si="95"/>
        <v>0</v>
      </c>
      <c r="U271" s="46">
        <f t="shared" si="96"/>
        <v>0</v>
      </c>
      <c r="V271" s="47">
        <f t="shared" si="97"/>
        <v>0</v>
      </c>
      <c r="W271" s="48">
        <f t="shared" si="98"/>
        <v>0</v>
      </c>
      <c r="X271" s="43">
        <f t="shared" si="99"/>
        <v>0</v>
      </c>
      <c r="Y271" s="43">
        <f t="shared" si="100"/>
        <v>0</v>
      </c>
      <c r="Z271" s="43">
        <f t="shared" si="101"/>
        <v>0</v>
      </c>
      <c r="AA271" s="49">
        <f t="shared" si="102"/>
        <v>0</v>
      </c>
      <c r="AB271" s="50">
        <f t="shared" si="103"/>
        <v>0</v>
      </c>
      <c r="AC271" s="43">
        <f t="shared" si="104"/>
        <v>0</v>
      </c>
      <c r="AD271" s="43">
        <f t="shared" si="105"/>
        <v>0</v>
      </c>
      <c r="AE271" s="43">
        <f t="shared" si="106"/>
        <v>0</v>
      </c>
      <c r="AF271" s="51" t="e">
        <f>HLOOKUP(I271,ElecAvoidedCostsWOCC!$A$5:$Q$50,G271+1,FALSE)</f>
        <v>#N/A</v>
      </c>
      <c r="AG271" s="43" t="e">
        <f t="shared" si="107"/>
        <v>#N/A</v>
      </c>
      <c r="AH271" s="51" t="e">
        <f>HLOOKUP(I271,ElecAvoidedCostsWOCC!$A$5:$Q$50,T271+1,FALSE)</f>
        <v>#N/A</v>
      </c>
      <c r="AI271" s="43" t="e">
        <f t="shared" si="108"/>
        <v>#N/A</v>
      </c>
      <c r="AJ271" s="43" t="e">
        <f t="shared" si="109"/>
        <v>#N/A</v>
      </c>
      <c r="AK271" s="43" t="e">
        <f>HLOOKUP(I271,ElecAvoidedCostsWOCC!$A$5:$Q$50,G271+1,FALSE)*J271*L271</f>
        <v>#N/A</v>
      </c>
      <c r="AL271" s="43" t="e">
        <f t="shared" si="110"/>
        <v>#N/A</v>
      </c>
      <c r="AM271" s="47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7">
        <f t="shared" si="111"/>
        <v>0</v>
      </c>
      <c r="AO271" s="46">
        <f t="shared" si="112"/>
        <v>0</v>
      </c>
      <c r="AP271" s="46" t="e">
        <f t="shared" si="113"/>
        <v>#DIV/0!</v>
      </c>
    </row>
    <row r="272" spans="2:42" x14ac:dyDescent="0.25">
      <c r="B272" s="36"/>
      <c r="C272" s="60"/>
      <c r="D272" s="60"/>
      <c r="E272" s="37"/>
      <c r="F272" s="38"/>
      <c r="G272" s="38"/>
      <c r="H272" s="38"/>
      <c r="I272" s="39"/>
      <c r="J272" s="40"/>
      <c r="K272" s="40"/>
      <c r="L272" s="40"/>
      <c r="M272" s="41"/>
      <c r="N272" s="41"/>
      <c r="O272" s="42"/>
      <c r="P272" s="43"/>
      <c r="Q272" s="43"/>
      <c r="R272" s="44"/>
      <c r="S272" s="45"/>
      <c r="T272" s="38">
        <f t="shared" si="95"/>
        <v>0</v>
      </c>
      <c r="U272" s="46">
        <f t="shared" si="96"/>
        <v>0</v>
      </c>
      <c r="V272" s="47">
        <f t="shared" si="97"/>
        <v>0</v>
      </c>
      <c r="W272" s="48">
        <f t="shared" si="98"/>
        <v>0</v>
      </c>
      <c r="X272" s="43">
        <f t="shared" si="99"/>
        <v>0</v>
      </c>
      <c r="Y272" s="43">
        <f t="shared" si="100"/>
        <v>0</v>
      </c>
      <c r="Z272" s="43">
        <f t="shared" si="101"/>
        <v>0</v>
      </c>
      <c r="AA272" s="49">
        <f t="shared" si="102"/>
        <v>0</v>
      </c>
      <c r="AB272" s="50">
        <f t="shared" si="103"/>
        <v>0</v>
      </c>
      <c r="AC272" s="43">
        <f t="shared" si="104"/>
        <v>0</v>
      </c>
      <c r="AD272" s="43">
        <f t="shared" si="105"/>
        <v>0</v>
      </c>
      <c r="AE272" s="43">
        <f t="shared" si="106"/>
        <v>0</v>
      </c>
      <c r="AF272" s="51" t="e">
        <f>HLOOKUP(I272,ElecAvoidedCostsWOCC!$A$5:$Q$50,G272+1,FALSE)</f>
        <v>#N/A</v>
      </c>
      <c r="AG272" s="43" t="e">
        <f t="shared" si="107"/>
        <v>#N/A</v>
      </c>
      <c r="AH272" s="51" t="e">
        <f>HLOOKUP(I272,ElecAvoidedCostsWOCC!$A$5:$Q$50,T272+1,FALSE)</f>
        <v>#N/A</v>
      </c>
      <c r="AI272" s="43" t="e">
        <f t="shared" si="108"/>
        <v>#N/A</v>
      </c>
      <c r="AJ272" s="43" t="e">
        <f t="shared" si="109"/>
        <v>#N/A</v>
      </c>
      <c r="AK272" s="43" t="e">
        <f>HLOOKUP(I272,ElecAvoidedCostsWOCC!$A$5:$Q$50,G272+1,FALSE)*J272*L272</f>
        <v>#N/A</v>
      </c>
      <c r="AL272" s="43" t="e">
        <f t="shared" si="110"/>
        <v>#N/A</v>
      </c>
      <c r="AM272" s="47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7">
        <f t="shared" si="111"/>
        <v>0</v>
      </c>
      <c r="AO272" s="46">
        <f t="shared" si="112"/>
        <v>0</v>
      </c>
      <c r="AP272" s="46" t="e">
        <f t="shared" si="113"/>
        <v>#DIV/0!</v>
      </c>
    </row>
    <row r="273" spans="2:42" x14ac:dyDescent="0.25">
      <c r="B273" s="36"/>
      <c r="C273" s="60"/>
      <c r="D273" s="60"/>
      <c r="E273" s="37"/>
      <c r="F273" s="38"/>
      <c r="G273" s="38"/>
      <c r="H273" s="38"/>
      <c r="I273" s="39"/>
      <c r="J273" s="40"/>
      <c r="K273" s="40"/>
      <c r="L273" s="40"/>
      <c r="M273" s="41"/>
      <c r="N273" s="41"/>
      <c r="O273" s="42"/>
      <c r="P273" s="43"/>
      <c r="Q273" s="43"/>
      <c r="R273" s="44"/>
      <c r="S273" s="45"/>
      <c r="T273" s="38">
        <f t="shared" si="95"/>
        <v>0</v>
      </c>
      <c r="U273" s="46">
        <f t="shared" si="96"/>
        <v>0</v>
      </c>
      <c r="V273" s="47">
        <f t="shared" si="97"/>
        <v>0</v>
      </c>
      <c r="W273" s="48">
        <f t="shared" si="98"/>
        <v>0</v>
      </c>
      <c r="X273" s="43">
        <f t="shared" si="99"/>
        <v>0</v>
      </c>
      <c r="Y273" s="43">
        <f t="shared" si="100"/>
        <v>0</v>
      </c>
      <c r="Z273" s="43">
        <f t="shared" si="101"/>
        <v>0</v>
      </c>
      <c r="AA273" s="49">
        <f t="shared" si="102"/>
        <v>0</v>
      </c>
      <c r="AB273" s="50">
        <f t="shared" si="103"/>
        <v>0</v>
      </c>
      <c r="AC273" s="43">
        <f t="shared" si="104"/>
        <v>0</v>
      </c>
      <c r="AD273" s="43">
        <f t="shared" si="105"/>
        <v>0</v>
      </c>
      <c r="AE273" s="43">
        <f t="shared" si="106"/>
        <v>0</v>
      </c>
      <c r="AF273" s="51" t="e">
        <f>HLOOKUP(I273,ElecAvoidedCostsWOCC!$A$5:$Q$50,G273+1,FALSE)</f>
        <v>#N/A</v>
      </c>
      <c r="AG273" s="43" t="e">
        <f t="shared" si="107"/>
        <v>#N/A</v>
      </c>
      <c r="AH273" s="51" t="e">
        <f>HLOOKUP(I273,ElecAvoidedCostsWOCC!$A$5:$Q$50,T273+1,FALSE)</f>
        <v>#N/A</v>
      </c>
      <c r="AI273" s="43" t="e">
        <f t="shared" si="108"/>
        <v>#N/A</v>
      </c>
      <c r="AJ273" s="43" t="e">
        <f t="shared" si="109"/>
        <v>#N/A</v>
      </c>
      <c r="AK273" s="43" t="e">
        <f>HLOOKUP(I273,ElecAvoidedCostsWOCC!$A$5:$Q$50,G273+1,FALSE)*J273*L273</f>
        <v>#N/A</v>
      </c>
      <c r="AL273" s="43" t="e">
        <f t="shared" si="110"/>
        <v>#N/A</v>
      </c>
      <c r="AM273" s="47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7">
        <f t="shared" si="111"/>
        <v>0</v>
      </c>
      <c r="AO273" s="46">
        <f t="shared" si="112"/>
        <v>0</v>
      </c>
      <c r="AP273" s="46" t="e">
        <f t="shared" si="113"/>
        <v>#DIV/0!</v>
      </c>
    </row>
    <row r="274" spans="2:42" x14ac:dyDescent="0.25">
      <c r="B274" s="36"/>
      <c r="C274" s="60"/>
      <c r="D274" s="60"/>
      <c r="E274" s="37"/>
      <c r="F274" s="38"/>
      <c r="G274" s="38"/>
      <c r="H274" s="38"/>
      <c r="I274" s="39"/>
      <c r="J274" s="40"/>
      <c r="K274" s="40"/>
      <c r="L274" s="40"/>
      <c r="M274" s="41"/>
      <c r="N274" s="41"/>
      <c r="O274" s="42"/>
      <c r="P274" s="43"/>
      <c r="Q274" s="43"/>
      <c r="R274" s="44"/>
      <c r="S274" s="45"/>
      <c r="T274" s="38">
        <f t="shared" si="95"/>
        <v>0</v>
      </c>
      <c r="U274" s="46">
        <f t="shared" si="96"/>
        <v>0</v>
      </c>
      <c r="V274" s="47">
        <f t="shared" si="97"/>
        <v>0</v>
      </c>
      <c r="W274" s="48">
        <f t="shared" si="98"/>
        <v>0</v>
      </c>
      <c r="X274" s="43">
        <f t="shared" si="99"/>
        <v>0</v>
      </c>
      <c r="Y274" s="43">
        <f t="shared" si="100"/>
        <v>0</v>
      </c>
      <c r="Z274" s="43">
        <f t="shared" si="101"/>
        <v>0</v>
      </c>
      <c r="AA274" s="49">
        <f t="shared" si="102"/>
        <v>0</v>
      </c>
      <c r="AB274" s="50">
        <f t="shared" si="103"/>
        <v>0</v>
      </c>
      <c r="AC274" s="43">
        <f t="shared" si="104"/>
        <v>0</v>
      </c>
      <c r="AD274" s="43">
        <f t="shared" si="105"/>
        <v>0</v>
      </c>
      <c r="AE274" s="43">
        <f t="shared" si="106"/>
        <v>0</v>
      </c>
      <c r="AF274" s="51" t="e">
        <f>HLOOKUP(I274,ElecAvoidedCostsWOCC!$A$5:$Q$50,G274+1,FALSE)</f>
        <v>#N/A</v>
      </c>
      <c r="AG274" s="43" t="e">
        <f t="shared" si="107"/>
        <v>#N/A</v>
      </c>
      <c r="AH274" s="51" t="e">
        <f>HLOOKUP(I274,ElecAvoidedCostsWOCC!$A$5:$Q$50,T274+1,FALSE)</f>
        <v>#N/A</v>
      </c>
      <c r="AI274" s="43" t="e">
        <f t="shared" si="108"/>
        <v>#N/A</v>
      </c>
      <c r="AJ274" s="43" t="e">
        <f t="shared" si="109"/>
        <v>#N/A</v>
      </c>
      <c r="AK274" s="43" t="e">
        <f>HLOOKUP(I274,ElecAvoidedCostsWOCC!$A$5:$Q$50,G274+1,FALSE)*J274*L274</f>
        <v>#N/A</v>
      </c>
      <c r="AL274" s="43" t="e">
        <f t="shared" si="110"/>
        <v>#N/A</v>
      </c>
      <c r="AM274" s="47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7">
        <f t="shared" si="111"/>
        <v>0</v>
      </c>
      <c r="AO274" s="46">
        <f t="shared" si="112"/>
        <v>0</v>
      </c>
      <c r="AP274" s="46" t="e">
        <f t="shared" si="113"/>
        <v>#DIV/0!</v>
      </c>
    </row>
    <row r="275" spans="2:42" x14ac:dyDescent="0.25">
      <c r="B275" s="36"/>
      <c r="C275" s="60"/>
      <c r="D275" s="60"/>
      <c r="E275" s="37"/>
      <c r="F275" s="38"/>
      <c r="G275" s="38"/>
      <c r="H275" s="38"/>
      <c r="I275" s="39"/>
      <c r="J275" s="40"/>
      <c r="K275" s="40"/>
      <c r="L275" s="40"/>
      <c r="M275" s="41"/>
      <c r="N275" s="41"/>
      <c r="O275" s="42"/>
      <c r="P275" s="43"/>
      <c r="Q275" s="43"/>
      <c r="R275" s="44"/>
      <c r="S275" s="45"/>
      <c r="T275" s="38">
        <f t="shared" si="95"/>
        <v>0</v>
      </c>
      <c r="U275" s="46">
        <f t="shared" si="96"/>
        <v>0</v>
      </c>
      <c r="V275" s="47">
        <f t="shared" si="97"/>
        <v>0</v>
      </c>
      <c r="W275" s="48">
        <f t="shared" si="98"/>
        <v>0</v>
      </c>
      <c r="X275" s="43">
        <f t="shared" si="99"/>
        <v>0</v>
      </c>
      <c r="Y275" s="43">
        <f t="shared" si="100"/>
        <v>0</v>
      </c>
      <c r="Z275" s="43">
        <f t="shared" si="101"/>
        <v>0</v>
      </c>
      <c r="AA275" s="49">
        <f t="shared" si="102"/>
        <v>0</v>
      </c>
      <c r="AB275" s="50">
        <f t="shared" si="103"/>
        <v>0</v>
      </c>
      <c r="AC275" s="43">
        <f t="shared" si="104"/>
        <v>0</v>
      </c>
      <c r="AD275" s="43">
        <f t="shared" si="105"/>
        <v>0</v>
      </c>
      <c r="AE275" s="43">
        <f t="shared" si="106"/>
        <v>0</v>
      </c>
      <c r="AF275" s="51" t="e">
        <f>HLOOKUP(I275,ElecAvoidedCostsWOCC!$A$5:$Q$50,G275+1,FALSE)</f>
        <v>#N/A</v>
      </c>
      <c r="AG275" s="43" t="e">
        <f t="shared" si="107"/>
        <v>#N/A</v>
      </c>
      <c r="AH275" s="51" t="e">
        <f>HLOOKUP(I275,ElecAvoidedCostsWOCC!$A$5:$Q$50,T275+1,FALSE)</f>
        <v>#N/A</v>
      </c>
      <c r="AI275" s="43" t="e">
        <f t="shared" si="108"/>
        <v>#N/A</v>
      </c>
      <c r="AJ275" s="43" t="e">
        <f t="shared" si="109"/>
        <v>#N/A</v>
      </c>
      <c r="AK275" s="43" t="e">
        <f>HLOOKUP(I275,ElecAvoidedCostsWOCC!$A$5:$Q$50,G275+1,FALSE)*J275*L275</f>
        <v>#N/A</v>
      </c>
      <c r="AL275" s="43" t="e">
        <f t="shared" si="110"/>
        <v>#N/A</v>
      </c>
      <c r="AM275" s="47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7">
        <f t="shared" si="111"/>
        <v>0</v>
      </c>
      <c r="AO275" s="46">
        <f t="shared" si="112"/>
        <v>0</v>
      </c>
      <c r="AP275" s="46" t="e">
        <f t="shared" si="113"/>
        <v>#DIV/0!</v>
      </c>
    </row>
    <row r="276" spans="2:42" x14ac:dyDescent="0.25">
      <c r="B276" s="36"/>
      <c r="C276" s="60"/>
      <c r="D276" s="60"/>
      <c r="E276" s="37"/>
      <c r="F276" s="38"/>
      <c r="G276" s="38"/>
      <c r="H276" s="38"/>
      <c r="I276" s="39"/>
      <c r="J276" s="40"/>
      <c r="K276" s="40"/>
      <c r="L276" s="40"/>
      <c r="M276" s="41"/>
      <c r="N276" s="41"/>
      <c r="O276" s="42"/>
      <c r="P276" s="43"/>
      <c r="Q276" s="43"/>
      <c r="R276" s="44"/>
      <c r="S276" s="45"/>
      <c r="T276" s="38">
        <f t="shared" si="95"/>
        <v>0</v>
      </c>
      <c r="U276" s="46">
        <f t="shared" si="96"/>
        <v>0</v>
      </c>
      <c r="V276" s="47">
        <f t="shared" si="97"/>
        <v>0</v>
      </c>
      <c r="W276" s="48">
        <f t="shared" si="98"/>
        <v>0</v>
      </c>
      <c r="X276" s="43">
        <f t="shared" si="99"/>
        <v>0</v>
      </c>
      <c r="Y276" s="43">
        <f t="shared" si="100"/>
        <v>0</v>
      </c>
      <c r="Z276" s="43">
        <f t="shared" si="101"/>
        <v>0</v>
      </c>
      <c r="AA276" s="49">
        <f t="shared" si="102"/>
        <v>0</v>
      </c>
      <c r="AB276" s="50">
        <f t="shared" si="103"/>
        <v>0</v>
      </c>
      <c r="AC276" s="43">
        <f t="shared" si="104"/>
        <v>0</v>
      </c>
      <c r="AD276" s="43">
        <f t="shared" si="105"/>
        <v>0</v>
      </c>
      <c r="AE276" s="43">
        <f t="shared" si="106"/>
        <v>0</v>
      </c>
      <c r="AF276" s="51" t="e">
        <f>HLOOKUP(I276,ElecAvoidedCostsWOCC!$A$5:$Q$50,G276+1,FALSE)</f>
        <v>#N/A</v>
      </c>
      <c r="AG276" s="43" t="e">
        <f t="shared" si="107"/>
        <v>#N/A</v>
      </c>
      <c r="AH276" s="51" t="e">
        <f>HLOOKUP(I276,ElecAvoidedCostsWOCC!$A$5:$Q$50,T276+1,FALSE)</f>
        <v>#N/A</v>
      </c>
      <c r="AI276" s="43" t="e">
        <f t="shared" si="108"/>
        <v>#N/A</v>
      </c>
      <c r="AJ276" s="43" t="e">
        <f t="shared" si="109"/>
        <v>#N/A</v>
      </c>
      <c r="AK276" s="43" t="e">
        <f>HLOOKUP(I276,ElecAvoidedCostsWOCC!$A$5:$Q$50,G276+1,FALSE)*J276*L276</f>
        <v>#N/A</v>
      </c>
      <c r="AL276" s="43" t="e">
        <f t="shared" si="110"/>
        <v>#N/A</v>
      </c>
      <c r="AM276" s="47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7">
        <f t="shared" si="111"/>
        <v>0</v>
      </c>
      <c r="AO276" s="46">
        <f t="shared" si="112"/>
        <v>0</v>
      </c>
      <c r="AP276" s="46" t="e">
        <f t="shared" si="113"/>
        <v>#DIV/0!</v>
      </c>
    </row>
    <row r="277" spans="2:42" x14ac:dyDescent="0.25">
      <c r="B277" s="36"/>
      <c r="C277" s="60"/>
      <c r="D277" s="60"/>
      <c r="E277" s="37"/>
      <c r="F277" s="38"/>
      <c r="G277" s="38"/>
      <c r="H277" s="38"/>
      <c r="I277" s="39"/>
      <c r="J277" s="40"/>
      <c r="K277" s="40"/>
      <c r="L277" s="40"/>
      <c r="M277" s="41"/>
      <c r="N277" s="41"/>
      <c r="O277" s="42"/>
      <c r="P277" s="43"/>
      <c r="Q277" s="43"/>
      <c r="R277" s="44"/>
      <c r="S277" s="45"/>
      <c r="T277" s="38">
        <f t="shared" si="95"/>
        <v>0</v>
      </c>
      <c r="U277" s="46">
        <f t="shared" si="96"/>
        <v>0</v>
      </c>
      <c r="V277" s="47">
        <f t="shared" si="97"/>
        <v>0</v>
      </c>
      <c r="W277" s="48">
        <f t="shared" si="98"/>
        <v>0</v>
      </c>
      <c r="X277" s="43">
        <f t="shared" si="99"/>
        <v>0</v>
      </c>
      <c r="Y277" s="43">
        <f t="shared" si="100"/>
        <v>0</v>
      </c>
      <c r="Z277" s="43">
        <f t="shared" si="101"/>
        <v>0</v>
      </c>
      <c r="AA277" s="49">
        <f t="shared" si="102"/>
        <v>0</v>
      </c>
      <c r="AB277" s="50">
        <f t="shared" si="103"/>
        <v>0</v>
      </c>
      <c r="AC277" s="43">
        <f t="shared" si="104"/>
        <v>0</v>
      </c>
      <c r="AD277" s="43">
        <f t="shared" si="105"/>
        <v>0</v>
      </c>
      <c r="AE277" s="43">
        <f t="shared" si="106"/>
        <v>0</v>
      </c>
      <c r="AF277" s="51" t="e">
        <f>HLOOKUP(I277,ElecAvoidedCostsWOCC!$A$5:$Q$50,G277+1,FALSE)</f>
        <v>#N/A</v>
      </c>
      <c r="AG277" s="43" t="e">
        <f t="shared" si="107"/>
        <v>#N/A</v>
      </c>
      <c r="AH277" s="51" t="e">
        <f>HLOOKUP(I277,ElecAvoidedCostsWOCC!$A$5:$Q$50,T277+1,FALSE)</f>
        <v>#N/A</v>
      </c>
      <c r="AI277" s="43" t="e">
        <f t="shared" si="108"/>
        <v>#N/A</v>
      </c>
      <c r="AJ277" s="43" t="e">
        <f t="shared" si="109"/>
        <v>#N/A</v>
      </c>
      <c r="AK277" s="43" t="e">
        <f>HLOOKUP(I277,ElecAvoidedCostsWOCC!$A$5:$Q$50,G277+1,FALSE)*J277*L277</f>
        <v>#N/A</v>
      </c>
      <c r="AL277" s="43" t="e">
        <f t="shared" si="110"/>
        <v>#N/A</v>
      </c>
      <c r="AM277" s="47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7">
        <f t="shared" si="111"/>
        <v>0</v>
      </c>
      <c r="AO277" s="46">
        <f t="shared" si="112"/>
        <v>0</v>
      </c>
      <c r="AP277" s="46" t="e">
        <f t="shared" si="113"/>
        <v>#DIV/0!</v>
      </c>
    </row>
    <row r="278" spans="2:42" x14ac:dyDescent="0.25">
      <c r="B278" s="36"/>
      <c r="C278" s="60"/>
      <c r="D278" s="60"/>
      <c r="E278" s="37"/>
      <c r="F278" s="38"/>
      <c r="G278" s="38"/>
      <c r="H278" s="38"/>
      <c r="I278" s="39"/>
      <c r="J278" s="40"/>
      <c r="K278" s="40"/>
      <c r="L278" s="40"/>
      <c r="M278" s="41"/>
      <c r="N278" s="41"/>
      <c r="O278" s="42"/>
      <c r="P278" s="43"/>
      <c r="Q278" s="43"/>
      <c r="R278" s="44"/>
      <c r="S278" s="45"/>
      <c r="T278" s="38">
        <f t="shared" si="95"/>
        <v>0</v>
      </c>
      <c r="U278" s="46">
        <f t="shared" si="96"/>
        <v>0</v>
      </c>
      <c r="V278" s="47">
        <f t="shared" si="97"/>
        <v>0</v>
      </c>
      <c r="W278" s="48">
        <f t="shared" si="98"/>
        <v>0</v>
      </c>
      <c r="X278" s="43">
        <f t="shared" si="99"/>
        <v>0</v>
      </c>
      <c r="Y278" s="43">
        <f t="shared" si="100"/>
        <v>0</v>
      </c>
      <c r="Z278" s="43">
        <f t="shared" si="101"/>
        <v>0</v>
      </c>
      <c r="AA278" s="49">
        <f t="shared" si="102"/>
        <v>0</v>
      </c>
      <c r="AB278" s="50">
        <f t="shared" si="103"/>
        <v>0</v>
      </c>
      <c r="AC278" s="43">
        <f t="shared" si="104"/>
        <v>0</v>
      </c>
      <c r="AD278" s="43">
        <f t="shared" si="105"/>
        <v>0</v>
      </c>
      <c r="AE278" s="43">
        <f t="shared" si="106"/>
        <v>0</v>
      </c>
      <c r="AF278" s="51" t="e">
        <f>HLOOKUP(I278,ElecAvoidedCostsWOCC!$A$5:$Q$50,G278+1,FALSE)</f>
        <v>#N/A</v>
      </c>
      <c r="AG278" s="43" t="e">
        <f t="shared" si="107"/>
        <v>#N/A</v>
      </c>
      <c r="AH278" s="51" t="e">
        <f>HLOOKUP(I278,ElecAvoidedCostsWOCC!$A$5:$Q$50,T278+1,FALSE)</f>
        <v>#N/A</v>
      </c>
      <c r="AI278" s="43" t="e">
        <f t="shared" si="108"/>
        <v>#N/A</v>
      </c>
      <c r="AJ278" s="43" t="e">
        <f t="shared" si="109"/>
        <v>#N/A</v>
      </c>
      <c r="AK278" s="43" t="e">
        <f>HLOOKUP(I278,ElecAvoidedCostsWOCC!$A$5:$Q$50,G278+1,FALSE)*J278*L278</f>
        <v>#N/A</v>
      </c>
      <c r="AL278" s="43" t="e">
        <f t="shared" si="110"/>
        <v>#N/A</v>
      </c>
      <c r="AM278" s="47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7">
        <f t="shared" si="111"/>
        <v>0</v>
      </c>
      <c r="AO278" s="46">
        <f t="shared" si="112"/>
        <v>0</v>
      </c>
      <c r="AP278" s="46" t="e">
        <f t="shared" si="113"/>
        <v>#DIV/0!</v>
      </c>
    </row>
    <row r="279" spans="2:42" x14ac:dyDescent="0.25">
      <c r="B279" s="36"/>
      <c r="C279" s="60"/>
      <c r="D279" s="60"/>
      <c r="E279" s="37"/>
      <c r="F279" s="38"/>
      <c r="G279" s="38"/>
      <c r="H279" s="38"/>
      <c r="I279" s="39"/>
      <c r="J279" s="40"/>
      <c r="K279" s="40"/>
      <c r="L279" s="40"/>
      <c r="M279" s="41"/>
      <c r="N279" s="41"/>
      <c r="O279" s="42"/>
      <c r="P279" s="43"/>
      <c r="Q279" s="43"/>
      <c r="R279" s="44"/>
      <c r="S279" s="45"/>
      <c r="T279" s="38">
        <f t="shared" si="95"/>
        <v>0</v>
      </c>
      <c r="U279" s="46">
        <f t="shared" si="96"/>
        <v>0</v>
      </c>
      <c r="V279" s="47">
        <f t="shared" si="97"/>
        <v>0</v>
      </c>
      <c r="W279" s="48">
        <f t="shared" si="98"/>
        <v>0</v>
      </c>
      <c r="X279" s="43">
        <f t="shared" si="99"/>
        <v>0</v>
      </c>
      <c r="Y279" s="43">
        <f t="shared" si="100"/>
        <v>0</v>
      </c>
      <c r="Z279" s="43">
        <f t="shared" si="101"/>
        <v>0</v>
      </c>
      <c r="AA279" s="49">
        <f t="shared" si="102"/>
        <v>0</v>
      </c>
      <c r="AB279" s="50">
        <f t="shared" si="103"/>
        <v>0</v>
      </c>
      <c r="AC279" s="43">
        <f t="shared" si="104"/>
        <v>0</v>
      </c>
      <c r="AD279" s="43">
        <f t="shared" si="105"/>
        <v>0</v>
      </c>
      <c r="AE279" s="43">
        <f t="shared" si="106"/>
        <v>0</v>
      </c>
      <c r="AF279" s="51" t="e">
        <f>HLOOKUP(I279,ElecAvoidedCostsWOCC!$A$5:$Q$50,G279+1,FALSE)</f>
        <v>#N/A</v>
      </c>
      <c r="AG279" s="43" t="e">
        <f t="shared" si="107"/>
        <v>#N/A</v>
      </c>
      <c r="AH279" s="51" t="e">
        <f>HLOOKUP(I279,ElecAvoidedCostsWOCC!$A$5:$Q$50,T279+1,FALSE)</f>
        <v>#N/A</v>
      </c>
      <c r="AI279" s="43" t="e">
        <f t="shared" si="108"/>
        <v>#N/A</v>
      </c>
      <c r="AJ279" s="43" t="e">
        <f t="shared" si="109"/>
        <v>#N/A</v>
      </c>
      <c r="AK279" s="43" t="e">
        <f>HLOOKUP(I279,ElecAvoidedCostsWOCC!$A$5:$Q$50,G279+1,FALSE)*J279*L279</f>
        <v>#N/A</v>
      </c>
      <c r="AL279" s="43" t="e">
        <f t="shared" si="110"/>
        <v>#N/A</v>
      </c>
      <c r="AM279" s="47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7">
        <f t="shared" si="111"/>
        <v>0</v>
      </c>
      <c r="AO279" s="46">
        <f t="shared" si="112"/>
        <v>0</v>
      </c>
      <c r="AP279" s="46" t="e">
        <f t="shared" si="113"/>
        <v>#DIV/0!</v>
      </c>
    </row>
    <row r="280" spans="2:42" x14ac:dyDescent="0.25">
      <c r="B280" s="36"/>
      <c r="C280" s="60"/>
      <c r="D280" s="60"/>
      <c r="E280" s="37"/>
      <c r="F280" s="38"/>
      <c r="G280" s="38"/>
      <c r="H280" s="38"/>
      <c r="I280" s="39"/>
      <c r="J280" s="40"/>
      <c r="K280" s="40"/>
      <c r="L280" s="40"/>
      <c r="M280" s="41"/>
      <c r="N280" s="41"/>
      <c r="O280" s="42"/>
      <c r="P280" s="43"/>
      <c r="Q280" s="43"/>
      <c r="R280" s="44"/>
      <c r="S280" s="45"/>
      <c r="T280" s="38">
        <f t="shared" si="95"/>
        <v>0</v>
      </c>
      <c r="U280" s="46">
        <f t="shared" si="96"/>
        <v>0</v>
      </c>
      <c r="V280" s="47">
        <f t="shared" si="97"/>
        <v>0</v>
      </c>
      <c r="W280" s="48">
        <f t="shared" si="98"/>
        <v>0</v>
      </c>
      <c r="X280" s="43">
        <f t="shared" si="99"/>
        <v>0</v>
      </c>
      <c r="Y280" s="43">
        <f t="shared" si="100"/>
        <v>0</v>
      </c>
      <c r="Z280" s="43">
        <f t="shared" si="101"/>
        <v>0</v>
      </c>
      <c r="AA280" s="49">
        <f t="shared" si="102"/>
        <v>0</v>
      </c>
      <c r="AB280" s="50">
        <f t="shared" si="103"/>
        <v>0</v>
      </c>
      <c r="AC280" s="43">
        <f t="shared" si="104"/>
        <v>0</v>
      </c>
      <c r="AD280" s="43">
        <f t="shared" si="105"/>
        <v>0</v>
      </c>
      <c r="AE280" s="43">
        <f t="shared" si="106"/>
        <v>0</v>
      </c>
      <c r="AF280" s="51" t="e">
        <f>HLOOKUP(I280,ElecAvoidedCostsWOCC!$A$5:$Q$50,G280+1,FALSE)</f>
        <v>#N/A</v>
      </c>
      <c r="AG280" s="43" t="e">
        <f t="shared" si="107"/>
        <v>#N/A</v>
      </c>
      <c r="AH280" s="51" t="e">
        <f>HLOOKUP(I280,ElecAvoidedCostsWOCC!$A$5:$Q$50,T280+1,FALSE)</f>
        <v>#N/A</v>
      </c>
      <c r="AI280" s="43" t="e">
        <f t="shared" si="108"/>
        <v>#N/A</v>
      </c>
      <c r="AJ280" s="43" t="e">
        <f t="shared" si="109"/>
        <v>#N/A</v>
      </c>
      <c r="AK280" s="43" t="e">
        <f>HLOOKUP(I280,ElecAvoidedCostsWOCC!$A$5:$Q$50,G280+1,FALSE)*J280*L280</f>
        <v>#N/A</v>
      </c>
      <c r="AL280" s="43" t="e">
        <f t="shared" si="110"/>
        <v>#N/A</v>
      </c>
      <c r="AM280" s="47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7">
        <f t="shared" si="111"/>
        <v>0</v>
      </c>
      <c r="AO280" s="46">
        <f t="shared" si="112"/>
        <v>0</v>
      </c>
      <c r="AP280" s="46" t="e">
        <f t="shared" si="113"/>
        <v>#DIV/0!</v>
      </c>
    </row>
    <row r="281" spans="2:42" x14ac:dyDescent="0.25">
      <c r="B281" s="36"/>
      <c r="C281" s="60"/>
      <c r="D281" s="60"/>
      <c r="E281" s="37"/>
      <c r="F281" s="38"/>
      <c r="G281" s="38"/>
      <c r="H281" s="38"/>
      <c r="I281" s="39"/>
      <c r="J281" s="40"/>
      <c r="K281" s="40"/>
      <c r="L281" s="40"/>
      <c r="M281" s="41"/>
      <c r="N281" s="41"/>
      <c r="O281" s="42"/>
      <c r="P281" s="43"/>
      <c r="Q281" s="43"/>
      <c r="R281" s="44"/>
      <c r="S281" s="45"/>
      <c r="T281" s="38">
        <f t="shared" si="95"/>
        <v>0</v>
      </c>
      <c r="U281" s="46">
        <f t="shared" si="96"/>
        <v>0</v>
      </c>
      <c r="V281" s="47">
        <f t="shared" si="97"/>
        <v>0</v>
      </c>
      <c r="W281" s="48">
        <f t="shared" si="98"/>
        <v>0</v>
      </c>
      <c r="X281" s="43">
        <f t="shared" si="99"/>
        <v>0</v>
      </c>
      <c r="Y281" s="43">
        <f t="shared" si="100"/>
        <v>0</v>
      </c>
      <c r="Z281" s="43">
        <f t="shared" si="101"/>
        <v>0</v>
      </c>
      <c r="AA281" s="49">
        <f t="shared" si="102"/>
        <v>0</v>
      </c>
      <c r="AB281" s="50">
        <f t="shared" si="103"/>
        <v>0</v>
      </c>
      <c r="AC281" s="43">
        <f t="shared" si="104"/>
        <v>0</v>
      </c>
      <c r="AD281" s="43">
        <f t="shared" si="105"/>
        <v>0</v>
      </c>
      <c r="AE281" s="43">
        <f t="shared" si="106"/>
        <v>0</v>
      </c>
      <c r="AF281" s="51" t="e">
        <f>HLOOKUP(I281,ElecAvoidedCostsWOCC!$A$5:$Q$50,G281+1,FALSE)</f>
        <v>#N/A</v>
      </c>
      <c r="AG281" s="43" t="e">
        <f t="shared" si="107"/>
        <v>#N/A</v>
      </c>
      <c r="AH281" s="51" t="e">
        <f>HLOOKUP(I281,ElecAvoidedCostsWOCC!$A$5:$Q$50,T281+1,FALSE)</f>
        <v>#N/A</v>
      </c>
      <c r="AI281" s="43" t="e">
        <f t="shared" si="108"/>
        <v>#N/A</v>
      </c>
      <c r="AJ281" s="43" t="e">
        <f t="shared" si="109"/>
        <v>#N/A</v>
      </c>
      <c r="AK281" s="43" t="e">
        <f>HLOOKUP(I281,ElecAvoidedCostsWOCC!$A$5:$Q$50,G281+1,FALSE)*J281*L281</f>
        <v>#N/A</v>
      </c>
      <c r="AL281" s="43" t="e">
        <f t="shared" si="110"/>
        <v>#N/A</v>
      </c>
      <c r="AM281" s="47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7">
        <f t="shared" si="111"/>
        <v>0</v>
      </c>
      <c r="AO281" s="46">
        <f t="shared" si="112"/>
        <v>0</v>
      </c>
      <c r="AP281" s="46" t="e">
        <f t="shared" si="113"/>
        <v>#DIV/0!</v>
      </c>
    </row>
    <row r="282" spans="2:42" x14ac:dyDescent="0.25">
      <c r="B282" s="36"/>
      <c r="C282" s="60"/>
      <c r="D282" s="60"/>
      <c r="E282" s="37"/>
      <c r="F282" s="38"/>
      <c r="G282" s="38"/>
      <c r="H282" s="38"/>
      <c r="I282" s="39"/>
      <c r="J282" s="40"/>
      <c r="K282" s="40"/>
      <c r="L282" s="40"/>
      <c r="M282" s="41"/>
      <c r="N282" s="41"/>
      <c r="O282" s="42"/>
      <c r="P282" s="43"/>
      <c r="Q282" s="43"/>
      <c r="R282" s="44"/>
      <c r="S282" s="45"/>
      <c r="T282" s="38">
        <f t="shared" si="95"/>
        <v>0</v>
      </c>
      <c r="U282" s="46">
        <f t="shared" si="96"/>
        <v>0</v>
      </c>
      <c r="V282" s="47">
        <f t="shared" si="97"/>
        <v>0</v>
      </c>
      <c r="W282" s="48">
        <f t="shared" si="98"/>
        <v>0</v>
      </c>
      <c r="X282" s="43">
        <f t="shared" si="99"/>
        <v>0</v>
      </c>
      <c r="Y282" s="43">
        <f t="shared" si="100"/>
        <v>0</v>
      </c>
      <c r="Z282" s="43">
        <f t="shared" si="101"/>
        <v>0</v>
      </c>
      <c r="AA282" s="49">
        <f t="shared" si="102"/>
        <v>0</v>
      </c>
      <c r="AB282" s="50">
        <f t="shared" si="103"/>
        <v>0</v>
      </c>
      <c r="AC282" s="43">
        <f t="shared" si="104"/>
        <v>0</v>
      </c>
      <c r="AD282" s="43">
        <f t="shared" si="105"/>
        <v>0</v>
      </c>
      <c r="AE282" s="43">
        <f t="shared" si="106"/>
        <v>0</v>
      </c>
      <c r="AF282" s="51" t="e">
        <f>HLOOKUP(I282,ElecAvoidedCostsWOCC!$A$5:$Q$50,G282+1,FALSE)</f>
        <v>#N/A</v>
      </c>
      <c r="AG282" s="43" t="e">
        <f t="shared" si="107"/>
        <v>#N/A</v>
      </c>
      <c r="AH282" s="51" t="e">
        <f>HLOOKUP(I282,ElecAvoidedCostsWOCC!$A$5:$Q$50,T282+1,FALSE)</f>
        <v>#N/A</v>
      </c>
      <c r="AI282" s="43" t="e">
        <f t="shared" si="108"/>
        <v>#N/A</v>
      </c>
      <c r="AJ282" s="43" t="e">
        <f t="shared" si="109"/>
        <v>#N/A</v>
      </c>
      <c r="AK282" s="43" t="e">
        <f>HLOOKUP(I282,ElecAvoidedCostsWOCC!$A$5:$Q$50,G282+1,FALSE)*J282*L282</f>
        <v>#N/A</v>
      </c>
      <c r="AL282" s="43" t="e">
        <f t="shared" si="110"/>
        <v>#N/A</v>
      </c>
      <c r="AM282" s="47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7">
        <f t="shared" si="111"/>
        <v>0</v>
      </c>
      <c r="AO282" s="46">
        <f t="shared" si="112"/>
        <v>0</v>
      </c>
      <c r="AP282" s="46" t="e">
        <f t="shared" si="113"/>
        <v>#DIV/0!</v>
      </c>
    </row>
    <row r="283" spans="2:42" x14ac:dyDescent="0.25">
      <c r="B283" s="36"/>
      <c r="C283" s="60"/>
      <c r="D283" s="60"/>
      <c r="E283" s="37"/>
      <c r="F283" s="38"/>
      <c r="G283" s="38"/>
      <c r="H283" s="38"/>
      <c r="I283" s="39"/>
      <c r="J283" s="40"/>
      <c r="K283" s="40"/>
      <c r="L283" s="40"/>
      <c r="M283" s="41"/>
      <c r="N283" s="41"/>
      <c r="O283" s="42"/>
      <c r="P283" s="43"/>
      <c r="Q283" s="43"/>
      <c r="R283" s="44"/>
      <c r="S283" s="45"/>
      <c r="T283" s="38">
        <f t="shared" si="95"/>
        <v>0</v>
      </c>
      <c r="U283" s="46">
        <f t="shared" si="96"/>
        <v>0</v>
      </c>
      <c r="V283" s="47">
        <f t="shared" si="97"/>
        <v>0</v>
      </c>
      <c r="W283" s="48">
        <f t="shared" si="98"/>
        <v>0</v>
      </c>
      <c r="X283" s="43">
        <f t="shared" si="99"/>
        <v>0</v>
      </c>
      <c r="Y283" s="43">
        <f t="shared" si="100"/>
        <v>0</v>
      </c>
      <c r="Z283" s="43">
        <f t="shared" si="101"/>
        <v>0</v>
      </c>
      <c r="AA283" s="49">
        <f t="shared" si="102"/>
        <v>0</v>
      </c>
      <c r="AB283" s="50">
        <f t="shared" si="103"/>
        <v>0</v>
      </c>
      <c r="AC283" s="43">
        <f t="shared" si="104"/>
        <v>0</v>
      </c>
      <c r="AD283" s="43">
        <f t="shared" si="105"/>
        <v>0</v>
      </c>
      <c r="AE283" s="43">
        <f t="shared" si="106"/>
        <v>0</v>
      </c>
      <c r="AF283" s="51" t="e">
        <f>HLOOKUP(I283,ElecAvoidedCostsWOCC!$A$5:$Q$50,G283+1,FALSE)</f>
        <v>#N/A</v>
      </c>
      <c r="AG283" s="43" t="e">
        <f t="shared" si="107"/>
        <v>#N/A</v>
      </c>
      <c r="AH283" s="51" t="e">
        <f>HLOOKUP(I283,ElecAvoidedCostsWOCC!$A$5:$Q$50,T283+1,FALSE)</f>
        <v>#N/A</v>
      </c>
      <c r="AI283" s="43" t="e">
        <f t="shared" si="108"/>
        <v>#N/A</v>
      </c>
      <c r="AJ283" s="43" t="e">
        <f t="shared" si="109"/>
        <v>#N/A</v>
      </c>
      <c r="AK283" s="43" t="e">
        <f>HLOOKUP(I283,ElecAvoidedCostsWOCC!$A$5:$Q$50,G283+1,FALSE)*J283*L283</f>
        <v>#N/A</v>
      </c>
      <c r="AL283" s="43" t="e">
        <f t="shared" si="110"/>
        <v>#N/A</v>
      </c>
      <c r="AM283" s="47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7">
        <f t="shared" si="111"/>
        <v>0</v>
      </c>
      <c r="AO283" s="46">
        <f t="shared" si="112"/>
        <v>0</v>
      </c>
      <c r="AP283" s="46" t="e">
        <f t="shared" si="113"/>
        <v>#DIV/0!</v>
      </c>
    </row>
    <row r="284" spans="2:42" x14ac:dyDescent="0.25">
      <c r="B284" s="36"/>
      <c r="C284" s="60"/>
      <c r="D284" s="60"/>
      <c r="E284" s="37"/>
      <c r="F284" s="38"/>
      <c r="G284" s="38"/>
      <c r="H284" s="38"/>
      <c r="I284" s="39"/>
      <c r="J284" s="40"/>
      <c r="K284" s="40"/>
      <c r="L284" s="40"/>
      <c r="M284" s="41"/>
      <c r="N284" s="41"/>
      <c r="O284" s="42"/>
      <c r="P284" s="43"/>
      <c r="Q284" s="43"/>
      <c r="R284" s="44"/>
      <c r="S284" s="45"/>
      <c r="T284" s="38">
        <f t="shared" si="95"/>
        <v>0</v>
      </c>
      <c r="U284" s="46">
        <f t="shared" si="96"/>
        <v>0</v>
      </c>
      <c r="V284" s="47">
        <f t="shared" si="97"/>
        <v>0</v>
      </c>
      <c r="W284" s="48">
        <f t="shared" si="98"/>
        <v>0</v>
      </c>
      <c r="X284" s="43">
        <f t="shared" si="99"/>
        <v>0</v>
      </c>
      <c r="Y284" s="43">
        <f t="shared" si="100"/>
        <v>0</v>
      </c>
      <c r="Z284" s="43">
        <f t="shared" si="101"/>
        <v>0</v>
      </c>
      <c r="AA284" s="49">
        <f t="shared" si="102"/>
        <v>0</v>
      </c>
      <c r="AB284" s="50">
        <f t="shared" si="103"/>
        <v>0</v>
      </c>
      <c r="AC284" s="43">
        <f t="shared" si="104"/>
        <v>0</v>
      </c>
      <c r="AD284" s="43">
        <f t="shared" si="105"/>
        <v>0</v>
      </c>
      <c r="AE284" s="43">
        <f t="shared" si="106"/>
        <v>0</v>
      </c>
      <c r="AF284" s="51" t="e">
        <f>HLOOKUP(I284,ElecAvoidedCostsWOCC!$A$5:$Q$50,G284+1,FALSE)</f>
        <v>#N/A</v>
      </c>
      <c r="AG284" s="43" t="e">
        <f t="shared" si="107"/>
        <v>#N/A</v>
      </c>
      <c r="AH284" s="51" t="e">
        <f>HLOOKUP(I284,ElecAvoidedCostsWOCC!$A$5:$Q$50,T284+1,FALSE)</f>
        <v>#N/A</v>
      </c>
      <c r="AI284" s="43" t="e">
        <f t="shared" si="108"/>
        <v>#N/A</v>
      </c>
      <c r="AJ284" s="43" t="e">
        <f t="shared" si="109"/>
        <v>#N/A</v>
      </c>
      <c r="AK284" s="43" t="e">
        <f>HLOOKUP(I284,ElecAvoidedCostsWOCC!$A$5:$Q$50,G284+1,FALSE)*J284*L284</f>
        <v>#N/A</v>
      </c>
      <c r="AL284" s="43" t="e">
        <f t="shared" si="110"/>
        <v>#N/A</v>
      </c>
      <c r="AM284" s="47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7">
        <f t="shared" si="111"/>
        <v>0</v>
      </c>
      <c r="AO284" s="46">
        <f t="shared" si="112"/>
        <v>0</v>
      </c>
      <c r="AP284" s="46" t="e">
        <f t="shared" si="113"/>
        <v>#DIV/0!</v>
      </c>
    </row>
    <row r="285" spans="2:42" x14ac:dyDescent="0.25">
      <c r="B285" s="36"/>
      <c r="C285" s="60"/>
      <c r="D285" s="60"/>
      <c r="E285" s="37"/>
      <c r="F285" s="38"/>
      <c r="G285" s="38"/>
      <c r="H285" s="38"/>
      <c r="I285" s="39"/>
      <c r="J285" s="40"/>
      <c r="K285" s="40"/>
      <c r="L285" s="40"/>
      <c r="M285" s="41"/>
      <c r="N285" s="41"/>
      <c r="O285" s="42"/>
      <c r="P285" s="43"/>
      <c r="Q285" s="43"/>
      <c r="R285" s="44"/>
      <c r="S285" s="45"/>
      <c r="T285" s="38">
        <f t="shared" si="95"/>
        <v>0</v>
      </c>
      <c r="U285" s="46">
        <f t="shared" si="96"/>
        <v>0</v>
      </c>
      <c r="V285" s="47">
        <f t="shared" si="97"/>
        <v>0</v>
      </c>
      <c r="W285" s="48">
        <f t="shared" si="98"/>
        <v>0</v>
      </c>
      <c r="X285" s="43">
        <f t="shared" si="99"/>
        <v>0</v>
      </c>
      <c r="Y285" s="43">
        <f t="shared" si="100"/>
        <v>0</v>
      </c>
      <c r="Z285" s="43">
        <f t="shared" si="101"/>
        <v>0</v>
      </c>
      <c r="AA285" s="49">
        <f t="shared" si="102"/>
        <v>0</v>
      </c>
      <c r="AB285" s="50">
        <f t="shared" si="103"/>
        <v>0</v>
      </c>
      <c r="AC285" s="43">
        <f t="shared" si="104"/>
        <v>0</v>
      </c>
      <c r="AD285" s="43">
        <f t="shared" si="105"/>
        <v>0</v>
      </c>
      <c r="AE285" s="43">
        <f t="shared" si="106"/>
        <v>0</v>
      </c>
      <c r="AF285" s="51" t="e">
        <f>HLOOKUP(I285,ElecAvoidedCostsWOCC!$A$5:$Q$50,G285+1,FALSE)</f>
        <v>#N/A</v>
      </c>
      <c r="AG285" s="43" t="e">
        <f t="shared" si="107"/>
        <v>#N/A</v>
      </c>
      <c r="AH285" s="51" t="e">
        <f>HLOOKUP(I285,ElecAvoidedCostsWOCC!$A$5:$Q$50,T285+1,FALSE)</f>
        <v>#N/A</v>
      </c>
      <c r="AI285" s="43" t="e">
        <f t="shared" si="108"/>
        <v>#N/A</v>
      </c>
      <c r="AJ285" s="43" t="e">
        <f t="shared" si="109"/>
        <v>#N/A</v>
      </c>
      <c r="AK285" s="43" t="e">
        <f>HLOOKUP(I285,ElecAvoidedCostsWOCC!$A$5:$Q$50,G285+1,FALSE)*J285*L285</f>
        <v>#N/A</v>
      </c>
      <c r="AL285" s="43" t="e">
        <f t="shared" si="110"/>
        <v>#N/A</v>
      </c>
      <c r="AM285" s="47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7">
        <f t="shared" si="111"/>
        <v>0</v>
      </c>
      <c r="AO285" s="46">
        <f t="shared" si="112"/>
        <v>0</v>
      </c>
      <c r="AP285" s="46" t="e">
        <f t="shared" si="113"/>
        <v>#DIV/0!</v>
      </c>
    </row>
    <row r="286" spans="2:42" x14ac:dyDescent="0.25">
      <c r="B286" s="36"/>
      <c r="C286" s="60"/>
      <c r="D286" s="60"/>
      <c r="E286" s="37"/>
      <c r="F286" s="38"/>
      <c r="G286" s="38"/>
      <c r="H286" s="38"/>
      <c r="I286" s="39"/>
      <c r="J286" s="40"/>
      <c r="K286" s="40"/>
      <c r="L286" s="40"/>
      <c r="M286" s="41"/>
      <c r="N286" s="41"/>
      <c r="O286" s="42"/>
      <c r="P286" s="43"/>
      <c r="Q286" s="43"/>
      <c r="R286" s="44"/>
      <c r="S286" s="45"/>
      <c r="T286" s="38">
        <f t="shared" si="95"/>
        <v>0</v>
      </c>
      <c r="U286" s="46">
        <f t="shared" si="96"/>
        <v>0</v>
      </c>
      <c r="V286" s="47">
        <f t="shared" si="97"/>
        <v>0</v>
      </c>
      <c r="W286" s="48">
        <f t="shared" si="98"/>
        <v>0</v>
      </c>
      <c r="X286" s="43">
        <f t="shared" si="99"/>
        <v>0</v>
      </c>
      <c r="Y286" s="43">
        <f t="shared" si="100"/>
        <v>0</v>
      </c>
      <c r="Z286" s="43">
        <f t="shared" si="101"/>
        <v>0</v>
      </c>
      <c r="AA286" s="49">
        <f t="shared" si="102"/>
        <v>0</v>
      </c>
      <c r="AB286" s="50">
        <f t="shared" si="103"/>
        <v>0</v>
      </c>
      <c r="AC286" s="43">
        <f t="shared" si="104"/>
        <v>0</v>
      </c>
      <c r="AD286" s="43">
        <f t="shared" si="105"/>
        <v>0</v>
      </c>
      <c r="AE286" s="43">
        <f t="shared" si="106"/>
        <v>0</v>
      </c>
      <c r="AF286" s="51" t="e">
        <f>HLOOKUP(I286,ElecAvoidedCostsWOCC!$A$5:$Q$50,G286+1,FALSE)</f>
        <v>#N/A</v>
      </c>
      <c r="AG286" s="43" t="e">
        <f t="shared" si="107"/>
        <v>#N/A</v>
      </c>
      <c r="AH286" s="51" t="e">
        <f>HLOOKUP(I286,ElecAvoidedCostsWOCC!$A$5:$Q$50,T286+1,FALSE)</f>
        <v>#N/A</v>
      </c>
      <c r="AI286" s="43" t="e">
        <f t="shared" si="108"/>
        <v>#N/A</v>
      </c>
      <c r="AJ286" s="43" t="e">
        <f t="shared" si="109"/>
        <v>#N/A</v>
      </c>
      <c r="AK286" s="43" t="e">
        <f>HLOOKUP(I286,ElecAvoidedCostsWOCC!$A$5:$Q$50,G286+1,FALSE)*J286*L286</f>
        <v>#N/A</v>
      </c>
      <c r="AL286" s="43" t="e">
        <f t="shared" si="110"/>
        <v>#N/A</v>
      </c>
      <c r="AM286" s="47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7">
        <f t="shared" si="111"/>
        <v>0</v>
      </c>
      <c r="AO286" s="46">
        <f t="shared" si="112"/>
        <v>0</v>
      </c>
      <c r="AP286" s="46" t="e">
        <f t="shared" si="113"/>
        <v>#DIV/0!</v>
      </c>
    </row>
    <row r="287" spans="2:42" x14ac:dyDescent="0.25">
      <c r="B287" s="36"/>
      <c r="C287" s="60"/>
      <c r="D287" s="60"/>
      <c r="E287" s="37"/>
      <c r="F287" s="38"/>
      <c r="G287" s="38"/>
      <c r="H287" s="38"/>
      <c r="I287" s="39"/>
      <c r="J287" s="40"/>
      <c r="K287" s="40"/>
      <c r="L287" s="40"/>
      <c r="M287" s="41"/>
      <c r="N287" s="41"/>
      <c r="O287" s="42"/>
      <c r="P287" s="43"/>
      <c r="Q287" s="43"/>
      <c r="R287" s="44"/>
      <c r="S287" s="45"/>
      <c r="T287" s="38">
        <f t="shared" si="95"/>
        <v>0</v>
      </c>
      <c r="U287" s="46">
        <f t="shared" si="96"/>
        <v>0</v>
      </c>
      <c r="V287" s="47">
        <f t="shared" si="97"/>
        <v>0</v>
      </c>
      <c r="W287" s="48">
        <f t="shared" si="98"/>
        <v>0</v>
      </c>
      <c r="X287" s="43">
        <f t="shared" si="99"/>
        <v>0</v>
      </c>
      <c r="Y287" s="43">
        <f t="shared" si="100"/>
        <v>0</v>
      </c>
      <c r="Z287" s="43">
        <f t="shared" si="101"/>
        <v>0</v>
      </c>
      <c r="AA287" s="49">
        <f t="shared" si="102"/>
        <v>0</v>
      </c>
      <c r="AB287" s="50">
        <f t="shared" si="103"/>
        <v>0</v>
      </c>
      <c r="AC287" s="43">
        <f t="shared" si="104"/>
        <v>0</v>
      </c>
      <c r="AD287" s="43">
        <f t="shared" si="105"/>
        <v>0</v>
      </c>
      <c r="AE287" s="43">
        <f t="shared" si="106"/>
        <v>0</v>
      </c>
      <c r="AF287" s="51" t="e">
        <f>HLOOKUP(I287,ElecAvoidedCostsWOCC!$A$5:$Q$50,G287+1,FALSE)</f>
        <v>#N/A</v>
      </c>
      <c r="AG287" s="43" t="e">
        <f t="shared" si="107"/>
        <v>#N/A</v>
      </c>
      <c r="AH287" s="51" t="e">
        <f>HLOOKUP(I287,ElecAvoidedCostsWOCC!$A$5:$Q$50,T287+1,FALSE)</f>
        <v>#N/A</v>
      </c>
      <c r="AI287" s="43" t="e">
        <f t="shared" si="108"/>
        <v>#N/A</v>
      </c>
      <c r="AJ287" s="43" t="e">
        <f t="shared" si="109"/>
        <v>#N/A</v>
      </c>
      <c r="AK287" s="43" t="e">
        <f>HLOOKUP(I287,ElecAvoidedCostsWOCC!$A$5:$Q$50,G287+1,FALSE)*J287*L287</f>
        <v>#N/A</v>
      </c>
      <c r="AL287" s="43" t="e">
        <f t="shared" si="110"/>
        <v>#N/A</v>
      </c>
      <c r="AM287" s="47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7">
        <f t="shared" si="111"/>
        <v>0</v>
      </c>
      <c r="AO287" s="46">
        <f t="shared" si="112"/>
        <v>0</v>
      </c>
      <c r="AP287" s="46" t="e">
        <f t="shared" si="113"/>
        <v>#DIV/0!</v>
      </c>
    </row>
    <row r="288" spans="2:42" x14ac:dyDescent="0.25">
      <c r="B288" s="36"/>
      <c r="C288" s="60"/>
      <c r="D288" s="60"/>
      <c r="E288" s="37"/>
      <c r="F288" s="38"/>
      <c r="G288" s="38"/>
      <c r="H288" s="38"/>
      <c r="I288" s="39"/>
      <c r="J288" s="40"/>
      <c r="K288" s="40"/>
      <c r="L288" s="40"/>
      <c r="M288" s="41"/>
      <c r="N288" s="41"/>
      <c r="O288" s="42"/>
      <c r="P288" s="43"/>
      <c r="Q288" s="43"/>
      <c r="R288" s="44"/>
      <c r="S288" s="45"/>
      <c r="T288" s="38">
        <f t="shared" si="95"/>
        <v>0</v>
      </c>
      <c r="U288" s="46">
        <f t="shared" si="96"/>
        <v>0</v>
      </c>
      <c r="V288" s="47">
        <f t="shared" si="97"/>
        <v>0</v>
      </c>
      <c r="W288" s="48">
        <f t="shared" si="98"/>
        <v>0</v>
      </c>
      <c r="X288" s="43">
        <f t="shared" si="99"/>
        <v>0</v>
      </c>
      <c r="Y288" s="43">
        <f t="shared" si="100"/>
        <v>0</v>
      </c>
      <c r="Z288" s="43">
        <f t="shared" si="101"/>
        <v>0</v>
      </c>
      <c r="AA288" s="49">
        <f t="shared" si="102"/>
        <v>0</v>
      </c>
      <c r="AB288" s="50">
        <f t="shared" si="103"/>
        <v>0</v>
      </c>
      <c r="AC288" s="43">
        <f t="shared" si="104"/>
        <v>0</v>
      </c>
      <c r="AD288" s="43">
        <f t="shared" si="105"/>
        <v>0</v>
      </c>
      <c r="AE288" s="43">
        <f t="shared" si="106"/>
        <v>0</v>
      </c>
      <c r="AF288" s="51" t="e">
        <f>HLOOKUP(I288,ElecAvoidedCostsWOCC!$A$5:$Q$50,G288+1,FALSE)</f>
        <v>#N/A</v>
      </c>
      <c r="AG288" s="43" t="e">
        <f t="shared" si="107"/>
        <v>#N/A</v>
      </c>
      <c r="AH288" s="51" t="e">
        <f>HLOOKUP(I288,ElecAvoidedCostsWOCC!$A$5:$Q$50,T288+1,FALSE)</f>
        <v>#N/A</v>
      </c>
      <c r="AI288" s="43" t="e">
        <f t="shared" si="108"/>
        <v>#N/A</v>
      </c>
      <c r="AJ288" s="43" t="e">
        <f t="shared" si="109"/>
        <v>#N/A</v>
      </c>
      <c r="AK288" s="43" t="e">
        <f>HLOOKUP(I288,ElecAvoidedCostsWOCC!$A$5:$Q$50,G288+1,FALSE)*J288*L288</f>
        <v>#N/A</v>
      </c>
      <c r="AL288" s="43" t="e">
        <f t="shared" si="110"/>
        <v>#N/A</v>
      </c>
      <c r="AM288" s="47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7">
        <f t="shared" si="111"/>
        <v>0</v>
      </c>
      <c r="AO288" s="46">
        <f t="shared" si="112"/>
        <v>0</v>
      </c>
      <c r="AP288" s="46" t="e">
        <f t="shared" si="113"/>
        <v>#DIV/0!</v>
      </c>
    </row>
    <row r="289" spans="2:42" x14ac:dyDescent="0.25">
      <c r="B289" s="36"/>
      <c r="C289" s="60"/>
      <c r="D289" s="60"/>
      <c r="E289" s="37"/>
      <c r="F289" s="38"/>
      <c r="G289" s="38"/>
      <c r="H289" s="38"/>
      <c r="I289" s="39"/>
      <c r="J289" s="40"/>
      <c r="K289" s="40"/>
      <c r="L289" s="40"/>
      <c r="M289" s="41"/>
      <c r="N289" s="41"/>
      <c r="O289" s="42"/>
      <c r="P289" s="43"/>
      <c r="Q289" s="43"/>
      <c r="R289" s="44"/>
      <c r="S289" s="45"/>
      <c r="T289" s="38">
        <f t="shared" si="95"/>
        <v>0</v>
      </c>
      <c r="U289" s="46">
        <f t="shared" si="96"/>
        <v>0</v>
      </c>
      <c r="V289" s="47">
        <f t="shared" si="97"/>
        <v>0</v>
      </c>
      <c r="W289" s="48">
        <f t="shared" si="98"/>
        <v>0</v>
      </c>
      <c r="X289" s="43">
        <f t="shared" si="99"/>
        <v>0</v>
      </c>
      <c r="Y289" s="43">
        <f t="shared" si="100"/>
        <v>0</v>
      </c>
      <c r="Z289" s="43">
        <f t="shared" si="101"/>
        <v>0</v>
      </c>
      <c r="AA289" s="49">
        <f t="shared" si="102"/>
        <v>0</v>
      </c>
      <c r="AB289" s="50">
        <f t="shared" si="103"/>
        <v>0</v>
      </c>
      <c r="AC289" s="43">
        <f t="shared" si="104"/>
        <v>0</v>
      </c>
      <c r="AD289" s="43">
        <f t="shared" si="105"/>
        <v>0</v>
      </c>
      <c r="AE289" s="43">
        <f t="shared" si="106"/>
        <v>0</v>
      </c>
      <c r="AF289" s="51" t="e">
        <f>HLOOKUP(I289,ElecAvoidedCostsWOCC!$A$5:$Q$50,G289+1,FALSE)</f>
        <v>#N/A</v>
      </c>
      <c r="AG289" s="43" t="e">
        <f t="shared" si="107"/>
        <v>#N/A</v>
      </c>
      <c r="AH289" s="51" t="e">
        <f>HLOOKUP(I289,ElecAvoidedCostsWOCC!$A$5:$Q$50,T289+1,FALSE)</f>
        <v>#N/A</v>
      </c>
      <c r="AI289" s="43" t="e">
        <f t="shared" si="108"/>
        <v>#N/A</v>
      </c>
      <c r="AJ289" s="43" t="e">
        <f t="shared" si="109"/>
        <v>#N/A</v>
      </c>
      <c r="AK289" s="43" t="e">
        <f>HLOOKUP(I289,ElecAvoidedCostsWOCC!$A$5:$Q$50,G289+1,FALSE)*J289*L289</f>
        <v>#N/A</v>
      </c>
      <c r="AL289" s="43" t="e">
        <f t="shared" si="110"/>
        <v>#N/A</v>
      </c>
      <c r="AM289" s="47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7">
        <f t="shared" si="111"/>
        <v>0</v>
      </c>
      <c r="AO289" s="46">
        <f t="shared" si="112"/>
        <v>0</v>
      </c>
      <c r="AP289" s="46" t="e">
        <f t="shared" si="113"/>
        <v>#DIV/0!</v>
      </c>
    </row>
    <row r="290" spans="2:42" x14ac:dyDescent="0.25">
      <c r="B290" s="36"/>
      <c r="C290" s="60"/>
      <c r="D290" s="60"/>
      <c r="E290" s="37"/>
      <c r="F290" s="38"/>
      <c r="G290" s="38"/>
      <c r="H290" s="38"/>
      <c r="I290" s="39"/>
      <c r="J290" s="40"/>
      <c r="K290" s="40"/>
      <c r="L290" s="40"/>
      <c r="M290" s="41"/>
      <c r="N290" s="41"/>
      <c r="O290" s="42"/>
      <c r="P290" s="43"/>
      <c r="Q290" s="43"/>
      <c r="R290" s="44"/>
      <c r="S290" s="45"/>
      <c r="T290" s="38">
        <f t="shared" si="95"/>
        <v>0</v>
      </c>
      <c r="U290" s="46">
        <f t="shared" si="96"/>
        <v>0</v>
      </c>
      <c r="V290" s="47">
        <f t="shared" si="97"/>
        <v>0</v>
      </c>
      <c r="W290" s="48">
        <f t="shared" si="98"/>
        <v>0</v>
      </c>
      <c r="X290" s="43">
        <f t="shared" si="99"/>
        <v>0</v>
      </c>
      <c r="Y290" s="43">
        <f t="shared" si="100"/>
        <v>0</v>
      </c>
      <c r="Z290" s="43">
        <f t="shared" si="101"/>
        <v>0</v>
      </c>
      <c r="AA290" s="49">
        <f t="shared" si="102"/>
        <v>0</v>
      </c>
      <c r="AB290" s="50">
        <f t="shared" si="103"/>
        <v>0</v>
      </c>
      <c r="AC290" s="43">
        <f t="shared" si="104"/>
        <v>0</v>
      </c>
      <c r="AD290" s="43">
        <f t="shared" si="105"/>
        <v>0</v>
      </c>
      <c r="AE290" s="43">
        <f t="shared" si="106"/>
        <v>0</v>
      </c>
      <c r="AF290" s="51" t="e">
        <f>HLOOKUP(I290,ElecAvoidedCostsWOCC!$A$5:$Q$50,G290+1,FALSE)</f>
        <v>#N/A</v>
      </c>
      <c r="AG290" s="43" t="e">
        <f t="shared" si="107"/>
        <v>#N/A</v>
      </c>
      <c r="AH290" s="51" t="e">
        <f>HLOOKUP(I290,ElecAvoidedCostsWOCC!$A$5:$Q$50,T290+1,FALSE)</f>
        <v>#N/A</v>
      </c>
      <c r="AI290" s="43" t="e">
        <f t="shared" si="108"/>
        <v>#N/A</v>
      </c>
      <c r="AJ290" s="43" t="e">
        <f t="shared" si="109"/>
        <v>#N/A</v>
      </c>
      <c r="AK290" s="43" t="e">
        <f>HLOOKUP(I290,ElecAvoidedCostsWOCC!$A$5:$Q$50,G290+1,FALSE)*J290*L290</f>
        <v>#N/A</v>
      </c>
      <c r="AL290" s="43" t="e">
        <f t="shared" si="110"/>
        <v>#N/A</v>
      </c>
      <c r="AM290" s="47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7">
        <f t="shared" si="111"/>
        <v>0</v>
      </c>
      <c r="AO290" s="46">
        <f t="shared" si="112"/>
        <v>0</v>
      </c>
      <c r="AP290" s="46" t="e">
        <f t="shared" si="113"/>
        <v>#DIV/0!</v>
      </c>
    </row>
    <row r="291" spans="2:42" x14ac:dyDescent="0.25">
      <c r="B291" s="36"/>
      <c r="C291" s="60"/>
      <c r="D291" s="60"/>
      <c r="E291" s="37"/>
      <c r="F291" s="38"/>
      <c r="G291" s="38"/>
      <c r="H291" s="38"/>
      <c r="I291" s="39"/>
      <c r="J291" s="40"/>
      <c r="K291" s="40"/>
      <c r="L291" s="40"/>
      <c r="M291" s="41"/>
      <c r="N291" s="41"/>
      <c r="O291" s="42"/>
      <c r="P291" s="43"/>
      <c r="Q291" s="43"/>
      <c r="R291" s="44"/>
      <c r="S291" s="45"/>
      <c r="T291" s="38">
        <f t="shared" si="95"/>
        <v>0</v>
      </c>
      <c r="U291" s="46">
        <f t="shared" si="96"/>
        <v>0</v>
      </c>
      <c r="V291" s="47">
        <f t="shared" si="97"/>
        <v>0</v>
      </c>
      <c r="W291" s="48">
        <f t="shared" si="98"/>
        <v>0</v>
      </c>
      <c r="X291" s="43">
        <f t="shared" si="99"/>
        <v>0</v>
      </c>
      <c r="Y291" s="43">
        <f t="shared" si="100"/>
        <v>0</v>
      </c>
      <c r="Z291" s="43">
        <f t="shared" si="101"/>
        <v>0</v>
      </c>
      <c r="AA291" s="49">
        <f t="shared" si="102"/>
        <v>0</v>
      </c>
      <c r="AB291" s="50">
        <f t="shared" si="103"/>
        <v>0</v>
      </c>
      <c r="AC291" s="43">
        <f t="shared" si="104"/>
        <v>0</v>
      </c>
      <c r="AD291" s="43">
        <f t="shared" si="105"/>
        <v>0</v>
      </c>
      <c r="AE291" s="43">
        <f t="shared" si="106"/>
        <v>0</v>
      </c>
      <c r="AF291" s="51" t="e">
        <f>HLOOKUP(I291,ElecAvoidedCostsWOCC!$A$5:$Q$50,G291+1,FALSE)</f>
        <v>#N/A</v>
      </c>
      <c r="AG291" s="43" t="e">
        <f t="shared" si="107"/>
        <v>#N/A</v>
      </c>
      <c r="AH291" s="51" t="e">
        <f>HLOOKUP(I291,ElecAvoidedCostsWOCC!$A$5:$Q$50,T291+1,FALSE)</f>
        <v>#N/A</v>
      </c>
      <c r="AI291" s="43" t="e">
        <f t="shared" si="108"/>
        <v>#N/A</v>
      </c>
      <c r="AJ291" s="43" t="e">
        <f t="shared" si="109"/>
        <v>#N/A</v>
      </c>
      <c r="AK291" s="43" t="e">
        <f>HLOOKUP(I291,ElecAvoidedCostsWOCC!$A$5:$Q$50,G291+1,FALSE)*J291*L291</f>
        <v>#N/A</v>
      </c>
      <c r="AL291" s="43" t="e">
        <f t="shared" si="110"/>
        <v>#N/A</v>
      </c>
      <c r="AM291" s="47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7">
        <f t="shared" si="111"/>
        <v>0</v>
      </c>
      <c r="AO291" s="46">
        <f t="shared" si="112"/>
        <v>0</v>
      </c>
      <c r="AP291" s="46" t="e">
        <f t="shared" si="113"/>
        <v>#DIV/0!</v>
      </c>
    </row>
    <row r="292" spans="2:42" x14ac:dyDescent="0.25">
      <c r="B292" s="36"/>
      <c r="C292" s="60"/>
      <c r="D292" s="60"/>
      <c r="E292" s="37"/>
      <c r="F292" s="38"/>
      <c r="G292" s="38"/>
      <c r="H292" s="38"/>
      <c r="I292" s="39"/>
      <c r="J292" s="40"/>
      <c r="K292" s="40"/>
      <c r="L292" s="40"/>
      <c r="M292" s="41"/>
      <c r="N292" s="41"/>
      <c r="O292" s="42"/>
      <c r="P292" s="43"/>
      <c r="Q292" s="43"/>
      <c r="R292" s="44"/>
      <c r="S292" s="45"/>
      <c r="T292" s="38">
        <f t="shared" si="95"/>
        <v>0</v>
      </c>
      <c r="U292" s="46">
        <f t="shared" si="96"/>
        <v>0</v>
      </c>
      <c r="V292" s="47">
        <f t="shared" si="97"/>
        <v>0</v>
      </c>
      <c r="W292" s="48">
        <f t="shared" si="98"/>
        <v>0</v>
      </c>
      <c r="X292" s="43">
        <f t="shared" si="99"/>
        <v>0</v>
      </c>
      <c r="Y292" s="43">
        <f t="shared" si="100"/>
        <v>0</v>
      </c>
      <c r="Z292" s="43">
        <f t="shared" si="101"/>
        <v>0</v>
      </c>
      <c r="AA292" s="49">
        <f t="shared" si="102"/>
        <v>0</v>
      </c>
      <c r="AB292" s="50">
        <f t="shared" si="103"/>
        <v>0</v>
      </c>
      <c r="AC292" s="43">
        <f t="shared" si="104"/>
        <v>0</v>
      </c>
      <c r="AD292" s="43">
        <f t="shared" si="105"/>
        <v>0</v>
      </c>
      <c r="AE292" s="43">
        <f t="shared" si="106"/>
        <v>0</v>
      </c>
      <c r="AF292" s="51" t="e">
        <f>HLOOKUP(I292,ElecAvoidedCostsWOCC!$A$5:$Q$50,G292+1,FALSE)</f>
        <v>#N/A</v>
      </c>
      <c r="AG292" s="43" t="e">
        <f t="shared" si="107"/>
        <v>#N/A</v>
      </c>
      <c r="AH292" s="51" t="e">
        <f>HLOOKUP(I292,ElecAvoidedCostsWOCC!$A$5:$Q$50,T292+1,FALSE)</f>
        <v>#N/A</v>
      </c>
      <c r="AI292" s="43" t="e">
        <f t="shared" si="108"/>
        <v>#N/A</v>
      </c>
      <c r="AJ292" s="43" t="e">
        <f t="shared" si="109"/>
        <v>#N/A</v>
      </c>
      <c r="AK292" s="43" t="e">
        <f>HLOOKUP(I292,ElecAvoidedCostsWOCC!$A$5:$Q$50,G292+1,FALSE)*J292*L292</f>
        <v>#N/A</v>
      </c>
      <c r="AL292" s="43" t="e">
        <f t="shared" si="110"/>
        <v>#N/A</v>
      </c>
      <c r="AM292" s="47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7">
        <f t="shared" si="111"/>
        <v>0</v>
      </c>
      <c r="AO292" s="46">
        <f t="shared" si="112"/>
        <v>0</v>
      </c>
      <c r="AP292" s="46" t="e">
        <f t="shared" si="113"/>
        <v>#DIV/0!</v>
      </c>
    </row>
    <row r="293" spans="2:42" x14ac:dyDescent="0.25">
      <c r="B293" s="36"/>
      <c r="C293" s="60"/>
      <c r="D293" s="60"/>
      <c r="E293" s="37"/>
      <c r="F293" s="38"/>
      <c r="G293" s="38"/>
      <c r="H293" s="38"/>
      <c r="I293" s="39"/>
      <c r="J293" s="40"/>
      <c r="K293" s="40"/>
      <c r="L293" s="40"/>
      <c r="M293" s="41"/>
      <c r="N293" s="41"/>
      <c r="O293" s="42"/>
      <c r="P293" s="43"/>
      <c r="Q293" s="43"/>
      <c r="R293" s="44"/>
      <c r="S293" s="45"/>
      <c r="T293" s="38">
        <f t="shared" si="95"/>
        <v>0</v>
      </c>
      <c r="U293" s="46">
        <f t="shared" si="96"/>
        <v>0</v>
      </c>
      <c r="V293" s="47">
        <f t="shared" si="97"/>
        <v>0</v>
      </c>
      <c r="W293" s="48">
        <f t="shared" si="98"/>
        <v>0</v>
      </c>
      <c r="X293" s="43">
        <f t="shared" si="99"/>
        <v>0</v>
      </c>
      <c r="Y293" s="43">
        <f t="shared" si="100"/>
        <v>0</v>
      </c>
      <c r="Z293" s="43">
        <f t="shared" si="101"/>
        <v>0</v>
      </c>
      <c r="AA293" s="49">
        <f t="shared" si="102"/>
        <v>0</v>
      </c>
      <c r="AB293" s="50">
        <f t="shared" si="103"/>
        <v>0</v>
      </c>
      <c r="AC293" s="43">
        <f t="shared" si="104"/>
        <v>0</v>
      </c>
      <c r="AD293" s="43">
        <f t="shared" si="105"/>
        <v>0</v>
      </c>
      <c r="AE293" s="43">
        <f t="shared" si="106"/>
        <v>0</v>
      </c>
      <c r="AF293" s="51" t="e">
        <f>HLOOKUP(I293,ElecAvoidedCostsWOCC!$A$5:$Q$50,G293+1,FALSE)</f>
        <v>#N/A</v>
      </c>
      <c r="AG293" s="43" t="e">
        <f t="shared" si="107"/>
        <v>#N/A</v>
      </c>
      <c r="AH293" s="51" t="e">
        <f>HLOOKUP(I293,ElecAvoidedCostsWOCC!$A$5:$Q$50,T293+1,FALSE)</f>
        <v>#N/A</v>
      </c>
      <c r="AI293" s="43" t="e">
        <f t="shared" si="108"/>
        <v>#N/A</v>
      </c>
      <c r="AJ293" s="43" t="e">
        <f t="shared" si="109"/>
        <v>#N/A</v>
      </c>
      <c r="AK293" s="43" t="e">
        <f>HLOOKUP(I293,ElecAvoidedCostsWOCC!$A$5:$Q$50,G293+1,FALSE)*J293*L293</f>
        <v>#N/A</v>
      </c>
      <c r="AL293" s="43" t="e">
        <f t="shared" si="110"/>
        <v>#N/A</v>
      </c>
      <c r="AM293" s="47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7">
        <f t="shared" si="111"/>
        <v>0</v>
      </c>
      <c r="AO293" s="46">
        <f t="shared" si="112"/>
        <v>0</v>
      </c>
      <c r="AP293" s="46" t="e">
        <f t="shared" si="113"/>
        <v>#DIV/0!</v>
      </c>
    </row>
    <row r="294" spans="2:42" x14ac:dyDescent="0.25">
      <c r="B294" s="36"/>
      <c r="C294" s="60"/>
      <c r="D294" s="60"/>
      <c r="E294" s="37"/>
      <c r="F294" s="38"/>
      <c r="G294" s="38"/>
      <c r="H294" s="38"/>
      <c r="I294" s="39"/>
      <c r="J294" s="40"/>
      <c r="K294" s="40"/>
      <c r="L294" s="40"/>
      <c r="M294" s="41"/>
      <c r="N294" s="41"/>
      <c r="O294" s="42"/>
      <c r="P294" s="43"/>
      <c r="Q294" s="43"/>
      <c r="R294" s="44"/>
      <c r="S294" s="45"/>
      <c r="T294" s="38">
        <f t="shared" si="95"/>
        <v>0</v>
      </c>
      <c r="U294" s="46">
        <f t="shared" si="96"/>
        <v>0</v>
      </c>
      <c r="V294" s="47">
        <f t="shared" si="97"/>
        <v>0</v>
      </c>
      <c r="W294" s="48">
        <f t="shared" si="98"/>
        <v>0</v>
      </c>
      <c r="X294" s="43">
        <f t="shared" si="99"/>
        <v>0</v>
      </c>
      <c r="Y294" s="43">
        <f t="shared" si="100"/>
        <v>0</v>
      </c>
      <c r="Z294" s="43">
        <f t="shared" si="101"/>
        <v>0</v>
      </c>
      <c r="AA294" s="49">
        <f t="shared" si="102"/>
        <v>0</v>
      </c>
      <c r="AB294" s="50">
        <f t="shared" si="103"/>
        <v>0</v>
      </c>
      <c r="AC294" s="43">
        <f t="shared" si="104"/>
        <v>0</v>
      </c>
      <c r="AD294" s="43">
        <f t="shared" si="105"/>
        <v>0</v>
      </c>
      <c r="AE294" s="43">
        <f t="shared" si="106"/>
        <v>0</v>
      </c>
      <c r="AF294" s="51" t="e">
        <f>HLOOKUP(I294,ElecAvoidedCostsWOCC!$A$5:$Q$50,G294+1,FALSE)</f>
        <v>#N/A</v>
      </c>
      <c r="AG294" s="43" t="e">
        <f t="shared" si="107"/>
        <v>#N/A</v>
      </c>
      <c r="AH294" s="51" t="e">
        <f>HLOOKUP(I294,ElecAvoidedCostsWOCC!$A$5:$Q$50,T294+1,FALSE)</f>
        <v>#N/A</v>
      </c>
      <c r="AI294" s="43" t="e">
        <f t="shared" si="108"/>
        <v>#N/A</v>
      </c>
      <c r="AJ294" s="43" t="e">
        <f t="shared" si="109"/>
        <v>#N/A</v>
      </c>
      <c r="AK294" s="43" t="e">
        <f>HLOOKUP(I294,ElecAvoidedCostsWOCC!$A$5:$Q$50,G294+1,FALSE)*J294*L294</f>
        <v>#N/A</v>
      </c>
      <c r="AL294" s="43" t="e">
        <f t="shared" si="110"/>
        <v>#N/A</v>
      </c>
      <c r="AM294" s="47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7">
        <f t="shared" si="111"/>
        <v>0</v>
      </c>
      <c r="AO294" s="46">
        <f t="shared" si="112"/>
        <v>0</v>
      </c>
      <c r="AP294" s="46" t="e">
        <f t="shared" si="113"/>
        <v>#DIV/0!</v>
      </c>
    </row>
    <row r="295" spans="2:42" x14ac:dyDescent="0.25">
      <c r="B295" s="36"/>
      <c r="C295" s="60"/>
      <c r="D295" s="60"/>
      <c r="E295" s="37"/>
      <c r="F295" s="38"/>
      <c r="G295" s="38"/>
      <c r="H295" s="38"/>
      <c r="I295" s="39"/>
      <c r="J295" s="40"/>
      <c r="K295" s="40"/>
      <c r="L295" s="40"/>
      <c r="M295" s="41"/>
      <c r="N295" s="41"/>
      <c r="O295" s="42"/>
      <c r="P295" s="43"/>
      <c r="Q295" s="43"/>
      <c r="R295" s="44"/>
      <c r="S295" s="45"/>
      <c r="T295" s="38">
        <f t="shared" si="95"/>
        <v>0</v>
      </c>
      <c r="U295" s="46">
        <f t="shared" si="96"/>
        <v>0</v>
      </c>
      <c r="V295" s="47">
        <f t="shared" si="97"/>
        <v>0</v>
      </c>
      <c r="W295" s="48">
        <f t="shared" si="98"/>
        <v>0</v>
      </c>
      <c r="X295" s="43">
        <f t="shared" si="99"/>
        <v>0</v>
      </c>
      <c r="Y295" s="43">
        <f t="shared" si="100"/>
        <v>0</v>
      </c>
      <c r="Z295" s="43">
        <f t="shared" si="101"/>
        <v>0</v>
      </c>
      <c r="AA295" s="49">
        <f t="shared" si="102"/>
        <v>0</v>
      </c>
      <c r="AB295" s="50">
        <f t="shared" si="103"/>
        <v>0</v>
      </c>
      <c r="AC295" s="43">
        <f t="shared" si="104"/>
        <v>0</v>
      </c>
      <c r="AD295" s="43">
        <f t="shared" si="105"/>
        <v>0</v>
      </c>
      <c r="AE295" s="43">
        <f t="shared" si="106"/>
        <v>0</v>
      </c>
      <c r="AF295" s="51" t="e">
        <f>HLOOKUP(I295,ElecAvoidedCostsWOCC!$A$5:$Q$50,G295+1,FALSE)</f>
        <v>#N/A</v>
      </c>
      <c r="AG295" s="43" t="e">
        <f t="shared" si="107"/>
        <v>#N/A</v>
      </c>
      <c r="AH295" s="51" t="e">
        <f>HLOOKUP(I295,ElecAvoidedCostsWOCC!$A$5:$Q$50,T295+1,FALSE)</f>
        <v>#N/A</v>
      </c>
      <c r="AI295" s="43" t="e">
        <f t="shared" si="108"/>
        <v>#N/A</v>
      </c>
      <c r="AJ295" s="43" t="e">
        <f t="shared" si="109"/>
        <v>#N/A</v>
      </c>
      <c r="AK295" s="43" t="e">
        <f>HLOOKUP(I295,ElecAvoidedCostsWOCC!$A$5:$Q$50,G295+1,FALSE)*J295*L295</f>
        <v>#N/A</v>
      </c>
      <c r="AL295" s="43" t="e">
        <f t="shared" si="110"/>
        <v>#N/A</v>
      </c>
      <c r="AM295" s="47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7">
        <f t="shared" si="111"/>
        <v>0</v>
      </c>
      <c r="AO295" s="46">
        <f t="shared" si="112"/>
        <v>0</v>
      </c>
      <c r="AP295" s="46" t="e">
        <f t="shared" si="113"/>
        <v>#DIV/0!</v>
      </c>
    </row>
    <row r="296" spans="2:42" x14ac:dyDescent="0.25">
      <c r="B296" s="36"/>
      <c r="C296" s="60"/>
      <c r="D296" s="60"/>
      <c r="E296" s="37"/>
      <c r="F296" s="38"/>
      <c r="G296" s="38"/>
      <c r="H296" s="38"/>
      <c r="I296" s="39"/>
      <c r="J296" s="40"/>
      <c r="K296" s="40"/>
      <c r="L296" s="40"/>
      <c r="M296" s="41"/>
      <c r="N296" s="41"/>
      <c r="O296" s="42"/>
      <c r="P296" s="43"/>
      <c r="Q296" s="43"/>
      <c r="R296" s="44"/>
      <c r="S296" s="45"/>
      <c r="T296" s="38">
        <f t="shared" si="95"/>
        <v>0</v>
      </c>
      <c r="U296" s="46">
        <f t="shared" si="96"/>
        <v>0</v>
      </c>
      <c r="V296" s="47">
        <f t="shared" si="97"/>
        <v>0</v>
      </c>
      <c r="W296" s="48">
        <f t="shared" si="98"/>
        <v>0</v>
      </c>
      <c r="X296" s="43">
        <f t="shared" si="99"/>
        <v>0</v>
      </c>
      <c r="Y296" s="43">
        <f t="shared" si="100"/>
        <v>0</v>
      </c>
      <c r="Z296" s="43">
        <f t="shared" si="101"/>
        <v>0</v>
      </c>
      <c r="AA296" s="49">
        <f t="shared" si="102"/>
        <v>0</v>
      </c>
      <c r="AB296" s="50">
        <f t="shared" si="103"/>
        <v>0</v>
      </c>
      <c r="AC296" s="43">
        <f t="shared" si="104"/>
        <v>0</v>
      </c>
      <c r="AD296" s="43">
        <f t="shared" si="105"/>
        <v>0</v>
      </c>
      <c r="AE296" s="43">
        <f t="shared" si="106"/>
        <v>0</v>
      </c>
      <c r="AF296" s="51" t="e">
        <f>HLOOKUP(I296,ElecAvoidedCostsWOCC!$A$5:$Q$50,G296+1,FALSE)</f>
        <v>#N/A</v>
      </c>
      <c r="AG296" s="43" t="e">
        <f t="shared" si="107"/>
        <v>#N/A</v>
      </c>
      <c r="AH296" s="51" t="e">
        <f>HLOOKUP(I296,ElecAvoidedCostsWOCC!$A$5:$Q$50,T296+1,FALSE)</f>
        <v>#N/A</v>
      </c>
      <c r="AI296" s="43" t="e">
        <f t="shared" si="108"/>
        <v>#N/A</v>
      </c>
      <c r="AJ296" s="43" t="e">
        <f t="shared" si="109"/>
        <v>#N/A</v>
      </c>
      <c r="AK296" s="43" t="e">
        <f>HLOOKUP(I296,ElecAvoidedCostsWOCC!$A$5:$Q$50,G296+1,FALSE)*J296*L296</f>
        <v>#N/A</v>
      </c>
      <c r="AL296" s="43" t="e">
        <f t="shared" si="110"/>
        <v>#N/A</v>
      </c>
      <c r="AM296" s="47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7">
        <f t="shared" si="111"/>
        <v>0</v>
      </c>
      <c r="AO296" s="46">
        <f t="shared" si="112"/>
        <v>0</v>
      </c>
      <c r="AP296" s="46" t="e">
        <f t="shared" si="113"/>
        <v>#DIV/0!</v>
      </c>
    </row>
    <row r="297" spans="2:42" x14ac:dyDescent="0.25">
      <c r="B297" s="36"/>
      <c r="C297" s="60"/>
      <c r="D297" s="60"/>
      <c r="E297" s="37"/>
      <c r="F297" s="38"/>
      <c r="G297" s="38"/>
      <c r="H297" s="38"/>
      <c r="I297" s="39"/>
      <c r="J297" s="40"/>
      <c r="K297" s="40"/>
      <c r="L297" s="40"/>
      <c r="M297" s="41"/>
      <c r="N297" s="41"/>
      <c r="O297" s="42"/>
      <c r="P297" s="43"/>
      <c r="Q297" s="43"/>
      <c r="R297" s="44"/>
      <c r="S297" s="45"/>
      <c r="T297" s="38">
        <f t="shared" si="95"/>
        <v>0</v>
      </c>
      <c r="U297" s="46">
        <f t="shared" si="96"/>
        <v>0</v>
      </c>
      <c r="V297" s="47">
        <f t="shared" si="97"/>
        <v>0</v>
      </c>
      <c r="W297" s="48">
        <f t="shared" si="98"/>
        <v>0</v>
      </c>
      <c r="X297" s="43">
        <f t="shared" si="99"/>
        <v>0</v>
      </c>
      <c r="Y297" s="43">
        <f t="shared" si="100"/>
        <v>0</v>
      </c>
      <c r="Z297" s="43">
        <f t="shared" si="101"/>
        <v>0</v>
      </c>
      <c r="AA297" s="49">
        <f t="shared" si="102"/>
        <v>0</v>
      </c>
      <c r="AB297" s="50">
        <f t="shared" si="103"/>
        <v>0</v>
      </c>
      <c r="AC297" s="43">
        <f t="shared" si="104"/>
        <v>0</v>
      </c>
      <c r="AD297" s="43">
        <f t="shared" si="105"/>
        <v>0</v>
      </c>
      <c r="AE297" s="43">
        <f t="shared" si="106"/>
        <v>0</v>
      </c>
      <c r="AF297" s="51" t="e">
        <f>HLOOKUP(I297,ElecAvoidedCostsWOCC!$A$5:$Q$50,G297+1,FALSE)</f>
        <v>#N/A</v>
      </c>
      <c r="AG297" s="43" t="e">
        <f t="shared" si="107"/>
        <v>#N/A</v>
      </c>
      <c r="AH297" s="51" t="e">
        <f>HLOOKUP(I297,ElecAvoidedCostsWOCC!$A$5:$Q$50,T297+1,FALSE)</f>
        <v>#N/A</v>
      </c>
      <c r="AI297" s="43" t="e">
        <f t="shared" si="108"/>
        <v>#N/A</v>
      </c>
      <c r="AJ297" s="43" t="e">
        <f t="shared" si="109"/>
        <v>#N/A</v>
      </c>
      <c r="AK297" s="43" t="e">
        <f>HLOOKUP(I297,ElecAvoidedCostsWOCC!$A$5:$Q$50,G297+1,FALSE)*J297*L297</f>
        <v>#N/A</v>
      </c>
      <c r="AL297" s="43" t="e">
        <f t="shared" si="110"/>
        <v>#N/A</v>
      </c>
      <c r="AM297" s="47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7">
        <f t="shared" si="111"/>
        <v>0</v>
      </c>
      <c r="AO297" s="46">
        <f t="shared" si="112"/>
        <v>0</v>
      </c>
      <c r="AP297" s="46" t="e">
        <f t="shared" si="113"/>
        <v>#DIV/0!</v>
      </c>
    </row>
    <row r="298" spans="2:42" x14ac:dyDescent="0.25">
      <c r="B298" s="36"/>
      <c r="C298" s="60"/>
      <c r="D298" s="60"/>
      <c r="E298" s="37"/>
      <c r="F298" s="38"/>
      <c r="G298" s="38"/>
      <c r="H298" s="38"/>
      <c r="I298" s="39"/>
      <c r="J298" s="40"/>
      <c r="K298" s="40"/>
      <c r="L298" s="40"/>
      <c r="M298" s="41"/>
      <c r="N298" s="41"/>
      <c r="O298" s="42"/>
      <c r="P298" s="43"/>
      <c r="Q298" s="43"/>
      <c r="R298" s="44"/>
      <c r="S298" s="45"/>
      <c r="T298" s="38">
        <f t="shared" si="95"/>
        <v>0</v>
      </c>
      <c r="U298" s="46">
        <f t="shared" si="96"/>
        <v>0</v>
      </c>
      <c r="V298" s="47">
        <f t="shared" si="97"/>
        <v>0</v>
      </c>
      <c r="W298" s="48">
        <f t="shared" si="98"/>
        <v>0</v>
      </c>
      <c r="X298" s="43">
        <f t="shared" si="99"/>
        <v>0</v>
      </c>
      <c r="Y298" s="43">
        <f t="shared" si="100"/>
        <v>0</v>
      </c>
      <c r="Z298" s="43">
        <f t="shared" si="101"/>
        <v>0</v>
      </c>
      <c r="AA298" s="49">
        <f t="shared" si="102"/>
        <v>0</v>
      </c>
      <c r="AB298" s="50">
        <f t="shared" si="103"/>
        <v>0</v>
      </c>
      <c r="AC298" s="43">
        <f t="shared" si="104"/>
        <v>0</v>
      </c>
      <c r="AD298" s="43">
        <f t="shared" si="105"/>
        <v>0</v>
      </c>
      <c r="AE298" s="43">
        <f t="shared" si="106"/>
        <v>0</v>
      </c>
      <c r="AF298" s="51" t="e">
        <f>HLOOKUP(I298,ElecAvoidedCostsWOCC!$A$5:$Q$50,G298+1,FALSE)</f>
        <v>#N/A</v>
      </c>
      <c r="AG298" s="43" t="e">
        <f t="shared" si="107"/>
        <v>#N/A</v>
      </c>
      <c r="AH298" s="51" t="e">
        <f>HLOOKUP(I298,ElecAvoidedCostsWOCC!$A$5:$Q$50,T298+1,FALSE)</f>
        <v>#N/A</v>
      </c>
      <c r="AI298" s="43" t="e">
        <f t="shared" si="108"/>
        <v>#N/A</v>
      </c>
      <c r="AJ298" s="43" t="e">
        <f t="shared" si="109"/>
        <v>#N/A</v>
      </c>
      <c r="AK298" s="43" t="e">
        <f>HLOOKUP(I298,ElecAvoidedCostsWOCC!$A$5:$Q$50,G298+1,FALSE)*J298*L298</f>
        <v>#N/A</v>
      </c>
      <c r="AL298" s="43" t="e">
        <f t="shared" si="110"/>
        <v>#N/A</v>
      </c>
      <c r="AM298" s="47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7">
        <f t="shared" si="111"/>
        <v>0</v>
      </c>
      <c r="AO298" s="46">
        <f t="shared" si="112"/>
        <v>0</v>
      </c>
      <c r="AP298" s="46" t="e">
        <f t="shared" si="113"/>
        <v>#DIV/0!</v>
      </c>
    </row>
    <row r="299" spans="2:42" x14ac:dyDescent="0.25">
      <c r="B299" s="36"/>
      <c r="C299" s="60"/>
      <c r="D299" s="60"/>
      <c r="E299" s="37"/>
      <c r="F299" s="38"/>
      <c r="G299" s="38"/>
      <c r="H299" s="38"/>
      <c r="I299" s="39"/>
      <c r="J299" s="40"/>
      <c r="K299" s="40"/>
      <c r="L299" s="40"/>
      <c r="M299" s="41"/>
      <c r="N299" s="41"/>
      <c r="O299" s="42"/>
      <c r="P299" s="43"/>
      <c r="Q299" s="43"/>
      <c r="R299" s="44"/>
      <c r="S299" s="45"/>
      <c r="T299" s="38">
        <f t="shared" si="95"/>
        <v>0</v>
      </c>
      <c r="U299" s="46">
        <f t="shared" si="96"/>
        <v>0</v>
      </c>
      <c r="V299" s="47">
        <f t="shared" si="97"/>
        <v>0</v>
      </c>
      <c r="W299" s="48">
        <f t="shared" si="98"/>
        <v>0</v>
      </c>
      <c r="X299" s="43">
        <f t="shared" si="99"/>
        <v>0</v>
      </c>
      <c r="Y299" s="43">
        <f t="shared" si="100"/>
        <v>0</v>
      </c>
      <c r="Z299" s="43">
        <f t="shared" si="101"/>
        <v>0</v>
      </c>
      <c r="AA299" s="49">
        <f t="shared" si="102"/>
        <v>0</v>
      </c>
      <c r="AB299" s="50">
        <f t="shared" si="103"/>
        <v>0</v>
      </c>
      <c r="AC299" s="43">
        <f t="shared" si="104"/>
        <v>0</v>
      </c>
      <c r="AD299" s="43">
        <f t="shared" si="105"/>
        <v>0</v>
      </c>
      <c r="AE299" s="43">
        <f t="shared" si="106"/>
        <v>0</v>
      </c>
      <c r="AF299" s="51" t="e">
        <f>HLOOKUP(I299,ElecAvoidedCostsWOCC!$A$5:$Q$50,G299+1,FALSE)</f>
        <v>#N/A</v>
      </c>
      <c r="AG299" s="43" t="e">
        <f t="shared" si="107"/>
        <v>#N/A</v>
      </c>
      <c r="AH299" s="51" t="e">
        <f>HLOOKUP(I299,ElecAvoidedCostsWOCC!$A$5:$Q$50,T299+1,FALSE)</f>
        <v>#N/A</v>
      </c>
      <c r="AI299" s="43" t="e">
        <f t="shared" si="108"/>
        <v>#N/A</v>
      </c>
      <c r="AJ299" s="43" t="e">
        <f t="shared" si="109"/>
        <v>#N/A</v>
      </c>
      <c r="AK299" s="43" t="e">
        <f>HLOOKUP(I299,ElecAvoidedCostsWOCC!$A$5:$Q$50,G299+1,FALSE)*J299*L299</f>
        <v>#N/A</v>
      </c>
      <c r="AL299" s="43" t="e">
        <f t="shared" si="110"/>
        <v>#N/A</v>
      </c>
      <c r="AM299" s="47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7">
        <f t="shared" si="111"/>
        <v>0</v>
      </c>
      <c r="AO299" s="46">
        <f t="shared" si="112"/>
        <v>0</v>
      </c>
      <c r="AP299" s="46" t="e">
        <f t="shared" si="113"/>
        <v>#DIV/0!</v>
      </c>
    </row>
    <row r="300" spans="2:42" x14ac:dyDescent="0.25">
      <c r="B300" s="36"/>
      <c r="C300" s="60"/>
      <c r="D300" s="60"/>
      <c r="E300" s="37"/>
      <c r="F300" s="38"/>
      <c r="G300" s="38"/>
      <c r="H300" s="38"/>
      <c r="I300" s="39"/>
      <c r="J300" s="40"/>
      <c r="K300" s="40"/>
      <c r="L300" s="40"/>
      <c r="M300" s="41"/>
      <c r="N300" s="41"/>
      <c r="O300" s="42"/>
      <c r="P300" s="43"/>
      <c r="Q300" s="43"/>
      <c r="R300" s="44"/>
      <c r="S300" s="45"/>
      <c r="T300" s="38">
        <f t="shared" si="95"/>
        <v>0</v>
      </c>
      <c r="U300" s="46">
        <f t="shared" si="96"/>
        <v>0</v>
      </c>
      <c r="V300" s="47">
        <f t="shared" si="97"/>
        <v>0</v>
      </c>
      <c r="W300" s="48">
        <f t="shared" si="98"/>
        <v>0</v>
      </c>
      <c r="X300" s="43">
        <f t="shared" si="99"/>
        <v>0</v>
      </c>
      <c r="Y300" s="43">
        <f t="shared" si="100"/>
        <v>0</v>
      </c>
      <c r="Z300" s="43">
        <f t="shared" si="101"/>
        <v>0</v>
      </c>
      <c r="AA300" s="49">
        <f t="shared" si="102"/>
        <v>0</v>
      </c>
      <c r="AB300" s="50">
        <f t="shared" si="103"/>
        <v>0</v>
      </c>
      <c r="AC300" s="43">
        <f t="shared" si="104"/>
        <v>0</v>
      </c>
      <c r="AD300" s="43">
        <f t="shared" si="105"/>
        <v>0</v>
      </c>
      <c r="AE300" s="43">
        <f t="shared" si="106"/>
        <v>0</v>
      </c>
      <c r="AF300" s="51" t="e">
        <f>HLOOKUP(I300,ElecAvoidedCostsWOCC!$A$5:$Q$50,G300+1,FALSE)</f>
        <v>#N/A</v>
      </c>
      <c r="AG300" s="43" t="e">
        <f t="shared" si="107"/>
        <v>#N/A</v>
      </c>
      <c r="AH300" s="51" t="e">
        <f>HLOOKUP(I300,ElecAvoidedCostsWOCC!$A$5:$Q$50,T300+1,FALSE)</f>
        <v>#N/A</v>
      </c>
      <c r="AI300" s="43" t="e">
        <f t="shared" si="108"/>
        <v>#N/A</v>
      </c>
      <c r="AJ300" s="43" t="e">
        <f t="shared" si="109"/>
        <v>#N/A</v>
      </c>
      <c r="AK300" s="43" t="e">
        <f>HLOOKUP(I300,ElecAvoidedCostsWOCC!$A$5:$Q$50,G300+1,FALSE)*J300*L300</f>
        <v>#N/A</v>
      </c>
      <c r="AL300" s="43" t="e">
        <f t="shared" si="110"/>
        <v>#N/A</v>
      </c>
      <c r="AM300" s="47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7">
        <f t="shared" si="111"/>
        <v>0</v>
      </c>
      <c r="AO300" s="46">
        <f t="shared" si="112"/>
        <v>0</v>
      </c>
      <c r="AP300" s="46" t="e">
        <f t="shared" si="113"/>
        <v>#DIV/0!</v>
      </c>
    </row>
    <row r="301" spans="2:42" x14ac:dyDescent="0.25">
      <c r="B301" s="36"/>
      <c r="C301" s="60"/>
      <c r="D301" s="60"/>
      <c r="E301" s="37"/>
      <c r="F301" s="38"/>
      <c r="G301" s="38"/>
      <c r="H301" s="38"/>
      <c r="I301" s="39"/>
      <c r="J301" s="40"/>
      <c r="K301" s="40"/>
      <c r="L301" s="40"/>
      <c r="M301" s="41"/>
      <c r="N301" s="41"/>
      <c r="O301" s="42"/>
      <c r="P301" s="43"/>
      <c r="Q301" s="43"/>
      <c r="R301" s="44"/>
      <c r="S301" s="45"/>
      <c r="T301" s="38">
        <f t="shared" si="95"/>
        <v>0</v>
      </c>
      <c r="U301" s="46">
        <f t="shared" si="96"/>
        <v>0</v>
      </c>
      <c r="V301" s="47">
        <f t="shared" si="97"/>
        <v>0</v>
      </c>
      <c r="W301" s="48">
        <f t="shared" si="98"/>
        <v>0</v>
      </c>
      <c r="X301" s="43">
        <f t="shared" si="99"/>
        <v>0</v>
      </c>
      <c r="Y301" s="43">
        <f t="shared" si="100"/>
        <v>0</v>
      </c>
      <c r="Z301" s="43">
        <f t="shared" si="101"/>
        <v>0</v>
      </c>
      <c r="AA301" s="49">
        <f t="shared" si="102"/>
        <v>0</v>
      </c>
      <c r="AB301" s="50">
        <f t="shared" si="103"/>
        <v>0</v>
      </c>
      <c r="AC301" s="43">
        <f t="shared" si="104"/>
        <v>0</v>
      </c>
      <c r="AD301" s="43">
        <f t="shared" si="105"/>
        <v>0</v>
      </c>
      <c r="AE301" s="43">
        <f t="shared" si="106"/>
        <v>0</v>
      </c>
      <c r="AF301" s="51" t="e">
        <f>HLOOKUP(I301,ElecAvoidedCostsWOCC!$A$5:$Q$50,G301+1,FALSE)</f>
        <v>#N/A</v>
      </c>
      <c r="AG301" s="43" t="e">
        <f t="shared" si="107"/>
        <v>#N/A</v>
      </c>
      <c r="AH301" s="51" t="e">
        <f>HLOOKUP(I301,ElecAvoidedCostsWOCC!$A$5:$Q$50,T301+1,FALSE)</f>
        <v>#N/A</v>
      </c>
      <c r="AI301" s="43" t="e">
        <f t="shared" si="108"/>
        <v>#N/A</v>
      </c>
      <c r="AJ301" s="43" t="e">
        <f t="shared" si="109"/>
        <v>#N/A</v>
      </c>
      <c r="AK301" s="43" t="e">
        <f>HLOOKUP(I301,ElecAvoidedCostsWOCC!$A$5:$Q$50,G301+1,FALSE)*J301*L301</f>
        <v>#N/A</v>
      </c>
      <c r="AL301" s="43" t="e">
        <f t="shared" si="110"/>
        <v>#N/A</v>
      </c>
      <c r="AM301" s="47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7">
        <f t="shared" si="111"/>
        <v>0</v>
      </c>
      <c r="AO301" s="46">
        <f t="shared" si="112"/>
        <v>0</v>
      </c>
      <c r="AP301" s="46" t="e">
        <f t="shared" si="113"/>
        <v>#DIV/0!</v>
      </c>
    </row>
    <row r="302" spans="2:42" x14ac:dyDescent="0.25">
      <c r="B302" s="36"/>
      <c r="C302" s="60"/>
      <c r="D302" s="60"/>
      <c r="E302" s="37"/>
      <c r="F302" s="38"/>
      <c r="G302" s="38"/>
      <c r="H302" s="38"/>
      <c r="I302" s="39"/>
      <c r="J302" s="40"/>
      <c r="K302" s="40"/>
      <c r="L302" s="40"/>
      <c r="M302" s="41"/>
      <c r="N302" s="41"/>
      <c r="O302" s="42"/>
      <c r="P302" s="43"/>
      <c r="Q302" s="43"/>
      <c r="R302" s="44"/>
      <c r="S302" s="45"/>
      <c r="T302" s="38">
        <f t="shared" si="95"/>
        <v>0</v>
      </c>
      <c r="U302" s="46">
        <f t="shared" si="96"/>
        <v>0</v>
      </c>
      <c r="V302" s="47">
        <f t="shared" si="97"/>
        <v>0</v>
      </c>
      <c r="W302" s="48">
        <f t="shared" si="98"/>
        <v>0</v>
      </c>
      <c r="X302" s="43">
        <f t="shared" si="99"/>
        <v>0</v>
      </c>
      <c r="Y302" s="43">
        <f t="shared" si="100"/>
        <v>0</v>
      </c>
      <c r="Z302" s="43">
        <f t="shared" si="101"/>
        <v>0</v>
      </c>
      <c r="AA302" s="49">
        <f t="shared" si="102"/>
        <v>0</v>
      </c>
      <c r="AB302" s="50">
        <f t="shared" si="103"/>
        <v>0</v>
      </c>
      <c r="AC302" s="43">
        <f t="shared" si="104"/>
        <v>0</v>
      </c>
      <c r="AD302" s="43">
        <f t="shared" si="105"/>
        <v>0</v>
      </c>
      <c r="AE302" s="43">
        <f t="shared" si="106"/>
        <v>0</v>
      </c>
      <c r="AF302" s="51" t="e">
        <f>HLOOKUP(I302,ElecAvoidedCostsWOCC!$A$5:$Q$50,G302+1,FALSE)</f>
        <v>#N/A</v>
      </c>
      <c r="AG302" s="43" t="e">
        <f t="shared" si="107"/>
        <v>#N/A</v>
      </c>
      <c r="AH302" s="51" t="e">
        <f>HLOOKUP(I302,ElecAvoidedCostsWOCC!$A$5:$Q$50,T302+1,FALSE)</f>
        <v>#N/A</v>
      </c>
      <c r="AI302" s="43" t="e">
        <f t="shared" si="108"/>
        <v>#N/A</v>
      </c>
      <c r="AJ302" s="43" t="e">
        <f t="shared" si="109"/>
        <v>#N/A</v>
      </c>
      <c r="AK302" s="43" t="e">
        <f>HLOOKUP(I302,ElecAvoidedCostsWOCC!$A$5:$Q$50,G302+1,FALSE)*J302*L302</f>
        <v>#N/A</v>
      </c>
      <c r="AL302" s="43" t="e">
        <f t="shared" si="110"/>
        <v>#N/A</v>
      </c>
      <c r="AM302" s="47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7">
        <f t="shared" si="111"/>
        <v>0</v>
      </c>
      <c r="AO302" s="46">
        <f t="shared" si="112"/>
        <v>0</v>
      </c>
      <c r="AP302" s="46" t="e">
        <f t="shared" si="113"/>
        <v>#DIV/0!</v>
      </c>
    </row>
    <row r="303" spans="2:42" x14ac:dyDescent="0.25">
      <c r="B303" s="36"/>
      <c r="C303" s="60"/>
      <c r="D303" s="60"/>
      <c r="E303" s="37"/>
      <c r="F303" s="38"/>
      <c r="G303" s="38"/>
      <c r="H303" s="38"/>
      <c r="I303" s="39"/>
      <c r="J303" s="40"/>
      <c r="K303" s="40"/>
      <c r="L303" s="40"/>
      <c r="M303" s="41"/>
      <c r="N303" s="41"/>
      <c r="O303" s="42"/>
      <c r="P303" s="43"/>
      <c r="Q303" s="43"/>
      <c r="R303" s="44"/>
      <c r="S303" s="45"/>
      <c r="T303" s="38">
        <f t="shared" si="95"/>
        <v>0</v>
      </c>
      <c r="U303" s="46">
        <f t="shared" si="96"/>
        <v>0</v>
      </c>
      <c r="V303" s="47">
        <f t="shared" si="97"/>
        <v>0</v>
      </c>
      <c r="W303" s="48">
        <f t="shared" si="98"/>
        <v>0</v>
      </c>
      <c r="X303" s="43">
        <f t="shared" si="99"/>
        <v>0</v>
      </c>
      <c r="Y303" s="43">
        <f t="shared" si="100"/>
        <v>0</v>
      </c>
      <c r="Z303" s="43">
        <f t="shared" si="101"/>
        <v>0</v>
      </c>
      <c r="AA303" s="49">
        <f t="shared" si="102"/>
        <v>0</v>
      </c>
      <c r="AB303" s="50">
        <f t="shared" si="103"/>
        <v>0</v>
      </c>
      <c r="AC303" s="43">
        <f t="shared" si="104"/>
        <v>0</v>
      </c>
      <c r="AD303" s="43">
        <f t="shared" si="105"/>
        <v>0</v>
      </c>
      <c r="AE303" s="43">
        <f t="shared" si="106"/>
        <v>0</v>
      </c>
      <c r="AF303" s="51" t="e">
        <f>HLOOKUP(I303,ElecAvoidedCostsWOCC!$A$5:$Q$50,G303+1,FALSE)</f>
        <v>#N/A</v>
      </c>
      <c r="AG303" s="43" t="e">
        <f t="shared" si="107"/>
        <v>#N/A</v>
      </c>
      <c r="AH303" s="51" t="e">
        <f>HLOOKUP(I303,ElecAvoidedCostsWOCC!$A$5:$Q$50,T303+1,FALSE)</f>
        <v>#N/A</v>
      </c>
      <c r="AI303" s="43" t="e">
        <f t="shared" si="108"/>
        <v>#N/A</v>
      </c>
      <c r="AJ303" s="43" t="e">
        <f t="shared" si="109"/>
        <v>#N/A</v>
      </c>
      <c r="AK303" s="43" t="e">
        <f>HLOOKUP(I303,ElecAvoidedCostsWOCC!$A$5:$Q$50,G303+1,FALSE)*J303*L303</f>
        <v>#N/A</v>
      </c>
      <c r="AL303" s="43" t="e">
        <f t="shared" si="110"/>
        <v>#N/A</v>
      </c>
      <c r="AM303" s="47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7">
        <f t="shared" si="111"/>
        <v>0</v>
      </c>
      <c r="AO303" s="46">
        <f t="shared" si="112"/>
        <v>0</v>
      </c>
      <c r="AP303" s="46" t="e">
        <f t="shared" si="113"/>
        <v>#DIV/0!</v>
      </c>
    </row>
    <row r="304" spans="2:42" x14ac:dyDescent="0.25">
      <c r="B304" s="36"/>
      <c r="C304" s="60"/>
      <c r="D304" s="60"/>
      <c r="E304" s="37"/>
      <c r="F304" s="38"/>
      <c r="G304" s="38"/>
      <c r="H304" s="38"/>
      <c r="I304" s="39"/>
      <c r="J304" s="40"/>
      <c r="K304" s="40"/>
      <c r="L304" s="40"/>
      <c r="M304" s="41"/>
      <c r="N304" s="41"/>
      <c r="O304" s="42"/>
      <c r="P304" s="43"/>
      <c r="Q304" s="43"/>
      <c r="R304" s="44"/>
      <c r="S304" s="45"/>
      <c r="T304" s="38">
        <f t="shared" si="95"/>
        <v>0</v>
      </c>
      <c r="U304" s="46">
        <f t="shared" si="96"/>
        <v>0</v>
      </c>
      <c r="V304" s="47">
        <f t="shared" si="97"/>
        <v>0</v>
      </c>
      <c r="W304" s="48">
        <f t="shared" si="98"/>
        <v>0</v>
      </c>
      <c r="X304" s="43">
        <f t="shared" si="99"/>
        <v>0</v>
      </c>
      <c r="Y304" s="43">
        <f t="shared" si="100"/>
        <v>0</v>
      </c>
      <c r="Z304" s="43">
        <f t="shared" si="101"/>
        <v>0</v>
      </c>
      <c r="AA304" s="49">
        <f t="shared" si="102"/>
        <v>0</v>
      </c>
      <c r="AB304" s="50">
        <f t="shared" si="103"/>
        <v>0</v>
      </c>
      <c r="AC304" s="43">
        <f t="shared" si="104"/>
        <v>0</v>
      </c>
      <c r="AD304" s="43">
        <f t="shared" si="105"/>
        <v>0</v>
      </c>
      <c r="AE304" s="43">
        <f t="shared" si="106"/>
        <v>0</v>
      </c>
      <c r="AF304" s="51" t="e">
        <f>HLOOKUP(I304,ElecAvoidedCostsWOCC!$A$5:$Q$50,G304+1,FALSE)</f>
        <v>#N/A</v>
      </c>
      <c r="AG304" s="43" t="e">
        <f t="shared" si="107"/>
        <v>#N/A</v>
      </c>
      <c r="AH304" s="51" t="e">
        <f>HLOOKUP(I304,ElecAvoidedCostsWOCC!$A$5:$Q$50,T304+1,FALSE)</f>
        <v>#N/A</v>
      </c>
      <c r="AI304" s="43" t="e">
        <f t="shared" si="108"/>
        <v>#N/A</v>
      </c>
      <c r="AJ304" s="43" t="e">
        <f t="shared" si="109"/>
        <v>#N/A</v>
      </c>
      <c r="AK304" s="43" t="e">
        <f>HLOOKUP(I304,ElecAvoidedCostsWOCC!$A$5:$Q$50,G304+1,FALSE)*J304*L304</f>
        <v>#N/A</v>
      </c>
      <c r="AL304" s="43" t="e">
        <f t="shared" si="110"/>
        <v>#N/A</v>
      </c>
      <c r="AM304" s="47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7">
        <f t="shared" si="111"/>
        <v>0</v>
      </c>
      <c r="AO304" s="46">
        <f t="shared" si="112"/>
        <v>0</v>
      </c>
      <c r="AP304" s="46" t="e">
        <f t="shared" si="113"/>
        <v>#DIV/0!</v>
      </c>
    </row>
    <row r="305" spans="2:42" x14ac:dyDescent="0.25">
      <c r="B305" s="36"/>
      <c r="C305" s="60"/>
      <c r="D305" s="60"/>
      <c r="E305" s="37"/>
      <c r="F305" s="38"/>
      <c r="G305" s="38"/>
      <c r="H305" s="38"/>
      <c r="I305" s="39"/>
      <c r="J305" s="40"/>
      <c r="K305" s="40"/>
      <c r="L305" s="40"/>
      <c r="M305" s="41"/>
      <c r="N305" s="41"/>
      <c r="O305" s="42"/>
      <c r="P305" s="43"/>
      <c r="Q305" s="43"/>
      <c r="R305" s="44"/>
      <c r="S305" s="45"/>
      <c r="T305" s="38">
        <f t="shared" si="95"/>
        <v>0</v>
      </c>
      <c r="U305" s="46">
        <f t="shared" si="96"/>
        <v>0</v>
      </c>
      <c r="V305" s="47">
        <f t="shared" si="97"/>
        <v>0</v>
      </c>
      <c r="W305" s="48">
        <f t="shared" si="98"/>
        <v>0</v>
      </c>
      <c r="X305" s="43">
        <f t="shared" si="99"/>
        <v>0</v>
      </c>
      <c r="Y305" s="43">
        <f t="shared" si="100"/>
        <v>0</v>
      </c>
      <c r="Z305" s="43">
        <f t="shared" si="101"/>
        <v>0</v>
      </c>
      <c r="AA305" s="49">
        <f t="shared" si="102"/>
        <v>0</v>
      </c>
      <c r="AB305" s="50">
        <f t="shared" si="103"/>
        <v>0</v>
      </c>
      <c r="AC305" s="43">
        <f t="shared" si="104"/>
        <v>0</v>
      </c>
      <c r="AD305" s="43">
        <f t="shared" si="105"/>
        <v>0</v>
      </c>
      <c r="AE305" s="43">
        <f t="shared" si="106"/>
        <v>0</v>
      </c>
      <c r="AF305" s="51" t="e">
        <f>HLOOKUP(I305,ElecAvoidedCostsWOCC!$A$5:$Q$50,G305+1,FALSE)</f>
        <v>#N/A</v>
      </c>
      <c r="AG305" s="43" t="e">
        <f t="shared" si="107"/>
        <v>#N/A</v>
      </c>
      <c r="AH305" s="51" t="e">
        <f>HLOOKUP(I305,ElecAvoidedCostsWOCC!$A$5:$Q$50,T305+1,FALSE)</f>
        <v>#N/A</v>
      </c>
      <c r="AI305" s="43" t="e">
        <f t="shared" si="108"/>
        <v>#N/A</v>
      </c>
      <c r="AJ305" s="43" t="e">
        <f t="shared" si="109"/>
        <v>#N/A</v>
      </c>
      <c r="AK305" s="43" t="e">
        <f>HLOOKUP(I305,ElecAvoidedCostsWOCC!$A$5:$Q$50,G305+1,FALSE)*J305*L305</f>
        <v>#N/A</v>
      </c>
      <c r="AL305" s="43" t="e">
        <f t="shared" si="110"/>
        <v>#N/A</v>
      </c>
      <c r="AM305" s="47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7">
        <f t="shared" si="111"/>
        <v>0</v>
      </c>
      <c r="AO305" s="46">
        <f t="shared" si="112"/>
        <v>0</v>
      </c>
      <c r="AP305" s="46" t="e">
        <f t="shared" si="113"/>
        <v>#DIV/0!</v>
      </c>
    </row>
    <row r="306" spans="2:42" x14ac:dyDescent="0.25">
      <c r="B306" s="36"/>
      <c r="C306" s="60"/>
      <c r="D306" s="60"/>
      <c r="E306" s="37"/>
      <c r="F306" s="38"/>
      <c r="G306" s="38"/>
      <c r="H306" s="38"/>
      <c r="I306" s="39"/>
      <c r="J306" s="40"/>
      <c r="K306" s="40"/>
      <c r="L306" s="40"/>
      <c r="M306" s="41"/>
      <c r="N306" s="41"/>
      <c r="O306" s="42"/>
      <c r="P306" s="43"/>
      <c r="Q306" s="43"/>
      <c r="R306" s="44"/>
      <c r="S306" s="45"/>
      <c r="T306" s="38">
        <f t="shared" si="95"/>
        <v>0</v>
      </c>
      <c r="U306" s="46">
        <f t="shared" si="96"/>
        <v>0</v>
      </c>
      <c r="V306" s="47">
        <f t="shared" si="97"/>
        <v>0</v>
      </c>
      <c r="W306" s="48">
        <f t="shared" si="98"/>
        <v>0</v>
      </c>
      <c r="X306" s="43">
        <f t="shared" si="99"/>
        <v>0</v>
      </c>
      <c r="Y306" s="43">
        <f t="shared" si="100"/>
        <v>0</v>
      </c>
      <c r="Z306" s="43">
        <f t="shared" si="101"/>
        <v>0</v>
      </c>
      <c r="AA306" s="49">
        <f t="shared" si="102"/>
        <v>0</v>
      </c>
      <c r="AB306" s="50">
        <f t="shared" si="103"/>
        <v>0</v>
      </c>
      <c r="AC306" s="43">
        <f t="shared" si="104"/>
        <v>0</v>
      </c>
      <c r="AD306" s="43">
        <f t="shared" si="105"/>
        <v>0</v>
      </c>
      <c r="AE306" s="43">
        <f t="shared" si="106"/>
        <v>0</v>
      </c>
      <c r="AF306" s="51" t="e">
        <f>HLOOKUP(I306,ElecAvoidedCostsWOCC!$A$5:$Q$50,G306+1,FALSE)</f>
        <v>#N/A</v>
      </c>
      <c r="AG306" s="43" t="e">
        <f t="shared" si="107"/>
        <v>#N/A</v>
      </c>
      <c r="AH306" s="51" t="e">
        <f>HLOOKUP(I306,ElecAvoidedCostsWOCC!$A$5:$Q$50,T306+1,FALSE)</f>
        <v>#N/A</v>
      </c>
      <c r="AI306" s="43" t="e">
        <f t="shared" si="108"/>
        <v>#N/A</v>
      </c>
      <c r="AJ306" s="43" t="e">
        <f t="shared" si="109"/>
        <v>#N/A</v>
      </c>
      <c r="AK306" s="43" t="e">
        <f>HLOOKUP(I306,ElecAvoidedCostsWOCC!$A$5:$Q$50,G306+1,FALSE)*J306*L306</f>
        <v>#N/A</v>
      </c>
      <c r="AL306" s="43" t="e">
        <f t="shared" si="110"/>
        <v>#N/A</v>
      </c>
      <c r="AM306" s="47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7">
        <f t="shared" si="111"/>
        <v>0</v>
      </c>
      <c r="AO306" s="46">
        <f t="shared" si="112"/>
        <v>0</v>
      </c>
      <c r="AP306" s="46" t="e">
        <f t="shared" si="113"/>
        <v>#DIV/0!</v>
      </c>
    </row>
    <row r="307" spans="2:42" x14ac:dyDescent="0.25">
      <c r="B307" s="36"/>
      <c r="C307" s="60"/>
      <c r="D307" s="60"/>
      <c r="E307" s="37"/>
      <c r="F307" s="38"/>
      <c r="G307" s="38"/>
      <c r="H307" s="38"/>
      <c r="I307" s="39"/>
      <c r="J307" s="40"/>
      <c r="K307" s="40"/>
      <c r="L307" s="40"/>
      <c r="M307" s="41"/>
      <c r="N307" s="41"/>
      <c r="O307" s="42"/>
      <c r="P307" s="43"/>
      <c r="Q307" s="43"/>
      <c r="R307" s="44"/>
      <c r="S307" s="45"/>
      <c r="T307" s="38">
        <f t="shared" si="95"/>
        <v>0</v>
      </c>
      <c r="U307" s="46">
        <f t="shared" si="96"/>
        <v>0</v>
      </c>
      <c r="V307" s="47">
        <f t="shared" si="97"/>
        <v>0</v>
      </c>
      <c r="W307" s="48">
        <f t="shared" si="98"/>
        <v>0</v>
      </c>
      <c r="X307" s="43">
        <f t="shared" si="99"/>
        <v>0</v>
      </c>
      <c r="Y307" s="43">
        <f t="shared" si="100"/>
        <v>0</v>
      </c>
      <c r="Z307" s="43">
        <f t="shared" si="101"/>
        <v>0</v>
      </c>
      <c r="AA307" s="49">
        <f t="shared" si="102"/>
        <v>0</v>
      </c>
      <c r="AB307" s="50">
        <f t="shared" si="103"/>
        <v>0</v>
      </c>
      <c r="AC307" s="43">
        <f t="shared" si="104"/>
        <v>0</v>
      </c>
      <c r="AD307" s="43">
        <f t="shared" si="105"/>
        <v>0</v>
      </c>
      <c r="AE307" s="43">
        <f t="shared" si="106"/>
        <v>0</v>
      </c>
      <c r="AF307" s="51" t="e">
        <f>HLOOKUP(I307,ElecAvoidedCostsWOCC!$A$5:$Q$50,G307+1,FALSE)</f>
        <v>#N/A</v>
      </c>
      <c r="AG307" s="43" t="e">
        <f t="shared" si="107"/>
        <v>#N/A</v>
      </c>
      <c r="AH307" s="51" t="e">
        <f>HLOOKUP(I307,ElecAvoidedCostsWOCC!$A$5:$Q$50,T307+1,FALSE)</f>
        <v>#N/A</v>
      </c>
      <c r="AI307" s="43" t="e">
        <f t="shared" si="108"/>
        <v>#N/A</v>
      </c>
      <c r="AJ307" s="43" t="e">
        <f t="shared" si="109"/>
        <v>#N/A</v>
      </c>
      <c r="AK307" s="43" t="e">
        <f>HLOOKUP(I307,ElecAvoidedCostsWOCC!$A$5:$Q$50,G307+1,FALSE)*J307*L307</f>
        <v>#N/A</v>
      </c>
      <c r="AL307" s="43" t="e">
        <f t="shared" si="110"/>
        <v>#N/A</v>
      </c>
      <c r="AM307" s="47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7">
        <f t="shared" si="111"/>
        <v>0</v>
      </c>
      <c r="AO307" s="46">
        <f t="shared" si="112"/>
        <v>0</v>
      </c>
      <c r="AP307" s="46" t="e">
        <f t="shared" si="113"/>
        <v>#DIV/0!</v>
      </c>
    </row>
    <row r="308" spans="2:42" x14ac:dyDescent="0.25">
      <c r="B308" s="36"/>
      <c r="C308" s="60"/>
      <c r="D308" s="60"/>
      <c r="E308" s="37"/>
      <c r="F308" s="38"/>
      <c r="G308" s="38"/>
      <c r="H308" s="38"/>
      <c r="I308" s="39"/>
      <c r="J308" s="40"/>
      <c r="K308" s="40"/>
      <c r="L308" s="40"/>
      <c r="M308" s="41"/>
      <c r="N308" s="41"/>
      <c r="O308" s="42"/>
      <c r="P308" s="43"/>
      <c r="Q308" s="43"/>
      <c r="R308" s="44"/>
      <c r="S308" s="45"/>
      <c r="T308" s="38">
        <f t="shared" si="95"/>
        <v>0</v>
      </c>
      <c r="U308" s="46">
        <f t="shared" si="96"/>
        <v>0</v>
      </c>
      <c r="V308" s="47">
        <f t="shared" si="97"/>
        <v>0</v>
      </c>
      <c r="W308" s="48">
        <f t="shared" si="98"/>
        <v>0</v>
      </c>
      <c r="X308" s="43">
        <f t="shared" si="99"/>
        <v>0</v>
      </c>
      <c r="Y308" s="43">
        <f t="shared" si="100"/>
        <v>0</v>
      </c>
      <c r="Z308" s="43">
        <f t="shared" si="101"/>
        <v>0</v>
      </c>
      <c r="AA308" s="49">
        <f t="shared" si="102"/>
        <v>0</v>
      </c>
      <c r="AB308" s="50">
        <f t="shared" si="103"/>
        <v>0</v>
      </c>
      <c r="AC308" s="43">
        <f t="shared" si="104"/>
        <v>0</v>
      </c>
      <c r="AD308" s="43">
        <f t="shared" si="105"/>
        <v>0</v>
      </c>
      <c r="AE308" s="43">
        <f t="shared" si="106"/>
        <v>0</v>
      </c>
      <c r="AF308" s="51" t="e">
        <f>HLOOKUP(I308,ElecAvoidedCostsWOCC!$A$5:$Q$50,G308+1,FALSE)</f>
        <v>#N/A</v>
      </c>
      <c r="AG308" s="43" t="e">
        <f t="shared" si="107"/>
        <v>#N/A</v>
      </c>
      <c r="AH308" s="51" t="e">
        <f>HLOOKUP(I308,ElecAvoidedCostsWOCC!$A$5:$Q$50,T308+1,FALSE)</f>
        <v>#N/A</v>
      </c>
      <c r="AI308" s="43" t="e">
        <f t="shared" si="108"/>
        <v>#N/A</v>
      </c>
      <c r="AJ308" s="43" t="e">
        <f t="shared" si="109"/>
        <v>#N/A</v>
      </c>
      <c r="AK308" s="43" t="e">
        <f>HLOOKUP(I308,ElecAvoidedCostsWOCC!$A$5:$Q$50,G308+1,FALSE)*J308*L308</f>
        <v>#N/A</v>
      </c>
      <c r="AL308" s="43" t="e">
        <f t="shared" si="110"/>
        <v>#N/A</v>
      </c>
      <c r="AM308" s="47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7">
        <f t="shared" si="111"/>
        <v>0</v>
      </c>
      <c r="AO308" s="46">
        <f t="shared" si="112"/>
        <v>0</v>
      </c>
      <c r="AP308" s="46" t="e">
        <f t="shared" si="113"/>
        <v>#DIV/0!</v>
      </c>
    </row>
    <row r="309" spans="2:42" x14ac:dyDescent="0.25">
      <c r="B309" s="36"/>
      <c r="C309" s="60"/>
      <c r="D309" s="60"/>
      <c r="E309" s="37"/>
      <c r="F309" s="38"/>
      <c r="G309" s="38"/>
      <c r="H309" s="38"/>
      <c r="I309" s="39"/>
      <c r="J309" s="40"/>
      <c r="K309" s="40"/>
      <c r="L309" s="40"/>
      <c r="M309" s="41"/>
      <c r="N309" s="41"/>
      <c r="O309" s="42"/>
      <c r="P309" s="43"/>
      <c r="Q309" s="43"/>
      <c r="R309" s="44"/>
      <c r="S309" s="45"/>
      <c r="T309" s="38">
        <f t="shared" si="95"/>
        <v>0</v>
      </c>
      <c r="U309" s="46">
        <f t="shared" si="96"/>
        <v>0</v>
      </c>
      <c r="V309" s="47">
        <f t="shared" si="97"/>
        <v>0</v>
      </c>
      <c r="W309" s="48">
        <f t="shared" si="98"/>
        <v>0</v>
      </c>
      <c r="X309" s="43">
        <f t="shared" si="99"/>
        <v>0</v>
      </c>
      <c r="Y309" s="43">
        <f t="shared" si="100"/>
        <v>0</v>
      </c>
      <c r="Z309" s="43">
        <f t="shared" si="101"/>
        <v>0</v>
      </c>
      <c r="AA309" s="49">
        <f t="shared" si="102"/>
        <v>0</v>
      </c>
      <c r="AB309" s="50">
        <f t="shared" si="103"/>
        <v>0</v>
      </c>
      <c r="AC309" s="43">
        <f t="shared" si="104"/>
        <v>0</v>
      </c>
      <c r="AD309" s="43">
        <f t="shared" si="105"/>
        <v>0</v>
      </c>
      <c r="AE309" s="43">
        <f t="shared" si="106"/>
        <v>0</v>
      </c>
      <c r="AF309" s="51" t="e">
        <f>HLOOKUP(I309,ElecAvoidedCostsWOCC!$A$5:$Q$50,G309+1,FALSE)</f>
        <v>#N/A</v>
      </c>
      <c r="AG309" s="43" t="e">
        <f t="shared" si="107"/>
        <v>#N/A</v>
      </c>
      <c r="AH309" s="51" t="e">
        <f>HLOOKUP(I309,ElecAvoidedCostsWOCC!$A$5:$Q$50,T309+1,FALSE)</f>
        <v>#N/A</v>
      </c>
      <c r="AI309" s="43" t="e">
        <f t="shared" si="108"/>
        <v>#N/A</v>
      </c>
      <c r="AJ309" s="43" t="e">
        <f t="shared" si="109"/>
        <v>#N/A</v>
      </c>
      <c r="AK309" s="43" t="e">
        <f>HLOOKUP(I309,ElecAvoidedCostsWOCC!$A$5:$Q$50,G309+1,FALSE)*J309*L309</f>
        <v>#N/A</v>
      </c>
      <c r="AL309" s="43" t="e">
        <f t="shared" si="110"/>
        <v>#N/A</v>
      </c>
      <c r="AM309" s="47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7">
        <f t="shared" si="111"/>
        <v>0</v>
      </c>
      <c r="AO309" s="46">
        <f t="shared" si="112"/>
        <v>0</v>
      </c>
      <c r="AP309" s="46" t="e">
        <f t="shared" si="113"/>
        <v>#DIV/0!</v>
      </c>
    </row>
    <row r="310" spans="2:42" x14ac:dyDescent="0.25">
      <c r="B310" s="36"/>
      <c r="C310" s="60"/>
      <c r="D310" s="60"/>
      <c r="E310" s="37"/>
      <c r="F310" s="38"/>
      <c r="G310" s="38"/>
      <c r="H310" s="38"/>
      <c r="I310" s="39"/>
      <c r="J310" s="40"/>
      <c r="K310" s="40"/>
      <c r="L310" s="40"/>
      <c r="M310" s="41"/>
      <c r="N310" s="41"/>
      <c r="O310" s="42"/>
      <c r="P310" s="43"/>
      <c r="Q310" s="43"/>
      <c r="R310" s="44"/>
      <c r="S310" s="45"/>
      <c r="T310" s="38">
        <f t="shared" si="95"/>
        <v>0</v>
      </c>
      <c r="U310" s="46">
        <f t="shared" si="96"/>
        <v>0</v>
      </c>
      <c r="V310" s="47">
        <f t="shared" si="97"/>
        <v>0</v>
      </c>
      <c r="W310" s="48">
        <f t="shared" si="98"/>
        <v>0</v>
      </c>
      <c r="X310" s="43">
        <f t="shared" si="99"/>
        <v>0</v>
      </c>
      <c r="Y310" s="43">
        <f t="shared" si="100"/>
        <v>0</v>
      </c>
      <c r="Z310" s="43">
        <f t="shared" si="101"/>
        <v>0</v>
      </c>
      <c r="AA310" s="49">
        <f t="shared" si="102"/>
        <v>0</v>
      </c>
      <c r="AB310" s="50">
        <f t="shared" si="103"/>
        <v>0</v>
      </c>
      <c r="AC310" s="43">
        <f t="shared" si="104"/>
        <v>0</v>
      </c>
      <c r="AD310" s="43">
        <f t="shared" si="105"/>
        <v>0</v>
      </c>
      <c r="AE310" s="43">
        <f t="shared" si="106"/>
        <v>0</v>
      </c>
      <c r="AF310" s="51" t="e">
        <f>HLOOKUP(I310,ElecAvoidedCostsWOCC!$A$5:$Q$50,G310+1,FALSE)</f>
        <v>#N/A</v>
      </c>
      <c r="AG310" s="43" t="e">
        <f t="shared" si="107"/>
        <v>#N/A</v>
      </c>
      <c r="AH310" s="51" t="e">
        <f>HLOOKUP(I310,ElecAvoidedCostsWOCC!$A$5:$Q$50,T310+1,FALSE)</f>
        <v>#N/A</v>
      </c>
      <c r="AI310" s="43" t="e">
        <f t="shared" si="108"/>
        <v>#N/A</v>
      </c>
      <c r="AJ310" s="43" t="e">
        <f t="shared" si="109"/>
        <v>#N/A</v>
      </c>
      <c r="AK310" s="43" t="e">
        <f>HLOOKUP(I310,ElecAvoidedCostsWOCC!$A$5:$Q$50,G310+1,FALSE)*J310*L310</f>
        <v>#N/A</v>
      </c>
      <c r="AL310" s="43" t="e">
        <f t="shared" si="110"/>
        <v>#N/A</v>
      </c>
      <c r="AM310" s="47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7">
        <f t="shared" si="111"/>
        <v>0</v>
      </c>
      <c r="AO310" s="46">
        <f t="shared" si="112"/>
        <v>0</v>
      </c>
      <c r="AP310" s="46" t="e">
        <f t="shared" si="113"/>
        <v>#DIV/0!</v>
      </c>
    </row>
    <row r="311" spans="2:42" x14ac:dyDescent="0.25">
      <c r="B311" s="36"/>
      <c r="C311" s="60"/>
      <c r="D311" s="60"/>
      <c r="E311" s="37"/>
      <c r="F311" s="38"/>
      <c r="G311" s="38"/>
      <c r="H311" s="38"/>
      <c r="I311" s="39"/>
      <c r="J311" s="40"/>
      <c r="K311" s="40"/>
      <c r="L311" s="40"/>
      <c r="M311" s="41"/>
      <c r="N311" s="41"/>
      <c r="O311" s="42"/>
      <c r="P311" s="43"/>
      <c r="Q311" s="43"/>
      <c r="R311" s="44"/>
      <c r="S311" s="45"/>
      <c r="T311" s="38">
        <f t="shared" si="95"/>
        <v>0</v>
      </c>
      <c r="U311" s="46">
        <f t="shared" si="96"/>
        <v>0</v>
      </c>
      <c r="V311" s="47">
        <f t="shared" si="97"/>
        <v>0</v>
      </c>
      <c r="W311" s="48">
        <f t="shared" si="98"/>
        <v>0</v>
      </c>
      <c r="X311" s="43">
        <f t="shared" si="99"/>
        <v>0</v>
      </c>
      <c r="Y311" s="43">
        <f t="shared" si="100"/>
        <v>0</v>
      </c>
      <c r="Z311" s="43">
        <f t="shared" si="101"/>
        <v>0</v>
      </c>
      <c r="AA311" s="49">
        <f t="shared" si="102"/>
        <v>0</v>
      </c>
      <c r="AB311" s="50">
        <f t="shared" si="103"/>
        <v>0</v>
      </c>
      <c r="AC311" s="43">
        <f t="shared" si="104"/>
        <v>0</v>
      </c>
      <c r="AD311" s="43">
        <f t="shared" si="105"/>
        <v>0</v>
      </c>
      <c r="AE311" s="43">
        <f t="shared" si="106"/>
        <v>0</v>
      </c>
      <c r="AF311" s="51" t="e">
        <f>HLOOKUP(I311,ElecAvoidedCostsWOCC!$A$5:$Q$50,G311+1,FALSE)</f>
        <v>#N/A</v>
      </c>
      <c r="AG311" s="43" t="e">
        <f t="shared" si="107"/>
        <v>#N/A</v>
      </c>
      <c r="AH311" s="51" t="e">
        <f>HLOOKUP(I311,ElecAvoidedCostsWOCC!$A$5:$Q$50,T311+1,FALSE)</f>
        <v>#N/A</v>
      </c>
      <c r="AI311" s="43" t="e">
        <f t="shared" si="108"/>
        <v>#N/A</v>
      </c>
      <c r="AJ311" s="43" t="e">
        <f t="shared" si="109"/>
        <v>#N/A</v>
      </c>
      <c r="AK311" s="43" t="e">
        <f>HLOOKUP(I311,ElecAvoidedCostsWOCC!$A$5:$Q$50,G311+1,FALSE)*J311*L311</f>
        <v>#N/A</v>
      </c>
      <c r="AL311" s="43" t="e">
        <f t="shared" si="110"/>
        <v>#N/A</v>
      </c>
      <c r="AM311" s="47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7">
        <f t="shared" si="111"/>
        <v>0</v>
      </c>
      <c r="AO311" s="46">
        <f t="shared" si="112"/>
        <v>0</v>
      </c>
      <c r="AP311" s="46" t="e">
        <f t="shared" si="113"/>
        <v>#DIV/0!</v>
      </c>
    </row>
    <row r="312" spans="2:42" x14ac:dyDescent="0.25">
      <c r="B312" s="36"/>
      <c r="C312" s="60"/>
      <c r="D312" s="60"/>
      <c r="E312" s="37"/>
      <c r="F312" s="38"/>
      <c r="G312" s="38"/>
      <c r="H312" s="38"/>
      <c r="I312" s="39"/>
      <c r="J312" s="40"/>
      <c r="K312" s="40"/>
      <c r="L312" s="40"/>
      <c r="M312" s="41"/>
      <c r="N312" s="41"/>
      <c r="O312" s="42"/>
      <c r="P312" s="43"/>
      <c r="Q312" s="43"/>
      <c r="R312" s="44"/>
      <c r="S312" s="45"/>
      <c r="T312" s="38">
        <f t="shared" si="95"/>
        <v>0</v>
      </c>
      <c r="U312" s="46">
        <f t="shared" si="96"/>
        <v>0</v>
      </c>
      <c r="V312" s="47">
        <f t="shared" si="97"/>
        <v>0</v>
      </c>
      <c r="W312" s="48">
        <f t="shared" si="98"/>
        <v>0</v>
      </c>
      <c r="X312" s="43">
        <f t="shared" si="99"/>
        <v>0</v>
      </c>
      <c r="Y312" s="43">
        <f t="shared" si="100"/>
        <v>0</v>
      </c>
      <c r="Z312" s="43">
        <f t="shared" si="101"/>
        <v>0</v>
      </c>
      <c r="AA312" s="49">
        <f t="shared" si="102"/>
        <v>0</v>
      </c>
      <c r="AB312" s="50">
        <f t="shared" si="103"/>
        <v>0</v>
      </c>
      <c r="AC312" s="43">
        <f t="shared" si="104"/>
        <v>0</v>
      </c>
      <c r="AD312" s="43">
        <f t="shared" si="105"/>
        <v>0</v>
      </c>
      <c r="AE312" s="43">
        <f t="shared" si="106"/>
        <v>0</v>
      </c>
      <c r="AF312" s="51" t="e">
        <f>HLOOKUP(I312,ElecAvoidedCostsWOCC!$A$5:$Q$50,G312+1,FALSE)</f>
        <v>#N/A</v>
      </c>
      <c r="AG312" s="43" t="e">
        <f t="shared" si="107"/>
        <v>#N/A</v>
      </c>
      <c r="AH312" s="51" t="e">
        <f>HLOOKUP(I312,ElecAvoidedCostsWOCC!$A$5:$Q$50,T312+1,FALSE)</f>
        <v>#N/A</v>
      </c>
      <c r="AI312" s="43" t="e">
        <f t="shared" si="108"/>
        <v>#N/A</v>
      </c>
      <c r="AJ312" s="43" t="e">
        <f t="shared" si="109"/>
        <v>#N/A</v>
      </c>
      <c r="AK312" s="43" t="e">
        <f>HLOOKUP(I312,ElecAvoidedCostsWOCC!$A$5:$Q$50,G312+1,FALSE)*J312*L312</f>
        <v>#N/A</v>
      </c>
      <c r="AL312" s="43" t="e">
        <f t="shared" si="110"/>
        <v>#N/A</v>
      </c>
      <c r="AM312" s="47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7">
        <f t="shared" si="111"/>
        <v>0</v>
      </c>
      <c r="AO312" s="46">
        <f t="shared" si="112"/>
        <v>0</v>
      </c>
      <c r="AP312" s="46" t="e">
        <f t="shared" si="113"/>
        <v>#DIV/0!</v>
      </c>
    </row>
    <row r="313" spans="2:42" x14ac:dyDescent="0.25">
      <c r="B313" s="36"/>
      <c r="C313" s="60"/>
      <c r="D313" s="60"/>
      <c r="E313" s="37"/>
      <c r="F313" s="38"/>
      <c r="G313" s="38"/>
      <c r="H313" s="38"/>
      <c r="I313" s="39"/>
      <c r="J313" s="40"/>
      <c r="K313" s="40"/>
      <c r="L313" s="40"/>
      <c r="M313" s="41"/>
      <c r="N313" s="41"/>
      <c r="O313" s="42"/>
      <c r="P313" s="43"/>
      <c r="Q313" s="43"/>
      <c r="R313" s="44"/>
      <c r="S313" s="45"/>
      <c r="T313" s="38">
        <f t="shared" si="95"/>
        <v>0</v>
      </c>
      <c r="U313" s="46">
        <f t="shared" si="96"/>
        <v>0</v>
      </c>
      <c r="V313" s="47">
        <f t="shared" si="97"/>
        <v>0</v>
      </c>
      <c r="W313" s="48">
        <f t="shared" si="98"/>
        <v>0</v>
      </c>
      <c r="X313" s="43">
        <f t="shared" si="99"/>
        <v>0</v>
      </c>
      <c r="Y313" s="43">
        <f t="shared" si="100"/>
        <v>0</v>
      </c>
      <c r="Z313" s="43">
        <f t="shared" si="101"/>
        <v>0</v>
      </c>
      <c r="AA313" s="49">
        <f t="shared" si="102"/>
        <v>0</v>
      </c>
      <c r="AB313" s="50">
        <f t="shared" si="103"/>
        <v>0</v>
      </c>
      <c r="AC313" s="43">
        <f t="shared" si="104"/>
        <v>0</v>
      </c>
      <c r="AD313" s="43">
        <f t="shared" si="105"/>
        <v>0</v>
      </c>
      <c r="AE313" s="43">
        <f t="shared" si="106"/>
        <v>0</v>
      </c>
      <c r="AF313" s="51" t="e">
        <f>HLOOKUP(I313,ElecAvoidedCostsWOCC!$A$5:$Q$50,G313+1,FALSE)</f>
        <v>#N/A</v>
      </c>
      <c r="AG313" s="43" t="e">
        <f t="shared" si="107"/>
        <v>#N/A</v>
      </c>
      <c r="AH313" s="51" t="e">
        <f>HLOOKUP(I313,ElecAvoidedCostsWOCC!$A$5:$Q$50,T313+1,FALSE)</f>
        <v>#N/A</v>
      </c>
      <c r="AI313" s="43" t="e">
        <f t="shared" si="108"/>
        <v>#N/A</v>
      </c>
      <c r="AJ313" s="43" t="e">
        <f t="shared" si="109"/>
        <v>#N/A</v>
      </c>
      <c r="AK313" s="43" t="e">
        <f>HLOOKUP(I313,ElecAvoidedCostsWOCC!$A$5:$Q$50,G313+1,FALSE)*J313*L313</f>
        <v>#N/A</v>
      </c>
      <c r="AL313" s="43" t="e">
        <f t="shared" si="110"/>
        <v>#N/A</v>
      </c>
      <c r="AM313" s="47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7">
        <f t="shared" si="111"/>
        <v>0</v>
      </c>
      <c r="AO313" s="46">
        <f t="shared" si="112"/>
        <v>0</v>
      </c>
      <c r="AP313" s="46" t="e">
        <f t="shared" si="113"/>
        <v>#DIV/0!</v>
      </c>
    </row>
    <row r="314" spans="2:42" x14ac:dyDescent="0.25">
      <c r="B314" s="36"/>
      <c r="C314" s="60"/>
      <c r="D314" s="60"/>
      <c r="E314" s="37"/>
      <c r="F314" s="38"/>
      <c r="G314" s="38"/>
      <c r="H314" s="38"/>
      <c r="I314" s="39"/>
      <c r="J314" s="40"/>
      <c r="K314" s="40"/>
      <c r="L314" s="40"/>
      <c r="M314" s="41"/>
      <c r="N314" s="41"/>
      <c r="O314" s="42"/>
      <c r="P314" s="43"/>
      <c r="Q314" s="43"/>
      <c r="R314" s="44"/>
      <c r="S314" s="45"/>
      <c r="T314" s="38">
        <f t="shared" si="95"/>
        <v>0</v>
      </c>
      <c r="U314" s="46">
        <f t="shared" si="96"/>
        <v>0</v>
      </c>
      <c r="V314" s="47">
        <f t="shared" si="97"/>
        <v>0</v>
      </c>
      <c r="W314" s="48">
        <f t="shared" si="98"/>
        <v>0</v>
      </c>
      <c r="X314" s="43">
        <f t="shared" si="99"/>
        <v>0</v>
      </c>
      <c r="Y314" s="43">
        <f t="shared" si="100"/>
        <v>0</v>
      </c>
      <c r="Z314" s="43">
        <f t="shared" si="101"/>
        <v>0</v>
      </c>
      <c r="AA314" s="49">
        <f t="shared" si="102"/>
        <v>0</v>
      </c>
      <c r="AB314" s="50">
        <f t="shared" si="103"/>
        <v>0</v>
      </c>
      <c r="AC314" s="43">
        <f t="shared" si="104"/>
        <v>0</v>
      </c>
      <c r="AD314" s="43">
        <f t="shared" si="105"/>
        <v>0</v>
      </c>
      <c r="AE314" s="43">
        <f t="shared" si="106"/>
        <v>0</v>
      </c>
      <c r="AF314" s="51" t="e">
        <f>HLOOKUP(I314,ElecAvoidedCostsWOCC!$A$5:$Q$50,G314+1,FALSE)</f>
        <v>#N/A</v>
      </c>
      <c r="AG314" s="43" t="e">
        <f t="shared" si="107"/>
        <v>#N/A</v>
      </c>
      <c r="AH314" s="51" t="e">
        <f>HLOOKUP(I314,ElecAvoidedCostsWOCC!$A$5:$Q$50,T314+1,FALSE)</f>
        <v>#N/A</v>
      </c>
      <c r="AI314" s="43" t="e">
        <f t="shared" si="108"/>
        <v>#N/A</v>
      </c>
      <c r="AJ314" s="43" t="e">
        <f t="shared" si="109"/>
        <v>#N/A</v>
      </c>
      <c r="AK314" s="43" t="e">
        <f>HLOOKUP(I314,ElecAvoidedCostsWOCC!$A$5:$Q$50,G314+1,FALSE)*J314*L314</f>
        <v>#N/A</v>
      </c>
      <c r="AL314" s="43" t="e">
        <f t="shared" si="110"/>
        <v>#N/A</v>
      </c>
      <c r="AM314" s="47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7">
        <f t="shared" si="111"/>
        <v>0</v>
      </c>
      <c r="AO314" s="46">
        <f t="shared" si="112"/>
        <v>0</v>
      </c>
      <c r="AP314" s="46" t="e">
        <f t="shared" si="113"/>
        <v>#DIV/0!</v>
      </c>
    </row>
    <row r="315" spans="2:42" x14ac:dyDescent="0.25">
      <c r="B315" s="36"/>
      <c r="C315" s="60"/>
      <c r="D315" s="60"/>
      <c r="E315" s="37"/>
      <c r="F315" s="38"/>
      <c r="G315" s="38"/>
      <c r="H315" s="38"/>
      <c r="I315" s="39"/>
      <c r="J315" s="40"/>
      <c r="K315" s="40"/>
      <c r="L315" s="40"/>
      <c r="M315" s="41"/>
      <c r="N315" s="41"/>
      <c r="O315" s="42"/>
      <c r="P315" s="43"/>
      <c r="Q315" s="43"/>
      <c r="R315" s="44"/>
      <c r="S315" s="45"/>
      <c r="T315" s="38">
        <f t="shared" si="95"/>
        <v>0</v>
      </c>
      <c r="U315" s="46">
        <f t="shared" si="96"/>
        <v>0</v>
      </c>
      <c r="V315" s="47">
        <f t="shared" si="97"/>
        <v>0</v>
      </c>
      <c r="W315" s="48">
        <f t="shared" si="98"/>
        <v>0</v>
      </c>
      <c r="X315" s="43">
        <f t="shared" si="99"/>
        <v>0</v>
      </c>
      <c r="Y315" s="43">
        <f t="shared" si="100"/>
        <v>0</v>
      </c>
      <c r="Z315" s="43">
        <f t="shared" si="101"/>
        <v>0</v>
      </c>
      <c r="AA315" s="49">
        <f t="shared" si="102"/>
        <v>0</v>
      </c>
      <c r="AB315" s="50">
        <f t="shared" si="103"/>
        <v>0</v>
      </c>
      <c r="AC315" s="43">
        <f t="shared" si="104"/>
        <v>0</v>
      </c>
      <c r="AD315" s="43">
        <f t="shared" si="105"/>
        <v>0</v>
      </c>
      <c r="AE315" s="43">
        <f t="shared" si="106"/>
        <v>0</v>
      </c>
      <c r="AF315" s="51" t="e">
        <f>HLOOKUP(I315,ElecAvoidedCostsWOCC!$A$5:$Q$50,G315+1,FALSE)</f>
        <v>#N/A</v>
      </c>
      <c r="AG315" s="43" t="e">
        <f t="shared" si="107"/>
        <v>#N/A</v>
      </c>
      <c r="AH315" s="51" t="e">
        <f>HLOOKUP(I315,ElecAvoidedCostsWOCC!$A$5:$Q$50,T315+1,FALSE)</f>
        <v>#N/A</v>
      </c>
      <c r="AI315" s="43" t="e">
        <f t="shared" si="108"/>
        <v>#N/A</v>
      </c>
      <c r="AJ315" s="43" t="e">
        <f t="shared" si="109"/>
        <v>#N/A</v>
      </c>
      <c r="AK315" s="43" t="e">
        <f>HLOOKUP(I315,ElecAvoidedCostsWOCC!$A$5:$Q$50,G315+1,FALSE)*J315*L315</f>
        <v>#N/A</v>
      </c>
      <c r="AL315" s="43" t="e">
        <f t="shared" si="110"/>
        <v>#N/A</v>
      </c>
      <c r="AM315" s="47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7">
        <f t="shared" si="111"/>
        <v>0</v>
      </c>
      <c r="AO315" s="46">
        <f t="shared" si="112"/>
        <v>0</v>
      </c>
      <c r="AP315" s="46" t="e">
        <f t="shared" si="113"/>
        <v>#DIV/0!</v>
      </c>
    </row>
    <row r="316" spans="2:42" x14ac:dyDescent="0.25">
      <c r="B316" s="36"/>
      <c r="C316" s="60"/>
      <c r="D316" s="60"/>
      <c r="E316" s="37"/>
      <c r="F316" s="38"/>
      <c r="G316" s="38"/>
      <c r="H316" s="38"/>
      <c r="I316" s="39"/>
      <c r="J316" s="40"/>
      <c r="K316" s="40"/>
      <c r="L316" s="40"/>
      <c r="M316" s="41"/>
      <c r="N316" s="41"/>
      <c r="O316" s="42"/>
      <c r="P316" s="43"/>
      <c r="Q316" s="43"/>
      <c r="R316" s="44"/>
      <c r="S316" s="45"/>
      <c r="T316" s="38">
        <f t="shared" si="95"/>
        <v>0</v>
      </c>
      <c r="U316" s="46">
        <f t="shared" si="96"/>
        <v>0</v>
      </c>
      <c r="V316" s="47">
        <f t="shared" si="97"/>
        <v>0</v>
      </c>
      <c r="W316" s="48">
        <f t="shared" si="98"/>
        <v>0</v>
      </c>
      <c r="X316" s="43">
        <f t="shared" si="99"/>
        <v>0</v>
      </c>
      <c r="Y316" s="43">
        <f t="shared" si="100"/>
        <v>0</v>
      </c>
      <c r="Z316" s="43">
        <f t="shared" si="101"/>
        <v>0</v>
      </c>
      <c r="AA316" s="49">
        <f t="shared" si="102"/>
        <v>0</v>
      </c>
      <c r="AB316" s="50">
        <f t="shared" si="103"/>
        <v>0</v>
      </c>
      <c r="AC316" s="43">
        <f t="shared" si="104"/>
        <v>0</v>
      </c>
      <c r="AD316" s="43">
        <f t="shared" si="105"/>
        <v>0</v>
      </c>
      <c r="AE316" s="43">
        <f t="shared" si="106"/>
        <v>0</v>
      </c>
      <c r="AF316" s="51" t="e">
        <f>HLOOKUP(I316,ElecAvoidedCostsWOCC!$A$5:$Q$50,G316+1,FALSE)</f>
        <v>#N/A</v>
      </c>
      <c r="AG316" s="43" t="e">
        <f t="shared" si="107"/>
        <v>#N/A</v>
      </c>
      <c r="AH316" s="51" t="e">
        <f>HLOOKUP(I316,ElecAvoidedCostsWOCC!$A$5:$Q$50,T316+1,FALSE)</f>
        <v>#N/A</v>
      </c>
      <c r="AI316" s="43" t="e">
        <f t="shared" si="108"/>
        <v>#N/A</v>
      </c>
      <c r="AJ316" s="43" t="e">
        <f t="shared" si="109"/>
        <v>#N/A</v>
      </c>
      <c r="AK316" s="43" t="e">
        <f>HLOOKUP(I316,ElecAvoidedCostsWOCC!$A$5:$Q$50,G316+1,FALSE)*J316*L316</f>
        <v>#N/A</v>
      </c>
      <c r="AL316" s="43" t="e">
        <f t="shared" si="110"/>
        <v>#N/A</v>
      </c>
      <c r="AM316" s="47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7">
        <f t="shared" si="111"/>
        <v>0</v>
      </c>
      <c r="AO316" s="46">
        <f t="shared" si="112"/>
        <v>0</v>
      </c>
      <c r="AP316" s="46" t="e">
        <f t="shared" si="113"/>
        <v>#DIV/0!</v>
      </c>
    </row>
    <row r="317" spans="2:42" x14ac:dyDescent="0.25">
      <c r="B317" s="36"/>
      <c r="C317" s="60"/>
      <c r="D317" s="60"/>
      <c r="E317" s="37"/>
      <c r="F317" s="38"/>
      <c r="G317" s="38"/>
      <c r="H317" s="38"/>
      <c r="I317" s="39"/>
      <c r="J317" s="40"/>
      <c r="K317" s="40"/>
      <c r="L317" s="40"/>
      <c r="M317" s="41"/>
      <c r="N317" s="41"/>
      <c r="O317" s="42"/>
      <c r="P317" s="43"/>
      <c r="Q317" s="43"/>
      <c r="R317" s="44"/>
      <c r="S317" s="45"/>
      <c r="T317" s="38">
        <f t="shared" si="95"/>
        <v>0</v>
      </c>
      <c r="U317" s="46">
        <f t="shared" si="96"/>
        <v>0</v>
      </c>
      <c r="V317" s="47">
        <f t="shared" si="97"/>
        <v>0</v>
      </c>
      <c r="W317" s="48">
        <f t="shared" si="98"/>
        <v>0</v>
      </c>
      <c r="X317" s="43">
        <f t="shared" si="99"/>
        <v>0</v>
      </c>
      <c r="Y317" s="43">
        <f t="shared" si="100"/>
        <v>0</v>
      </c>
      <c r="Z317" s="43">
        <f t="shared" si="101"/>
        <v>0</v>
      </c>
      <c r="AA317" s="49">
        <f t="shared" si="102"/>
        <v>0</v>
      </c>
      <c r="AB317" s="50">
        <f t="shared" si="103"/>
        <v>0</v>
      </c>
      <c r="AC317" s="43">
        <f t="shared" si="104"/>
        <v>0</v>
      </c>
      <c r="AD317" s="43">
        <f t="shared" si="105"/>
        <v>0</v>
      </c>
      <c r="AE317" s="43">
        <f t="shared" si="106"/>
        <v>0</v>
      </c>
      <c r="AF317" s="51" t="e">
        <f>HLOOKUP(I317,ElecAvoidedCostsWOCC!$A$5:$Q$50,G317+1,FALSE)</f>
        <v>#N/A</v>
      </c>
      <c r="AG317" s="43" t="e">
        <f t="shared" si="107"/>
        <v>#N/A</v>
      </c>
      <c r="AH317" s="51" t="e">
        <f>HLOOKUP(I317,ElecAvoidedCostsWOCC!$A$5:$Q$50,T317+1,FALSE)</f>
        <v>#N/A</v>
      </c>
      <c r="AI317" s="43" t="e">
        <f t="shared" si="108"/>
        <v>#N/A</v>
      </c>
      <c r="AJ317" s="43" t="e">
        <f t="shared" si="109"/>
        <v>#N/A</v>
      </c>
      <c r="AK317" s="43" t="e">
        <f>HLOOKUP(I317,ElecAvoidedCostsWOCC!$A$5:$Q$50,G317+1,FALSE)*J317*L317</f>
        <v>#N/A</v>
      </c>
      <c r="AL317" s="43" t="e">
        <f t="shared" si="110"/>
        <v>#N/A</v>
      </c>
      <c r="AM317" s="47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7">
        <f t="shared" si="111"/>
        <v>0</v>
      </c>
      <c r="AO317" s="46">
        <f t="shared" si="112"/>
        <v>0</v>
      </c>
      <c r="AP317" s="46" t="e">
        <f t="shared" si="113"/>
        <v>#DIV/0!</v>
      </c>
    </row>
    <row r="318" spans="2:42" x14ac:dyDescent="0.25">
      <c r="B318" s="36"/>
      <c r="C318" s="60"/>
      <c r="D318" s="60"/>
      <c r="E318" s="37"/>
      <c r="F318" s="38"/>
      <c r="G318" s="38"/>
      <c r="H318" s="38"/>
      <c r="I318" s="39"/>
      <c r="J318" s="40"/>
      <c r="K318" s="40"/>
      <c r="L318" s="40"/>
      <c r="M318" s="41"/>
      <c r="N318" s="41"/>
      <c r="O318" s="42"/>
      <c r="P318" s="43"/>
      <c r="Q318" s="43"/>
      <c r="R318" s="44"/>
      <c r="S318" s="45"/>
      <c r="T318" s="38">
        <f t="shared" si="95"/>
        <v>0</v>
      </c>
      <c r="U318" s="46">
        <f t="shared" si="96"/>
        <v>0</v>
      </c>
      <c r="V318" s="47">
        <f t="shared" si="97"/>
        <v>0</v>
      </c>
      <c r="W318" s="48">
        <f t="shared" si="98"/>
        <v>0</v>
      </c>
      <c r="X318" s="43">
        <f t="shared" si="99"/>
        <v>0</v>
      </c>
      <c r="Y318" s="43">
        <f t="shared" si="100"/>
        <v>0</v>
      </c>
      <c r="Z318" s="43">
        <f t="shared" si="101"/>
        <v>0</v>
      </c>
      <c r="AA318" s="49">
        <f t="shared" si="102"/>
        <v>0</v>
      </c>
      <c r="AB318" s="50">
        <f t="shared" si="103"/>
        <v>0</v>
      </c>
      <c r="AC318" s="43">
        <f t="shared" si="104"/>
        <v>0</v>
      </c>
      <c r="AD318" s="43">
        <f t="shared" si="105"/>
        <v>0</v>
      </c>
      <c r="AE318" s="43">
        <f t="shared" si="106"/>
        <v>0</v>
      </c>
      <c r="AF318" s="51" t="e">
        <f>HLOOKUP(I318,ElecAvoidedCostsWOCC!$A$5:$Q$50,G318+1,FALSE)</f>
        <v>#N/A</v>
      </c>
      <c r="AG318" s="43" t="e">
        <f t="shared" si="107"/>
        <v>#N/A</v>
      </c>
      <c r="AH318" s="51" t="e">
        <f>HLOOKUP(I318,ElecAvoidedCostsWOCC!$A$5:$Q$50,T318+1,FALSE)</f>
        <v>#N/A</v>
      </c>
      <c r="AI318" s="43" t="e">
        <f t="shared" si="108"/>
        <v>#N/A</v>
      </c>
      <c r="AJ318" s="43" t="e">
        <f t="shared" si="109"/>
        <v>#N/A</v>
      </c>
      <c r="AK318" s="43" t="e">
        <f>HLOOKUP(I318,ElecAvoidedCostsWOCC!$A$5:$Q$50,G318+1,FALSE)*J318*L318</f>
        <v>#N/A</v>
      </c>
      <c r="AL318" s="43" t="e">
        <f t="shared" si="110"/>
        <v>#N/A</v>
      </c>
      <c r="AM318" s="47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7">
        <f t="shared" si="111"/>
        <v>0</v>
      </c>
      <c r="AO318" s="46">
        <f t="shared" si="112"/>
        <v>0</v>
      </c>
      <c r="AP318" s="46" t="e">
        <f t="shared" si="113"/>
        <v>#DIV/0!</v>
      </c>
    </row>
    <row r="319" spans="2:42" x14ac:dyDescent="0.25">
      <c r="B319" s="36"/>
      <c r="C319" s="60"/>
      <c r="D319" s="60"/>
      <c r="E319" s="37"/>
      <c r="F319" s="38"/>
      <c r="G319" s="38"/>
      <c r="H319" s="38"/>
      <c r="I319" s="39"/>
      <c r="J319" s="40"/>
      <c r="K319" s="40"/>
      <c r="L319" s="40"/>
      <c r="M319" s="41"/>
      <c r="N319" s="41"/>
      <c r="O319" s="42"/>
      <c r="P319" s="43"/>
      <c r="Q319" s="43"/>
      <c r="R319" s="44"/>
      <c r="S319" s="45"/>
      <c r="T319" s="38">
        <f t="shared" si="95"/>
        <v>0</v>
      </c>
      <c r="U319" s="46">
        <f t="shared" si="96"/>
        <v>0</v>
      </c>
      <c r="V319" s="47">
        <f t="shared" si="97"/>
        <v>0</v>
      </c>
      <c r="W319" s="48">
        <f t="shared" si="98"/>
        <v>0</v>
      </c>
      <c r="X319" s="43">
        <f t="shared" si="99"/>
        <v>0</v>
      </c>
      <c r="Y319" s="43">
        <f t="shared" si="100"/>
        <v>0</v>
      </c>
      <c r="Z319" s="43">
        <f t="shared" si="101"/>
        <v>0</v>
      </c>
      <c r="AA319" s="49">
        <f t="shared" si="102"/>
        <v>0</v>
      </c>
      <c r="AB319" s="50">
        <f t="shared" si="103"/>
        <v>0</v>
      </c>
      <c r="AC319" s="43">
        <f t="shared" si="104"/>
        <v>0</v>
      </c>
      <c r="AD319" s="43">
        <f t="shared" si="105"/>
        <v>0</v>
      </c>
      <c r="AE319" s="43">
        <f t="shared" si="106"/>
        <v>0</v>
      </c>
      <c r="AF319" s="51" t="e">
        <f>HLOOKUP(I319,ElecAvoidedCostsWOCC!$A$5:$Q$50,G319+1,FALSE)</f>
        <v>#N/A</v>
      </c>
      <c r="AG319" s="43" t="e">
        <f t="shared" si="107"/>
        <v>#N/A</v>
      </c>
      <c r="AH319" s="51" t="e">
        <f>HLOOKUP(I319,ElecAvoidedCostsWOCC!$A$5:$Q$50,T319+1,FALSE)</f>
        <v>#N/A</v>
      </c>
      <c r="AI319" s="43" t="e">
        <f t="shared" si="108"/>
        <v>#N/A</v>
      </c>
      <c r="AJ319" s="43" t="e">
        <f t="shared" si="109"/>
        <v>#N/A</v>
      </c>
      <c r="AK319" s="43" t="e">
        <f>HLOOKUP(I319,ElecAvoidedCostsWOCC!$A$5:$Q$50,G319+1,FALSE)*J319*L319</f>
        <v>#N/A</v>
      </c>
      <c r="AL319" s="43" t="e">
        <f t="shared" si="110"/>
        <v>#N/A</v>
      </c>
      <c r="AM319" s="47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7">
        <f t="shared" si="111"/>
        <v>0</v>
      </c>
      <c r="AO319" s="46">
        <f t="shared" si="112"/>
        <v>0</v>
      </c>
      <c r="AP319" s="46" t="e">
        <f t="shared" si="113"/>
        <v>#DIV/0!</v>
      </c>
    </row>
    <row r="320" spans="2:42" x14ac:dyDescent="0.25">
      <c r="B320" s="36"/>
      <c r="C320" s="60"/>
      <c r="D320" s="60"/>
      <c r="E320" s="37"/>
      <c r="F320" s="38"/>
      <c r="G320" s="38"/>
      <c r="H320" s="38"/>
      <c r="I320" s="39"/>
      <c r="J320" s="40"/>
      <c r="K320" s="40"/>
      <c r="L320" s="40"/>
      <c r="M320" s="41"/>
      <c r="N320" s="41"/>
      <c r="O320" s="42"/>
      <c r="P320" s="43"/>
      <c r="Q320" s="43"/>
      <c r="R320" s="44"/>
      <c r="S320" s="45"/>
      <c r="T320" s="38">
        <f t="shared" si="95"/>
        <v>0</v>
      </c>
      <c r="U320" s="46">
        <f t="shared" si="96"/>
        <v>0</v>
      </c>
      <c r="V320" s="47">
        <f t="shared" si="97"/>
        <v>0</v>
      </c>
      <c r="W320" s="48">
        <f t="shared" si="98"/>
        <v>0</v>
      </c>
      <c r="X320" s="43">
        <f t="shared" si="99"/>
        <v>0</v>
      </c>
      <c r="Y320" s="43">
        <f t="shared" si="100"/>
        <v>0</v>
      </c>
      <c r="Z320" s="43">
        <f t="shared" si="101"/>
        <v>0</v>
      </c>
      <c r="AA320" s="49">
        <f t="shared" si="102"/>
        <v>0</v>
      </c>
      <c r="AB320" s="50">
        <f t="shared" si="103"/>
        <v>0</v>
      </c>
      <c r="AC320" s="43">
        <f t="shared" si="104"/>
        <v>0</v>
      </c>
      <c r="AD320" s="43">
        <f t="shared" si="105"/>
        <v>0</v>
      </c>
      <c r="AE320" s="43">
        <f t="shared" si="106"/>
        <v>0</v>
      </c>
      <c r="AF320" s="51" t="e">
        <f>HLOOKUP(I320,ElecAvoidedCostsWOCC!$A$5:$Q$50,G320+1,FALSE)</f>
        <v>#N/A</v>
      </c>
      <c r="AG320" s="43" t="e">
        <f t="shared" si="107"/>
        <v>#N/A</v>
      </c>
      <c r="AH320" s="51" t="e">
        <f>HLOOKUP(I320,ElecAvoidedCostsWOCC!$A$5:$Q$50,T320+1,FALSE)</f>
        <v>#N/A</v>
      </c>
      <c r="AI320" s="43" t="e">
        <f t="shared" si="108"/>
        <v>#N/A</v>
      </c>
      <c r="AJ320" s="43" t="e">
        <f t="shared" si="109"/>
        <v>#N/A</v>
      </c>
      <c r="AK320" s="43" t="e">
        <f>HLOOKUP(I320,ElecAvoidedCostsWOCC!$A$5:$Q$50,G320+1,FALSE)*J320*L320</f>
        <v>#N/A</v>
      </c>
      <c r="AL320" s="43" t="e">
        <f t="shared" si="110"/>
        <v>#N/A</v>
      </c>
      <c r="AM320" s="47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7">
        <f t="shared" si="111"/>
        <v>0</v>
      </c>
      <c r="AO320" s="46">
        <f t="shared" si="112"/>
        <v>0</v>
      </c>
      <c r="AP320" s="46" t="e">
        <f t="shared" si="113"/>
        <v>#DIV/0!</v>
      </c>
    </row>
    <row r="321" spans="2:42" x14ac:dyDescent="0.25">
      <c r="B321" s="36"/>
      <c r="C321" s="60"/>
      <c r="D321" s="60"/>
      <c r="E321" s="37"/>
      <c r="F321" s="38"/>
      <c r="G321" s="38"/>
      <c r="H321" s="38"/>
      <c r="I321" s="39"/>
      <c r="J321" s="40"/>
      <c r="K321" s="40"/>
      <c r="L321" s="40"/>
      <c r="M321" s="41"/>
      <c r="N321" s="41"/>
      <c r="O321" s="42"/>
      <c r="P321" s="43"/>
      <c r="Q321" s="43"/>
      <c r="R321" s="44"/>
      <c r="S321" s="45"/>
      <c r="T321" s="38">
        <f t="shared" si="95"/>
        <v>0</v>
      </c>
      <c r="U321" s="46">
        <f t="shared" si="96"/>
        <v>0</v>
      </c>
      <c r="V321" s="47">
        <f t="shared" si="97"/>
        <v>0</v>
      </c>
      <c r="W321" s="48">
        <f t="shared" si="98"/>
        <v>0</v>
      </c>
      <c r="X321" s="43">
        <f t="shared" si="99"/>
        <v>0</v>
      </c>
      <c r="Y321" s="43">
        <f t="shared" si="100"/>
        <v>0</v>
      </c>
      <c r="Z321" s="43">
        <f t="shared" si="101"/>
        <v>0</v>
      </c>
      <c r="AA321" s="49">
        <f t="shared" si="102"/>
        <v>0</v>
      </c>
      <c r="AB321" s="50">
        <f t="shared" si="103"/>
        <v>0</v>
      </c>
      <c r="AC321" s="43">
        <f t="shared" si="104"/>
        <v>0</v>
      </c>
      <c r="AD321" s="43">
        <f t="shared" si="105"/>
        <v>0</v>
      </c>
      <c r="AE321" s="43">
        <f t="shared" si="106"/>
        <v>0</v>
      </c>
      <c r="AF321" s="51" t="e">
        <f>HLOOKUP(I321,ElecAvoidedCostsWOCC!$A$5:$Q$50,G321+1,FALSE)</f>
        <v>#N/A</v>
      </c>
      <c r="AG321" s="43" t="e">
        <f t="shared" si="107"/>
        <v>#N/A</v>
      </c>
      <c r="AH321" s="51" t="e">
        <f>HLOOKUP(I321,ElecAvoidedCostsWOCC!$A$5:$Q$50,T321+1,FALSE)</f>
        <v>#N/A</v>
      </c>
      <c r="AI321" s="43" t="e">
        <f t="shared" si="108"/>
        <v>#N/A</v>
      </c>
      <c r="AJ321" s="43" t="e">
        <f t="shared" si="109"/>
        <v>#N/A</v>
      </c>
      <c r="AK321" s="43" t="e">
        <f>HLOOKUP(I321,ElecAvoidedCostsWOCC!$A$5:$Q$50,G321+1,FALSE)*J321*L321</f>
        <v>#N/A</v>
      </c>
      <c r="AL321" s="43" t="e">
        <f t="shared" si="110"/>
        <v>#N/A</v>
      </c>
      <c r="AM321" s="47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7">
        <f t="shared" si="111"/>
        <v>0</v>
      </c>
      <c r="AO321" s="46">
        <f t="shared" si="112"/>
        <v>0</v>
      </c>
      <c r="AP321" s="46" t="e">
        <f t="shared" si="113"/>
        <v>#DIV/0!</v>
      </c>
    </row>
    <row r="322" spans="2:42" x14ac:dyDescent="0.25">
      <c r="B322" s="36"/>
      <c r="C322" s="60"/>
      <c r="D322" s="60"/>
      <c r="E322" s="37"/>
      <c r="F322" s="38"/>
      <c r="G322" s="38"/>
      <c r="H322" s="38"/>
      <c r="I322" s="39"/>
      <c r="J322" s="40"/>
      <c r="K322" s="40"/>
      <c r="L322" s="40"/>
      <c r="M322" s="41"/>
      <c r="N322" s="41"/>
      <c r="O322" s="42"/>
      <c r="P322" s="43"/>
      <c r="Q322" s="43"/>
      <c r="R322" s="44"/>
      <c r="S322" s="45"/>
      <c r="T322" s="38">
        <f t="shared" si="95"/>
        <v>0</v>
      </c>
      <c r="U322" s="46">
        <f t="shared" si="96"/>
        <v>0</v>
      </c>
      <c r="V322" s="47">
        <f t="shared" si="97"/>
        <v>0</v>
      </c>
      <c r="W322" s="48">
        <f t="shared" si="98"/>
        <v>0</v>
      </c>
      <c r="X322" s="43">
        <f t="shared" si="99"/>
        <v>0</v>
      </c>
      <c r="Y322" s="43">
        <f t="shared" si="100"/>
        <v>0</v>
      </c>
      <c r="Z322" s="43">
        <f t="shared" si="101"/>
        <v>0</v>
      </c>
      <c r="AA322" s="49">
        <f t="shared" si="102"/>
        <v>0</v>
      </c>
      <c r="AB322" s="50">
        <f t="shared" si="103"/>
        <v>0</v>
      </c>
      <c r="AC322" s="43">
        <f t="shared" si="104"/>
        <v>0</v>
      </c>
      <c r="AD322" s="43">
        <f t="shared" si="105"/>
        <v>0</v>
      </c>
      <c r="AE322" s="43">
        <f t="shared" si="106"/>
        <v>0</v>
      </c>
      <c r="AF322" s="51" t="e">
        <f>HLOOKUP(I322,ElecAvoidedCostsWOCC!$A$5:$Q$50,G322+1,FALSE)</f>
        <v>#N/A</v>
      </c>
      <c r="AG322" s="43" t="e">
        <f t="shared" si="107"/>
        <v>#N/A</v>
      </c>
      <c r="AH322" s="51" t="e">
        <f>HLOOKUP(I322,ElecAvoidedCostsWOCC!$A$5:$Q$50,T322+1,FALSE)</f>
        <v>#N/A</v>
      </c>
      <c r="AI322" s="43" t="e">
        <f t="shared" si="108"/>
        <v>#N/A</v>
      </c>
      <c r="AJ322" s="43" t="e">
        <f t="shared" si="109"/>
        <v>#N/A</v>
      </c>
      <c r="AK322" s="43" t="e">
        <f>HLOOKUP(I322,ElecAvoidedCostsWOCC!$A$5:$Q$50,G322+1,FALSE)*J322*L322</f>
        <v>#N/A</v>
      </c>
      <c r="AL322" s="43" t="e">
        <f t="shared" si="110"/>
        <v>#N/A</v>
      </c>
      <c r="AM322" s="47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7">
        <f t="shared" si="111"/>
        <v>0</v>
      </c>
      <c r="AO322" s="46">
        <f t="shared" si="112"/>
        <v>0</v>
      </c>
      <c r="AP322" s="46" t="e">
        <f t="shared" si="113"/>
        <v>#DIV/0!</v>
      </c>
    </row>
    <row r="323" spans="2:42" x14ac:dyDescent="0.25">
      <c r="B323" s="36"/>
      <c r="C323" s="60"/>
      <c r="D323" s="60"/>
      <c r="E323" s="37"/>
      <c r="F323" s="38"/>
      <c r="G323" s="38"/>
      <c r="H323" s="38"/>
      <c r="I323" s="39"/>
      <c r="J323" s="40"/>
      <c r="K323" s="40"/>
      <c r="L323" s="40"/>
      <c r="M323" s="41"/>
      <c r="N323" s="41"/>
      <c r="O323" s="42"/>
      <c r="P323" s="43"/>
      <c r="Q323" s="43"/>
      <c r="R323" s="44"/>
      <c r="S323" s="45"/>
      <c r="T323" s="38">
        <f t="shared" si="95"/>
        <v>0</v>
      </c>
      <c r="U323" s="46">
        <f t="shared" si="96"/>
        <v>0</v>
      </c>
      <c r="V323" s="47">
        <f t="shared" si="97"/>
        <v>0</v>
      </c>
      <c r="W323" s="48">
        <f t="shared" si="98"/>
        <v>0</v>
      </c>
      <c r="X323" s="43">
        <f t="shared" si="99"/>
        <v>0</v>
      </c>
      <c r="Y323" s="43">
        <f t="shared" si="100"/>
        <v>0</v>
      </c>
      <c r="Z323" s="43">
        <f t="shared" si="101"/>
        <v>0</v>
      </c>
      <c r="AA323" s="49">
        <f t="shared" si="102"/>
        <v>0</v>
      </c>
      <c r="AB323" s="50">
        <f t="shared" si="103"/>
        <v>0</v>
      </c>
      <c r="AC323" s="43">
        <f t="shared" si="104"/>
        <v>0</v>
      </c>
      <c r="AD323" s="43">
        <f t="shared" si="105"/>
        <v>0</v>
      </c>
      <c r="AE323" s="43">
        <f t="shared" si="106"/>
        <v>0</v>
      </c>
      <c r="AF323" s="51" t="e">
        <f>HLOOKUP(I323,ElecAvoidedCostsWOCC!$A$5:$Q$50,G323+1,FALSE)</f>
        <v>#N/A</v>
      </c>
      <c r="AG323" s="43" t="e">
        <f t="shared" si="107"/>
        <v>#N/A</v>
      </c>
      <c r="AH323" s="51" t="e">
        <f>HLOOKUP(I323,ElecAvoidedCostsWOCC!$A$5:$Q$50,T323+1,FALSE)</f>
        <v>#N/A</v>
      </c>
      <c r="AI323" s="43" t="e">
        <f t="shared" si="108"/>
        <v>#N/A</v>
      </c>
      <c r="AJ323" s="43" t="e">
        <f t="shared" si="109"/>
        <v>#N/A</v>
      </c>
      <c r="AK323" s="43" t="e">
        <f>HLOOKUP(I323,ElecAvoidedCostsWOCC!$A$5:$Q$50,G323+1,FALSE)*J323*L323</f>
        <v>#N/A</v>
      </c>
      <c r="AL323" s="43" t="e">
        <f t="shared" si="110"/>
        <v>#N/A</v>
      </c>
      <c r="AM323" s="47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7">
        <f t="shared" si="111"/>
        <v>0</v>
      </c>
      <c r="AO323" s="46">
        <f t="shared" si="112"/>
        <v>0</v>
      </c>
      <c r="AP323" s="46" t="e">
        <f t="shared" si="113"/>
        <v>#DIV/0!</v>
      </c>
    </row>
    <row r="324" spans="2:42" x14ac:dyDescent="0.25">
      <c r="B324" s="36"/>
      <c r="C324" s="60"/>
      <c r="D324" s="60"/>
      <c r="E324" s="37"/>
      <c r="F324" s="38"/>
      <c r="G324" s="38"/>
      <c r="H324" s="38"/>
      <c r="I324" s="39"/>
      <c r="J324" s="40"/>
      <c r="K324" s="40"/>
      <c r="L324" s="40"/>
      <c r="M324" s="41"/>
      <c r="N324" s="41"/>
      <c r="O324" s="42"/>
      <c r="P324" s="43"/>
      <c r="Q324" s="43"/>
      <c r="R324" s="44"/>
      <c r="S324" s="45"/>
      <c r="T324" s="38">
        <f t="shared" ref="T324:T387" si="114">G324+H324</f>
        <v>0</v>
      </c>
      <c r="U324" s="46">
        <f t="shared" ref="U324:U387" si="115">(O324/$A$10)*T324</f>
        <v>0</v>
      </c>
      <c r="V324" s="47">
        <f t="shared" ref="V324:V387" si="116">N324-M324</f>
        <v>0</v>
      </c>
      <c r="W324" s="48">
        <f t="shared" ref="W324:W387" si="117">(O324/A$10)</f>
        <v>0</v>
      </c>
      <c r="X324" s="43">
        <f t="shared" ref="X324:X387" si="118">W324*A$8</f>
        <v>0</v>
      </c>
      <c r="Y324" s="43">
        <f t="shared" ref="Y324:Y387" si="119">Q324-P324</f>
        <v>0</v>
      </c>
      <c r="Z324" s="43">
        <f t="shared" ref="Z324:Z387" si="120">X324+(A$6*W324)</f>
        <v>0</v>
      </c>
      <c r="AA324" s="49">
        <f t="shared" ref="AA324:AA387" si="121">Q324+X324</f>
        <v>0</v>
      </c>
      <c r="AB324" s="50">
        <f t="shared" ref="AB324:AB387" si="122">Z324/(1+ElecDiscountRate)^1</f>
        <v>0</v>
      </c>
      <c r="AC324" s="43">
        <f t="shared" ref="AC324:AC387" si="123">AA324/(1+ElecDiscountRate)^1</f>
        <v>0</v>
      </c>
      <c r="AD324" s="43">
        <f t="shared" ref="AD324:AD387" si="124">-PV(ElecDiscountRate,T324,R324)*J324</f>
        <v>0</v>
      </c>
      <c r="AE324" s="43">
        <f t="shared" ref="AE324:AE387" si="125">-PV(ElecDiscountRate,T324,S324)*J324</f>
        <v>0</v>
      </c>
      <c r="AF324" s="51" t="e">
        <f>HLOOKUP(I324,ElecAvoidedCostsWOCC!$A$5:$Q$50,G324+1,FALSE)</f>
        <v>#N/A</v>
      </c>
      <c r="AG324" s="43" t="e">
        <f t="shared" ref="AG324:AG387" si="126">AF324*J324*K324</f>
        <v>#N/A</v>
      </c>
      <c r="AH324" s="51" t="e">
        <f>HLOOKUP(I324,ElecAvoidedCostsWOCC!$A$5:$Q$50,T324+1,FALSE)</f>
        <v>#N/A</v>
      </c>
      <c r="AI324" s="43" t="e">
        <f t="shared" ref="AI324:AI387" si="127">AH324*J324*L324</f>
        <v>#N/A</v>
      </c>
      <c r="AJ324" s="43" t="e">
        <f t="shared" ref="AJ324:AJ387" si="128">AG324+AI324</f>
        <v>#N/A</v>
      </c>
      <c r="AK324" s="43" t="e">
        <f>HLOOKUP(I324,ElecAvoidedCostsWOCC!$A$5:$Q$50,G324+1,FALSE)*J324*L324</f>
        <v>#N/A</v>
      </c>
      <c r="AL324" s="43" t="e">
        <f t="shared" ref="AL324:AL387" si="129">AG324+AI324-AK324</f>
        <v>#N/A</v>
      </c>
      <c r="AM324" s="47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7">
        <f t="shared" ref="AN324:AN387" si="130">AM324*1.1+AD324+AE324</f>
        <v>0</v>
      </c>
      <c r="AO324" s="46">
        <f t="shared" ref="AO324:AO387" si="131">IFERROR(AM324/AB324,0)</f>
        <v>0</v>
      </c>
      <c r="AP324" s="46" t="e">
        <f t="shared" ref="AP324:AP387" si="132">AN324/AC324</f>
        <v>#DIV/0!</v>
      </c>
    </row>
    <row r="325" spans="2:42" x14ac:dyDescent="0.25">
      <c r="B325" s="36"/>
      <c r="C325" s="60"/>
      <c r="D325" s="60"/>
      <c r="E325" s="37"/>
      <c r="F325" s="38"/>
      <c r="G325" s="38"/>
      <c r="H325" s="38"/>
      <c r="I325" s="39"/>
      <c r="J325" s="40"/>
      <c r="K325" s="40"/>
      <c r="L325" s="40"/>
      <c r="M325" s="41"/>
      <c r="N325" s="41"/>
      <c r="O325" s="42"/>
      <c r="P325" s="43"/>
      <c r="Q325" s="43"/>
      <c r="R325" s="44"/>
      <c r="S325" s="45"/>
      <c r="T325" s="38">
        <f t="shared" si="114"/>
        <v>0</v>
      </c>
      <c r="U325" s="46">
        <f t="shared" si="115"/>
        <v>0</v>
      </c>
      <c r="V325" s="47">
        <f t="shared" si="116"/>
        <v>0</v>
      </c>
      <c r="W325" s="48">
        <f t="shared" si="117"/>
        <v>0</v>
      </c>
      <c r="X325" s="43">
        <f t="shared" si="118"/>
        <v>0</v>
      </c>
      <c r="Y325" s="43">
        <f t="shared" si="119"/>
        <v>0</v>
      </c>
      <c r="Z325" s="43">
        <f t="shared" si="120"/>
        <v>0</v>
      </c>
      <c r="AA325" s="49">
        <f t="shared" si="121"/>
        <v>0</v>
      </c>
      <c r="AB325" s="50">
        <f t="shared" si="122"/>
        <v>0</v>
      </c>
      <c r="AC325" s="43">
        <f t="shared" si="123"/>
        <v>0</v>
      </c>
      <c r="AD325" s="43">
        <f t="shared" si="124"/>
        <v>0</v>
      </c>
      <c r="AE325" s="43">
        <f t="shared" si="125"/>
        <v>0</v>
      </c>
      <c r="AF325" s="51" t="e">
        <f>HLOOKUP(I325,ElecAvoidedCostsWOCC!$A$5:$Q$50,G325+1,FALSE)</f>
        <v>#N/A</v>
      </c>
      <c r="AG325" s="43" t="e">
        <f t="shared" si="126"/>
        <v>#N/A</v>
      </c>
      <c r="AH325" s="51" t="e">
        <f>HLOOKUP(I325,ElecAvoidedCostsWOCC!$A$5:$Q$50,T325+1,FALSE)</f>
        <v>#N/A</v>
      </c>
      <c r="AI325" s="43" t="e">
        <f t="shared" si="127"/>
        <v>#N/A</v>
      </c>
      <c r="AJ325" s="43" t="e">
        <f t="shared" si="128"/>
        <v>#N/A</v>
      </c>
      <c r="AK325" s="43" t="e">
        <f>HLOOKUP(I325,ElecAvoidedCostsWOCC!$A$5:$Q$50,G325+1,FALSE)*J325*L325</f>
        <v>#N/A</v>
      </c>
      <c r="AL325" s="43" t="e">
        <f t="shared" si="129"/>
        <v>#N/A</v>
      </c>
      <c r="AM325" s="47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7">
        <f t="shared" si="130"/>
        <v>0</v>
      </c>
      <c r="AO325" s="46">
        <f t="shared" si="131"/>
        <v>0</v>
      </c>
      <c r="AP325" s="46" t="e">
        <f t="shared" si="132"/>
        <v>#DIV/0!</v>
      </c>
    </row>
    <row r="326" spans="2:42" x14ac:dyDescent="0.25">
      <c r="B326" s="36"/>
      <c r="C326" s="60"/>
      <c r="D326" s="60"/>
      <c r="E326" s="37"/>
      <c r="F326" s="38"/>
      <c r="G326" s="38"/>
      <c r="H326" s="38"/>
      <c r="I326" s="39"/>
      <c r="J326" s="40"/>
      <c r="K326" s="40"/>
      <c r="L326" s="40"/>
      <c r="M326" s="41"/>
      <c r="N326" s="41"/>
      <c r="O326" s="42"/>
      <c r="P326" s="43"/>
      <c r="Q326" s="43"/>
      <c r="R326" s="44"/>
      <c r="S326" s="45"/>
      <c r="T326" s="38">
        <f t="shared" si="114"/>
        <v>0</v>
      </c>
      <c r="U326" s="46">
        <f t="shared" si="115"/>
        <v>0</v>
      </c>
      <c r="V326" s="47">
        <f t="shared" si="116"/>
        <v>0</v>
      </c>
      <c r="W326" s="48">
        <f t="shared" si="117"/>
        <v>0</v>
      </c>
      <c r="X326" s="43">
        <f t="shared" si="118"/>
        <v>0</v>
      </c>
      <c r="Y326" s="43">
        <f t="shared" si="119"/>
        <v>0</v>
      </c>
      <c r="Z326" s="43">
        <f t="shared" si="120"/>
        <v>0</v>
      </c>
      <c r="AA326" s="49">
        <f t="shared" si="121"/>
        <v>0</v>
      </c>
      <c r="AB326" s="50">
        <f t="shared" si="122"/>
        <v>0</v>
      </c>
      <c r="AC326" s="43">
        <f t="shared" si="123"/>
        <v>0</v>
      </c>
      <c r="AD326" s="43">
        <f t="shared" si="124"/>
        <v>0</v>
      </c>
      <c r="AE326" s="43">
        <f t="shared" si="125"/>
        <v>0</v>
      </c>
      <c r="AF326" s="51" t="e">
        <f>HLOOKUP(I326,ElecAvoidedCostsWOCC!$A$5:$Q$50,G326+1,FALSE)</f>
        <v>#N/A</v>
      </c>
      <c r="AG326" s="43" t="e">
        <f t="shared" si="126"/>
        <v>#N/A</v>
      </c>
      <c r="AH326" s="51" t="e">
        <f>HLOOKUP(I326,ElecAvoidedCostsWOCC!$A$5:$Q$50,T326+1,FALSE)</f>
        <v>#N/A</v>
      </c>
      <c r="AI326" s="43" t="e">
        <f t="shared" si="127"/>
        <v>#N/A</v>
      </c>
      <c r="AJ326" s="43" t="e">
        <f t="shared" si="128"/>
        <v>#N/A</v>
      </c>
      <c r="AK326" s="43" t="e">
        <f>HLOOKUP(I326,ElecAvoidedCostsWOCC!$A$5:$Q$50,G326+1,FALSE)*J326*L326</f>
        <v>#N/A</v>
      </c>
      <c r="AL326" s="43" t="e">
        <f t="shared" si="129"/>
        <v>#N/A</v>
      </c>
      <c r="AM326" s="47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7">
        <f t="shared" si="130"/>
        <v>0</v>
      </c>
      <c r="AO326" s="46">
        <f t="shared" si="131"/>
        <v>0</v>
      </c>
      <c r="AP326" s="46" t="e">
        <f t="shared" si="132"/>
        <v>#DIV/0!</v>
      </c>
    </row>
    <row r="327" spans="2:42" x14ac:dyDescent="0.25">
      <c r="B327" s="36"/>
      <c r="C327" s="60"/>
      <c r="D327" s="60"/>
      <c r="E327" s="37"/>
      <c r="F327" s="38"/>
      <c r="G327" s="38"/>
      <c r="H327" s="38"/>
      <c r="I327" s="39"/>
      <c r="J327" s="40"/>
      <c r="K327" s="40"/>
      <c r="L327" s="40"/>
      <c r="M327" s="41"/>
      <c r="N327" s="41"/>
      <c r="O327" s="42"/>
      <c r="P327" s="43"/>
      <c r="Q327" s="43"/>
      <c r="R327" s="44"/>
      <c r="S327" s="45"/>
      <c r="T327" s="38">
        <f t="shared" si="114"/>
        <v>0</v>
      </c>
      <c r="U327" s="46">
        <f t="shared" si="115"/>
        <v>0</v>
      </c>
      <c r="V327" s="47">
        <f t="shared" si="116"/>
        <v>0</v>
      </c>
      <c r="W327" s="48">
        <f t="shared" si="117"/>
        <v>0</v>
      </c>
      <c r="X327" s="43">
        <f t="shared" si="118"/>
        <v>0</v>
      </c>
      <c r="Y327" s="43">
        <f t="shared" si="119"/>
        <v>0</v>
      </c>
      <c r="Z327" s="43">
        <f t="shared" si="120"/>
        <v>0</v>
      </c>
      <c r="AA327" s="49">
        <f t="shared" si="121"/>
        <v>0</v>
      </c>
      <c r="AB327" s="50">
        <f t="shared" si="122"/>
        <v>0</v>
      </c>
      <c r="AC327" s="43">
        <f t="shared" si="123"/>
        <v>0</v>
      </c>
      <c r="AD327" s="43">
        <f t="shared" si="124"/>
        <v>0</v>
      </c>
      <c r="AE327" s="43">
        <f t="shared" si="125"/>
        <v>0</v>
      </c>
      <c r="AF327" s="51" t="e">
        <f>HLOOKUP(I327,ElecAvoidedCostsWOCC!$A$5:$Q$50,G327+1,FALSE)</f>
        <v>#N/A</v>
      </c>
      <c r="AG327" s="43" t="e">
        <f t="shared" si="126"/>
        <v>#N/A</v>
      </c>
      <c r="AH327" s="51" t="e">
        <f>HLOOKUP(I327,ElecAvoidedCostsWOCC!$A$5:$Q$50,T327+1,FALSE)</f>
        <v>#N/A</v>
      </c>
      <c r="AI327" s="43" t="e">
        <f t="shared" si="127"/>
        <v>#N/A</v>
      </c>
      <c r="AJ327" s="43" t="e">
        <f t="shared" si="128"/>
        <v>#N/A</v>
      </c>
      <c r="AK327" s="43" t="e">
        <f>HLOOKUP(I327,ElecAvoidedCostsWOCC!$A$5:$Q$50,G327+1,FALSE)*J327*L327</f>
        <v>#N/A</v>
      </c>
      <c r="AL327" s="43" t="e">
        <f t="shared" si="129"/>
        <v>#N/A</v>
      </c>
      <c r="AM327" s="47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7">
        <f t="shared" si="130"/>
        <v>0</v>
      </c>
      <c r="AO327" s="46">
        <f t="shared" si="131"/>
        <v>0</v>
      </c>
      <c r="AP327" s="46" t="e">
        <f t="shared" si="132"/>
        <v>#DIV/0!</v>
      </c>
    </row>
    <row r="328" spans="2:42" x14ac:dyDescent="0.25">
      <c r="B328" s="36"/>
      <c r="C328" s="60"/>
      <c r="D328" s="60"/>
      <c r="E328" s="37"/>
      <c r="F328" s="38"/>
      <c r="G328" s="38"/>
      <c r="H328" s="38"/>
      <c r="I328" s="39"/>
      <c r="J328" s="40"/>
      <c r="K328" s="40"/>
      <c r="L328" s="40"/>
      <c r="M328" s="41"/>
      <c r="N328" s="41"/>
      <c r="O328" s="42"/>
      <c r="P328" s="43"/>
      <c r="Q328" s="43"/>
      <c r="R328" s="44"/>
      <c r="S328" s="45"/>
      <c r="T328" s="38">
        <f t="shared" si="114"/>
        <v>0</v>
      </c>
      <c r="U328" s="46">
        <f t="shared" si="115"/>
        <v>0</v>
      </c>
      <c r="V328" s="47">
        <f t="shared" si="116"/>
        <v>0</v>
      </c>
      <c r="W328" s="48">
        <f t="shared" si="117"/>
        <v>0</v>
      </c>
      <c r="X328" s="43">
        <f t="shared" si="118"/>
        <v>0</v>
      </c>
      <c r="Y328" s="43">
        <f t="shared" si="119"/>
        <v>0</v>
      </c>
      <c r="Z328" s="43">
        <f t="shared" si="120"/>
        <v>0</v>
      </c>
      <c r="AA328" s="49">
        <f t="shared" si="121"/>
        <v>0</v>
      </c>
      <c r="AB328" s="50">
        <f t="shared" si="122"/>
        <v>0</v>
      </c>
      <c r="AC328" s="43">
        <f t="shared" si="123"/>
        <v>0</v>
      </c>
      <c r="AD328" s="43">
        <f t="shared" si="124"/>
        <v>0</v>
      </c>
      <c r="AE328" s="43">
        <f t="shared" si="125"/>
        <v>0</v>
      </c>
      <c r="AF328" s="51" t="e">
        <f>HLOOKUP(I328,ElecAvoidedCostsWOCC!$A$5:$Q$50,G328+1,FALSE)</f>
        <v>#N/A</v>
      </c>
      <c r="AG328" s="43" t="e">
        <f t="shared" si="126"/>
        <v>#N/A</v>
      </c>
      <c r="AH328" s="51" t="e">
        <f>HLOOKUP(I328,ElecAvoidedCostsWOCC!$A$5:$Q$50,T328+1,FALSE)</f>
        <v>#N/A</v>
      </c>
      <c r="AI328" s="43" t="e">
        <f t="shared" si="127"/>
        <v>#N/A</v>
      </c>
      <c r="AJ328" s="43" t="e">
        <f t="shared" si="128"/>
        <v>#N/A</v>
      </c>
      <c r="AK328" s="43" t="e">
        <f>HLOOKUP(I328,ElecAvoidedCostsWOCC!$A$5:$Q$50,G328+1,FALSE)*J328*L328</f>
        <v>#N/A</v>
      </c>
      <c r="AL328" s="43" t="e">
        <f t="shared" si="129"/>
        <v>#N/A</v>
      </c>
      <c r="AM328" s="47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7">
        <f t="shared" si="130"/>
        <v>0</v>
      </c>
      <c r="AO328" s="46">
        <f t="shared" si="131"/>
        <v>0</v>
      </c>
      <c r="AP328" s="46" t="e">
        <f t="shared" si="132"/>
        <v>#DIV/0!</v>
      </c>
    </row>
    <row r="329" spans="2:42" x14ac:dyDescent="0.25">
      <c r="B329" s="36"/>
      <c r="C329" s="60"/>
      <c r="D329" s="60"/>
      <c r="E329" s="37"/>
      <c r="F329" s="38"/>
      <c r="G329" s="38"/>
      <c r="H329" s="38"/>
      <c r="I329" s="39"/>
      <c r="J329" s="40"/>
      <c r="K329" s="40"/>
      <c r="L329" s="40"/>
      <c r="M329" s="41"/>
      <c r="N329" s="41"/>
      <c r="O329" s="42"/>
      <c r="P329" s="43"/>
      <c r="Q329" s="43"/>
      <c r="R329" s="44"/>
      <c r="S329" s="45"/>
      <c r="T329" s="38">
        <f t="shared" si="114"/>
        <v>0</v>
      </c>
      <c r="U329" s="46">
        <f t="shared" si="115"/>
        <v>0</v>
      </c>
      <c r="V329" s="47">
        <f t="shared" si="116"/>
        <v>0</v>
      </c>
      <c r="W329" s="48">
        <f t="shared" si="117"/>
        <v>0</v>
      </c>
      <c r="X329" s="43">
        <f t="shared" si="118"/>
        <v>0</v>
      </c>
      <c r="Y329" s="43">
        <f t="shared" si="119"/>
        <v>0</v>
      </c>
      <c r="Z329" s="43">
        <f t="shared" si="120"/>
        <v>0</v>
      </c>
      <c r="AA329" s="49">
        <f t="shared" si="121"/>
        <v>0</v>
      </c>
      <c r="AB329" s="50">
        <f t="shared" si="122"/>
        <v>0</v>
      </c>
      <c r="AC329" s="43">
        <f t="shared" si="123"/>
        <v>0</v>
      </c>
      <c r="AD329" s="43">
        <f t="shared" si="124"/>
        <v>0</v>
      </c>
      <c r="AE329" s="43">
        <f t="shared" si="125"/>
        <v>0</v>
      </c>
      <c r="AF329" s="51" t="e">
        <f>HLOOKUP(I329,ElecAvoidedCostsWOCC!$A$5:$Q$50,G329+1,FALSE)</f>
        <v>#N/A</v>
      </c>
      <c r="AG329" s="43" t="e">
        <f t="shared" si="126"/>
        <v>#N/A</v>
      </c>
      <c r="AH329" s="51" t="e">
        <f>HLOOKUP(I329,ElecAvoidedCostsWOCC!$A$5:$Q$50,T329+1,FALSE)</f>
        <v>#N/A</v>
      </c>
      <c r="AI329" s="43" t="e">
        <f t="shared" si="127"/>
        <v>#N/A</v>
      </c>
      <c r="AJ329" s="43" t="e">
        <f t="shared" si="128"/>
        <v>#N/A</v>
      </c>
      <c r="AK329" s="43" t="e">
        <f>HLOOKUP(I329,ElecAvoidedCostsWOCC!$A$5:$Q$50,G329+1,FALSE)*J329*L329</f>
        <v>#N/A</v>
      </c>
      <c r="AL329" s="43" t="e">
        <f t="shared" si="129"/>
        <v>#N/A</v>
      </c>
      <c r="AM329" s="47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7">
        <f t="shared" si="130"/>
        <v>0</v>
      </c>
      <c r="AO329" s="46">
        <f t="shared" si="131"/>
        <v>0</v>
      </c>
      <c r="AP329" s="46" t="e">
        <f t="shared" si="132"/>
        <v>#DIV/0!</v>
      </c>
    </row>
    <row r="330" spans="2:42" x14ac:dyDescent="0.25">
      <c r="B330" s="36"/>
      <c r="C330" s="60"/>
      <c r="D330" s="60"/>
      <c r="E330" s="37"/>
      <c r="F330" s="38"/>
      <c r="G330" s="38"/>
      <c r="H330" s="38"/>
      <c r="I330" s="39"/>
      <c r="J330" s="40"/>
      <c r="K330" s="40"/>
      <c r="L330" s="40"/>
      <c r="M330" s="41"/>
      <c r="N330" s="41"/>
      <c r="O330" s="42"/>
      <c r="P330" s="43"/>
      <c r="Q330" s="43"/>
      <c r="R330" s="44"/>
      <c r="S330" s="45"/>
      <c r="T330" s="38">
        <f t="shared" si="114"/>
        <v>0</v>
      </c>
      <c r="U330" s="46">
        <f t="shared" si="115"/>
        <v>0</v>
      </c>
      <c r="V330" s="47">
        <f t="shared" si="116"/>
        <v>0</v>
      </c>
      <c r="W330" s="48">
        <f t="shared" si="117"/>
        <v>0</v>
      </c>
      <c r="X330" s="43">
        <f t="shared" si="118"/>
        <v>0</v>
      </c>
      <c r="Y330" s="43">
        <f t="shared" si="119"/>
        <v>0</v>
      </c>
      <c r="Z330" s="43">
        <f t="shared" si="120"/>
        <v>0</v>
      </c>
      <c r="AA330" s="49">
        <f t="shared" si="121"/>
        <v>0</v>
      </c>
      <c r="AB330" s="50">
        <f t="shared" si="122"/>
        <v>0</v>
      </c>
      <c r="AC330" s="43">
        <f t="shared" si="123"/>
        <v>0</v>
      </c>
      <c r="AD330" s="43">
        <f t="shared" si="124"/>
        <v>0</v>
      </c>
      <c r="AE330" s="43">
        <f t="shared" si="125"/>
        <v>0</v>
      </c>
      <c r="AF330" s="51" t="e">
        <f>HLOOKUP(I330,ElecAvoidedCostsWOCC!$A$5:$Q$50,G330+1,FALSE)</f>
        <v>#N/A</v>
      </c>
      <c r="AG330" s="43" t="e">
        <f t="shared" si="126"/>
        <v>#N/A</v>
      </c>
      <c r="AH330" s="51" t="e">
        <f>HLOOKUP(I330,ElecAvoidedCostsWOCC!$A$5:$Q$50,T330+1,FALSE)</f>
        <v>#N/A</v>
      </c>
      <c r="AI330" s="43" t="e">
        <f t="shared" si="127"/>
        <v>#N/A</v>
      </c>
      <c r="AJ330" s="43" t="e">
        <f t="shared" si="128"/>
        <v>#N/A</v>
      </c>
      <c r="AK330" s="43" t="e">
        <f>HLOOKUP(I330,ElecAvoidedCostsWOCC!$A$5:$Q$50,G330+1,FALSE)*J330*L330</f>
        <v>#N/A</v>
      </c>
      <c r="AL330" s="43" t="e">
        <f t="shared" si="129"/>
        <v>#N/A</v>
      </c>
      <c r="AM330" s="47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7">
        <f t="shared" si="130"/>
        <v>0</v>
      </c>
      <c r="AO330" s="46">
        <f t="shared" si="131"/>
        <v>0</v>
      </c>
      <c r="AP330" s="46" t="e">
        <f t="shared" si="132"/>
        <v>#DIV/0!</v>
      </c>
    </row>
    <row r="331" spans="2:42" x14ac:dyDescent="0.25">
      <c r="B331" s="36"/>
      <c r="C331" s="60"/>
      <c r="D331" s="60"/>
      <c r="E331" s="37"/>
      <c r="F331" s="38"/>
      <c r="G331" s="38"/>
      <c r="H331" s="38"/>
      <c r="I331" s="39"/>
      <c r="J331" s="40"/>
      <c r="K331" s="40"/>
      <c r="L331" s="40"/>
      <c r="M331" s="41"/>
      <c r="N331" s="41"/>
      <c r="O331" s="42"/>
      <c r="P331" s="43"/>
      <c r="Q331" s="43"/>
      <c r="R331" s="44"/>
      <c r="S331" s="45"/>
      <c r="T331" s="38">
        <f t="shared" si="114"/>
        <v>0</v>
      </c>
      <c r="U331" s="46">
        <f t="shared" si="115"/>
        <v>0</v>
      </c>
      <c r="V331" s="47">
        <f t="shared" si="116"/>
        <v>0</v>
      </c>
      <c r="W331" s="48">
        <f t="shared" si="117"/>
        <v>0</v>
      </c>
      <c r="X331" s="43">
        <f t="shared" si="118"/>
        <v>0</v>
      </c>
      <c r="Y331" s="43">
        <f t="shared" si="119"/>
        <v>0</v>
      </c>
      <c r="Z331" s="43">
        <f t="shared" si="120"/>
        <v>0</v>
      </c>
      <c r="AA331" s="49">
        <f t="shared" si="121"/>
        <v>0</v>
      </c>
      <c r="AB331" s="50">
        <f t="shared" si="122"/>
        <v>0</v>
      </c>
      <c r="AC331" s="43">
        <f t="shared" si="123"/>
        <v>0</v>
      </c>
      <c r="AD331" s="43">
        <f t="shared" si="124"/>
        <v>0</v>
      </c>
      <c r="AE331" s="43">
        <f t="shared" si="125"/>
        <v>0</v>
      </c>
      <c r="AF331" s="51" t="e">
        <f>HLOOKUP(I331,ElecAvoidedCostsWOCC!$A$5:$Q$50,G331+1,FALSE)</f>
        <v>#N/A</v>
      </c>
      <c r="AG331" s="43" t="e">
        <f t="shared" si="126"/>
        <v>#N/A</v>
      </c>
      <c r="AH331" s="51" t="e">
        <f>HLOOKUP(I331,ElecAvoidedCostsWOCC!$A$5:$Q$50,T331+1,FALSE)</f>
        <v>#N/A</v>
      </c>
      <c r="AI331" s="43" t="e">
        <f t="shared" si="127"/>
        <v>#N/A</v>
      </c>
      <c r="AJ331" s="43" t="e">
        <f t="shared" si="128"/>
        <v>#N/A</v>
      </c>
      <c r="AK331" s="43" t="e">
        <f>HLOOKUP(I331,ElecAvoidedCostsWOCC!$A$5:$Q$50,G331+1,FALSE)*J331*L331</f>
        <v>#N/A</v>
      </c>
      <c r="AL331" s="43" t="e">
        <f t="shared" si="129"/>
        <v>#N/A</v>
      </c>
      <c r="AM331" s="47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7">
        <f t="shared" si="130"/>
        <v>0</v>
      </c>
      <c r="AO331" s="46">
        <f t="shared" si="131"/>
        <v>0</v>
      </c>
      <c r="AP331" s="46" t="e">
        <f t="shared" si="132"/>
        <v>#DIV/0!</v>
      </c>
    </row>
    <row r="332" spans="2:42" x14ac:dyDescent="0.25">
      <c r="B332" s="36"/>
      <c r="C332" s="60"/>
      <c r="D332" s="60"/>
      <c r="E332" s="37"/>
      <c r="F332" s="38"/>
      <c r="G332" s="38"/>
      <c r="H332" s="38"/>
      <c r="I332" s="39"/>
      <c r="J332" s="40"/>
      <c r="K332" s="40"/>
      <c r="L332" s="40"/>
      <c r="M332" s="41"/>
      <c r="N332" s="41"/>
      <c r="O332" s="42"/>
      <c r="P332" s="43"/>
      <c r="Q332" s="43"/>
      <c r="R332" s="44"/>
      <c r="S332" s="45"/>
      <c r="T332" s="38">
        <f t="shared" si="114"/>
        <v>0</v>
      </c>
      <c r="U332" s="46">
        <f t="shared" si="115"/>
        <v>0</v>
      </c>
      <c r="V332" s="47">
        <f t="shared" si="116"/>
        <v>0</v>
      </c>
      <c r="W332" s="48">
        <f t="shared" si="117"/>
        <v>0</v>
      </c>
      <c r="X332" s="43">
        <f t="shared" si="118"/>
        <v>0</v>
      </c>
      <c r="Y332" s="43">
        <f t="shared" si="119"/>
        <v>0</v>
      </c>
      <c r="Z332" s="43">
        <f t="shared" si="120"/>
        <v>0</v>
      </c>
      <c r="AA332" s="49">
        <f t="shared" si="121"/>
        <v>0</v>
      </c>
      <c r="AB332" s="50">
        <f t="shared" si="122"/>
        <v>0</v>
      </c>
      <c r="AC332" s="43">
        <f t="shared" si="123"/>
        <v>0</v>
      </c>
      <c r="AD332" s="43">
        <f t="shared" si="124"/>
        <v>0</v>
      </c>
      <c r="AE332" s="43">
        <f t="shared" si="125"/>
        <v>0</v>
      </c>
      <c r="AF332" s="51" t="e">
        <f>HLOOKUP(I332,ElecAvoidedCostsWOCC!$A$5:$Q$50,G332+1,FALSE)</f>
        <v>#N/A</v>
      </c>
      <c r="AG332" s="43" t="e">
        <f t="shared" si="126"/>
        <v>#N/A</v>
      </c>
      <c r="AH332" s="51" t="e">
        <f>HLOOKUP(I332,ElecAvoidedCostsWOCC!$A$5:$Q$50,T332+1,FALSE)</f>
        <v>#N/A</v>
      </c>
      <c r="AI332" s="43" t="e">
        <f t="shared" si="127"/>
        <v>#N/A</v>
      </c>
      <c r="AJ332" s="43" t="e">
        <f t="shared" si="128"/>
        <v>#N/A</v>
      </c>
      <c r="AK332" s="43" t="e">
        <f>HLOOKUP(I332,ElecAvoidedCostsWOCC!$A$5:$Q$50,G332+1,FALSE)*J332*L332</f>
        <v>#N/A</v>
      </c>
      <c r="AL332" s="43" t="e">
        <f t="shared" si="129"/>
        <v>#N/A</v>
      </c>
      <c r="AM332" s="47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7">
        <f t="shared" si="130"/>
        <v>0</v>
      </c>
      <c r="AO332" s="46">
        <f t="shared" si="131"/>
        <v>0</v>
      </c>
      <c r="AP332" s="46" t="e">
        <f t="shared" si="132"/>
        <v>#DIV/0!</v>
      </c>
    </row>
    <row r="333" spans="2:42" x14ac:dyDescent="0.25">
      <c r="B333" s="36"/>
      <c r="C333" s="60"/>
      <c r="D333" s="60"/>
      <c r="E333" s="37"/>
      <c r="F333" s="38"/>
      <c r="G333" s="38"/>
      <c r="H333" s="38"/>
      <c r="I333" s="39"/>
      <c r="J333" s="40"/>
      <c r="K333" s="40"/>
      <c r="L333" s="40"/>
      <c r="M333" s="41"/>
      <c r="N333" s="41"/>
      <c r="O333" s="42"/>
      <c r="P333" s="43"/>
      <c r="Q333" s="43"/>
      <c r="R333" s="44"/>
      <c r="S333" s="45"/>
      <c r="T333" s="38">
        <f t="shared" si="114"/>
        <v>0</v>
      </c>
      <c r="U333" s="46">
        <f t="shared" si="115"/>
        <v>0</v>
      </c>
      <c r="V333" s="47">
        <f t="shared" si="116"/>
        <v>0</v>
      </c>
      <c r="W333" s="48">
        <f t="shared" si="117"/>
        <v>0</v>
      </c>
      <c r="X333" s="43">
        <f t="shared" si="118"/>
        <v>0</v>
      </c>
      <c r="Y333" s="43">
        <f t="shared" si="119"/>
        <v>0</v>
      </c>
      <c r="Z333" s="43">
        <f t="shared" si="120"/>
        <v>0</v>
      </c>
      <c r="AA333" s="49">
        <f t="shared" si="121"/>
        <v>0</v>
      </c>
      <c r="AB333" s="50">
        <f t="shared" si="122"/>
        <v>0</v>
      </c>
      <c r="AC333" s="43">
        <f t="shared" si="123"/>
        <v>0</v>
      </c>
      <c r="AD333" s="43">
        <f t="shared" si="124"/>
        <v>0</v>
      </c>
      <c r="AE333" s="43">
        <f t="shared" si="125"/>
        <v>0</v>
      </c>
      <c r="AF333" s="51" t="e">
        <f>HLOOKUP(I333,ElecAvoidedCostsWOCC!$A$5:$Q$50,G333+1,FALSE)</f>
        <v>#N/A</v>
      </c>
      <c r="AG333" s="43" t="e">
        <f t="shared" si="126"/>
        <v>#N/A</v>
      </c>
      <c r="AH333" s="51" t="e">
        <f>HLOOKUP(I333,ElecAvoidedCostsWOCC!$A$5:$Q$50,T333+1,FALSE)</f>
        <v>#N/A</v>
      </c>
      <c r="AI333" s="43" t="e">
        <f t="shared" si="127"/>
        <v>#N/A</v>
      </c>
      <c r="AJ333" s="43" t="e">
        <f t="shared" si="128"/>
        <v>#N/A</v>
      </c>
      <c r="AK333" s="43" t="e">
        <f>HLOOKUP(I333,ElecAvoidedCostsWOCC!$A$5:$Q$50,G333+1,FALSE)*J333*L333</f>
        <v>#N/A</v>
      </c>
      <c r="AL333" s="43" t="e">
        <f t="shared" si="129"/>
        <v>#N/A</v>
      </c>
      <c r="AM333" s="47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7">
        <f t="shared" si="130"/>
        <v>0</v>
      </c>
      <c r="AO333" s="46">
        <f t="shared" si="131"/>
        <v>0</v>
      </c>
      <c r="AP333" s="46" t="e">
        <f t="shared" si="132"/>
        <v>#DIV/0!</v>
      </c>
    </row>
    <row r="334" spans="2:42" x14ac:dyDescent="0.25">
      <c r="B334" s="36"/>
      <c r="C334" s="60"/>
      <c r="D334" s="60"/>
      <c r="E334" s="37"/>
      <c r="F334" s="38"/>
      <c r="G334" s="38"/>
      <c r="H334" s="38"/>
      <c r="I334" s="39"/>
      <c r="J334" s="40"/>
      <c r="K334" s="40"/>
      <c r="L334" s="40"/>
      <c r="M334" s="41"/>
      <c r="N334" s="41"/>
      <c r="O334" s="42"/>
      <c r="P334" s="43"/>
      <c r="Q334" s="43"/>
      <c r="R334" s="44"/>
      <c r="S334" s="45"/>
      <c r="T334" s="38">
        <f t="shared" si="114"/>
        <v>0</v>
      </c>
      <c r="U334" s="46">
        <f t="shared" si="115"/>
        <v>0</v>
      </c>
      <c r="V334" s="47">
        <f t="shared" si="116"/>
        <v>0</v>
      </c>
      <c r="W334" s="48">
        <f t="shared" si="117"/>
        <v>0</v>
      </c>
      <c r="X334" s="43">
        <f t="shared" si="118"/>
        <v>0</v>
      </c>
      <c r="Y334" s="43">
        <f t="shared" si="119"/>
        <v>0</v>
      </c>
      <c r="Z334" s="43">
        <f t="shared" si="120"/>
        <v>0</v>
      </c>
      <c r="AA334" s="49">
        <f t="shared" si="121"/>
        <v>0</v>
      </c>
      <c r="AB334" s="50">
        <f t="shared" si="122"/>
        <v>0</v>
      </c>
      <c r="AC334" s="43">
        <f t="shared" si="123"/>
        <v>0</v>
      </c>
      <c r="AD334" s="43">
        <f t="shared" si="124"/>
        <v>0</v>
      </c>
      <c r="AE334" s="43">
        <f t="shared" si="125"/>
        <v>0</v>
      </c>
      <c r="AF334" s="51" t="e">
        <f>HLOOKUP(I334,ElecAvoidedCostsWOCC!$A$5:$Q$50,G334+1,FALSE)</f>
        <v>#N/A</v>
      </c>
      <c r="AG334" s="43" t="e">
        <f t="shared" si="126"/>
        <v>#N/A</v>
      </c>
      <c r="AH334" s="51" t="e">
        <f>HLOOKUP(I334,ElecAvoidedCostsWOCC!$A$5:$Q$50,T334+1,FALSE)</f>
        <v>#N/A</v>
      </c>
      <c r="AI334" s="43" t="e">
        <f t="shared" si="127"/>
        <v>#N/A</v>
      </c>
      <c r="AJ334" s="43" t="e">
        <f t="shared" si="128"/>
        <v>#N/A</v>
      </c>
      <c r="AK334" s="43" t="e">
        <f>HLOOKUP(I334,ElecAvoidedCostsWOCC!$A$5:$Q$50,G334+1,FALSE)*J334*L334</f>
        <v>#N/A</v>
      </c>
      <c r="AL334" s="43" t="e">
        <f t="shared" si="129"/>
        <v>#N/A</v>
      </c>
      <c r="AM334" s="47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7">
        <f t="shared" si="130"/>
        <v>0</v>
      </c>
      <c r="AO334" s="46">
        <f t="shared" si="131"/>
        <v>0</v>
      </c>
      <c r="AP334" s="46" t="e">
        <f t="shared" si="132"/>
        <v>#DIV/0!</v>
      </c>
    </row>
    <row r="335" spans="2:42" x14ac:dyDescent="0.25">
      <c r="B335" s="36"/>
      <c r="C335" s="60"/>
      <c r="D335" s="60"/>
      <c r="E335" s="37"/>
      <c r="F335" s="38"/>
      <c r="G335" s="38"/>
      <c r="H335" s="38"/>
      <c r="I335" s="39"/>
      <c r="J335" s="40"/>
      <c r="K335" s="40"/>
      <c r="L335" s="40"/>
      <c r="M335" s="41"/>
      <c r="N335" s="41"/>
      <c r="O335" s="42"/>
      <c r="P335" s="43"/>
      <c r="Q335" s="43"/>
      <c r="R335" s="44"/>
      <c r="S335" s="45"/>
      <c r="T335" s="38">
        <f t="shared" si="114"/>
        <v>0</v>
      </c>
      <c r="U335" s="46">
        <f t="shared" si="115"/>
        <v>0</v>
      </c>
      <c r="V335" s="47">
        <f t="shared" si="116"/>
        <v>0</v>
      </c>
      <c r="W335" s="48">
        <f t="shared" si="117"/>
        <v>0</v>
      </c>
      <c r="X335" s="43">
        <f t="shared" si="118"/>
        <v>0</v>
      </c>
      <c r="Y335" s="43">
        <f t="shared" si="119"/>
        <v>0</v>
      </c>
      <c r="Z335" s="43">
        <f t="shared" si="120"/>
        <v>0</v>
      </c>
      <c r="AA335" s="49">
        <f t="shared" si="121"/>
        <v>0</v>
      </c>
      <c r="AB335" s="50">
        <f t="shared" si="122"/>
        <v>0</v>
      </c>
      <c r="AC335" s="43">
        <f t="shared" si="123"/>
        <v>0</v>
      </c>
      <c r="AD335" s="43">
        <f t="shared" si="124"/>
        <v>0</v>
      </c>
      <c r="AE335" s="43">
        <f t="shared" si="125"/>
        <v>0</v>
      </c>
      <c r="AF335" s="51" t="e">
        <f>HLOOKUP(I335,ElecAvoidedCostsWOCC!$A$5:$Q$50,G335+1,FALSE)</f>
        <v>#N/A</v>
      </c>
      <c r="AG335" s="43" t="e">
        <f t="shared" si="126"/>
        <v>#N/A</v>
      </c>
      <c r="AH335" s="51" t="e">
        <f>HLOOKUP(I335,ElecAvoidedCostsWOCC!$A$5:$Q$50,T335+1,FALSE)</f>
        <v>#N/A</v>
      </c>
      <c r="AI335" s="43" t="e">
        <f t="shared" si="127"/>
        <v>#N/A</v>
      </c>
      <c r="AJ335" s="43" t="e">
        <f t="shared" si="128"/>
        <v>#N/A</v>
      </c>
      <c r="AK335" s="43" t="e">
        <f>HLOOKUP(I335,ElecAvoidedCostsWOCC!$A$5:$Q$50,G335+1,FALSE)*J335*L335</f>
        <v>#N/A</v>
      </c>
      <c r="AL335" s="43" t="e">
        <f t="shared" si="129"/>
        <v>#N/A</v>
      </c>
      <c r="AM335" s="47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7">
        <f t="shared" si="130"/>
        <v>0</v>
      </c>
      <c r="AO335" s="46">
        <f t="shared" si="131"/>
        <v>0</v>
      </c>
      <c r="AP335" s="46" t="e">
        <f t="shared" si="132"/>
        <v>#DIV/0!</v>
      </c>
    </row>
    <row r="336" spans="2:42" x14ac:dyDescent="0.25">
      <c r="B336" s="36"/>
      <c r="C336" s="60"/>
      <c r="D336" s="60"/>
      <c r="E336" s="37"/>
      <c r="F336" s="38"/>
      <c r="G336" s="38"/>
      <c r="H336" s="38"/>
      <c r="I336" s="39"/>
      <c r="J336" s="40"/>
      <c r="K336" s="40"/>
      <c r="L336" s="40"/>
      <c r="M336" s="41"/>
      <c r="N336" s="41"/>
      <c r="O336" s="42"/>
      <c r="P336" s="43"/>
      <c r="Q336" s="43"/>
      <c r="R336" s="44"/>
      <c r="S336" s="45"/>
      <c r="T336" s="38">
        <f t="shared" si="114"/>
        <v>0</v>
      </c>
      <c r="U336" s="46">
        <f t="shared" si="115"/>
        <v>0</v>
      </c>
      <c r="V336" s="47">
        <f t="shared" si="116"/>
        <v>0</v>
      </c>
      <c r="W336" s="48">
        <f t="shared" si="117"/>
        <v>0</v>
      </c>
      <c r="X336" s="43">
        <f t="shared" si="118"/>
        <v>0</v>
      </c>
      <c r="Y336" s="43">
        <f t="shared" si="119"/>
        <v>0</v>
      </c>
      <c r="Z336" s="43">
        <f t="shared" si="120"/>
        <v>0</v>
      </c>
      <c r="AA336" s="49">
        <f t="shared" si="121"/>
        <v>0</v>
      </c>
      <c r="AB336" s="50">
        <f t="shared" si="122"/>
        <v>0</v>
      </c>
      <c r="AC336" s="43">
        <f t="shared" si="123"/>
        <v>0</v>
      </c>
      <c r="AD336" s="43">
        <f t="shared" si="124"/>
        <v>0</v>
      </c>
      <c r="AE336" s="43">
        <f t="shared" si="125"/>
        <v>0</v>
      </c>
      <c r="AF336" s="51" t="e">
        <f>HLOOKUP(I336,ElecAvoidedCostsWOCC!$A$5:$Q$50,G336+1,FALSE)</f>
        <v>#N/A</v>
      </c>
      <c r="AG336" s="43" t="e">
        <f t="shared" si="126"/>
        <v>#N/A</v>
      </c>
      <c r="AH336" s="51" t="e">
        <f>HLOOKUP(I336,ElecAvoidedCostsWOCC!$A$5:$Q$50,T336+1,FALSE)</f>
        <v>#N/A</v>
      </c>
      <c r="AI336" s="43" t="e">
        <f t="shared" si="127"/>
        <v>#N/A</v>
      </c>
      <c r="AJ336" s="43" t="e">
        <f t="shared" si="128"/>
        <v>#N/A</v>
      </c>
      <c r="AK336" s="43" t="e">
        <f>HLOOKUP(I336,ElecAvoidedCostsWOCC!$A$5:$Q$50,G336+1,FALSE)*J336*L336</f>
        <v>#N/A</v>
      </c>
      <c r="AL336" s="43" t="e">
        <f t="shared" si="129"/>
        <v>#N/A</v>
      </c>
      <c r="AM336" s="47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7">
        <f t="shared" si="130"/>
        <v>0</v>
      </c>
      <c r="AO336" s="46">
        <f t="shared" si="131"/>
        <v>0</v>
      </c>
      <c r="AP336" s="46" t="e">
        <f t="shared" si="132"/>
        <v>#DIV/0!</v>
      </c>
    </row>
    <row r="337" spans="2:42" x14ac:dyDescent="0.25">
      <c r="B337" s="36"/>
      <c r="C337" s="60"/>
      <c r="D337" s="60"/>
      <c r="E337" s="37"/>
      <c r="F337" s="38"/>
      <c r="G337" s="38"/>
      <c r="H337" s="38"/>
      <c r="I337" s="39"/>
      <c r="J337" s="40"/>
      <c r="K337" s="40"/>
      <c r="L337" s="40"/>
      <c r="M337" s="41"/>
      <c r="N337" s="41"/>
      <c r="O337" s="42"/>
      <c r="P337" s="43"/>
      <c r="Q337" s="43"/>
      <c r="R337" s="44"/>
      <c r="S337" s="45"/>
      <c r="T337" s="38">
        <f t="shared" si="114"/>
        <v>0</v>
      </c>
      <c r="U337" s="46">
        <f t="shared" si="115"/>
        <v>0</v>
      </c>
      <c r="V337" s="47">
        <f t="shared" si="116"/>
        <v>0</v>
      </c>
      <c r="W337" s="48">
        <f t="shared" si="117"/>
        <v>0</v>
      </c>
      <c r="X337" s="43">
        <f t="shared" si="118"/>
        <v>0</v>
      </c>
      <c r="Y337" s="43">
        <f t="shared" si="119"/>
        <v>0</v>
      </c>
      <c r="Z337" s="43">
        <f t="shared" si="120"/>
        <v>0</v>
      </c>
      <c r="AA337" s="49">
        <f t="shared" si="121"/>
        <v>0</v>
      </c>
      <c r="AB337" s="50">
        <f t="shared" si="122"/>
        <v>0</v>
      </c>
      <c r="AC337" s="43">
        <f t="shared" si="123"/>
        <v>0</v>
      </c>
      <c r="AD337" s="43">
        <f t="shared" si="124"/>
        <v>0</v>
      </c>
      <c r="AE337" s="43">
        <f t="shared" si="125"/>
        <v>0</v>
      </c>
      <c r="AF337" s="51" t="e">
        <f>HLOOKUP(I337,ElecAvoidedCostsWOCC!$A$5:$Q$50,G337+1,FALSE)</f>
        <v>#N/A</v>
      </c>
      <c r="AG337" s="43" t="e">
        <f t="shared" si="126"/>
        <v>#N/A</v>
      </c>
      <c r="AH337" s="51" t="e">
        <f>HLOOKUP(I337,ElecAvoidedCostsWOCC!$A$5:$Q$50,T337+1,FALSE)</f>
        <v>#N/A</v>
      </c>
      <c r="AI337" s="43" t="e">
        <f t="shared" si="127"/>
        <v>#N/A</v>
      </c>
      <c r="AJ337" s="43" t="e">
        <f t="shared" si="128"/>
        <v>#N/A</v>
      </c>
      <c r="AK337" s="43" t="e">
        <f>HLOOKUP(I337,ElecAvoidedCostsWOCC!$A$5:$Q$50,G337+1,FALSE)*J337*L337</f>
        <v>#N/A</v>
      </c>
      <c r="AL337" s="43" t="e">
        <f t="shared" si="129"/>
        <v>#N/A</v>
      </c>
      <c r="AM337" s="47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7">
        <f t="shared" si="130"/>
        <v>0</v>
      </c>
      <c r="AO337" s="46">
        <f t="shared" si="131"/>
        <v>0</v>
      </c>
      <c r="AP337" s="46" t="e">
        <f t="shared" si="132"/>
        <v>#DIV/0!</v>
      </c>
    </row>
    <row r="338" spans="2:42" x14ac:dyDescent="0.25">
      <c r="B338" s="36"/>
      <c r="C338" s="60"/>
      <c r="D338" s="60"/>
      <c r="E338" s="37"/>
      <c r="F338" s="38"/>
      <c r="G338" s="38"/>
      <c r="H338" s="38"/>
      <c r="I338" s="39"/>
      <c r="J338" s="40"/>
      <c r="K338" s="40"/>
      <c r="L338" s="40"/>
      <c r="M338" s="41"/>
      <c r="N338" s="41"/>
      <c r="O338" s="42"/>
      <c r="P338" s="43"/>
      <c r="Q338" s="43"/>
      <c r="R338" s="44"/>
      <c r="S338" s="45"/>
      <c r="T338" s="38">
        <f t="shared" si="114"/>
        <v>0</v>
      </c>
      <c r="U338" s="46">
        <f t="shared" si="115"/>
        <v>0</v>
      </c>
      <c r="V338" s="47">
        <f t="shared" si="116"/>
        <v>0</v>
      </c>
      <c r="W338" s="48">
        <f t="shared" si="117"/>
        <v>0</v>
      </c>
      <c r="X338" s="43">
        <f t="shared" si="118"/>
        <v>0</v>
      </c>
      <c r="Y338" s="43">
        <f t="shared" si="119"/>
        <v>0</v>
      </c>
      <c r="Z338" s="43">
        <f t="shared" si="120"/>
        <v>0</v>
      </c>
      <c r="AA338" s="49">
        <f t="shared" si="121"/>
        <v>0</v>
      </c>
      <c r="AB338" s="50">
        <f t="shared" si="122"/>
        <v>0</v>
      </c>
      <c r="AC338" s="43">
        <f t="shared" si="123"/>
        <v>0</v>
      </c>
      <c r="AD338" s="43">
        <f t="shared" si="124"/>
        <v>0</v>
      </c>
      <c r="AE338" s="43">
        <f t="shared" si="125"/>
        <v>0</v>
      </c>
      <c r="AF338" s="51" t="e">
        <f>HLOOKUP(I338,ElecAvoidedCostsWOCC!$A$5:$Q$50,G338+1,FALSE)</f>
        <v>#N/A</v>
      </c>
      <c r="AG338" s="43" t="e">
        <f t="shared" si="126"/>
        <v>#N/A</v>
      </c>
      <c r="AH338" s="51" t="e">
        <f>HLOOKUP(I338,ElecAvoidedCostsWOCC!$A$5:$Q$50,T338+1,FALSE)</f>
        <v>#N/A</v>
      </c>
      <c r="AI338" s="43" t="e">
        <f t="shared" si="127"/>
        <v>#N/A</v>
      </c>
      <c r="AJ338" s="43" t="e">
        <f t="shared" si="128"/>
        <v>#N/A</v>
      </c>
      <c r="AK338" s="43" t="e">
        <f>HLOOKUP(I338,ElecAvoidedCostsWOCC!$A$5:$Q$50,G338+1,FALSE)*J338*L338</f>
        <v>#N/A</v>
      </c>
      <c r="AL338" s="43" t="e">
        <f t="shared" si="129"/>
        <v>#N/A</v>
      </c>
      <c r="AM338" s="47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7">
        <f t="shared" si="130"/>
        <v>0</v>
      </c>
      <c r="AO338" s="46">
        <f t="shared" si="131"/>
        <v>0</v>
      </c>
      <c r="AP338" s="46" t="e">
        <f t="shared" si="132"/>
        <v>#DIV/0!</v>
      </c>
    </row>
    <row r="339" spans="2:42" x14ac:dyDescent="0.25">
      <c r="B339" s="36"/>
      <c r="C339" s="60"/>
      <c r="D339" s="60"/>
      <c r="E339" s="37"/>
      <c r="F339" s="38"/>
      <c r="G339" s="38"/>
      <c r="H339" s="38"/>
      <c r="I339" s="39"/>
      <c r="J339" s="40"/>
      <c r="K339" s="40"/>
      <c r="L339" s="40"/>
      <c r="M339" s="41"/>
      <c r="N339" s="41"/>
      <c r="O339" s="42"/>
      <c r="P339" s="43"/>
      <c r="Q339" s="43"/>
      <c r="R339" s="44"/>
      <c r="S339" s="45"/>
      <c r="T339" s="38">
        <f t="shared" si="114"/>
        <v>0</v>
      </c>
      <c r="U339" s="46">
        <f t="shared" si="115"/>
        <v>0</v>
      </c>
      <c r="V339" s="47">
        <f t="shared" si="116"/>
        <v>0</v>
      </c>
      <c r="W339" s="48">
        <f t="shared" si="117"/>
        <v>0</v>
      </c>
      <c r="X339" s="43">
        <f t="shared" si="118"/>
        <v>0</v>
      </c>
      <c r="Y339" s="43">
        <f t="shared" si="119"/>
        <v>0</v>
      </c>
      <c r="Z339" s="43">
        <f t="shared" si="120"/>
        <v>0</v>
      </c>
      <c r="AA339" s="49">
        <f t="shared" si="121"/>
        <v>0</v>
      </c>
      <c r="AB339" s="50">
        <f t="shared" si="122"/>
        <v>0</v>
      </c>
      <c r="AC339" s="43">
        <f t="shared" si="123"/>
        <v>0</v>
      </c>
      <c r="AD339" s="43">
        <f t="shared" si="124"/>
        <v>0</v>
      </c>
      <c r="AE339" s="43">
        <f t="shared" si="125"/>
        <v>0</v>
      </c>
      <c r="AF339" s="51" t="e">
        <f>HLOOKUP(I339,ElecAvoidedCostsWOCC!$A$5:$Q$50,G339+1,FALSE)</f>
        <v>#N/A</v>
      </c>
      <c r="AG339" s="43" t="e">
        <f t="shared" si="126"/>
        <v>#N/A</v>
      </c>
      <c r="AH339" s="51" t="e">
        <f>HLOOKUP(I339,ElecAvoidedCostsWOCC!$A$5:$Q$50,T339+1,FALSE)</f>
        <v>#N/A</v>
      </c>
      <c r="AI339" s="43" t="e">
        <f t="shared" si="127"/>
        <v>#N/A</v>
      </c>
      <c r="AJ339" s="43" t="e">
        <f t="shared" si="128"/>
        <v>#N/A</v>
      </c>
      <c r="AK339" s="43" t="e">
        <f>HLOOKUP(I339,ElecAvoidedCostsWOCC!$A$5:$Q$50,G339+1,FALSE)*J339*L339</f>
        <v>#N/A</v>
      </c>
      <c r="AL339" s="43" t="e">
        <f t="shared" si="129"/>
        <v>#N/A</v>
      </c>
      <c r="AM339" s="47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7">
        <f t="shared" si="130"/>
        <v>0</v>
      </c>
      <c r="AO339" s="46">
        <f t="shared" si="131"/>
        <v>0</v>
      </c>
      <c r="AP339" s="46" t="e">
        <f t="shared" si="132"/>
        <v>#DIV/0!</v>
      </c>
    </row>
    <row r="340" spans="2:42" x14ac:dyDescent="0.25">
      <c r="B340" s="36"/>
      <c r="C340" s="60"/>
      <c r="D340" s="60"/>
      <c r="E340" s="37"/>
      <c r="F340" s="38"/>
      <c r="G340" s="38"/>
      <c r="H340" s="38"/>
      <c r="I340" s="39"/>
      <c r="J340" s="40"/>
      <c r="K340" s="40"/>
      <c r="L340" s="40"/>
      <c r="M340" s="41"/>
      <c r="N340" s="41"/>
      <c r="O340" s="42"/>
      <c r="P340" s="43"/>
      <c r="Q340" s="43"/>
      <c r="R340" s="44"/>
      <c r="S340" s="45"/>
      <c r="T340" s="38">
        <f t="shared" si="114"/>
        <v>0</v>
      </c>
      <c r="U340" s="46">
        <f t="shared" si="115"/>
        <v>0</v>
      </c>
      <c r="V340" s="47">
        <f t="shared" si="116"/>
        <v>0</v>
      </c>
      <c r="W340" s="48">
        <f t="shared" si="117"/>
        <v>0</v>
      </c>
      <c r="X340" s="43">
        <f t="shared" si="118"/>
        <v>0</v>
      </c>
      <c r="Y340" s="43">
        <f t="shared" si="119"/>
        <v>0</v>
      </c>
      <c r="Z340" s="43">
        <f t="shared" si="120"/>
        <v>0</v>
      </c>
      <c r="AA340" s="49">
        <f t="shared" si="121"/>
        <v>0</v>
      </c>
      <c r="AB340" s="50">
        <f t="shared" si="122"/>
        <v>0</v>
      </c>
      <c r="AC340" s="43">
        <f t="shared" si="123"/>
        <v>0</v>
      </c>
      <c r="AD340" s="43">
        <f t="shared" si="124"/>
        <v>0</v>
      </c>
      <c r="AE340" s="43">
        <f t="shared" si="125"/>
        <v>0</v>
      </c>
      <c r="AF340" s="51" t="e">
        <f>HLOOKUP(I340,ElecAvoidedCostsWOCC!$A$5:$Q$50,G340+1,FALSE)</f>
        <v>#N/A</v>
      </c>
      <c r="AG340" s="43" t="e">
        <f t="shared" si="126"/>
        <v>#N/A</v>
      </c>
      <c r="AH340" s="51" t="e">
        <f>HLOOKUP(I340,ElecAvoidedCostsWOCC!$A$5:$Q$50,T340+1,FALSE)</f>
        <v>#N/A</v>
      </c>
      <c r="AI340" s="43" t="e">
        <f t="shared" si="127"/>
        <v>#N/A</v>
      </c>
      <c r="AJ340" s="43" t="e">
        <f t="shared" si="128"/>
        <v>#N/A</v>
      </c>
      <c r="AK340" s="43" t="e">
        <f>HLOOKUP(I340,ElecAvoidedCostsWOCC!$A$5:$Q$50,G340+1,FALSE)*J340*L340</f>
        <v>#N/A</v>
      </c>
      <c r="AL340" s="43" t="e">
        <f t="shared" si="129"/>
        <v>#N/A</v>
      </c>
      <c r="AM340" s="47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7">
        <f t="shared" si="130"/>
        <v>0</v>
      </c>
      <c r="AO340" s="46">
        <f t="shared" si="131"/>
        <v>0</v>
      </c>
      <c r="AP340" s="46" t="e">
        <f t="shared" si="132"/>
        <v>#DIV/0!</v>
      </c>
    </row>
    <row r="341" spans="2:42" x14ac:dyDescent="0.25">
      <c r="B341" s="36"/>
      <c r="C341" s="60"/>
      <c r="D341" s="60"/>
      <c r="E341" s="37"/>
      <c r="F341" s="38"/>
      <c r="G341" s="38"/>
      <c r="H341" s="38"/>
      <c r="I341" s="39"/>
      <c r="J341" s="40"/>
      <c r="K341" s="40"/>
      <c r="L341" s="40"/>
      <c r="M341" s="41"/>
      <c r="N341" s="41"/>
      <c r="O341" s="42"/>
      <c r="P341" s="43"/>
      <c r="Q341" s="43"/>
      <c r="R341" s="44"/>
      <c r="S341" s="45"/>
      <c r="T341" s="38">
        <f t="shared" si="114"/>
        <v>0</v>
      </c>
      <c r="U341" s="46">
        <f t="shared" si="115"/>
        <v>0</v>
      </c>
      <c r="V341" s="47">
        <f t="shared" si="116"/>
        <v>0</v>
      </c>
      <c r="W341" s="48">
        <f t="shared" si="117"/>
        <v>0</v>
      </c>
      <c r="X341" s="43">
        <f t="shared" si="118"/>
        <v>0</v>
      </c>
      <c r="Y341" s="43">
        <f t="shared" si="119"/>
        <v>0</v>
      </c>
      <c r="Z341" s="43">
        <f t="shared" si="120"/>
        <v>0</v>
      </c>
      <c r="AA341" s="49">
        <f t="shared" si="121"/>
        <v>0</v>
      </c>
      <c r="AB341" s="50">
        <f t="shared" si="122"/>
        <v>0</v>
      </c>
      <c r="AC341" s="43">
        <f t="shared" si="123"/>
        <v>0</v>
      </c>
      <c r="AD341" s="43">
        <f t="shared" si="124"/>
        <v>0</v>
      </c>
      <c r="AE341" s="43">
        <f t="shared" si="125"/>
        <v>0</v>
      </c>
      <c r="AF341" s="51" t="e">
        <f>HLOOKUP(I341,ElecAvoidedCostsWOCC!$A$5:$Q$50,G341+1,FALSE)</f>
        <v>#N/A</v>
      </c>
      <c r="AG341" s="43" t="e">
        <f t="shared" si="126"/>
        <v>#N/A</v>
      </c>
      <c r="AH341" s="51" t="e">
        <f>HLOOKUP(I341,ElecAvoidedCostsWOCC!$A$5:$Q$50,T341+1,FALSE)</f>
        <v>#N/A</v>
      </c>
      <c r="AI341" s="43" t="e">
        <f t="shared" si="127"/>
        <v>#N/A</v>
      </c>
      <c r="AJ341" s="43" t="e">
        <f t="shared" si="128"/>
        <v>#N/A</v>
      </c>
      <c r="AK341" s="43" t="e">
        <f>HLOOKUP(I341,ElecAvoidedCostsWOCC!$A$5:$Q$50,G341+1,FALSE)*J341*L341</f>
        <v>#N/A</v>
      </c>
      <c r="AL341" s="43" t="e">
        <f t="shared" si="129"/>
        <v>#N/A</v>
      </c>
      <c r="AM341" s="47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7">
        <f t="shared" si="130"/>
        <v>0</v>
      </c>
      <c r="AO341" s="46">
        <f t="shared" si="131"/>
        <v>0</v>
      </c>
      <c r="AP341" s="46" t="e">
        <f t="shared" si="132"/>
        <v>#DIV/0!</v>
      </c>
    </row>
    <row r="342" spans="2:42" x14ac:dyDescent="0.25">
      <c r="B342" s="36"/>
      <c r="C342" s="60"/>
      <c r="D342" s="60"/>
      <c r="E342" s="37"/>
      <c r="F342" s="38"/>
      <c r="G342" s="38"/>
      <c r="H342" s="38"/>
      <c r="I342" s="39"/>
      <c r="J342" s="40"/>
      <c r="K342" s="40"/>
      <c r="L342" s="40"/>
      <c r="M342" s="41"/>
      <c r="N342" s="41"/>
      <c r="O342" s="42"/>
      <c r="P342" s="43"/>
      <c r="Q342" s="43"/>
      <c r="R342" s="44"/>
      <c r="S342" s="45"/>
      <c r="T342" s="38">
        <f t="shared" si="114"/>
        <v>0</v>
      </c>
      <c r="U342" s="46">
        <f t="shared" si="115"/>
        <v>0</v>
      </c>
      <c r="V342" s="47">
        <f t="shared" si="116"/>
        <v>0</v>
      </c>
      <c r="W342" s="48">
        <f t="shared" si="117"/>
        <v>0</v>
      </c>
      <c r="X342" s="43">
        <f t="shared" si="118"/>
        <v>0</v>
      </c>
      <c r="Y342" s="43">
        <f t="shared" si="119"/>
        <v>0</v>
      </c>
      <c r="Z342" s="43">
        <f t="shared" si="120"/>
        <v>0</v>
      </c>
      <c r="AA342" s="49">
        <f t="shared" si="121"/>
        <v>0</v>
      </c>
      <c r="AB342" s="50">
        <f t="shared" si="122"/>
        <v>0</v>
      </c>
      <c r="AC342" s="43">
        <f t="shared" si="123"/>
        <v>0</v>
      </c>
      <c r="AD342" s="43">
        <f t="shared" si="124"/>
        <v>0</v>
      </c>
      <c r="AE342" s="43">
        <f t="shared" si="125"/>
        <v>0</v>
      </c>
      <c r="AF342" s="51" t="e">
        <f>HLOOKUP(I342,ElecAvoidedCostsWOCC!$A$5:$Q$50,G342+1,FALSE)</f>
        <v>#N/A</v>
      </c>
      <c r="AG342" s="43" t="e">
        <f t="shared" si="126"/>
        <v>#N/A</v>
      </c>
      <c r="AH342" s="51" t="e">
        <f>HLOOKUP(I342,ElecAvoidedCostsWOCC!$A$5:$Q$50,T342+1,FALSE)</f>
        <v>#N/A</v>
      </c>
      <c r="AI342" s="43" t="e">
        <f t="shared" si="127"/>
        <v>#N/A</v>
      </c>
      <c r="AJ342" s="43" t="e">
        <f t="shared" si="128"/>
        <v>#N/A</v>
      </c>
      <c r="AK342" s="43" t="e">
        <f>HLOOKUP(I342,ElecAvoidedCostsWOCC!$A$5:$Q$50,G342+1,FALSE)*J342*L342</f>
        <v>#N/A</v>
      </c>
      <c r="AL342" s="43" t="e">
        <f t="shared" si="129"/>
        <v>#N/A</v>
      </c>
      <c r="AM342" s="47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7">
        <f t="shared" si="130"/>
        <v>0</v>
      </c>
      <c r="AO342" s="46">
        <f t="shared" si="131"/>
        <v>0</v>
      </c>
      <c r="AP342" s="46" t="e">
        <f t="shared" si="132"/>
        <v>#DIV/0!</v>
      </c>
    </row>
    <row r="343" spans="2:42" x14ac:dyDescent="0.25">
      <c r="B343" s="36"/>
      <c r="C343" s="60"/>
      <c r="D343" s="60"/>
      <c r="E343" s="37"/>
      <c r="F343" s="38"/>
      <c r="G343" s="38"/>
      <c r="H343" s="38"/>
      <c r="I343" s="39"/>
      <c r="J343" s="40"/>
      <c r="K343" s="40"/>
      <c r="L343" s="40"/>
      <c r="M343" s="41"/>
      <c r="N343" s="41"/>
      <c r="O343" s="42"/>
      <c r="P343" s="43"/>
      <c r="Q343" s="43"/>
      <c r="R343" s="44"/>
      <c r="S343" s="45"/>
      <c r="T343" s="38">
        <f t="shared" si="114"/>
        <v>0</v>
      </c>
      <c r="U343" s="46">
        <f t="shared" si="115"/>
        <v>0</v>
      </c>
      <c r="V343" s="47">
        <f t="shared" si="116"/>
        <v>0</v>
      </c>
      <c r="W343" s="48">
        <f t="shared" si="117"/>
        <v>0</v>
      </c>
      <c r="X343" s="43">
        <f t="shared" si="118"/>
        <v>0</v>
      </c>
      <c r="Y343" s="43">
        <f t="shared" si="119"/>
        <v>0</v>
      </c>
      <c r="Z343" s="43">
        <f t="shared" si="120"/>
        <v>0</v>
      </c>
      <c r="AA343" s="49">
        <f t="shared" si="121"/>
        <v>0</v>
      </c>
      <c r="AB343" s="50">
        <f t="shared" si="122"/>
        <v>0</v>
      </c>
      <c r="AC343" s="43">
        <f t="shared" si="123"/>
        <v>0</v>
      </c>
      <c r="AD343" s="43">
        <f t="shared" si="124"/>
        <v>0</v>
      </c>
      <c r="AE343" s="43">
        <f t="shared" si="125"/>
        <v>0</v>
      </c>
      <c r="AF343" s="51" t="e">
        <f>HLOOKUP(I343,ElecAvoidedCostsWOCC!$A$5:$Q$50,G343+1,FALSE)</f>
        <v>#N/A</v>
      </c>
      <c r="AG343" s="43" t="e">
        <f t="shared" si="126"/>
        <v>#N/A</v>
      </c>
      <c r="AH343" s="51" t="e">
        <f>HLOOKUP(I343,ElecAvoidedCostsWOCC!$A$5:$Q$50,T343+1,FALSE)</f>
        <v>#N/A</v>
      </c>
      <c r="AI343" s="43" t="e">
        <f t="shared" si="127"/>
        <v>#N/A</v>
      </c>
      <c r="AJ343" s="43" t="e">
        <f t="shared" si="128"/>
        <v>#N/A</v>
      </c>
      <c r="AK343" s="43" t="e">
        <f>HLOOKUP(I343,ElecAvoidedCostsWOCC!$A$5:$Q$50,G343+1,FALSE)*J343*L343</f>
        <v>#N/A</v>
      </c>
      <c r="AL343" s="43" t="e">
        <f t="shared" si="129"/>
        <v>#N/A</v>
      </c>
      <c r="AM343" s="47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7">
        <f t="shared" si="130"/>
        <v>0</v>
      </c>
      <c r="AO343" s="46">
        <f t="shared" si="131"/>
        <v>0</v>
      </c>
      <c r="AP343" s="46" t="e">
        <f t="shared" si="132"/>
        <v>#DIV/0!</v>
      </c>
    </row>
    <row r="344" spans="2:42" x14ac:dyDescent="0.25">
      <c r="B344" s="36"/>
      <c r="C344" s="60"/>
      <c r="D344" s="60"/>
      <c r="E344" s="37"/>
      <c r="F344" s="38"/>
      <c r="G344" s="38"/>
      <c r="H344" s="38"/>
      <c r="I344" s="39"/>
      <c r="J344" s="40"/>
      <c r="K344" s="40"/>
      <c r="L344" s="40"/>
      <c r="M344" s="41"/>
      <c r="N344" s="41"/>
      <c r="O344" s="42"/>
      <c r="P344" s="43"/>
      <c r="Q344" s="43"/>
      <c r="R344" s="44"/>
      <c r="S344" s="45"/>
      <c r="T344" s="38">
        <f t="shared" si="114"/>
        <v>0</v>
      </c>
      <c r="U344" s="46">
        <f t="shared" si="115"/>
        <v>0</v>
      </c>
      <c r="V344" s="47">
        <f t="shared" si="116"/>
        <v>0</v>
      </c>
      <c r="W344" s="48">
        <f t="shared" si="117"/>
        <v>0</v>
      </c>
      <c r="X344" s="43">
        <f t="shared" si="118"/>
        <v>0</v>
      </c>
      <c r="Y344" s="43">
        <f t="shared" si="119"/>
        <v>0</v>
      </c>
      <c r="Z344" s="43">
        <f t="shared" si="120"/>
        <v>0</v>
      </c>
      <c r="AA344" s="49">
        <f t="shared" si="121"/>
        <v>0</v>
      </c>
      <c r="AB344" s="50">
        <f t="shared" si="122"/>
        <v>0</v>
      </c>
      <c r="AC344" s="43">
        <f t="shared" si="123"/>
        <v>0</v>
      </c>
      <c r="AD344" s="43">
        <f t="shared" si="124"/>
        <v>0</v>
      </c>
      <c r="AE344" s="43">
        <f t="shared" si="125"/>
        <v>0</v>
      </c>
      <c r="AF344" s="51" t="e">
        <f>HLOOKUP(I344,ElecAvoidedCostsWOCC!$A$5:$Q$50,G344+1,FALSE)</f>
        <v>#N/A</v>
      </c>
      <c r="AG344" s="43" t="e">
        <f t="shared" si="126"/>
        <v>#N/A</v>
      </c>
      <c r="AH344" s="51" t="e">
        <f>HLOOKUP(I344,ElecAvoidedCostsWOCC!$A$5:$Q$50,T344+1,FALSE)</f>
        <v>#N/A</v>
      </c>
      <c r="AI344" s="43" t="e">
        <f t="shared" si="127"/>
        <v>#N/A</v>
      </c>
      <c r="AJ344" s="43" t="e">
        <f t="shared" si="128"/>
        <v>#N/A</v>
      </c>
      <c r="AK344" s="43" t="e">
        <f>HLOOKUP(I344,ElecAvoidedCostsWOCC!$A$5:$Q$50,G344+1,FALSE)*J344*L344</f>
        <v>#N/A</v>
      </c>
      <c r="AL344" s="43" t="e">
        <f t="shared" si="129"/>
        <v>#N/A</v>
      </c>
      <c r="AM344" s="47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7">
        <f t="shared" si="130"/>
        <v>0</v>
      </c>
      <c r="AO344" s="46">
        <f t="shared" si="131"/>
        <v>0</v>
      </c>
      <c r="AP344" s="46" t="e">
        <f t="shared" si="132"/>
        <v>#DIV/0!</v>
      </c>
    </row>
    <row r="345" spans="2:42" x14ac:dyDescent="0.25">
      <c r="B345" s="36"/>
      <c r="C345" s="60"/>
      <c r="D345" s="60"/>
      <c r="E345" s="37"/>
      <c r="F345" s="38"/>
      <c r="G345" s="38"/>
      <c r="H345" s="38"/>
      <c r="I345" s="39"/>
      <c r="J345" s="40"/>
      <c r="K345" s="40"/>
      <c r="L345" s="40"/>
      <c r="M345" s="41"/>
      <c r="N345" s="41"/>
      <c r="O345" s="42"/>
      <c r="P345" s="43"/>
      <c r="Q345" s="43"/>
      <c r="R345" s="44"/>
      <c r="S345" s="45"/>
      <c r="T345" s="38">
        <f t="shared" si="114"/>
        <v>0</v>
      </c>
      <c r="U345" s="46">
        <f t="shared" si="115"/>
        <v>0</v>
      </c>
      <c r="V345" s="47">
        <f t="shared" si="116"/>
        <v>0</v>
      </c>
      <c r="W345" s="48">
        <f t="shared" si="117"/>
        <v>0</v>
      </c>
      <c r="X345" s="43">
        <f t="shared" si="118"/>
        <v>0</v>
      </c>
      <c r="Y345" s="43">
        <f t="shared" si="119"/>
        <v>0</v>
      </c>
      <c r="Z345" s="43">
        <f t="shared" si="120"/>
        <v>0</v>
      </c>
      <c r="AA345" s="49">
        <f t="shared" si="121"/>
        <v>0</v>
      </c>
      <c r="AB345" s="50">
        <f t="shared" si="122"/>
        <v>0</v>
      </c>
      <c r="AC345" s="43">
        <f t="shared" si="123"/>
        <v>0</v>
      </c>
      <c r="AD345" s="43">
        <f t="shared" si="124"/>
        <v>0</v>
      </c>
      <c r="AE345" s="43">
        <f t="shared" si="125"/>
        <v>0</v>
      </c>
      <c r="AF345" s="51" t="e">
        <f>HLOOKUP(I345,ElecAvoidedCostsWOCC!$A$5:$Q$50,G345+1,FALSE)</f>
        <v>#N/A</v>
      </c>
      <c r="AG345" s="43" t="e">
        <f t="shared" si="126"/>
        <v>#N/A</v>
      </c>
      <c r="AH345" s="51" t="e">
        <f>HLOOKUP(I345,ElecAvoidedCostsWOCC!$A$5:$Q$50,T345+1,FALSE)</f>
        <v>#N/A</v>
      </c>
      <c r="AI345" s="43" t="e">
        <f t="shared" si="127"/>
        <v>#N/A</v>
      </c>
      <c r="AJ345" s="43" t="e">
        <f t="shared" si="128"/>
        <v>#N/A</v>
      </c>
      <c r="AK345" s="43" t="e">
        <f>HLOOKUP(I345,ElecAvoidedCostsWOCC!$A$5:$Q$50,G345+1,FALSE)*J345*L345</f>
        <v>#N/A</v>
      </c>
      <c r="AL345" s="43" t="e">
        <f t="shared" si="129"/>
        <v>#N/A</v>
      </c>
      <c r="AM345" s="47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7">
        <f t="shared" si="130"/>
        <v>0</v>
      </c>
      <c r="AO345" s="46">
        <f t="shared" si="131"/>
        <v>0</v>
      </c>
      <c r="AP345" s="46" t="e">
        <f t="shared" si="132"/>
        <v>#DIV/0!</v>
      </c>
    </row>
    <row r="346" spans="2:42" x14ac:dyDescent="0.25">
      <c r="B346" s="36"/>
      <c r="C346" s="60"/>
      <c r="D346" s="60"/>
      <c r="E346" s="37"/>
      <c r="F346" s="38"/>
      <c r="G346" s="38"/>
      <c r="H346" s="38"/>
      <c r="I346" s="39"/>
      <c r="J346" s="40"/>
      <c r="K346" s="40"/>
      <c r="L346" s="40"/>
      <c r="M346" s="41"/>
      <c r="N346" s="41"/>
      <c r="O346" s="42"/>
      <c r="P346" s="43"/>
      <c r="Q346" s="43"/>
      <c r="R346" s="44"/>
      <c r="S346" s="45"/>
      <c r="T346" s="38">
        <f t="shared" si="114"/>
        <v>0</v>
      </c>
      <c r="U346" s="46">
        <f t="shared" si="115"/>
        <v>0</v>
      </c>
      <c r="V346" s="47">
        <f t="shared" si="116"/>
        <v>0</v>
      </c>
      <c r="W346" s="48">
        <f t="shared" si="117"/>
        <v>0</v>
      </c>
      <c r="X346" s="43">
        <f t="shared" si="118"/>
        <v>0</v>
      </c>
      <c r="Y346" s="43">
        <f t="shared" si="119"/>
        <v>0</v>
      </c>
      <c r="Z346" s="43">
        <f t="shared" si="120"/>
        <v>0</v>
      </c>
      <c r="AA346" s="49">
        <f t="shared" si="121"/>
        <v>0</v>
      </c>
      <c r="AB346" s="50">
        <f t="shared" si="122"/>
        <v>0</v>
      </c>
      <c r="AC346" s="43">
        <f t="shared" si="123"/>
        <v>0</v>
      </c>
      <c r="AD346" s="43">
        <f t="shared" si="124"/>
        <v>0</v>
      </c>
      <c r="AE346" s="43">
        <f t="shared" si="125"/>
        <v>0</v>
      </c>
      <c r="AF346" s="51" t="e">
        <f>HLOOKUP(I346,ElecAvoidedCostsWOCC!$A$5:$Q$50,G346+1,FALSE)</f>
        <v>#N/A</v>
      </c>
      <c r="AG346" s="43" t="e">
        <f t="shared" si="126"/>
        <v>#N/A</v>
      </c>
      <c r="AH346" s="51" t="e">
        <f>HLOOKUP(I346,ElecAvoidedCostsWOCC!$A$5:$Q$50,T346+1,FALSE)</f>
        <v>#N/A</v>
      </c>
      <c r="AI346" s="43" t="e">
        <f t="shared" si="127"/>
        <v>#N/A</v>
      </c>
      <c r="AJ346" s="43" t="e">
        <f t="shared" si="128"/>
        <v>#N/A</v>
      </c>
      <c r="AK346" s="43" t="e">
        <f>HLOOKUP(I346,ElecAvoidedCostsWOCC!$A$5:$Q$50,G346+1,FALSE)*J346*L346</f>
        <v>#N/A</v>
      </c>
      <c r="AL346" s="43" t="e">
        <f t="shared" si="129"/>
        <v>#N/A</v>
      </c>
      <c r="AM346" s="47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7">
        <f t="shared" si="130"/>
        <v>0</v>
      </c>
      <c r="AO346" s="46">
        <f t="shared" si="131"/>
        <v>0</v>
      </c>
      <c r="AP346" s="46" t="e">
        <f t="shared" si="132"/>
        <v>#DIV/0!</v>
      </c>
    </row>
    <row r="347" spans="2:42" x14ac:dyDescent="0.25">
      <c r="B347" s="36"/>
      <c r="C347" s="60"/>
      <c r="D347" s="60"/>
      <c r="E347" s="37"/>
      <c r="F347" s="38"/>
      <c r="G347" s="38"/>
      <c r="H347" s="38"/>
      <c r="I347" s="39"/>
      <c r="J347" s="40"/>
      <c r="K347" s="40"/>
      <c r="L347" s="40"/>
      <c r="M347" s="41"/>
      <c r="N347" s="41"/>
      <c r="O347" s="42"/>
      <c r="P347" s="43"/>
      <c r="Q347" s="43"/>
      <c r="R347" s="44"/>
      <c r="S347" s="45"/>
      <c r="T347" s="38">
        <f t="shared" si="114"/>
        <v>0</v>
      </c>
      <c r="U347" s="46">
        <f t="shared" si="115"/>
        <v>0</v>
      </c>
      <c r="V347" s="47">
        <f t="shared" si="116"/>
        <v>0</v>
      </c>
      <c r="W347" s="48">
        <f t="shared" si="117"/>
        <v>0</v>
      </c>
      <c r="X347" s="43">
        <f t="shared" si="118"/>
        <v>0</v>
      </c>
      <c r="Y347" s="43">
        <f t="shared" si="119"/>
        <v>0</v>
      </c>
      <c r="Z347" s="43">
        <f t="shared" si="120"/>
        <v>0</v>
      </c>
      <c r="AA347" s="49">
        <f t="shared" si="121"/>
        <v>0</v>
      </c>
      <c r="AB347" s="50">
        <f t="shared" si="122"/>
        <v>0</v>
      </c>
      <c r="AC347" s="43">
        <f t="shared" si="123"/>
        <v>0</v>
      </c>
      <c r="AD347" s="43">
        <f t="shared" si="124"/>
        <v>0</v>
      </c>
      <c r="AE347" s="43">
        <f t="shared" si="125"/>
        <v>0</v>
      </c>
      <c r="AF347" s="51" t="e">
        <f>HLOOKUP(I347,ElecAvoidedCostsWOCC!$A$5:$Q$50,G347+1,FALSE)</f>
        <v>#N/A</v>
      </c>
      <c r="AG347" s="43" t="e">
        <f t="shared" si="126"/>
        <v>#N/A</v>
      </c>
      <c r="AH347" s="51" t="e">
        <f>HLOOKUP(I347,ElecAvoidedCostsWOCC!$A$5:$Q$50,T347+1,FALSE)</f>
        <v>#N/A</v>
      </c>
      <c r="AI347" s="43" t="e">
        <f t="shared" si="127"/>
        <v>#N/A</v>
      </c>
      <c r="AJ347" s="43" t="e">
        <f t="shared" si="128"/>
        <v>#N/A</v>
      </c>
      <c r="AK347" s="43" t="e">
        <f>HLOOKUP(I347,ElecAvoidedCostsWOCC!$A$5:$Q$50,G347+1,FALSE)*J347*L347</f>
        <v>#N/A</v>
      </c>
      <c r="AL347" s="43" t="e">
        <f t="shared" si="129"/>
        <v>#N/A</v>
      </c>
      <c r="AM347" s="47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7">
        <f t="shared" si="130"/>
        <v>0</v>
      </c>
      <c r="AO347" s="46">
        <f t="shared" si="131"/>
        <v>0</v>
      </c>
      <c r="AP347" s="46" t="e">
        <f t="shared" si="132"/>
        <v>#DIV/0!</v>
      </c>
    </row>
    <row r="348" spans="2:42" x14ac:dyDescent="0.25">
      <c r="B348" s="36"/>
      <c r="C348" s="60"/>
      <c r="D348" s="60"/>
      <c r="E348" s="37"/>
      <c r="F348" s="38"/>
      <c r="G348" s="38"/>
      <c r="H348" s="38"/>
      <c r="I348" s="39"/>
      <c r="J348" s="40"/>
      <c r="K348" s="40"/>
      <c r="L348" s="40"/>
      <c r="M348" s="41"/>
      <c r="N348" s="41"/>
      <c r="O348" s="42"/>
      <c r="P348" s="43"/>
      <c r="Q348" s="43"/>
      <c r="R348" s="44"/>
      <c r="S348" s="45"/>
      <c r="T348" s="38">
        <f t="shared" si="114"/>
        <v>0</v>
      </c>
      <c r="U348" s="46">
        <f t="shared" si="115"/>
        <v>0</v>
      </c>
      <c r="V348" s="47">
        <f t="shared" si="116"/>
        <v>0</v>
      </c>
      <c r="W348" s="48">
        <f t="shared" si="117"/>
        <v>0</v>
      </c>
      <c r="X348" s="43">
        <f t="shared" si="118"/>
        <v>0</v>
      </c>
      <c r="Y348" s="43">
        <f t="shared" si="119"/>
        <v>0</v>
      </c>
      <c r="Z348" s="43">
        <f t="shared" si="120"/>
        <v>0</v>
      </c>
      <c r="AA348" s="49">
        <f t="shared" si="121"/>
        <v>0</v>
      </c>
      <c r="AB348" s="50">
        <f t="shared" si="122"/>
        <v>0</v>
      </c>
      <c r="AC348" s="43">
        <f t="shared" si="123"/>
        <v>0</v>
      </c>
      <c r="AD348" s="43">
        <f t="shared" si="124"/>
        <v>0</v>
      </c>
      <c r="AE348" s="43">
        <f t="shared" si="125"/>
        <v>0</v>
      </c>
      <c r="AF348" s="51" t="e">
        <f>HLOOKUP(I348,ElecAvoidedCostsWOCC!$A$5:$Q$50,G348+1,FALSE)</f>
        <v>#N/A</v>
      </c>
      <c r="AG348" s="43" t="e">
        <f t="shared" si="126"/>
        <v>#N/A</v>
      </c>
      <c r="AH348" s="51" t="e">
        <f>HLOOKUP(I348,ElecAvoidedCostsWOCC!$A$5:$Q$50,T348+1,FALSE)</f>
        <v>#N/A</v>
      </c>
      <c r="AI348" s="43" t="e">
        <f t="shared" si="127"/>
        <v>#N/A</v>
      </c>
      <c r="AJ348" s="43" t="e">
        <f t="shared" si="128"/>
        <v>#N/A</v>
      </c>
      <c r="AK348" s="43" t="e">
        <f>HLOOKUP(I348,ElecAvoidedCostsWOCC!$A$5:$Q$50,G348+1,FALSE)*J348*L348</f>
        <v>#N/A</v>
      </c>
      <c r="AL348" s="43" t="e">
        <f t="shared" si="129"/>
        <v>#N/A</v>
      </c>
      <c r="AM348" s="47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7">
        <f t="shared" si="130"/>
        <v>0</v>
      </c>
      <c r="AO348" s="46">
        <f t="shared" si="131"/>
        <v>0</v>
      </c>
      <c r="AP348" s="46" t="e">
        <f t="shared" si="132"/>
        <v>#DIV/0!</v>
      </c>
    </row>
    <row r="349" spans="2:42" x14ac:dyDescent="0.25">
      <c r="B349" s="36"/>
      <c r="C349" s="60"/>
      <c r="D349" s="60"/>
      <c r="E349" s="37"/>
      <c r="F349" s="38"/>
      <c r="G349" s="38"/>
      <c r="H349" s="38"/>
      <c r="I349" s="39"/>
      <c r="J349" s="40"/>
      <c r="K349" s="40"/>
      <c r="L349" s="40"/>
      <c r="M349" s="41"/>
      <c r="N349" s="41"/>
      <c r="O349" s="42"/>
      <c r="P349" s="43"/>
      <c r="Q349" s="43"/>
      <c r="R349" s="44"/>
      <c r="S349" s="45"/>
      <c r="T349" s="38">
        <f t="shared" si="114"/>
        <v>0</v>
      </c>
      <c r="U349" s="46">
        <f t="shared" si="115"/>
        <v>0</v>
      </c>
      <c r="V349" s="47">
        <f t="shared" si="116"/>
        <v>0</v>
      </c>
      <c r="W349" s="48">
        <f t="shared" si="117"/>
        <v>0</v>
      </c>
      <c r="X349" s="43">
        <f t="shared" si="118"/>
        <v>0</v>
      </c>
      <c r="Y349" s="43">
        <f t="shared" si="119"/>
        <v>0</v>
      </c>
      <c r="Z349" s="43">
        <f t="shared" si="120"/>
        <v>0</v>
      </c>
      <c r="AA349" s="49">
        <f t="shared" si="121"/>
        <v>0</v>
      </c>
      <c r="AB349" s="50">
        <f t="shared" si="122"/>
        <v>0</v>
      </c>
      <c r="AC349" s="43">
        <f t="shared" si="123"/>
        <v>0</v>
      </c>
      <c r="AD349" s="43">
        <f t="shared" si="124"/>
        <v>0</v>
      </c>
      <c r="AE349" s="43">
        <f t="shared" si="125"/>
        <v>0</v>
      </c>
      <c r="AF349" s="51" t="e">
        <f>HLOOKUP(I349,ElecAvoidedCostsWOCC!$A$5:$Q$50,G349+1,FALSE)</f>
        <v>#N/A</v>
      </c>
      <c r="AG349" s="43" t="e">
        <f t="shared" si="126"/>
        <v>#N/A</v>
      </c>
      <c r="AH349" s="51" t="e">
        <f>HLOOKUP(I349,ElecAvoidedCostsWOCC!$A$5:$Q$50,T349+1,FALSE)</f>
        <v>#N/A</v>
      </c>
      <c r="AI349" s="43" t="e">
        <f t="shared" si="127"/>
        <v>#N/A</v>
      </c>
      <c r="AJ349" s="43" t="e">
        <f t="shared" si="128"/>
        <v>#N/A</v>
      </c>
      <c r="AK349" s="43" t="e">
        <f>HLOOKUP(I349,ElecAvoidedCostsWOCC!$A$5:$Q$50,G349+1,FALSE)*J349*L349</f>
        <v>#N/A</v>
      </c>
      <c r="AL349" s="43" t="e">
        <f t="shared" si="129"/>
        <v>#N/A</v>
      </c>
      <c r="AM349" s="47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7">
        <f t="shared" si="130"/>
        <v>0</v>
      </c>
      <c r="AO349" s="46">
        <f t="shared" si="131"/>
        <v>0</v>
      </c>
      <c r="AP349" s="46" t="e">
        <f t="shared" si="132"/>
        <v>#DIV/0!</v>
      </c>
    </row>
    <row r="350" spans="2:42" x14ac:dyDescent="0.25">
      <c r="B350" s="36"/>
      <c r="C350" s="60"/>
      <c r="D350" s="60"/>
      <c r="E350" s="37"/>
      <c r="F350" s="38"/>
      <c r="G350" s="38"/>
      <c r="H350" s="38"/>
      <c r="I350" s="39"/>
      <c r="J350" s="40"/>
      <c r="K350" s="40"/>
      <c r="L350" s="40"/>
      <c r="M350" s="41"/>
      <c r="N350" s="41"/>
      <c r="O350" s="42"/>
      <c r="P350" s="43"/>
      <c r="Q350" s="43"/>
      <c r="R350" s="44"/>
      <c r="S350" s="45"/>
      <c r="T350" s="38">
        <f t="shared" si="114"/>
        <v>0</v>
      </c>
      <c r="U350" s="46">
        <f t="shared" si="115"/>
        <v>0</v>
      </c>
      <c r="V350" s="47">
        <f t="shared" si="116"/>
        <v>0</v>
      </c>
      <c r="W350" s="48">
        <f t="shared" si="117"/>
        <v>0</v>
      </c>
      <c r="X350" s="43">
        <f t="shared" si="118"/>
        <v>0</v>
      </c>
      <c r="Y350" s="43">
        <f t="shared" si="119"/>
        <v>0</v>
      </c>
      <c r="Z350" s="43">
        <f t="shared" si="120"/>
        <v>0</v>
      </c>
      <c r="AA350" s="49">
        <f t="shared" si="121"/>
        <v>0</v>
      </c>
      <c r="AB350" s="50">
        <f t="shared" si="122"/>
        <v>0</v>
      </c>
      <c r="AC350" s="43">
        <f t="shared" si="123"/>
        <v>0</v>
      </c>
      <c r="AD350" s="43">
        <f t="shared" si="124"/>
        <v>0</v>
      </c>
      <c r="AE350" s="43">
        <f t="shared" si="125"/>
        <v>0</v>
      </c>
      <c r="AF350" s="51" t="e">
        <f>HLOOKUP(I350,ElecAvoidedCostsWOCC!$A$5:$Q$50,G350+1,FALSE)</f>
        <v>#N/A</v>
      </c>
      <c r="AG350" s="43" t="e">
        <f t="shared" si="126"/>
        <v>#N/A</v>
      </c>
      <c r="AH350" s="51" t="e">
        <f>HLOOKUP(I350,ElecAvoidedCostsWOCC!$A$5:$Q$50,T350+1,FALSE)</f>
        <v>#N/A</v>
      </c>
      <c r="AI350" s="43" t="e">
        <f t="shared" si="127"/>
        <v>#N/A</v>
      </c>
      <c r="AJ350" s="43" t="e">
        <f t="shared" si="128"/>
        <v>#N/A</v>
      </c>
      <c r="AK350" s="43" t="e">
        <f>HLOOKUP(I350,ElecAvoidedCostsWOCC!$A$5:$Q$50,G350+1,FALSE)*J350*L350</f>
        <v>#N/A</v>
      </c>
      <c r="AL350" s="43" t="e">
        <f t="shared" si="129"/>
        <v>#N/A</v>
      </c>
      <c r="AM350" s="47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7">
        <f t="shared" si="130"/>
        <v>0</v>
      </c>
      <c r="AO350" s="46">
        <f t="shared" si="131"/>
        <v>0</v>
      </c>
      <c r="AP350" s="46" t="e">
        <f t="shared" si="132"/>
        <v>#DIV/0!</v>
      </c>
    </row>
    <row r="351" spans="2:42" x14ac:dyDescent="0.25">
      <c r="B351" s="36"/>
      <c r="C351" s="60"/>
      <c r="D351" s="60"/>
      <c r="E351" s="37"/>
      <c r="F351" s="38"/>
      <c r="G351" s="38"/>
      <c r="H351" s="38"/>
      <c r="I351" s="39"/>
      <c r="J351" s="40"/>
      <c r="K351" s="40"/>
      <c r="L351" s="40"/>
      <c r="M351" s="41"/>
      <c r="N351" s="41"/>
      <c r="O351" s="42"/>
      <c r="P351" s="43"/>
      <c r="Q351" s="43"/>
      <c r="R351" s="44"/>
      <c r="S351" s="45"/>
      <c r="T351" s="38">
        <f t="shared" si="114"/>
        <v>0</v>
      </c>
      <c r="U351" s="46">
        <f t="shared" si="115"/>
        <v>0</v>
      </c>
      <c r="V351" s="47">
        <f t="shared" si="116"/>
        <v>0</v>
      </c>
      <c r="W351" s="48">
        <f t="shared" si="117"/>
        <v>0</v>
      </c>
      <c r="X351" s="43">
        <f t="shared" si="118"/>
        <v>0</v>
      </c>
      <c r="Y351" s="43">
        <f t="shared" si="119"/>
        <v>0</v>
      </c>
      <c r="Z351" s="43">
        <f t="shared" si="120"/>
        <v>0</v>
      </c>
      <c r="AA351" s="49">
        <f t="shared" si="121"/>
        <v>0</v>
      </c>
      <c r="AB351" s="50">
        <f t="shared" si="122"/>
        <v>0</v>
      </c>
      <c r="AC351" s="43">
        <f t="shared" si="123"/>
        <v>0</v>
      </c>
      <c r="AD351" s="43">
        <f t="shared" si="124"/>
        <v>0</v>
      </c>
      <c r="AE351" s="43">
        <f t="shared" si="125"/>
        <v>0</v>
      </c>
      <c r="AF351" s="51" t="e">
        <f>HLOOKUP(I351,ElecAvoidedCostsWOCC!$A$5:$Q$50,G351+1,FALSE)</f>
        <v>#N/A</v>
      </c>
      <c r="AG351" s="43" t="e">
        <f t="shared" si="126"/>
        <v>#N/A</v>
      </c>
      <c r="AH351" s="51" t="e">
        <f>HLOOKUP(I351,ElecAvoidedCostsWOCC!$A$5:$Q$50,T351+1,FALSE)</f>
        <v>#N/A</v>
      </c>
      <c r="AI351" s="43" t="e">
        <f t="shared" si="127"/>
        <v>#N/A</v>
      </c>
      <c r="AJ351" s="43" t="e">
        <f t="shared" si="128"/>
        <v>#N/A</v>
      </c>
      <c r="AK351" s="43" t="e">
        <f>HLOOKUP(I351,ElecAvoidedCostsWOCC!$A$5:$Q$50,G351+1,FALSE)*J351*L351</f>
        <v>#N/A</v>
      </c>
      <c r="AL351" s="43" t="e">
        <f t="shared" si="129"/>
        <v>#N/A</v>
      </c>
      <c r="AM351" s="47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7">
        <f t="shared" si="130"/>
        <v>0</v>
      </c>
      <c r="AO351" s="46">
        <f t="shared" si="131"/>
        <v>0</v>
      </c>
      <c r="AP351" s="46" t="e">
        <f t="shared" si="132"/>
        <v>#DIV/0!</v>
      </c>
    </row>
    <row r="352" spans="2:42" x14ac:dyDescent="0.25">
      <c r="B352" s="36"/>
      <c r="C352" s="60"/>
      <c r="D352" s="60"/>
      <c r="E352" s="37"/>
      <c r="F352" s="38"/>
      <c r="G352" s="38"/>
      <c r="H352" s="38"/>
      <c r="I352" s="39"/>
      <c r="J352" s="40"/>
      <c r="K352" s="40"/>
      <c r="L352" s="40"/>
      <c r="M352" s="41"/>
      <c r="N352" s="41"/>
      <c r="O352" s="42"/>
      <c r="P352" s="43"/>
      <c r="Q352" s="43"/>
      <c r="R352" s="44"/>
      <c r="S352" s="45"/>
      <c r="T352" s="38">
        <f t="shared" si="114"/>
        <v>0</v>
      </c>
      <c r="U352" s="46">
        <f t="shared" si="115"/>
        <v>0</v>
      </c>
      <c r="V352" s="47">
        <f t="shared" si="116"/>
        <v>0</v>
      </c>
      <c r="W352" s="48">
        <f t="shared" si="117"/>
        <v>0</v>
      </c>
      <c r="X352" s="43">
        <f t="shared" si="118"/>
        <v>0</v>
      </c>
      <c r="Y352" s="43">
        <f t="shared" si="119"/>
        <v>0</v>
      </c>
      <c r="Z352" s="43">
        <f t="shared" si="120"/>
        <v>0</v>
      </c>
      <c r="AA352" s="49">
        <f t="shared" si="121"/>
        <v>0</v>
      </c>
      <c r="AB352" s="50">
        <f t="shared" si="122"/>
        <v>0</v>
      </c>
      <c r="AC352" s="43">
        <f t="shared" si="123"/>
        <v>0</v>
      </c>
      <c r="AD352" s="43">
        <f t="shared" si="124"/>
        <v>0</v>
      </c>
      <c r="AE352" s="43">
        <f t="shared" si="125"/>
        <v>0</v>
      </c>
      <c r="AF352" s="51" t="e">
        <f>HLOOKUP(I352,ElecAvoidedCostsWOCC!$A$5:$Q$50,G352+1,FALSE)</f>
        <v>#N/A</v>
      </c>
      <c r="AG352" s="43" t="e">
        <f t="shared" si="126"/>
        <v>#N/A</v>
      </c>
      <c r="AH352" s="51" t="e">
        <f>HLOOKUP(I352,ElecAvoidedCostsWOCC!$A$5:$Q$50,T352+1,FALSE)</f>
        <v>#N/A</v>
      </c>
      <c r="AI352" s="43" t="e">
        <f t="shared" si="127"/>
        <v>#N/A</v>
      </c>
      <c r="AJ352" s="43" t="e">
        <f t="shared" si="128"/>
        <v>#N/A</v>
      </c>
      <c r="AK352" s="43" t="e">
        <f>HLOOKUP(I352,ElecAvoidedCostsWOCC!$A$5:$Q$50,G352+1,FALSE)*J352*L352</f>
        <v>#N/A</v>
      </c>
      <c r="AL352" s="43" t="e">
        <f t="shared" si="129"/>
        <v>#N/A</v>
      </c>
      <c r="AM352" s="47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7">
        <f t="shared" si="130"/>
        <v>0</v>
      </c>
      <c r="AO352" s="46">
        <f t="shared" si="131"/>
        <v>0</v>
      </c>
      <c r="AP352" s="46" t="e">
        <f t="shared" si="132"/>
        <v>#DIV/0!</v>
      </c>
    </row>
    <row r="353" spans="2:42" x14ac:dyDescent="0.25">
      <c r="B353" s="36"/>
      <c r="C353" s="60"/>
      <c r="D353" s="60"/>
      <c r="E353" s="37"/>
      <c r="F353" s="38"/>
      <c r="G353" s="38"/>
      <c r="H353" s="38"/>
      <c r="I353" s="39"/>
      <c r="J353" s="40"/>
      <c r="K353" s="40"/>
      <c r="L353" s="40"/>
      <c r="M353" s="41"/>
      <c r="N353" s="41"/>
      <c r="O353" s="42"/>
      <c r="P353" s="43"/>
      <c r="Q353" s="43"/>
      <c r="R353" s="44"/>
      <c r="S353" s="45"/>
      <c r="T353" s="38">
        <f t="shared" si="114"/>
        <v>0</v>
      </c>
      <c r="U353" s="46">
        <f t="shared" si="115"/>
        <v>0</v>
      </c>
      <c r="V353" s="47">
        <f t="shared" si="116"/>
        <v>0</v>
      </c>
      <c r="W353" s="48">
        <f t="shared" si="117"/>
        <v>0</v>
      </c>
      <c r="X353" s="43">
        <f t="shared" si="118"/>
        <v>0</v>
      </c>
      <c r="Y353" s="43">
        <f t="shared" si="119"/>
        <v>0</v>
      </c>
      <c r="Z353" s="43">
        <f t="shared" si="120"/>
        <v>0</v>
      </c>
      <c r="AA353" s="49">
        <f t="shared" si="121"/>
        <v>0</v>
      </c>
      <c r="AB353" s="50">
        <f t="shared" si="122"/>
        <v>0</v>
      </c>
      <c r="AC353" s="43">
        <f t="shared" si="123"/>
        <v>0</v>
      </c>
      <c r="AD353" s="43">
        <f t="shared" si="124"/>
        <v>0</v>
      </c>
      <c r="AE353" s="43">
        <f t="shared" si="125"/>
        <v>0</v>
      </c>
      <c r="AF353" s="51" t="e">
        <f>HLOOKUP(I353,ElecAvoidedCostsWOCC!$A$5:$Q$50,G353+1,FALSE)</f>
        <v>#N/A</v>
      </c>
      <c r="AG353" s="43" t="e">
        <f t="shared" si="126"/>
        <v>#N/A</v>
      </c>
      <c r="AH353" s="51" t="e">
        <f>HLOOKUP(I353,ElecAvoidedCostsWOCC!$A$5:$Q$50,T353+1,FALSE)</f>
        <v>#N/A</v>
      </c>
      <c r="AI353" s="43" t="e">
        <f t="shared" si="127"/>
        <v>#N/A</v>
      </c>
      <c r="AJ353" s="43" t="e">
        <f t="shared" si="128"/>
        <v>#N/A</v>
      </c>
      <c r="AK353" s="43" t="e">
        <f>HLOOKUP(I353,ElecAvoidedCostsWOCC!$A$5:$Q$50,G353+1,FALSE)*J353*L353</f>
        <v>#N/A</v>
      </c>
      <c r="AL353" s="43" t="e">
        <f t="shared" si="129"/>
        <v>#N/A</v>
      </c>
      <c r="AM353" s="47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7">
        <f t="shared" si="130"/>
        <v>0</v>
      </c>
      <c r="AO353" s="46">
        <f t="shared" si="131"/>
        <v>0</v>
      </c>
      <c r="AP353" s="46" t="e">
        <f t="shared" si="132"/>
        <v>#DIV/0!</v>
      </c>
    </row>
    <row r="354" spans="2:42" x14ac:dyDescent="0.25">
      <c r="B354" s="36"/>
      <c r="C354" s="60"/>
      <c r="D354" s="60"/>
      <c r="E354" s="37"/>
      <c r="F354" s="38"/>
      <c r="G354" s="38"/>
      <c r="H354" s="38"/>
      <c r="I354" s="39"/>
      <c r="J354" s="40"/>
      <c r="K354" s="40"/>
      <c r="L354" s="40"/>
      <c r="M354" s="41"/>
      <c r="N354" s="41"/>
      <c r="O354" s="42"/>
      <c r="P354" s="43"/>
      <c r="Q354" s="43"/>
      <c r="R354" s="44"/>
      <c r="S354" s="45"/>
      <c r="T354" s="38">
        <f t="shared" si="114"/>
        <v>0</v>
      </c>
      <c r="U354" s="46">
        <f t="shared" si="115"/>
        <v>0</v>
      </c>
      <c r="V354" s="47">
        <f t="shared" si="116"/>
        <v>0</v>
      </c>
      <c r="W354" s="48">
        <f t="shared" si="117"/>
        <v>0</v>
      </c>
      <c r="X354" s="43">
        <f t="shared" si="118"/>
        <v>0</v>
      </c>
      <c r="Y354" s="43">
        <f t="shared" si="119"/>
        <v>0</v>
      </c>
      <c r="Z354" s="43">
        <f t="shared" si="120"/>
        <v>0</v>
      </c>
      <c r="AA354" s="49">
        <f t="shared" si="121"/>
        <v>0</v>
      </c>
      <c r="AB354" s="50">
        <f t="shared" si="122"/>
        <v>0</v>
      </c>
      <c r="AC354" s="43">
        <f t="shared" si="123"/>
        <v>0</v>
      </c>
      <c r="AD354" s="43">
        <f t="shared" si="124"/>
        <v>0</v>
      </c>
      <c r="AE354" s="43">
        <f t="shared" si="125"/>
        <v>0</v>
      </c>
      <c r="AF354" s="51" t="e">
        <f>HLOOKUP(I354,ElecAvoidedCostsWOCC!$A$5:$Q$50,G354+1,FALSE)</f>
        <v>#N/A</v>
      </c>
      <c r="AG354" s="43" t="e">
        <f t="shared" si="126"/>
        <v>#N/A</v>
      </c>
      <c r="AH354" s="51" t="e">
        <f>HLOOKUP(I354,ElecAvoidedCostsWOCC!$A$5:$Q$50,T354+1,FALSE)</f>
        <v>#N/A</v>
      </c>
      <c r="AI354" s="43" t="e">
        <f t="shared" si="127"/>
        <v>#N/A</v>
      </c>
      <c r="AJ354" s="43" t="e">
        <f t="shared" si="128"/>
        <v>#N/A</v>
      </c>
      <c r="AK354" s="43" t="e">
        <f>HLOOKUP(I354,ElecAvoidedCostsWOCC!$A$5:$Q$50,G354+1,FALSE)*J354*L354</f>
        <v>#N/A</v>
      </c>
      <c r="AL354" s="43" t="e">
        <f t="shared" si="129"/>
        <v>#N/A</v>
      </c>
      <c r="AM354" s="47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7">
        <f t="shared" si="130"/>
        <v>0</v>
      </c>
      <c r="AO354" s="46">
        <f t="shared" si="131"/>
        <v>0</v>
      </c>
      <c r="AP354" s="46" t="e">
        <f t="shared" si="132"/>
        <v>#DIV/0!</v>
      </c>
    </row>
    <row r="355" spans="2:42" x14ac:dyDescent="0.25">
      <c r="B355" s="36"/>
      <c r="C355" s="60"/>
      <c r="D355" s="60"/>
      <c r="E355" s="37"/>
      <c r="F355" s="38"/>
      <c r="G355" s="38"/>
      <c r="H355" s="38"/>
      <c r="I355" s="39"/>
      <c r="J355" s="40"/>
      <c r="K355" s="40"/>
      <c r="L355" s="40"/>
      <c r="M355" s="41"/>
      <c r="N355" s="41"/>
      <c r="O355" s="42"/>
      <c r="P355" s="43"/>
      <c r="Q355" s="43"/>
      <c r="R355" s="44"/>
      <c r="S355" s="45"/>
      <c r="T355" s="38">
        <f t="shared" si="114"/>
        <v>0</v>
      </c>
      <c r="U355" s="46">
        <f t="shared" si="115"/>
        <v>0</v>
      </c>
      <c r="V355" s="47">
        <f t="shared" si="116"/>
        <v>0</v>
      </c>
      <c r="W355" s="48">
        <f t="shared" si="117"/>
        <v>0</v>
      </c>
      <c r="X355" s="43">
        <f t="shared" si="118"/>
        <v>0</v>
      </c>
      <c r="Y355" s="43">
        <f t="shared" si="119"/>
        <v>0</v>
      </c>
      <c r="Z355" s="43">
        <f t="shared" si="120"/>
        <v>0</v>
      </c>
      <c r="AA355" s="49">
        <f t="shared" si="121"/>
        <v>0</v>
      </c>
      <c r="AB355" s="50">
        <f t="shared" si="122"/>
        <v>0</v>
      </c>
      <c r="AC355" s="43">
        <f t="shared" si="123"/>
        <v>0</v>
      </c>
      <c r="AD355" s="43">
        <f t="shared" si="124"/>
        <v>0</v>
      </c>
      <c r="AE355" s="43">
        <f t="shared" si="125"/>
        <v>0</v>
      </c>
      <c r="AF355" s="51" t="e">
        <f>HLOOKUP(I355,ElecAvoidedCostsWOCC!$A$5:$Q$50,G355+1,FALSE)</f>
        <v>#N/A</v>
      </c>
      <c r="AG355" s="43" t="e">
        <f t="shared" si="126"/>
        <v>#N/A</v>
      </c>
      <c r="AH355" s="51" t="e">
        <f>HLOOKUP(I355,ElecAvoidedCostsWOCC!$A$5:$Q$50,T355+1,FALSE)</f>
        <v>#N/A</v>
      </c>
      <c r="AI355" s="43" t="e">
        <f t="shared" si="127"/>
        <v>#N/A</v>
      </c>
      <c r="AJ355" s="43" t="e">
        <f t="shared" si="128"/>
        <v>#N/A</v>
      </c>
      <c r="AK355" s="43" t="e">
        <f>HLOOKUP(I355,ElecAvoidedCostsWOCC!$A$5:$Q$50,G355+1,FALSE)*J355*L355</f>
        <v>#N/A</v>
      </c>
      <c r="AL355" s="43" t="e">
        <f t="shared" si="129"/>
        <v>#N/A</v>
      </c>
      <c r="AM355" s="47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7">
        <f t="shared" si="130"/>
        <v>0</v>
      </c>
      <c r="AO355" s="46">
        <f t="shared" si="131"/>
        <v>0</v>
      </c>
      <c r="AP355" s="46" t="e">
        <f t="shared" si="132"/>
        <v>#DIV/0!</v>
      </c>
    </row>
    <row r="356" spans="2:42" x14ac:dyDescent="0.25">
      <c r="B356" s="36"/>
      <c r="C356" s="60"/>
      <c r="D356" s="60"/>
      <c r="E356" s="37"/>
      <c r="F356" s="38"/>
      <c r="G356" s="38"/>
      <c r="H356" s="38"/>
      <c r="I356" s="39"/>
      <c r="J356" s="40"/>
      <c r="K356" s="40"/>
      <c r="L356" s="40"/>
      <c r="M356" s="41"/>
      <c r="N356" s="41"/>
      <c r="O356" s="42"/>
      <c r="P356" s="43"/>
      <c r="Q356" s="43"/>
      <c r="R356" s="44"/>
      <c r="S356" s="45"/>
      <c r="T356" s="38">
        <f t="shared" si="114"/>
        <v>0</v>
      </c>
      <c r="U356" s="46">
        <f t="shared" si="115"/>
        <v>0</v>
      </c>
      <c r="V356" s="47">
        <f t="shared" si="116"/>
        <v>0</v>
      </c>
      <c r="W356" s="48">
        <f t="shared" si="117"/>
        <v>0</v>
      </c>
      <c r="X356" s="43">
        <f t="shared" si="118"/>
        <v>0</v>
      </c>
      <c r="Y356" s="43">
        <f t="shared" si="119"/>
        <v>0</v>
      </c>
      <c r="Z356" s="43">
        <f t="shared" si="120"/>
        <v>0</v>
      </c>
      <c r="AA356" s="49">
        <f t="shared" si="121"/>
        <v>0</v>
      </c>
      <c r="AB356" s="50">
        <f t="shared" si="122"/>
        <v>0</v>
      </c>
      <c r="AC356" s="43">
        <f t="shared" si="123"/>
        <v>0</v>
      </c>
      <c r="AD356" s="43">
        <f t="shared" si="124"/>
        <v>0</v>
      </c>
      <c r="AE356" s="43">
        <f t="shared" si="125"/>
        <v>0</v>
      </c>
      <c r="AF356" s="51" t="e">
        <f>HLOOKUP(I356,ElecAvoidedCostsWOCC!$A$5:$Q$50,G356+1,FALSE)</f>
        <v>#N/A</v>
      </c>
      <c r="AG356" s="43" t="e">
        <f t="shared" si="126"/>
        <v>#N/A</v>
      </c>
      <c r="AH356" s="51" t="e">
        <f>HLOOKUP(I356,ElecAvoidedCostsWOCC!$A$5:$Q$50,T356+1,FALSE)</f>
        <v>#N/A</v>
      </c>
      <c r="AI356" s="43" t="e">
        <f t="shared" si="127"/>
        <v>#N/A</v>
      </c>
      <c r="AJ356" s="43" t="e">
        <f t="shared" si="128"/>
        <v>#N/A</v>
      </c>
      <c r="AK356" s="43" t="e">
        <f>HLOOKUP(I356,ElecAvoidedCostsWOCC!$A$5:$Q$50,G356+1,FALSE)*J356*L356</f>
        <v>#N/A</v>
      </c>
      <c r="AL356" s="43" t="e">
        <f t="shared" si="129"/>
        <v>#N/A</v>
      </c>
      <c r="AM356" s="47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7">
        <f t="shared" si="130"/>
        <v>0</v>
      </c>
      <c r="AO356" s="46">
        <f t="shared" si="131"/>
        <v>0</v>
      </c>
      <c r="AP356" s="46" t="e">
        <f t="shared" si="132"/>
        <v>#DIV/0!</v>
      </c>
    </row>
    <row r="357" spans="2:42" x14ac:dyDescent="0.25">
      <c r="B357" s="36"/>
      <c r="C357" s="60"/>
      <c r="D357" s="60"/>
      <c r="E357" s="37"/>
      <c r="F357" s="38"/>
      <c r="G357" s="38"/>
      <c r="H357" s="38"/>
      <c r="I357" s="39"/>
      <c r="J357" s="40"/>
      <c r="K357" s="40"/>
      <c r="L357" s="40"/>
      <c r="M357" s="41"/>
      <c r="N357" s="41"/>
      <c r="O357" s="42"/>
      <c r="P357" s="43"/>
      <c r="Q357" s="43"/>
      <c r="R357" s="44"/>
      <c r="S357" s="45"/>
      <c r="T357" s="38">
        <f t="shared" si="114"/>
        <v>0</v>
      </c>
      <c r="U357" s="46">
        <f t="shared" si="115"/>
        <v>0</v>
      </c>
      <c r="V357" s="47">
        <f t="shared" si="116"/>
        <v>0</v>
      </c>
      <c r="W357" s="48">
        <f t="shared" si="117"/>
        <v>0</v>
      </c>
      <c r="X357" s="43">
        <f t="shared" si="118"/>
        <v>0</v>
      </c>
      <c r="Y357" s="43">
        <f t="shared" si="119"/>
        <v>0</v>
      </c>
      <c r="Z357" s="43">
        <f t="shared" si="120"/>
        <v>0</v>
      </c>
      <c r="AA357" s="49">
        <f t="shared" si="121"/>
        <v>0</v>
      </c>
      <c r="AB357" s="50">
        <f t="shared" si="122"/>
        <v>0</v>
      </c>
      <c r="AC357" s="43">
        <f t="shared" si="123"/>
        <v>0</v>
      </c>
      <c r="AD357" s="43">
        <f t="shared" si="124"/>
        <v>0</v>
      </c>
      <c r="AE357" s="43">
        <f t="shared" si="125"/>
        <v>0</v>
      </c>
      <c r="AF357" s="51" t="e">
        <f>HLOOKUP(I357,ElecAvoidedCostsWOCC!$A$5:$Q$50,G357+1,FALSE)</f>
        <v>#N/A</v>
      </c>
      <c r="AG357" s="43" t="e">
        <f t="shared" si="126"/>
        <v>#N/A</v>
      </c>
      <c r="AH357" s="51" t="e">
        <f>HLOOKUP(I357,ElecAvoidedCostsWOCC!$A$5:$Q$50,T357+1,FALSE)</f>
        <v>#N/A</v>
      </c>
      <c r="AI357" s="43" t="e">
        <f t="shared" si="127"/>
        <v>#N/A</v>
      </c>
      <c r="AJ357" s="43" t="e">
        <f t="shared" si="128"/>
        <v>#N/A</v>
      </c>
      <c r="AK357" s="43" t="e">
        <f>HLOOKUP(I357,ElecAvoidedCostsWOCC!$A$5:$Q$50,G357+1,FALSE)*J357*L357</f>
        <v>#N/A</v>
      </c>
      <c r="AL357" s="43" t="e">
        <f t="shared" si="129"/>
        <v>#N/A</v>
      </c>
      <c r="AM357" s="47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7">
        <f t="shared" si="130"/>
        <v>0</v>
      </c>
      <c r="AO357" s="46">
        <f t="shared" si="131"/>
        <v>0</v>
      </c>
      <c r="AP357" s="46" t="e">
        <f t="shared" si="132"/>
        <v>#DIV/0!</v>
      </c>
    </row>
    <row r="358" spans="2:42" x14ac:dyDescent="0.25">
      <c r="B358" s="36"/>
      <c r="C358" s="60"/>
      <c r="D358" s="60"/>
      <c r="E358" s="37"/>
      <c r="F358" s="38"/>
      <c r="G358" s="38"/>
      <c r="H358" s="38"/>
      <c r="I358" s="39"/>
      <c r="J358" s="40"/>
      <c r="K358" s="40"/>
      <c r="L358" s="40"/>
      <c r="M358" s="41"/>
      <c r="N358" s="41"/>
      <c r="O358" s="42"/>
      <c r="P358" s="43"/>
      <c r="Q358" s="43"/>
      <c r="R358" s="44"/>
      <c r="S358" s="45"/>
      <c r="T358" s="38">
        <f t="shared" si="114"/>
        <v>0</v>
      </c>
      <c r="U358" s="46">
        <f t="shared" si="115"/>
        <v>0</v>
      </c>
      <c r="V358" s="47">
        <f t="shared" si="116"/>
        <v>0</v>
      </c>
      <c r="W358" s="48">
        <f t="shared" si="117"/>
        <v>0</v>
      </c>
      <c r="X358" s="43">
        <f t="shared" si="118"/>
        <v>0</v>
      </c>
      <c r="Y358" s="43">
        <f t="shared" si="119"/>
        <v>0</v>
      </c>
      <c r="Z358" s="43">
        <f t="shared" si="120"/>
        <v>0</v>
      </c>
      <c r="AA358" s="49">
        <f t="shared" si="121"/>
        <v>0</v>
      </c>
      <c r="AB358" s="50">
        <f t="shared" si="122"/>
        <v>0</v>
      </c>
      <c r="AC358" s="43">
        <f t="shared" si="123"/>
        <v>0</v>
      </c>
      <c r="AD358" s="43">
        <f t="shared" si="124"/>
        <v>0</v>
      </c>
      <c r="AE358" s="43">
        <f t="shared" si="125"/>
        <v>0</v>
      </c>
      <c r="AF358" s="51" t="e">
        <f>HLOOKUP(I358,ElecAvoidedCostsWOCC!$A$5:$Q$50,G358+1,FALSE)</f>
        <v>#N/A</v>
      </c>
      <c r="AG358" s="43" t="e">
        <f t="shared" si="126"/>
        <v>#N/A</v>
      </c>
      <c r="AH358" s="51" t="e">
        <f>HLOOKUP(I358,ElecAvoidedCostsWOCC!$A$5:$Q$50,T358+1,FALSE)</f>
        <v>#N/A</v>
      </c>
      <c r="AI358" s="43" t="e">
        <f t="shared" si="127"/>
        <v>#N/A</v>
      </c>
      <c r="AJ358" s="43" t="e">
        <f t="shared" si="128"/>
        <v>#N/A</v>
      </c>
      <c r="AK358" s="43" t="e">
        <f>HLOOKUP(I358,ElecAvoidedCostsWOCC!$A$5:$Q$50,G358+1,FALSE)*J358*L358</f>
        <v>#N/A</v>
      </c>
      <c r="AL358" s="43" t="e">
        <f t="shared" si="129"/>
        <v>#N/A</v>
      </c>
      <c r="AM358" s="47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7">
        <f t="shared" si="130"/>
        <v>0</v>
      </c>
      <c r="AO358" s="46">
        <f t="shared" si="131"/>
        <v>0</v>
      </c>
      <c r="AP358" s="46" t="e">
        <f t="shared" si="132"/>
        <v>#DIV/0!</v>
      </c>
    </row>
    <row r="359" spans="2:42" x14ac:dyDescent="0.25">
      <c r="B359" s="36"/>
      <c r="C359" s="60"/>
      <c r="D359" s="60"/>
      <c r="E359" s="37"/>
      <c r="F359" s="38"/>
      <c r="G359" s="38"/>
      <c r="H359" s="38"/>
      <c r="I359" s="39"/>
      <c r="J359" s="40"/>
      <c r="K359" s="40"/>
      <c r="L359" s="40"/>
      <c r="M359" s="41"/>
      <c r="N359" s="41"/>
      <c r="O359" s="42"/>
      <c r="P359" s="43"/>
      <c r="Q359" s="43"/>
      <c r="R359" s="44"/>
      <c r="S359" s="45"/>
      <c r="T359" s="38">
        <f t="shared" si="114"/>
        <v>0</v>
      </c>
      <c r="U359" s="46">
        <f t="shared" si="115"/>
        <v>0</v>
      </c>
      <c r="V359" s="47">
        <f t="shared" si="116"/>
        <v>0</v>
      </c>
      <c r="W359" s="48">
        <f t="shared" si="117"/>
        <v>0</v>
      </c>
      <c r="X359" s="43">
        <f t="shared" si="118"/>
        <v>0</v>
      </c>
      <c r="Y359" s="43">
        <f t="shared" si="119"/>
        <v>0</v>
      </c>
      <c r="Z359" s="43">
        <f t="shared" si="120"/>
        <v>0</v>
      </c>
      <c r="AA359" s="49">
        <f t="shared" si="121"/>
        <v>0</v>
      </c>
      <c r="AB359" s="50">
        <f t="shared" si="122"/>
        <v>0</v>
      </c>
      <c r="AC359" s="43">
        <f t="shared" si="123"/>
        <v>0</v>
      </c>
      <c r="AD359" s="43">
        <f t="shared" si="124"/>
        <v>0</v>
      </c>
      <c r="AE359" s="43">
        <f t="shared" si="125"/>
        <v>0</v>
      </c>
      <c r="AF359" s="51" t="e">
        <f>HLOOKUP(I359,ElecAvoidedCostsWOCC!$A$5:$Q$50,G359+1,FALSE)</f>
        <v>#N/A</v>
      </c>
      <c r="AG359" s="43" t="e">
        <f t="shared" si="126"/>
        <v>#N/A</v>
      </c>
      <c r="AH359" s="51" t="e">
        <f>HLOOKUP(I359,ElecAvoidedCostsWOCC!$A$5:$Q$50,T359+1,FALSE)</f>
        <v>#N/A</v>
      </c>
      <c r="AI359" s="43" t="e">
        <f t="shared" si="127"/>
        <v>#N/A</v>
      </c>
      <c r="AJ359" s="43" t="e">
        <f t="shared" si="128"/>
        <v>#N/A</v>
      </c>
      <c r="AK359" s="43" t="e">
        <f>HLOOKUP(I359,ElecAvoidedCostsWOCC!$A$5:$Q$50,G359+1,FALSE)*J359*L359</f>
        <v>#N/A</v>
      </c>
      <c r="AL359" s="43" t="e">
        <f t="shared" si="129"/>
        <v>#N/A</v>
      </c>
      <c r="AM359" s="47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7">
        <f t="shared" si="130"/>
        <v>0</v>
      </c>
      <c r="AO359" s="46">
        <f t="shared" si="131"/>
        <v>0</v>
      </c>
      <c r="AP359" s="46" t="e">
        <f t="shared" si="132"/>
        <v>#DIV/0!</v>
      </c>
    </row>
    <row r="360" spans="2:42" x14ac:dyDescent="0.25">
      <c r="B360" s="36"/>
      <c r="C360" s="60"/>
      <c r="D360" s="60"/>
      <c r="E360" s="37"/>
      <c r="F360" s="38"/>
      <c r="G360" s="38"/>
      <c r="H360" s="38"/>
      <c r="I360" s="39"/>
      <c r="J360" s="40"/>
      <c r="K360" s="40"/>
      <c r="L360" s="40"/>
      <c r="M360" s="41"/>
      <c r="N360" s="41"/>
      <c r="O360" s="42"/>
      <c r="P360" s="43"/>
      <c r="Q360" s="43"/>
      <c r="R360" s="44"/>
      <c r="S360" s="45"/>
      <c r="T360" s="38">
        <f t="shared" si="114"/>
        <v>0</v>
      </c>
      <c r="U360" s="46">
        <f t="shared" si="115"/>
        <v>0</v>
      </c>
      <c r="V360" s="47">
        <f t="shared" si="116"/>
        <v>0</v>
      </c>
      <c r="W360" s="48">
        <f t="shared" si="117"/>
        <v>0</v>
      </c>
      <c r="X360" s="43">
        <f t="shared" si="118"/>
        <v>0</v>
      </c>
      <c r="Y360" s="43">
        <f t="shared" si="119"/>
        <v>0</v>
      </c>
      <c r="Z360" s="43">
        <f t="shared" si="120"/>
        <v>0</v>
      </c>
      <c r="AA360" s="49">
        <f t="shared" si="121"/>
        <v>0</v>
      </c>
      <c r="AB360" s="50">
        <f t="shared" si="122"/>
        <v>0</v>
      </c>
      <c r="AC360" s="43">
        <f t="shared" si="123"/>
        <v>0</v>
      </c>
      <c r="AD360" s="43">
        <f t="shared" si="124"/>
        <v>0</v>
      </c>
      <c r="AE360" s="43">
        <f t="shared" si="125"/>
        <v>0</v>
      </c>
      <c r="AF360" s="51" t="e">
        <f>HLOOKUP(I360,ElecAvoidedCostsWOCC!$A$5:$Q$50,G360+1,FALSE)</f>
        <v>#N/A</v>
      </c>
      <c r="AG360" s="43" t="e">
        <f t="shared" si="126"/>
        <v>#N/A</v>
      </c>
      <c r="AH360" s="51" t="e">
        <f>HLOOKUP(I360,ElecAvoidedCostsWOCC!$A$5:$Q$50,T360+1,FALSE)</f>
        <v>#N/A</v>
      </c>
      <c r="AI360" s="43" t="e">
        <f t="shared" si="127"/>
        <v>#N/A</v>
      </c>
      <c r="AJ360" s="43" t="e">
        <f t="shared" si="128"/>
        <v>#N/A</v>
      </c>
      <c r="AK360" s="43" t="e">
        <f>HLOOKUP(I360,ElecAvoidedCostsWOCC!$A$5:$Q$50,G360+1,FALSE)*J360*L360</f>
        <v>#N/A</v>
      </c>
      <c r="AL360" s="43" t="e">
        <f t="shared" si="129"/>
        <v>#N/A</v>
      </c>
      <c r="AM360" s="47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7">
        <f t="shared" si="130"/>
        <v>0</v>
      </c>
      <c r="AO360" s="46">
        <f t="shared" si="131"/>
        <v>0</v>
      </c>
      <c r="AP360" s="46" t="e">
        <f t="shared" si="132"/>
        <v>#DIV/0!</v>
      </c>
    </row>
    <row r="361" spans="2:42" x14ac:dyDescent="0.25">
      <c r="B361" s="36"/>
      <c r="C361" s="60"/>
      <c r="D361" s="60"/>
      <c r="E361" s="37"/>
      <c r="F361" s="38"/>
      <c r="G361" s="38"/>
      <c r="H361" s="38"/>
      <c r="I361" s="39"/>
      <c r="J361" s="40"/>
      <c r="K361" s="40"/>
      <c r="L361" s="40"/>
      <c r="M361" s="41"/>
      <c r="N361" s="41"/>
      <c r="O361" s="42"/>
      <c r="P361" s="43"/>
      <c r="Q361" s="43"/>
      <c r="R361" s="44"/>
      <c r="S361" s="45"/>
      <c r="T361" s="38">
        <f t="shared" si="114"/>
        <v>0</v>
      </c>
      <c r="U361" s="46">
        <f t="shared" si="115"/>
        <v>0</v>
      </c>
      <c r="V361" s="47">
        <f t="shared" si="116"/>
        <v>0</v>
      </c>
      <c r="W361" s="48">
        <f t="shared" si="117"/>
        <v>0</v>
      </c>
      <c r="X361" s="43">
        <f t="shared" si="118"/>
        <v>0</v>
      </c>
      <c r="Y361" s="43">
        <f t="shared" si="119"/>
        <v>0</v>
      </c>
      <c r="Z361" s="43">
        <f t="shared" si="120"/>
        <v>0</v>
      </c>
      <c r="AA361" s="49">
        <f t="shared" si="121"/>
        <v>0</v>
      </c>
      <c r="AB361" s="50">
        <f t="shared" si="122"/>
        <v>0</v>
      </c>
      <c r="AC361" s="43">
        <f t="shared" si="123"/>
        <v>0</v>
      </c>
      <c r="AD361" s="43">
        <f t="shared" si="124"/>
        <v>0</v>
      </c>
      <c r="AE361" s="43">
        <f t="shared" si="125"/>
        <v>0</v>
      </c>
      <c r="AF361" s="51" t="e">
        <f>HLOOKUP(I361,ElecAvoidedCostsWOCC!$A$5:$Q$50,G361+1,FALSE)</f>
        <v>#N/A</v>
      </c>
      <c r="AG361" s="43" t="e">
        <f t="shared" si="126"/>
        <v>#N/A</v>
      </c>
      <c r="AH361" s="51" t="e">
        <f>HLOOKUP(I361,ElecAvoidedCostsWOCC!$A$5:$Q$50,T361+1,FALSE)</f>
        <v>#N/A</v>
      </c>
      <c r="AI361" s="43" t="e">
        <f t="shared" si="127"/>
        <v>#N/A</v>
      </c>
      <c r="AJ361" s="43" t="e">
        <f t="shared" si="128"/>
        <v>#N/A</v>
      </c>
      <c r="AK361" s="43" t="e">
        <f>HLOOKUP(I361,ElecAvoidedCostsWOCC!$A$5:$Q$50,G361+1,FALSE)*J361*L361</f>
        <v>#N/A</v>
      </c>
      <c r="AL361" s="43" t="e">
        <f t="shared" si="129"/>
        <v>#N/A</v>
      </c>
      <c r="AM361" s="47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7">
        <f t="shared" si="130"/>
        <v>0</v>
      </c>
      <c r="AO361" s="46">
        <f t="shared" si="131"/>
        <v>0</v>
      </c>
      <c r="AP361" s="46" t="e">
        <f t="shared" si="132"/>
        <v>#DIV/0!</v>
      </c>
    </row>
    <row r="362" spans="2:42" x14ac:dyDescent="0.25">
      <c r="B362" s="36"/>
      <c r="C362" s="60"/>
      <c r="D362" s="60"/>
      <c r="E362" s="37"/>
      <c r="F362" s="38"/>
      <c r="G362" s="38"/>
      <c r="H362" s="38"/>
      <c r="I362" s="39"/>
      <c r="J362" s="40"/>
      <c r="K362" s="40"/>
      <c r="L362" s="40"/>
      <c r="M362" s="41"/>
      <c r="N362" s="41"/>
      <c r="O362" s="42"/>
      <c r="P362" s="43"/>
      <c r="Q362" s="43"/>
      <c r="R362" s="44"/>
      <c r="S362" s="45"/>
      <c r="T362" s="38">
        <f t="shared" si="114"/>
        <v>0</v>
      </c>
      <c r="U362" s="46">
        <f t="shared" si="115"/>
        <v>0</v>
      </c>
      <c r="V362" s="47">
        <f t="shared" si="116"/>
        <v>0</v>
      </c>
      <c r="W362" s="48">
        <f t="shared" si="117"/>
        <v>0</v>
      </c>
      <c r="X362" s="43">
        <f t="shared" si="118"/>
        <v>0</v>
      </c>
      <c r="Y362" s="43">
        <f t="shared" si="119"/>
        <v>0</v>
      </c>
      <c r="Z362" s="43">
        <f t="shared" si="120"/>
        <v>0</v>
      </c>
      <c r="AA362" s="49">
        <f t="shared" si="121"/>
        <v>0</v>
      </c>
      <c r="AB362" s="50">
        <f t="shared" si="122"/>
        <v>0</v>
      </c>
      <c r="AC362" s="43">
        <f t="shared" si="123"/>
        <v>0</v>
      </c>
      <c r="AD362" s="43">
        <f t="shared" si="124"/>
        <v>0</v>
      </c>
      <c r="AE362" s="43">
        <f t="shared" si="125"/>
        <v>0</v>
      </c>
      <c r="AF362" s="51" t="e">
        <f>HLOOKUP(I362,ElecAvoidedCostsWOCC!$A$5:$Q$50,G362+1,FALSE)</f>
        <v>#N/A</v>
      </c>
      <c r="AG362" s="43" t="e">
        <f t="shared" si="126"/>
        <v>#N/A</v>
      </c>
      <c r="AH362" s="51" t="e">
        <f>HLOOKUP(I362,ElecAvoidedCostsWOCC!$A$5:$Q$50,T362+1,FALSE)</f>
        <v>#N/A</v>
      </c>
      <c r="AI362" s="43" t="e">
        <f t="shared" si="127"/>
        <v>#N/A</v>
      </c>
      <c r="AJ362" s="43" t="e">
        <f t="shared" si="128"/>
        <v>#N/A</v>
      </c>
      <c r="AK362" s="43" t="e">
        <f>HLOOKUP(I362,ElecAvoidedCostsWOCC!$A$5:$Q$50,G362+1,FALSE)*J362*L362</f>
        <v>#N/A</v>
      </c>
      <c r="AL362" s="43" t="e">
        <f t="shared" si="129"/>
        <v>#N/A</v>
      </c>
      <c r="AM362" s="47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7">
        <f t="shared" si="130"/>
        <v>0</v>
      </c>
      <c r="AO362" s="46">
        <f t="shared" si="131"/>
        <v>0</v>
      </c>
      <c r="AP362" s="46" t="e">
        <f t="shared" si="132"/>
        <v>#DIV/0!</v>
      </c>
    </row>
    <row r="363" spans="2:42" x14ac:dyDescent="0.25">
      <c r="B363" s="36"/>
      <c r="C363" s="60"/>
      <c r="D363" s="60"/>
      <c r="E363" s="37"/>
      <c r="F363" s="38"/>
      <c r="G363" s="38"/>
      <c r="H363" s="38"/>
      <c r="I363" s="39"/>
      <c r="J363" s="40"/>
      <c r="K363" s="40"/>
      <c r="L363" s="40"/>
      <c r="M363" s="41"/>
      <c r="N363" s="41"/>
      <c r="O363" s="42"/>
      <c r="P363" s="43"/>
      <c r="Q363" s="43"/>
      <c r="R363" s="44"/>
      <c r="S363" s="45"/>
      <c r="T363" s="38">
        <f t="shared" si="114"/>
        <v>0</v>
      </c>
      <c r="U363" s="46">
        <f t="shared" si="115"/>
        <v>0</v>
      </c>
      <c r="V363" s="47">
        <f t="shared" si="116"/>
        <v>0</v>
      </c>
      <c r="W363" s="48">
        <f t="shared" si="117"/>
        <v>0</v>
      </c>
      <c r="X363" s="43">
        <f t="shared" si="118"/>
        <v>0</v>
      </c>
      <c r="Y363" s="43">
        <f t="shared" si="119"/>
        <v>0</v>
      </c>
      <c r="Z363" s="43">
        <f t="shared" si="120"/>
        <v>0</v>
      </c>
      <c r="AA363" s="49">
        <f t="shared" si="121"/>
        <v>0</v>
      </c>
      <c r="AB363" s="50">
        <f t="shared" si="122"/>
        <v>0</v>
      </c>
      <c r="AC363" s="43">
        <f t="shared" si="123"/>
        <v>0</v>
      </c>
      <c r="AD363" s="43">
        <f t="shared" si="124"/>
        <v>0</v>
      </c>
      <c r="AE363" s="43">
        <f t="shared" si="125"/>
        <v>0</v>
      </c>
      <c r="AF363" s="51" t="e">
        <f>HLOOKUP(I363,ElecAvoidedCostsWOCC!$A$5:$Q$50,G363+1,FALSE)</f>
        <v>#N/A</v>
      </c>
      <c r="AG363" s="43" t="e">
        <f t="shared" si="126"/>
        <v>#N/A</v>
      </c>
      <c r="AH363" s="51" t="e">
        <f>HLOOKUP(I363,ElecAvoidedCostsWOCC!$A$5:$Q$50,T363+1,FALSE)</f>
        <v>#N/A</v>
      </c>
      <c r="AI363" s="43" t="e">
        <f t="shared" si="127"/>
        <v>#N/A</v>
      </c>
      <c r="AJ363" s="43" t="e">
        <f t="shared" si="128"/>
        <v>#N/A</v>
      </c>
      <c r="AK363" s="43" t="e">
        <f>HLOOKUP(I363,ElecAvoidedCostsWOCC!$A$5:$Q$50,G363+1,FALSE)*J363*L363</f>
        <v>#N/A</v>
      </c>
      <c r="AL363" s="43" t="e">
        <f t="shared" si="129"/>
        <v>#N/A</v>
      </c>
      <c r="AM363" s="47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7">
        <f t="shared" si="130"/>
        <v>0</v>
      </c>
      <c r="AO363" s="46">
        <f t="shared" si="131"/>
        <v>0</v>
      </c>
      <c r="AP363" s="46" t="e">
        <f t="shared" si="132"/>
        <v>#DIV/0!</v>
      </c>
    </row>
    <row r="364" spans="2:42" x14ac:dyDescent="0.25">
      <c r="B364" s="36"/>
      <c r="C364" s="60"/>
      <c r="D364" s="60"/>
      <c r="E364" s="37"/>
      <c r="F364" s="38"/>
      <c r="G364" s="38"/>
      <c r="H364" s="38"/>
      <c r="I364" s="39"/>
      <c r="J364" s="40"/>
      <c r="K364" s="40"/>
      <c r="L364" s="40"/>
      <c r="M364" s="41"/>
      <c r="N364" s="41"/>
      <c r="O364" s="42"/>
      <c r="P364" s="43"/>
      <c r="Q364" s="43"/>
      <c r="R364" s="44"/>
      <c r="S364" s="45"/>
      <c r="T364" s="38">
        <f t="shared" si="114"/>
        <v>0</v>
      </c>
      <c r="U364" s="46">
        <f t="shared" si="115"/>
        <v>0</v>
      </c>
      <c r="V364" s="47">
        <f t="shared" si="116"/>
        <v>0</v>
      </c>
      <c r="W364" s="48">
        <f t="shared" si="117"/>
        <v>0</v>
      </c>
      <c r="X364" s="43">
        <f t="shared" si="118"/>
        <v>0</v>
      </c>
      <c r="Y364" s="43">
        <f t="shared" si="119"/>
        <v>0</v>
      </c>
      <c r="Z364" s="43">
        <f t="shared" si="120"/>
        <v>0</v>
      </c>
      <c r="AA364" s="49">
        <f t="shared" si="121"/>
        <v>0</v>
      </c>
      <c r="AB364" s="50">
        <f t="shared" si="122"/>
        <v>0</v>
      </c>
      <c r="AC364" s="43">
        <f t="shared" si="123"/>
        <v>0</v>
      </c>
      <c r="AD364" s="43">
        <f t="shared" si="124"/>
        <v>0</v>
      </c>
      <c r="AE364" s="43">
        <f t="shared" si="125"/>
        <v>0</v>
      </c>
      <c r="AF364" s="51" t="e">
        <f>HLOOKUP(I364,ElecAvoidedCostsWOCC!$A$5:$Q$50,G364+1,FALSE)</f>
        <v>#N/A</v>
      </c>
      <c r="AG364" s="43" t="e">
        <f t="shared" si="126"/>
        <v>#N/A</v>
      </c>
      <c r="AH364" s="51" t="e">
        <f>HLOOKUP(I364,ElecAvoidedCostsWOCC!$A$5:$Q$50,T364+1,FALSE)</f>
        <v>#N/A</v>
      </c>
      <c r="AI364" s="43" t="e">
        <f t="shared" si="127"/>
        <v>#N/A</v>
      </c>
      <c r="AJ364" s="43" t="e">
        <f t="shared" si="128"/>
        <v>#N/A</v>
      </c>
      <c r="AK364" s="43" t="e">
        <f>HLOOKUP(I364,ElecAvoidedCostsWOCC!$A$5:$Q$50,G364+1,FALSE)*J364*L364</f>
        <v>#N/A</v>
      </c>
      <c r="AL364" s="43" t="e">
        <f t="shared" si="129"/>
        <v>#N/A</v>
      </c>
      <c r="AM364" s="47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7">
        <f t="shared" si="130"/>
        <v>0</v>
      </c>
      <c r="AO364" s="46">
        <f t="shared" si="131"/>
        <v>0</v>
      </c>
      <c r="AP364" s="46" t="e">
        <f t="shared" si="132"/>
        <v>#DIV/0!</v>
      </c>
    </row>
    <row r="365" spans="2:42" x14ac:dyDescent="0.25">
      <c r="B365" s="36"/>
      <c r="C365" s="60"/>
      <c r="D365" s="60"/>
      <c r="E365" s="37"/>
      <c r="F365" s="38"/>
      <c r="G365" s="38"/>
      <c r="H365" s="38"/>
      <c r="I365" s="39"/>
      <c r="J365" s="40"/>
      <c r="K365" s="40"/>
      <c r="L365" s="40"/>
      <c r="M365" s="41"/>
      <c r="N365" s="41"/>
      <c r="O365" s="42"/>
      <c r="P365" s="43"/>
      <c r="Q365" s="43"/>
      <c r="R365" s="44"/>
      <c r="S365" s="45"/>
      <c r="T365" s="38">
        <f t="shared" si="114"/>
        <v>0</v>
      </c>
      <c r="U365" s="46">
        <f t="shared" si="115"/>
        <v>0</v>
      </c>
      <c r="V365" s="47">
        <f t="shared" si="116"/>
        <v>0</v>
      </c>
      <c r="W365" s="48">
        <f t="shared" si="117"/>
        <v>0</v>
      </c>
      <c r="X365" s="43">
        <f t="shared" si="118"/>
        <v>0</v>
      </c>
      <c r="Y365" s="43">
        <f t="shared" si="119"/>
        <v>0</v>
      </c>
      <c r="Z365" s="43">
        <f t="shared" si="120"/>
        <v>0</v>
      </c>
      <c r="AA365" s="49">
        <f t="shared" si="121"/>
        <v>0</v>
      </c>
      <c r="AB365" s="50">
        <f t="shared" si="122"/>
        <v>0</v>
      </c>
      <c r="AC365" s="43">
        <f t="shared" si="123"/>
        <v>0</v>
      </c>
      <c r="AD365" s="43">
        <f t="shared" si="124"/>
        <v>0</v>
      </c>
      <c r="AE365" s="43">
        <f t="shared" si="125"/>
        <v>0</v>
      </c>
      <c r="AF365" s="51" t="e">
        <f>HLOOKUP(I365,ElecAvoidedCostsWOCC!$A$5:$Q$50,G365+1,FALSE)</f>
        <v>#N/A</v>
      </c>
      <c r="AG365" s="43" t="e">
        <f t="shared" si="126"/>
        <v>#N/A</v>
      </c>
      <c r="AH365" s="51" t="e">
        <f>HLOOKUP(I365,ElecAvoidedCostsWOCC!$A$5:$Q$50,T365+1,FALSE)</f>
        <v>#N/A</v>
      </c>
      <c r="AI365" s="43" t="e">
        <f t="shared" si="127"/>
        <v>#N/A</v>
      </c>
      <c r="AJ365" s="43" t="e">
        <f t="shared" si="128"/>
        <v>#N/A</v>
      </c>
      <c r="AK365" s="43" t="e">
        <f>HLOOKUP(I365,ElecAvoidedCostsWOCC!$A$5:$Q$50,G365+1,FALSE)*J365*L365</f>
        <v>#N/A</v>
      </c>
      <c r="AL365" s="43" t="e">
        <f t="shared" si="129"/>
        <v>#N/A</v>
      </c>
      <c r="AM365" s="47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7">
        <f t="shared" si="130"/>
        <v>0</v>
      </c>
      <c r="AO365" s="46">
        <f t="shared" si="131"/>
        <v>0</v>
      </c>
      <c r="AP365" s="46" t="e">
        <f t="shared" si="132"/>
        <v>#DIV/0!</v>
      </c>
    </row>
    <row r="366" spans="2:42" x14ac:dyDescent="0.25">
      <c r="B366" s="36"/>
      <c r="C366" s="60"/>
      <c r="D366" s="60"/>
      <c r="E366" s="37"/>
      <c r="F366" s="38"/>
      <c r="G366" s="38"/>
      <c r="H366" s="38"/>
      <c r="I366" s="39"/>
      <c r="J366" s="40"/>
      <c r="K366" s="40"/>
      <c r="L366" s="40"/>
      <c r="M366" s="41"/>
      <c r="N366" s="41"/>
      <c r="O366" s="42"/>
      <c r="P366" s="43"/>
      <c r="Q366" s="43"/>
      <c r="R366" s="44"/>
      <c r="S366" s="45"/>
      <c r="T366" s="38">
        <f t="shared" si="114"/>
        <v>0</v>
      </c>
      <c r="U366" s="46">
        <f t="shared" si="115"/>
        <v>0</v>
      </c>
      <c r="V366" s="47">
        <f t="shared" si="116"/>
        <v>0</v>
      </c>
      <c r="W366" s="48">
        <f t="shared" si="117"/>
        <v>0</v>
      </c>
      <c r="X366" s="43">
        <f t="shared" si="118"/>
        <v>0</v>
      </c>
      <c r="Y366" s="43">
        <f t="shared" si="119"/>
        <v>0</v>
      </c>
      <c r="Z366" s="43">
        <f t="shared" si="120"/>
        <v>0</v>
      </c>
      <c r="AA366" s="49">
        <f t="shared" si="121"/>
        <v>0</v>
      </c>
      <c r="AB366" s="50">
        <f t="shared" si="122"/>
        <v>0</v>
      </c>
      <c r="AC366" s="43">
        <f t="shared" si="123"/>
        <v>0</v>
      </c>
      <c r="AD366" s="43">
        <f t="shared" si="124"/>
        <v>0</v>
      </c>
      <c r="AE366" s="43">
        <f t="shared" si="125"/>
        <v>0</v>
      </c>
      <c r="AF366" s="51" t="e">
        <f>HLOOKUP(I366,ElecAvoidedCostsWOCC!$A$5:$Q$50,G366+1,FALSE)</f>
        <v>#N/A</v>
      </c>
      <c r="AG366" s="43" t="e">
        <f t="shared" si="126"/>
        <v>#N/A</v>
      </c>
      <c r="AH366" s="51" t="e">
        <f>HLOOKUP(I366,ElecAvoidedCostsWOCC!$A$5:$Q$50,T366+1,FALSE)</f>
        <v>#N/A</v>
      </c>
      <c r="AI366" s="43" t="e">
        <f t="shared" si="127"/>
        <v>#N/A</v>
      </c>
      <c r="AJ366" s="43" t="e">
        <f t="shared" si="128"/>
        <v>#N/A</v>
      </c>
      <c r="AK366" s="43" t="e">
        <f>HLOOKUP(I366,ElecAvoidedCostsWOCC!$A$5:$Q$50,G366+1,FALSE)*J366*L366</f>
        <v>#N/A</v>
      </c>
      <c r="AL366" s="43" t="e">
        <f t="shared" si="129"/>
        <v>#N/A</v>
      </c>
      <c r="AM366" s="47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7">
        <f t="shared" si="130"/>
        <v>0</v>
      </c>
      <c r="AO366" s="46">
        <f t="shared" si="131"/>
        <v>0</v>
      </c>
      <c r="AP366" s="46" t="e">
        <f t="shared" si="132"/>
        <v>#DIV/0!</v>
      </c>
    </row>
    <row r="367" spans="2:42" x14ac:dyDescent="0.25">
      <c r="B367" s="36"/>
      <c r="C367" s="60"/>
      <c r="D367" s="60"/>
      <c r="E367" s="37"/>
      <c r="F367" s="38"/>
      <c r="G367" s="38"/>
      <c r="H367" s="38"/>
      <c r="I367" s="39"/>
      <c r="J367" s="40"/>
      <c r="K367" s="40"/>
      <c r="L367" s="40"/>
      <c r="M367" s="41"/>
      <c r="N367" s="41"/>
      <c r="O367" s="42"/>
      <c r="P367" s="43"/>
      <c r="Q367" s="43"/>
      <c r="R367" s="44"/>
      <c r="S367" s="45"/>
      <c r="T367" s="38">
        <f t="shared" si="114"/>
        <v>0</v>
      </c>
      <c r="U367" s="46">
        <f t="shared" si="115"/>
        <v>0</v>
      </c>
      <c r="V367" s="47">
        <f t="shared" si="116"/>
        <v>0</v>
      </c>
      <c r="W367" s="48">
        <f t="shared" si="117"/>
        <v>0</v>
      </c>
      <c r="X367" s="43">
        <f t="shared" si="118"/>
        <v>0</v>
      </c>
      <c r="Y367" s="43">
        <f t="shared" si="119"/>
        <v>0</v>
      </c>
      <c r="Z367" s="43">
        <f t="shared" si="120"/>
        <v>0</v>
      </c>
      <c r="AA367" s="49">
        <f t="shared" si="121"/>
        <v>0</v>
      </c>
      <c r="AB367" s="50">
        <f t="shared" si="122"/>
        <v>0</v>
      </c>
      <c r="AC367" s="43">
        <f t="shared" si="123"/>
        <v>0</v>
      </c>
      <c r="AD367" s="43">
        <f t="shared" si="124"/>
        <v>0</v>
      </c>
      <c r="AE367" s="43">
        <f t="shared" si="125"/>
        <v>0</v>
      </c>
      <c r="AF367" s="51" t="e">
        <f>HLOOKUP(I367,ElecAvoidedCostsWOCC!$A$5:$Q$50,G367+1,FALSE)</f>
        <v>#N/A</v>
      </c>
      <c r="AG367" s="43" t="e">
        <f t="shared" si="126"/>
        <v>#N/A</v>
      </c>
      <c r="AH367" s="51" t="e">
        <f>HLOOKUP(I367,ElecAvoidedCostsWOCC!$A$5:$Q$50,T367+1,FALSE)</f>
        <v>#N/A</v>
      </c>
      <c r="AI367" s="43" t="e">
        <f t="shared" si="127"/>
        <v>#N/A</v>
      </c>
      <c r="AJ367" s="43" t="e">
        <f t="shared" si="128"/>
        <v>#N/A</v>
      </c>
      <c r="AK367" s="43" t="e">
        <f>HLOOKUP(I367,ElecAvoidedCostsWOCC!$A$5:$Q$50,G367+1,FALSE)*J367*L367</f>
        <v>#N/A</v>
      </c>
      <c r="AL367" s="43" t="e">
        <f t="shared" si="129"/>
        <v>#N/A</v>
      </c>
      <c r="AM367" s="47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7">
        <f t="shared" si="130"/>
        <v>0</v>
      </c>
      <c r="AO367" s="46">
        <f t="shared" si="131"/>
        <v>0</v>
      </c>
      <c r="AP367" s="46" t="e">
        <f t="shared" si="132"/>
        <v>#DIV/0!</v>
      </c>
    </row>
    <row r="368" spans="2:42" x14ac:dyDescent="0.25">
      <c r="B368" s="36"/>
      <c r="C368" s="60"/>
      <c r="D368" s="60"/>
      <c r="E368" s="37"/>
      <c r="F368" s="38"/>
      <c r="G368" s="38"/>
      <c r="H368" s="38"/>
      <c r="I368" s="39"/>
      <c r="J368" s="40"/>
      <c r="K368" s="40"/>
      <c r="L368" s="40"/>
      <c r="M368" s="41"/>
      <c r="N368" s="41"/>
      <c r="O368" s="42"/>
      <c r="P368" s="43"/>
      <c r="Q368" s="43"/>
      <c r="R368" s="44"/>
      <c r="S368" s="45"/>
      <c r="T368" s="38">
        <f t="shared" si="114"/>
        <v>0</v>
      </c>
      <c r="U368" s="46">
        <f t="shared" si="115"/>
        <v>0</v>
      </c>
      <c r="V368" s="47">
        <f t="shared" si="116"/>
        <v>0</v>
      </c>
      <c r="W368" s="48">
        <f t="shared" si="117"/>
        <v>0</v>
      </c>
      <c r="X368" s="43">
        <f t="shared" si="118"/>
        <v>0</v>
      </c>
      <c r="Y368" s="43">
        <f t="shared" si="119"/>
        <v>0</v>
      </c>
      <c r="Z368" s="43">
        <f t="shared" si="120"/>
        <v>0</v>
      </c>
      <c r="AA368" s="49">
        <f t="shared" si="121"/>
        <v>0</v>
      </c>
      <c r="AB368" s="50">
        <f t="shared" si="122"/>
        <v>0</v>
      </c>
      <c r="AC368" s="43">
        <f t="shared" si="123"/>
        <v>0</v>
      </c>
      <c r="AD368" s="43">
        <f t="shared" si="124"/>
        <v>0</v>
      </c>
      <c r="AE368" s="43">
        <f t="shared" si="125"/>
        <v>0</v>
      </c>
      <c r="AF368" s="51" t="e">
        <f>HLOOKUP(I368,ElecAvoidedCostsWOCC!$A$5:$Q$50,G368+1,FALSE)</f>
        <v>#N/A</v>
      </c>
      <c r="AG368" s="43" t="e">
        <f t="shared" si="126"/>
        <v>#N/A</v>
      </c>
      <c r="AH368" s="51" t="e">
        <f>HLOOKUP(I368,ElecAvoidedCostsWOCC!$A$5:$Q$50,T368+1,FALSE)</f>
        <v>#N/A</v>
      </c>
      <c r="AI368" s="43" t="e">
        <f t="shared" si="127"/>
        <v>#N/A</v>
      </c>
      <c r="AJ368" s="43" t="e">
        <f t="shared" si="128"/>
        <v>#N/A</v>
      </c>
      <c r="AK368" s="43" t="e">
        <f>HLOOKUP(I368,ElecAvoidedCostsWOCC!$A$5:$Q$50,G368+1,FALSE)*J368*L368</f>
        <v>#N/A</v>
      </c>
      <c r="AL368" s="43" t="e">
        <f t="shared" si="129"/>
        <v>#N/A</v>
      </c>
      <c r="AM368" s="47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7">
        <f t="shared" si="130"/>
        <v>0</v>
      </c>
      <c r="AO368" s="46">
        <f t="shared" si="131"/>
        <v>0</v>
      </c>
      <c r="AP368" s="46" t="e">
        <f t="shared" si="132"/>
        <v>#DIV/0!</v>
      </c>
    </row>
    <row r="369" spans="2:42" x14ac:dyDescent="0.25">
      <c r="B369" s="36"/>
      <c r="C369" s="60"/>
      <c r="D369" s="60"/>
      <c r="E369" s="37"/>
      <c r="F369" s="38"/>
      <c r="G369" s="38"/>
      <c r="H369" s="38"/>
      <c r="I369" s="39"/>
      <c r="J369" s="40"/>
      <c r="K369" s="40"/>
      <c r="L369" s="40"/>
      <c r="M369" s="41"/>
      <c r="N369" s="41"/>
      <c r="O369" s="42"/>
      <c r="P369" s="43"/>
      <c r="Q369" s="43"/>
      <c r="R369" s="44"/>
      <c r="S369" s="45"/>
      <c r="T369" s="38">
        <f t="shared" si="114"/>
        <v>0</v>
      </c>
      <c r="U369" s="46">
        <f t="shared" si="115"/>
        <v>0</v>
      </c>
      <c r="V369" s="47">
        <f t="shared" si="116"/>
        <v>0</v>
      </c>
      <c r="W369" s="48">
        <f t="shared" si="117"/>
        <v>0</v>
      </c>
      <c r="X369" s="43">
        <f t="shared" si="118"/>
        <v>0</v>
      </c>
      <c r="Y369" s="43">
        <f t="shared" si="119"/>
        <v>0</v>
      </c>
      <c r="Z369" s="43">
        <f t="shared" si="120"/>
        <v>0</v>
      </c>
      <c r="AA369" s="49">
        <f t="shared" si="121"/>
        <v>0</v>
      </c>
      <c r="AB369" s="50">
        <f t="shared" si="122"/>
        <v>0</v>
      </c>
      <c r="AC369" s="43">
        <f t="shared" si="123"/>
        <v>0</v>
      </c>
      <c r="AD369" s="43">
        <f t="shared" si="124"/>
        <v>0</v>
      </c>
      <c r="AE369" s="43">
        <f t="shared" si="125"/>
        <v>0</v>
      </c>
      <c r="AF369" s="51" t="e">
        <f>HLOOKUP(I369,ElecAvoidedCostsWOCC!$A$5:$Q$50,G369+1,FALSE)</f>
        <v>#N/A</v>
      </c>
      <c r="AG369" s="43" t="e">
        <f t="shared" si="126"/>
        <v>#N/A</v>
      </c>
      <c r="AH369" s="51" t="e">
        <f>HLOOKUP(I369,ElecAvoidedCostsWOCC!$A$5:$Q$50,T369+1,FALSE)</f>
        <v>#N/A</v>
      </c>
      <c r="AI369" s="43" t="e">
        <f t="shared" si="127"/>
        <v>#N/A</v>
      </c>
      <c r="AJ369" s="43" t="e">
        <f t="shared" si="128"/>
        <v>#N/A</v>
      </c>
      <c r="AK369" s="43" t="e">
        <f>HLOOKUP(I369,ElecAvoidedCostsWOCC!$A$5:$Q$50,G369+1,FALSE)*J369*L369</f>
        <v>#N/A</v>
      </c>
      <c r="AL369" s="43" t="e">
        <f t="shared" si="129"/>
        <v>#N/A</v>
      </c>
      <c r="AM369" s="47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7">
        <f t="shared" si="130"/>
        <v>0</v>
      </c>
      <c r="AO369" s="46">
        <f t="shared" si="131"/>
        <v>0</v>
      </c>
      <c r="AP369" s="46" t="e">
        <f t="shared" si="132"/>
        <v>#DIV/0!</v>
      </c>
    </row>
    <row r="370" spans="2:42" x14ac:dyDescent="0.25">
      <c r="B370" s="36"/>
      <c r="C370" s="60"/>
      <c r="D370" s="60"/>
      <c r="E370" s="37"/>
      <c r="F370" s="38"/>
      <c r="G370" s="38"/>
      <c r="H370" s="38"/>
      <c r="I370" s="39"/>
      <c r="J370" s="40"/>
      <c r="K370" s="40"/>
      <c r="L370" s="40"/>
      <c r="M370" s="41"/>
      <c r="N370" s="41"/>
      <c r="O370" s="42"/>
      <c r="P370" s="43"/>
      <c r="Q370" s="43"/>
      <c r="R370" s="44"/>
      <c r="S370" s="45"/>
      <c r="T370" s="38">
        <f t="shared" si="114"/>
        <v>0</v>
      </c>
      <c r="U370" s="46">
        <f t="shared" si="115"/>
        <v>0</v>
      </c>
      <c r="V370" s="47">
        <f t="shared" si="116"/>
        <v>0</v>
      </c>
      <c r="W370" s="48">
        <f t="shared" si="117"/>
        <v>0</v>
      </c>
      <c r="X370" s="43">
        <f t="shared" si="118"/>
        <v>0</v>
      </c>
      <c r="Y370" s="43">
        <f t="shared" si="119"/>
        <v>0</v>
      </c>
      <c r="Z370" s="43">
        <f t="shared" si="120"/>
        <v>0</v>
      </c>
      <c r="AA370" s="49">
        <f t="shared" si="121"/>
        <v>0</v>
      </c>
      <c r="AB370" s="50">
        <f t="shared" si="122"/>
        <v>0</v>
      </c>
      <c r="AC370" s="43">
        <f t="shared" si="123"/>
        <v>0</v>
      </c>
      <c r="AD370" s="43">
        <f t="shared" si="124"/>
        <v>0</v>
      </c>
      <c r="AE370" s="43">
        <f t="shared" si="125"/>
        <v>0</v>
      </c>
      <c r="AF370" s="51" t="e">
        <f>HLOOKUP(I370,ElecAvoidedCostsWOCC!$A$5:$Q$50,G370+1,FALSE)</f>
        <v>#N/A</v>
      </c>
      <c r="AG370" s="43" t="e">
        <f t="shared" si="126"/>
        <v>#N/A</v>
      </c>
      <c r="AH370" s="51" t="e">
        <f>HLOOKUP(I370,ElecAvoidedCostsWOCC!$A$5:$Q$50,T370+1,FALSE)</f>
        <v>#N/A</v>
      </c>
      <c r="AI370" s="43" t="e">
        <f t="shared" si="127"/>
        <v>#N/A</v>
      </c>
      <c r="AJ370" s="43" t="e">
        <f t="shared" si="128"/>
        <v>#N/A</v>
      </c>
      <c r="AK370" s="43" t="e">
        <f>HLOOKUP(I370,ElecAvoidedCostsWOCC!$A$5:$Q$50,G370+1,FALSE)*J370*L370</f>
        <v>#N/A</v>
      </c>
      <c r="AL370" s="43" t="e">
        <f t="shared" si="129"/>
        <v>#N/A</v>
      </c>
      <c r="AM370" s="47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7">
        <f t="shared" si="130"/>
        <v>0</v>
      </c>
      <c r="AO370" s="46">
        <f t="shared" si="131"/>
        <v>0</v>
      </c>
      <c r="AP370" s="46" t="e">
        <f t="shared" si="132"/>
        <v>#DIV/0!</v>
      </c>
    </row>
    <row r="371" spans="2:42" x14ac:dyDescent="0.25">
      <c r="B371" s="36"/>
      <c r="C371" s="60"/>
      <c r="D371" s="60"/>
      <c r="E371" s="37"/>
      <c r="F371" s="38"/>
      <c r="G371" s="38"/>
      <c r="H371" s="38"/>
      <c r="I371" s="39"/>
      <c r="J371" s="40"/>
      <c r="K371" s="40"/>
      <c r="L371" s="40"/>
      <c r="M371" s="41"/>
      <c r="N371" s="41"/>
      <c r="O371" s="42"/>
      <c r="P371" s="43"/>
      <c r="Q371" s="43"/>
      <c r="R371" s="44"/>
      <c r="S371" s="45"/>
      <c r="T371" s="38">
        <f t="shared" si="114"/>
        <v>0</v>
      </c>
      <c r="U371" s="46">
        <f t="shared" si="115"/>
        <v>0</v>
      </c>
      <c r="V371" s="47">
        <f t="shared" si="116"/>
        <v>0</v>
      </c>
      <c r="W371" s="48">
        <f t="shared" si="117"/>
        <v>0</v>
      </c>
      <c r="X371" s="43">
        <f t="shared" si="118"/>
        <v>0</v>
      </c>
      <c r="Y371" s="43">
        <f t="shared" si="119"/>
        <v>0</v>
      </c>
      <c r="Z371" s="43">
        <f t="shared" si="120"/>
        <v>0</v>
      </c>
      <c r="AA371" s="49">
        <f t="shared" si="121"/>
        <v>0</v>
      </c>
      <c r="AB371" s="50">
        <f t="shared" si="122"/>
        <v>0</v>
      </c>
      <c r="AC371" s="43">
        <f t="shared" si="123"/>
        <v>0</v>
      </c>
      <c r="AD371" s="43">
        <f t="shared" si="124"/>
        <v>0</v>
      </c>
      <c r="AE371" s="43">
        <f t="shared" si="125"/>
        <v>0</v>
      </c>
      <c r="AF371" s="51" t="e">
        <f>HLOOKUP(I371,ElecAvoidedCostsWOCC!$A$5:$Q$50,G371+1,FALSE)</f>
        <v>#N/A</v>
      </c>
      <c r="AG371" s="43" t="e">
        <f t="shared" si="126"/>
        <v>#N/A</v>
      </c>
      <c r="AH371" s="51" t="e">
        <f>HLOOKUP(I371,ElecAvoidedCostsWOCC!$A$5:$Q$50,T371+1,FALSE)</f>
        <v>#N/A</v>
      </c>
      <c r="AI371" s="43" t="e">
        <f t="shared" si="127"/>
        <v>#N/A</v>
      </c>
      <c r="AJ371" s="43" t="e">
        <f t="shared" si="128"/>
        <v>#N/A</v>
      </c>
      <c r="AK371" s="43" t="e">
        <f>HLOOKUP(I371,ElecAvoidedCostsWOCC!$A$5:$Q$50,G371+1,FALSE)*J371*L371</f>
        <v>#N/A</v>
      </c>
      <c r="AL371" s="43" t="e">
        <f t="shared" si="129"/>
        <v>#N/A</v>
      </c>
      <c r="AM371" s="47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7">
        <f t="shared" si="130"/>
        <v>0</v>
      </c>
      <c r="AO371" s="46">
        <f t="shared" si="131"/>
        <v>0</v>
      </c>
      <c r="AP371" s="46" t="e">
        <f t="shared" si="132"/>
        <v>#DIV/0!</v>
      </c>
    </row>
    <row r="372" spans="2:42" x14ac:dyDescent="0.25">
      <c r="B372" s="36"/>
      <c r="C372" s="60"/>
      <c r="D372" s="60"/>
      <c r="E372" s="37"/>
      <c r="F372" s="38"/>
      <c r="G372" s="38"/>
      <c r="H372" s="38"/>
      <c r="I372" s="39"/>
      <c r="J372" s="40"/>
      <c r="K372" s="40"/>
      <c r="L372" s="40"/>
      <c r="M372" s="41"/>
      <c r="N372" s="41"/>
      <c r="O372" s="42"/>
      <c r="P372" s="43"/>
      <c r="Q372" s="43"/>
      <c r="R372" s="44"/>
      <c r="S372" s="45"/>
      <c r="T372" s="38">
        <f t="shared" si="114"/>
        <v>0</v>
      </c>
      <c r="U372" s="46">
        <f t="shared" si="115"/>
        <v>0</v>
      </c>
      <c r="V372" s="47">
        <f t="shared" si="116"/>
        <v>0</v>
      </c>
      <c r="W372" s="48">
        <f t="shared" si="117"/>
        <v>0</v>
      </c>
      <c r="X372" s="43">
        <f t="shared" si="118"/>
        <v>0</v>
      </c>
      <c r="Y372" s="43">
        <f t="shared" si="119"/>
        <v>0</v>
      </c>
      <c r="Z372" s="43">
        <f t="shared" si="120"/>
        <v>0</v>
      </c>
      <c r="AA372" s="49">
        <f t="shared" si="121"/>
        <v>0</v>
      </c>
      <c r="AB372" s="50">
        <f t="shared" si="122"/>
        <v>0</v>
      </c>
      <c r="AC372" s="43">
        <f t="shared" si="123"/>
        <v>0</v>
      </c>
      <c r="AD372" s="43">
        <f t="shared" si="124"/>
        <v>0</v>
      </c>
      <c r="AE372" s="43">
        <f t="shared" si="125"/>
        <v>0</v>
      </c>
      <c r="AF372" s="51" t="e">
        <f>HLOOKUP(I372,ElecAvoidedCostsWOCC!$A$5:$Q$50,G372+1,FALSE)</f>
        <v>#N/A</v>
      </c>
      <c r="AG372" s="43" t="e">
        <f t="shared" si="126"/>
        <v>#N/A</v>
      </c>
      <c r="AH372" s="51" t="e">
        <f>HLOOKUP(I372,ElecAvoidedCostsWOCC!$A$5:$Q$50,T372+1,FALSE)</f>
        <v>#N/A</v>
      </c>
      <c r="AI372" s="43" t="e">
        <f t="shared" si="127"/>
        <v>#N/A</v>
      </c>
      <c r="AJ372" s="43" t="e">
        <f t="shared" si="128"/>
        <v>#N/A</v>
      </c>
      <c r="AK372" s="43" t="e">
        <f>HLOOKUP(I372,ElecAvoidedCostsWOCC!$A$5:$Q$50,G372+1,FALSE)*J372*L372</f>
        <v>#N/A</v>
      </c>
      <c r="AL372" s="43" t="e">
        <f t="shared" si="129"/>
        <v>#N/A</v>
      </c>
      <c r="AM372" s="47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7">
        <f t="shared" si="130"/>
        <v>0</v>
      </c>
      <c r="AO372" s="46">
        <f t="shared" si="131"/>
        <v>0</v>
      </c>
      <c r="AP372" s="46" t="e">
        <f t="shared" si="132"/>
        <v>#DIV/0!</v>
      </c>
    </row>
    <row r="373" spans="2:42" x14ac:dyDescent="0.25">
      <c r="B373" s="36"/>
      <c r="C373" s="60"/>
      <c r="D373" s="60"/>
      <c r="E373" s="37"/>
      <c r="F373" s="38"/>
      <c r="G373" s="38"/>
      <c r="H373" s="38"/>
      <c r="I373" s="39"/>
      <c r="J373" s="40"/>
      <c r="K373" s="40"/>
      <c r="L373" s="40"/>
      <c r="M373" s="41"/>
      <c r="N373" s="41"/>
      <c r="O373" s="42"/>
      <c r="P373" s="43"/>
      <c r="Q373" s="43"/>
      <c r="R373" s="44"/>
      <c r="S373" s="45"/>
      <c r="T373" s="38">
        <f t="shared" si="114"/>
        <v>0</v>
      </c>
      <c r="U373" s="46">
        <f t="shared" si="115"/>
        <v>0</v>
      </c>
      <c r="V373" s="47">
        <f t="shared" si="116"/>
        <v>0</v>
      </c>
      <c r="W373" s="48">
        <f t="shared" si="117"/>
        <v>0</v>
      </c>
      <c r="X373" s="43">
        <f t="shared" si="118"/>
        <v>0</v>
      </c>
      <c r="Y373" s="43">
        <f t="shared" si="119"/>
        <v>0</v>
      </c>
      <c r="Z373" s="43">
        <f t="shared" si="120"/>
        <v>0</v>
      </c>
      <c r="AA373" s="49">
        <f t="shared" si="121"/>
        <v>0</v>
      </c>
      <c r="AB373" s="50">
        <f t="shared" si="122"/>
        <v>0</v>
      </c>
      <c r="AC373" s="43">
        <f t="shared" si="123"/>
        <v>0</v>
      </c>
      <c r="AD373" s="43">
        <f t="shared" si="124"/>
        <v>0</v>
      </c>
      <c r="AE373" s="43">
        <f t="shared" si="125"/>
        <v>0</v>
      </c>
      <c r="AF373" s="51" t="e">
        <f>HLOOKUP(I373,ElecAvoidedCostsWOCC!$A$5:$Q$50,G373+1,FALSE)</f>
        <v>#N/A</v>
      </c>
      <c r="AG373" s="43" t="e">
        <f t="shared" si="126"/>
        <v>#N/A</v>
      </c>
      <c r="AH373" s="51" t="e">
        <f>HLOOKUP(I373,ElecAvoidedCostsWOCC!$A$5:$Q$50,T373+1,FALSE)</f>
        <v>#N/A</v>
      </c>
      <c r="AI373" s="43" t="e">
        <f t="shared" si="127"/>
        <v>#N/A</v>
      </c>
      <c r="AJ373" s="43" t="e">
        <f t="shared" si="128"/>
        <v>#N/A</v>
      </c>
      <c r="AK373" s="43" t="e">
        <f>HLOOKUP(I373,ElecAvoidedCostsWOCC!$A$5:$Q$50,G373+1,FALSE)*J373*L373</f>
        <v>#N/A</v>
      </c>
      <c r="AL373" s="43" t="e">
        <f t="shared" si="129"/>
        <v>#N/A</v>
      </c>
      <c r="AM373" s="47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7">
        <f t="shared" si="130"/>
        <v>0</v>
      </c>
      <c r="AO373" s="46">
        <f t="shared" si="131"/>
        <v>0</v>
      </c>
      <c r="AP373" s="46" t="e">
        <f t="shared" si="132"/>
        <v>#DIV/0!</v>
      </c>
    </row>
    <row r="374" spans="2:42" x14ac:dyDescent="0.25">
      <c r="B374" s="36"/>
      <c r="C374" s="60"/>
      <c r="D374" s="60"/>
      <c r="E374" s="37"/>
      <c r="F374" s="38"/>
      <c r="G374" s="38"/>
      <c r="H374" s="38"/>
      <c r="I374" s="39"/>
      <c r="J374" s="40"/>
      <c r="K374" s="40"/>
      <c r="L374" s="40"/>
      <c r="M374" s="41"/>
      <c r="N374" s="41"/>
      <c r="O374" s="42"/>
      <c r="P374" s="43"/>
      <c r="Q374" s="43"/>
      <c r="R374" s="44"/>
      <c r="S374" s="45"/>
      <c r="T374" s="38">
        <f t="shared" si="114"/>
        <v>0</v>
      </c>
      <c r="U374" s="46">
        <f t="shared" si="115"/>
        <v>0</v>
      </c>
      <c r="V374" s="47">
        <f t="shared" si="116"/>
        <v>0</v>
      </c>
      <c r="W374" s="48">
        <f t="shared" si="117"/>
        <v>0</v>
      </c>
      <c r="X374" s="43">
        <f t="shared" si="118"/>
        <v>0</v>
      </c>
      <c r="Y374" s="43">
        <f t="shared" si="119"/>
        <v>0</v>
      </c>
      <c r="Z374" s="43">
        <f t="shared" si="120"/>
        <v>0</v>
      </c>
      <c r="AA374" s="49">
        <f t="shared" si="121"/>
        <v>0</v>
      </c>
      <c r="AB374" s="50">
        <f t="shared" si="122"/>
        <v>0</v>
      </c>
      <c r="AC374" s="43">
        <f t="shared" si="123"/>
        <v>0</v>
      </c>
      <c r="AD374" s="43">
        <f t="shared" si="124"/>
        <v>0</v>
      </c>
      <c r="AE374" s="43">
        <f t="shared" si="125"/>
        <v>0</v>
      </c>
      <c r="AF374" s="51" t="e">
        <f>HLOOKUP(I374,ElecAvoidedCostsWOCC!$A$5:$Q$50,G374+1,FALSE)</f>
        <v>#N/A</v>
      </c>
      <c r="AG374" s="43" t="e">
        <f t="shared" si="126"/>
        <v>#N/A</v>
      </c>
      <c r="AH374" s="51" t="e">
        <f>HLOOKUP(I374,ElecAvoidedCostsWOCC!$A$5:$Q$50,T374+1,FALSE)</f>
        <v>#N/A</v>
      </c>
      <c r="AI374" s="43" t="e">
        <f t="shared" si="127"/>
        <v>#N/A</v>
      </c>
      <c r="AJ374" s="43" t="e">
        <f t="shared" si="128"/>
        <v>#N/A</v>
      </c>
      <c r="AK374" s="43" t="e">
        <f>HLOOKUP(I374,ElecAvoidedCostsWOCC!$A$5:$Q$50,G374+1,FALSE)*J374*L374</f>
        <v>#N/A</v>
      </c>
      <c r="AL374" s="43" t="e">
        <f t="shared" si="129"/>
        <v>#N/A</v>
      </c>
      <c r="AM374" s="47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7">
        <f t="shared" si="130"/>
        <v>0</v>
      </c>
      <c r="AO374" s="46">
        <f t="shared" si="131"/>
        <v>0</v>
      </c>
      <c r="AP374" s="46" t="e">
        <f t="shared" si="132"/>
        <v>#DIV/0!</v>
      </c>
    </row>
    <row r="375" spans="2:42" x14ac:dyDescent="0.25">
      <c r="B375" s="36"/>
      <c r="C375" s="60"/>
      <c r="D375" s="60"/>
      <c r="E375" s="37"/>
      <c r="F375" s="38"/>
      <c r="G375" s="38"/>
      <c r="H375" s="38"/>
      <c r="I375" s="39"/>
      <c r="J375" s="40"/>
      <c r="K375" s="40"/>
      <c r="L375" s="40"/>
      <c r="M375" s="41"/>
      <c r="N375" s="41"/>
      <c r="O375" s="42"/>
      <c r="P375" s="43"/>
      <c r="Q375" s="43"/>
      <c r="R375" s="44"/>
      <c r="S375" s="45"/>
      <c r="T375" s="38">
        <f t="shared" si="114"/>
        <v>0</v>
      </c>
      <c r="U375" s="46">
        <f t="shared" si="115"/>
        <v>0</v>
      </c>
      <c r="V375" s="47">
        <f t="shared" si="116"/>
        <v>0</v>
      </c>
      <c r="W375" s="48">
        <f t="shared" si="117"/>
        <v>0</v>
      </c>
      <c r="X375" s="43">
        <f t="shared" si="118"/>
        <v>0</v>
      </c>
      <c r="Y375" s="43">
        <f t="shared" si="119"/>
        <v>0</v>
      </c>
      <c r="Z375" s="43">
        <f t="shared" si="120"/>
        <v>0</v>
      </c>
      <c r="AA375" s="49">
        <f t="shared" si="121"/>
        <v>0</v>
      </c>
      <c r="AB375" s="50">
        <f t="shared" si="122"/>
        <v>0</v>
      </c>
      <c r="AC375" s="43">
        <f t="shared" si="123"/>
        <v>0</v>
      </c>
      <c r="AD375" s="43">
        <f t="shared" si="124"/>
        <v>0</v>
      </c>
      <c r="AE375" s="43">
        <f t="shared" si="125"/>
        <v>0</v>
      </c>
      <c r="AF375" s="51" t="e">
        <f>HLOOKUP(I375,ElecAvoidedCostsWOCC!$A$5:$Q$50,G375+1,FALSE)</f>
        <v>#N/A</v>
      </c>
      <c r="AG375" s="43" t="e">
        <f t="shared" si="126"/>
        <v>#N/A</v>
      </c>
      <c r="AH375" s="51" t="e">
        <f>HLOOKUP(I375,ElecAvoidedCostsWOCC!$A$5:$Q$50,T375+1,FALSE)</f>
        <v>#N/A</v>
      </c>
      <c r="AI375" s="43" t="e">
        <f t="shared" si="127"/>
        <v>#N/A</v>
      </c>
      <c r="AJ375" s="43" t="e">
        <f t="shared" si="128"/>
        <v>#N/A</v>
      </c>
      <c r="AK375" s="43" t="e">
        <f>HLOOKUP(I375,ElecAvoidedCostsWOCC!$A$5:$Q$50,G375+1,FALSE)*J375*L375</f>
        <v>#N/A</v>
      </c>
      <c r="AL375" s="43" t="e">
        <f t="shared" si="129"/>
        <v>#N/A</v>
      </c>
      <c r="AM375" s="47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7">
        <f t="shared" si="130"/>
        <v>0</v>
      </c>
      <c r="AO375" s="46">
        <f t="shared" si="131"/>
        <v>0</v>
      </c>
      <c r="AP375" s="46" t="e">
        <f t="shared" si="132"/>
        <v>#DIV/0!</v>
      </c>
    </row>
    <row r="376" spans="2:42" x14ac:dyDescent="0.25">
      <c r="B376" s="36"/>
      <c r="C376" s="60"/>
      <c r="D376" s="60"/>
      <c r="E376" s="37"/>
      <c r="F376" s="38"/>
      <c r="G376" s="38"/>
      <c r="H376" s="38"/>
      <c r="I376" s="39"/>
      <c r="J376" s="40"/>
      <c r="K376" s="40"/>
      <c r="L376" s="40"/>
      <c r="M376" s="41"/>
      <c r="N376" s="41"/>
      <c r="O376" s="42"/>
      <c r="P376" s="43"/>
      <c r="Q376" s="43"/>
      <c r="R376" s="44"/>
      <c r="S376" s="45"/>
      <c r="T376" s="38">
        <f t="shared" si="114"/>
        <v>0</v>
      </c>
      <c r="U376" s="46">
        <f t="shared" si="115"/>
        <v>0</v>
      </c>
      <c r="V376" s="47">
        <f t="shared" si="116"/>
        <v>0</v>
      </c>
      <c r="W376" s="48">
        <f t="shared" si="117"/>
        <v>0</v>
      </c>
      <c r="X376" s="43">
        <f t="shared" si="118"/>
        <v>0</v>
      </c>
      <c r="Y376" s="43">
        <f t="shared" si="119"/>
        <v>0</v>
      </c>
      <c r="Z376" s="43">
        <f t="shared" si="120"/>
        <v>0</v>
      </c>
      <c r="AA376" s="49">
        <f t="shared" si="121"/>
        <v>0</v>
      </c>
      <c r="AB376" s="50">
        <f t="shared" si="122"/>
        <v>0</v>
      </c>
      <c r="AC376" s="43">
        <f t="shared" si="123"/>
        <v>0</v>
      </c>
      <c r="AD376" s="43">
        <f t="shared" si="124"/>
        <v>0</v>
      </c>
      <c r="AE376" s="43">
        <f t="shared" si="125"/>
        <v>0</v>
      </c>
      <c r="AF376" s="51" t="e">
        <f>HLOOKUP(I376,ElecAvoidedCostsWOCC!$A$5:$Q$50,G376+1,FALSE)</f>
        <v>#N/A</v>
      </c>
      <c r="AG376" s="43" t="e">
        <f t="shared" si="126"/>
        <v>#N/A</v>
      </c>
      <c r="AH376" s="51" t="e">
        <f>HLOOKUP(I376,ElecAvoidedCostsWOCC!$A$5:$Q$50,T376+1,FALSE)</f>
        <v>#N/A</v>
      </c>
      <c r="AI376" s="43" t="e">
        <f t="shared" si="127"/>
        <v>#N/A</v>
      </c>
      <c r="AJ376" s="43" t="e">
        <f t="shared" si="128"/>
        <v>#N/A</v>
      </c>
      <c r="AK376" s="43" t="e">
        <f>HLOOKUP(I376,ElecAvoidedCostsWOCC!$A$5:$Q$50,G376+1,FALSE)*J376*L376</f>
        <v>#N/A</v>
      </c>
      <c r="AL376" s="43" t="e">
        <f t="shared" si="129"/>
        <v>#N/A</v>
      </c>
      <c r="AM376" s="47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7">
        <f t="shared" si="130"/>
        <v>0</v>
      </c>
      <c r="AO376" s="46">
        <f t="shared" si="131"/>
        <v>0</v>
      </c>
      <c r="AP376" s="46" t="e">
        <f t="shared" si="132"/>
        <v>#DIV/0!</v>
      </c>
    </row>
    <row r="377" spans="2:42" x14ac:dyDescent="0.25">
      <c r="B377" s="36"/>
      <c r="C377" s="60"/>
      <c r="D377" s="60"/>
      <c r="E377" s="37"/>
      <c r="F377" s="38"/>
      <c r="G377" s="38"/>
      <c r="H377" s="38"/>
      <c r="I377" s="39"/>
      <c r="J377" s="40"/>
      <c r="K377" s="40"/>
      <c r="L377" s="40"/>
      <c r="M377" s="41"/>
      <c r="N377" s="41"/>
      <c r="O377" s="42"/>
      <c r="P377" s="43"/>
      <c r="Q377" s="43"/>
      <c r="R377" s="44"/>
      <c r="S377" s="45"/>
      <c r="T377" s="38">
        <f t="shared" si="114"/>
        <v>0</v>
      </c>
      <c r="U377" s="46">
        <f t="shared" si="115"/>
        <v>0</v>
      </c>
      <c r="V377" s="47">
        <f t="shared" si="116"/>
        <v>0</v>
      </c>
      <c r="W377" s="48">
        <f t="shared" si="117"/>
        <v>0</v>
      </c>
      <c r="X377" s="43">
        <f t="shared" si="118"/>
        <v>0</v>
      </c>
      <c r="Y377" s="43">
        <f t="shared" si="119"/>
        <v>0</v>
      </c>
      <c r="Z377" s="43">
        <f t="shared" si="120"/>
        <v>0</v>
      </c>
      <c r="AA377" s="49">
        <f t="shared" si="121"/>
        <v>0</v>
      </c>
      <c r="AB377" s="50">
        <f t="shared" si="122"/>
        <v>0</v>
      </c>
      <c r="AC377" s="43">
        <f t="shared" si="123"/>
        <v>0</v>
      </c>
      <c r="AD377" s="43">
        <f t="shared" si="124"/>
        <v>0</v>
      </c>
      <c r="AE377" s="43">
        <f t="shared" si="125"/>
        <v>0</v>
      </c>
      <c r="AF377" s="51" t="e">
        <f>HLOOKUP(I377,ElecAvoidedCostsWOCC!$A$5:$Q$50,G377+1,FALSE)</f>
        <v>#N/A</v>
      </c>
      <c r="AG377" s="43" t="e">
        <f t="shared" si="126"/>
        <v>#N/A</v>
      </c>
      <c r="AH377" s="51" t="e">
        <f>HLOOKUP(I377,ElecAvoidedCostsWOCC!$A$5:$Q$50,T377+1,FALSE)</f>
        <v>#N/A</v>
      </c>
      <c r="AI377" s="43" t="e">
        <f t="shared" si="127"/>
        <v>#N/A</v>
      </c>
      <c r="AJ377" s="43" t="e">
        <f t="shared" si="128"/>
        <v>#N/A</v>
      </c>
      <c r="AK377" s="43" t="e">
        <f>HLOOKUP(I377,ElecAvoidedCostsWOCC!$A$5:$Q$50,G377+1,FALSE)*J377*L377</f>
        <v>#N/A</v>
      </c>
      <c r="AL377" s="43" t="e">
        <f t="shared" si="129"/>
        <v>#N/A</v>
      </c>
      <c r="AM377" s="47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7">
        <f t="shared" si="130"/>
        <v>0</v>
      </c>
      <c r="AO377" s="46">
        <f t="shared" si="131"/>
        <v>0</v>
      </c>
      <c r="AP377" s="46" t="e">
        <f t="shared" si="132"/>
        <v>#DIV/0!</v>
      </c>
    </row>
    <row r="378" spans="2:42" x14ac:dyDescent="0.25">
      <c r="B378" s="36"/>
      <c r="C378" s="60"/>
      <c r="D378" s="60"/>
      <c r="E378" s="37"/>
      <c r="F378" s="38"/>
      <c r="G378" s="38"/>
      <c r="H378" s="38"/>
      <c r="I378" s="39"/>
      <c r="J378" s="40"/>
      <c r="K378" s="40"/>
      <c r="L378" s="40"/>
      <c r="M378" s="41"/>
      <c r="N378" s="41"/>
      <c r="O378" s="42"/>
      <c r="P378" s="43"/>
      <c r="Q378" s="43"/>
      <c r="R378" s="44"/>
      <c r="S378" s="45"/>
      <c r="T378" s="38">
        <f t="shared" si="114"/>
        <v>0</v>
      </c>
      <c r="U378" s="46">
        <f t="shared" si="115"/>
        <v>0</v>
      </c>
      <c r="V378" s="47">
        <f t="shared" si="116"/>
        <v>0</v>
      </c>
      <c r="W378" s="48">
        <f t="shared" si="117"/>
        <v>0</v>
      </c>
      <c r="X378" s="43">
        <f t="shared" si="118"/>
        <v>0</v>
      </c>
      <c r="Y378" s="43">
        <f t="shared" si="119"/>
        <v>0</v>
      </c>
      <c r="Z378" s="43">
        <f t="shared" si="120"/>
        <v>0</v>
      </c>
      <c r="AA378" s="49">
        <f t="shared" si="121"/>
        <v>0</v>
      </c>
      <c r="AB378" s="50">
        <f t="shared" si="122"/>
        <v>0</v>
      </c>
      <c r="AC378" s="43">
        <f t="shared" si="123"/>
        <v>0</v>
      </c>
      <c r="AD378" s="43">
        <f t="shared" si="124"/>
        <v>0</v>
      </c>
      <c r="AE378" s="43">
        <f t="shared" si="125"/>
        <v>0</v>
      </c>
      <c r="AF378" s="51" t="e">
        <f>HLOOKUP(I378,ElecAvoidedCostsWOCC!$A$5:$Q$50,G378+1,FALSE)</f>
        <v>#N/A</v>
      </c>
      <c r="AG378" s="43" t="e">
        <f t="shared" si="126"/>
        <v>#N/A</v>
      </c>
      <c r="AH378" s="51" t="e">
        <f>HLOOKUP(I378,ElecAvoidedCostsWOCC!$A$5:$Q$50,T378+1,FALSE)</f>
        <v>#N/A</v>
      </c>
      <c r="AI378" s="43" t="e">
        <f t="shared" si="127"/>
        <v>#N/A</v>
      </c>
      <c r="AJ378" s="43" t="e">
        <f t="shared" si="128"/>
        <v>#N/A</v>
      </c>
      <c r="AK378" s="43" t="e">
        <f>HLOOKUP(I378,ElecAvoidedCostsWOCC!$A$5:$Q$50,G378+1,FALSE)*J378*L378</f>
        <v>#N/A</v>
      </c>
      <c r="AL378" s="43" t="e">
        <f t="shared" si="129"/>
        <v>#N/A</v>
      </c>
      <c r="AM378" s="47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7">
        <f t="shared" si="130"/>
        <v>0</v>
      </c>
      <c r="AO378" s="46">
        <f t="shared" si="131"/>
        <v>0</v>
      </c>
      <c r="AP378" s="46" t="e">
        <f t="shared" si="132"/>
        <v>#DIV/0!</v>
      </c>
    </row>
    <row r="379" spans="2:42" x14ac:dyDescent="0.25">
      <c r="B379" s="36"/>
      <c r="C379" s="60"/>
      <c r="D379" s="60"/>
      <c r="E379" s="37"/>
      <c r="F379" s="38"/>
      <c r="G379" s="38"/>
      <c r="H379" s="38"/>
      <c r="I379" s="39"/>
      <c r="J379" s="40"/>
      <c r="K379" s="40"/>
      <c r="L379" s="40"/>
      <c r="M379" s="41"/>
      <c r="N379" s="41"/>
      <c r="O379" s="42"/>
      <c r="P379" s="43"/>
      <c r="Q379" s="43"/>
      <c r="R379" s="44"/>
      <c r="S379" s="45"/>
      <c r="T379" s="38">
        <f t="shared" si="114"/>
        <v>0</v>
      </c>
      <c r="U379" s="46">
        <f t="shared" si="115"/>
        <v>0</v>
      </c>
      <c r="V379" s="47">
        <f t="shared" si="116"/>
        <v>0</v>
      </c>
      <c r="W379" s="48">
        <f t="shared" si="117"/>
        <v>0</v>
      </c>
      <c r="X379" s="43">
        <f t="shared" si="118"/>
        <v>0</v>
      </c>
      <c r="Y379" s="43">
        <f t="shared" si="119"/>
        <v>0</v>
      </c>
      <c r="Z379" s="43">
        <f t="shared" si="120"/>
        <v>0</v>
      </c>
      <c r="AA379" s="49">
        <f t="shared" si="121"/>
        <v>0</v>
      </c>
      <c r="AB379" s="50">
        <f t="shared" si="122"/>
        <v>0</v>
      </c>
      <c r="AC379" s="43">
        <f t="shared" si="123"/>
        <v>0</v>
      </c>
      <c r="AD379" s="43">
        <f t="shared" si="124"/>
        <v>0</v>
      </c>
      <c r="AE379" s="43">
        <f t="shared" si="125"/>
        <v>0</v>
      </c>
      <c r="AF379" s="51" t="e">
        <f>HLOOKUP(I379,ElecAvoidedCostsWOCC!$A$5:$Q$50,G379+1,FALSE)</f>
        <v>#N/A</v>
      </c>
      <c r="AG379" s="43" t="e">
        <f t="shared" si="126"/>
        <v>#N/A</v>
      </c>
      <c r="AH379" s="51" t="e">
        <f>HLOOKUP(I379,ElecAvoidedCostsWOCC!$A$5:$Q$50,T379+1,FALSE)</f>
        <v>#N/A</v>
      </c>
      <c r="AI379" s="43" t="e">
        <f t="shared" si="127"/>
        <v>#N/A</v>
      </c>
      <c r="AJ379" s="43" t="e">
        <f t="shared" si="128"/>
        <v>#N/A</v>
      </c>
      <c r="AK379" s="43" t="e">
        <f>HLOOKUP(I379,ElecAvoidedCostsWOCC!$A$5:$Q$50,G379+1,FALSE)*J379*L379</f>
        <v>#N/A</v>
      </c>
      <c r="AL379" s="43" t="e">
        <f t="shared" si="129"/>
        <v>#N/A</v>
      </c>
      <c r="AM379" s="47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7">
        <f t="shared" si="130"/>
        <v>0</v>
      </c>
      <c r="AO379" s="46">
        <f t="shared" si="131"/>
        <v>0</v>
      </c>
      <c r="AP379" s="46" t="e">
        <f t="shared" si="132"/>
        <v>#DIV/0!</v>
      </c>
    </row>
    <row r="380" spans="2:42" x14ac:dyDescent="0.25">
      <c r="B380" s="36"/>
      <c r="C380" s="60"/>
      <c r="D380" s="60"/>
      <c r="E380" s="37"/>
      <c r="F380" s="38"/>
      <c r="G380" s="38"/>
      <c r="H380" s="38"/>
      <c r="I380" s="39"/>
      <c r="J380" s="40"/>
      <c r="K380" s="40"/>
      <c r="L380" s="40"/>
      <c r="M380" s="41"/>
      <c r="N380" s="41"/>
      <c r="O380" s="42"/>
      <c r="P380" s="43"/>
      <c r="Q380" s="43"/>
      <c r="R380" s="44"/>
      <c r="S380" s="45"/>
      <c r="T380" s="38">
        <f t="shared" si="114"/>
        <v>0</v>
      </c>
      <c r="U380" s="46">
        <f t="shared" si="115"/>
        <v>0</v>
      </c>
      <c r="V380" s="47">
        <f t="shared" si="116"/>
        <v>0</v>
      </c>
      <c r="W380" s="48">
        <f t="shared" si="117"/>
        <v>0</v>
      </c>
      <c r="X380" s="43">
        <f t="shared" si="118"/>
        <v>0</v>
      </c>
      <c r="Y380" s="43">
        <f t="shared" si="119"/>
        <v>0</v>
      </c>
      <c r="Z380" s="43">
        <f t="shared" si="120"/>
        <v>0</v>
      </c>
      <c r="AA380" s="49">
        <f t="shared" si="121"/>
        <v>0</v>
      </c>
      <c r="AB380" s="50">
        <f t="shared" si="122"/>
        <v>0</v>
      </c>
      <c r="AC380" s="43">
        <f t="shared" si="123"/>
        <v>0</v>
      </c>
      <c r="AD380" s="43">
        <f t="shared" si="124"/>
        <v>0</v>
      </c>
      <c r="AE380" s="43">
        <f t="shared" si="125"/>
        <v>0</v>
      </c>
      <c r="AF380" s="51" t="e">
        <f>HLOOKUP(I380,ElecAvoidedCostsWOCC!$A$5:$Q$50,G380+1,FALSE)</f>
        <v>#N/A</v>
      </c>
      <c r="AG380" s="43" t="e">
        <f t="shared" si="126"/>
        <v>#N/A</v>
      </c>
      <c r="AH380" s="51" t="e">
        <f>HLOOKUP(I380,ElecAvoidedCostsWOCC!$A$5:$Q$50,T380+1,FALSE)</f>
        <v>#N/A</v>
      </c>
      <c r="AI380" s="43" t="e">
        <f t="shared" si="127"/>
        <v>#N/A</v>
      </c>
      <c r="AJ380" s="43" t="e">
        <f t="shared" si="128"/>
        <v>#N/A</v>
      </c>
      <c r="AK380" s="43" t="e">
        <f>HLOOKUP(I380,ElecAvoidedCostsWOCC!$A$5:$Q$50,G380+1,FALSE)*J380*L380</f>
        <v>#N/A</v>
      </c>
      <c r="AL380" s="43" t="e">
        <f t="shared" si="129"/>
        <v>#N/A</v>
      </c>
      <c r="AM380" s="47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7">
        <f t="shared" si="130"/>
        <v>0</v>
      </c>
      <c r="AO380" s="46">
        <f t="shared" si="131"/>
        <v>0</v>
      </c>
      <c r="AP380" s="46" t="e">
        <f t="shared" si="132"/>
        <v>#DIV/0!</v>
      </c>
    </row>
    <row r="381" spans="2:42" x14ac:dyDescent="0.25">
      <c r="B381" s="36"/>
      <c r="C381" s="60"/>
      <c r="D381" s="60"/>
      <c r="E381" s="37"/>
      <c r="F381" s="38"/>
      <c r="G381" s="38"/>
      <c r="H381" s="38"/>
      <c r="I381" s="39"/>
      <c r="J381" s="40"/>
      <c r="K381" s="40"/>
      <c r="L381" s="40"/>
      <c r="M381" s="41"/>
      <c r="N381" s="41"/>
      <c r="O381" s="42"/>
      <c r="P381" s="43"/>
      <c r="Q381" s="43"/>
      <c r="R381" s="44"/>
      <c r="S381" s="45"/>
      <c r="T381" s="38">
        <f t="shared" si="114"/>
        <v>0</v>
      </c>
      <c r="U381" s="46">
        <f t="shared" si="115"/>
        <v>0</v>
      </c>
      <c r="V381" s="47">
        <f t="shared" si="116"/>
        <v>0</v>
      </c>
      <c r="W381" s="48">
        <f t="shared" si="117"/>
        <v>0</v>
      </c>
      <c r="X381" s="43">
        <f t="shared" si="118"/>
        <v>0</v>
      </c>
      <c r="Y381" s="43">
        <f t="shared" si="119"/>
        <v>0</v>
      </c>
      <c r="Z381" s="43">
        <f t="shared" si="120"/>
        <v>0</v>
      </c>
      <c r="AA381" s="49">
        <f t="shared" si="121"/>
        <v>0</v>
      </c>
      <c r="AB381" s="50">
        <f t="shared" si="122"/>
        <v>0</v>
      </c>
      <c r="AC381" s="43">
        <f t="shared" si="123"/>
        <v>0</v>
      </c>
      <c r="AD381" s="43">
        <f t="shared" si="124"/>
        <v>0</v>
      </c>
      <c r="AE381" s="43">
        <f t="shared" si="125"/>
        <v>0</v>
      </c>
      <c r="AF381" s="51" t="e">
        <f>HLOOKUP(I381,ElecAvoidedCostsWOCC!$A$5:$Q$50,G381+1,FALSE)</f>
        <v>#N/A</v>
      </c>
      <c r="AG381" s="43" t="e">
        <f t="shared" si="126"/>
        <v>#N/A</v>
      </c>
      <c r="AH381" s="51" t="e">
        <f>HLOOKUP(I381,ElecAvoidedCostsWOCC!$A$5:$Q$50,T381+1,FALSE)</f>
        <v>#N/A</v>
      </c>
      <c r="AI381" s="43" t="e">
        <f t="shared" si="127"/>
        <v>#N/A</v>
      </c>
      <c r="AJ381" s="43" t="e">
        <f t="shared" si="128"/>
        <v>#N/A</v>
      </c>
      <c r="AK381" s="43" t="e">
        <f>HLOOKUP(I381,ElecAvoidedCostsWOCC!$A$5:$Q$50,G381+1,FALSE)*J381*L381</f>
        <v>#N/A</v>
      </c>
      <c r="AL381" s="43" t="e">
        <f t="shared" si="129"/>
        <v>#N/A</v>
      </c>
      <c r="AM381" s="47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7">
        <f t="shared" si="130"/>
        <v>0</v>
      </c>
      <c r="AO381" s="46">
        <f t="shared" si="131"/>
        <v>0</v>
      </c>
      <c r="AP381" s="46" t="e">
        <f t="shared" si="132"/>
        <v>#DIV/0!</v>
      </c>
    </row>
    <row r="382" spans="2:42" x14ac:dyDescent="0.25">
      <c r="B382" s="36"/>
      <c r="C382" s="60"/>
      <c r="D382" s="60"/>
      <c r="E382" s="37"/>
      <c r="F382" s="38"/>
      <c r="G382" s="38"/>
      <c r="H382" s="38"/>
      <c r="I382" s="39"/>
      <c r="J382" s="40"/>
      <c r="K382" s="40"/>
      <c r="L382" s="40"/>
      <c r="M382" s="41"/>
      <c r="N382" s="41"/>
      <c r="O382" s="42"/>
      <c r="P382" s="43"/>
      <c r="Q382" s="43"/>
      <c r="R382" s="44"/>
      <c r="S382" s="45"/>
      <c r="T382" s="38">
        <f t="shared" si="114"/>
        <v>0</v>
      </c>
      <c r="U382" s="46">
        <f t="shared" si="115"/>
        <v>0</v>
      </c>
      <c r="V382" s="47">
        <f t="shared" si="116"/>
        <v>0</v>
      </c>
      <c r="W382" s="48">
        <f t="shared" si="117"/>
        <v>0</v>
      </c>
      <c r="X382" s="43">
        <f t="shared" si="118"/>
        <v>0</v>
      </c>
      <c r="Y382" s="43">
        <f t="shared" si="119"/>
        <v>0</v>
      </c>
      <c r="Z382" s="43">
        <f t="shared" si="120"/>
        <v>0</v>
      </c>
      <c r="AA382" s="49">
        <f t="shared" si="121"/>
        <v>0</v>
      </c>
      <c r="AB382" s="50">
        <f t="shared" si="122"/>
        <v>0</v>
      </c>
      <c r="AC382" s="43">
        <f t="shared" si="123"/>
        <v>0</v>
      </c>
      <c r="AD382" s="43">
        <f t="shared" si="124"/>
        <v>0</v>
      </c>
      <c r="AE382" s="43">
        <f t="shared" si="125"/>
        <v>0</v>
      </c>
      <c r="AF382" s="51" t="e">
        <f>HLOOKUP(I382,ElecAvoidedCostsWOCC!$A$5:$Q$50,G382+1,FALSE)</f>
        <v>#N/A</v>
      </c>
      <c r="AG382" s="43" t="e">
        <f t="shared" si="126"/>
        <v>#N/A</v>
      </c>
      <c r="AH382" s="51" t="e">
        <f>HLOOKUP(I382,ElecAvoidedCostsWOCC!$A$5:$Q$50,T382+1,FALSE)</f>
        <v>#N/A</v>
      </c>
      <c r="AI382" s="43" t="e">
        <f t="shared" si="127"/>
        <v>#N/A</v>
      </c>
      <c r="AJ382" s="43" t="e">
        <f t="shared" si="128"/>
        <v>#N/A</v>
      </c>
      <c r="AK382" s="43" t="e">
        <f>HLOOKUP(I382,ElecAvoidedCostsWOCC!$A$5:$Q$50,G382+1,FALSE)*J382*L382</f>
        <v>#N/A</v>
      </c>
      <c r="AL382" s="43" t="e">
        <f t="shared" si="129"/>
        <v>#N/A</v>
      </c>
      <c r="AM382" s="47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7">
        <f t="shared" si="130"/>
        <v>0</v>
      </c>
      <c r="AO382" s="46">
        <f t="shared" si="131"/>
        <v>0</v>
      </c>
      <c r="AP382" s="46" t="e">
        <f t="shared" si="132"/>
        <v>#DIV/0!</v>
      </c>
    </row>
    <row r="383" spans="2:42" x14ac:dyDescent="0.25">
      <c r="B383" s="36"/>
      <c r="C383" s="60"/>
      <c r="D383" s="60"/>
      <c r="E383" s="37"/>
      <c r="F383" s="38"/>
      <c r="G383" s="38"/>
      <c r="H383" s="38"/>
      <c r="I383" s="39"/>
      <c r="J383" s="40"/>
      <c r="K383" s="40"/>
      <c r="L383" s="40"/>
      <c r="M383" s="41"/>
      <c r="N383" s="41"/>
      <c r="O383" s="42"/>
      <c r="P383" s="43"/>
      <c r="Q383" s="43"/>
      <c r="R383" s="44"/>
      <c r="S383" s="45"/>
      <c r="T383" s="38">
        <f t="shared" si="114"/>
        <v>0</v>
      </c>
      <c r="U383" s="46">
        <f t="shared" si="115"/>
        <v>0</v>
      </c>
      <c r="V383" s="47">
        <f t="shared" si="116"/>
        <v>0</v>
      </c>
      <c r="W383" s="48">
        <f t="shared" si="117"/>
        <v>0</v>
      </c>
      <c r="X383" s="43">
        <f t="shared" si="118"/>
        <v>0</v>
      </c>
      <c r="Y383" s="43">
        <f t="shared" si="119"/>
        <v>0</v>
      </c>
      <c r="Z383" s="43">
        <f t="shared" si="120"/>
        <v>0</v>
      </c>
      <c r="AA383" s="49">
        <f t="shared" si="121"/>
        <v>0</v>
      </c>
      <c r="AB383" s="50">
        <f t="shared" si="122"/>
        <v>0</v>
      </c>
      <c r="AC383" s="43">
        <f t="shared" si="123"/>
        <v>0</v>
      </c>
      <c r="AD383" s="43">
        <f t="shared" si="124"/>
        <v>0</v>
      </c>
      <c r="AE383" s="43">
        <f t="shared" si="125"/>
        <v>0</v>
      </c>
      <c r="AF383" s="51" t="e">
        <f>HLOOKUP(I383,ElecAvoidedCostsWOCC!$A$5:$Q$50,G383+1,FALSE)</f>
        <v>#N/A</v>
      </c>
      <c r="AG383" s="43" t="e">
        <f t="shared" si="126"/>
        <v>#N/A</v>
      </c>
      <c r="AH383" s="51" t="e">
        <f>HLOOKUP(I383,ElecAvoidedCostsWOCC!$A$5:$Q$50,T383+1,FALSE)</f>
        <v>#N/A</v>
      </c>
      <c r="AI383" s="43" t="e">
        <f t="shared" si="127"/>
        <v>#N/A</v>
      </c>
      <c r="AJ383" s="43" t="e">
        <f t="shared" si="128"/>
        <v>#N/A</v>
      </c>
      <c r="AK383" s="43" t="e">
        <f>HLOOKUP(I383,ElecAvoidedCostsWOCC!$A$5:$Q$50,G383+1,FALSE)*J383*L383</f>
        <v>#N/A</v>
      </c>
      <c r="AL383" s="43" t="e">
        <f t="shared" si="129"/>
        <v>#N/A</v>
      </c>
      <c r="AM383" s="47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7">
        <f t="shared" si="130"/>
        <v>0</v>
      </c>
      <c r="AO383" s="46">
        <f t="shared" si="131"/>
        <v>0</v>
      </c>
      <c r="AP383" s="46" t="e">
        <f t="shared" si="132"/>
        <v>#DIV/0!</v>
      </c>
    </row>
    <row r="384" spans="2:42" x14ac:dyDescent="0.25">
      <c r="B384" s="36"/>
      <c r="C384" s="60"/>
      <c r="D384" s="60"/>
      <c r="E384" s="37"/>
      <c r="F384" s="38"/>
      <c r="G384" s="38"/>
      <c r="H384" s="38"/>
      <c r="I384" s="39"/>
      <c r="J384" s="40"/>
      <c r="K384" s="40"/>
      <c r="L384" s="40"/>
      <c r="M384" s="41"/>
      <c r="N384" s="41"/>
      <c r="O384" s="42"/>
      <c r="P384" s="43"/>
      <c r="Q384" s="43"/>
      <c r="R384" s="44"/>
      <c r="S384" s="45"/>
      <c r="T384" s="38">
        <f t="shared" si="114"/>
        <v>0</v>
      </c>
      <c r="U384" s="46">
        <f t="shared" si="115"/>
        <v>0</v>
      </c>
      <c r="V384" s="47">
        <f t="shared" si="116"/>
        <v>0</v>
      </c>
      <c r="W384" s="48">
        <f t="shared" si="117"/>
        <v>0</v>
      </c>
      <c r="X384" s="43">
        <f t="shared" si="118"/>
        <v>0</v>
      </c>
      <c r="Y384" s="43">
        <f t="shared" si="119"/>
        <v>0</v>
      </c>
      <c r="Z384" s="43">
        <f t="shared" si="120"/>
        <v>0</v>
      </c>
      <c r="AA384" s="49">
        <f t="shared" si="121"/>
        <v>0</v>
      </c>
      <c r="AB384" s="50">
        <f t="shared" si="122"/>
        <v>0</v>
      </c>
      <c r="AC384" s="43">
        <f t="shared" si="123"/>
        <v>0</v>
      </c>
      <c r="AD384" s="43">
        <f t="shared" si="124"/>
        <v>0</v>
      </c>
      <c r="AE384" s="43">
        <f t="shared" si="125"/>
        <v>0</v>
      </c>
      <c r="AF384" s="51" t="e">
        <f>HLOOKUP(I384,ElecAvoidedCostsWOCC!$A$5:$Q$50,G384+1,FALSE)</f>
        <v>#N/A</v>
      </c>
      <c r="AG384" s="43" t="e">
        <f t="shared" si="126"/>
        <v>#N/A</v>
      </c>
      <c r="AH384" s="51" t="e">
        <f>HLOOKUP(I384,ElecAvoidedCostsWOCC!$A$5:$Q$50,T384+1,FALSE)</f>
        <v>#N/A</v>
      </c>
      <c r="AI384" s="43" t="e">
        <f t="shared" si="127"/>
        <v>#N/A</v>
      </c>
      <c r="AJ384" s="43" t="e">
        <f t="shared" si="128"/>
        <v>#N/A</v>
      </c>
      <c r="AK384" s="43" t="e">
        <f>HLOOKUP(I384,ElecAvoidedCostsWOCC!$A$5:$Q$50,G384+1,FALSE)*J384*L384</f>
        <v>#N/A</v>
      </c>
      <c r="AL384" s="43" t="e">
        <f t="shared" si="129"/>
        <v>#N/A</v>
      </c>
      <c r="AM384" s="47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7">
        <f t="shared" si="130"/>
        <v>0</v>
      </c>
      <c r="AO384" s="46">
        <f t="shared" si="131"/>
        <v>0</v>
      </c>
      <c r="AP384" s="46" t="e">
        <f t="shared" si="132"/>
        <v>#DIV/0!</v>
      </c>
    </row>
    <row r="385" spans="2:42" x14ac:dyDescent="0.25">
      <c r="B385" s="36"/>
      <c r="C385" s="60"/>
      <c r="D385" s="60"/>
      <c r="E385" s="37"/>
      <c r="F385" s="38"/>
      <c r="G385" s="38"/>
      <c r="H385" s="38"/>
      <c r="I385" s="39"/>
      <c r="J385" s="40"/>
      <c r="K385" s="40"/>
      <c r="L385" s="40"/>
      <c r="M385" s="41"/>
      <c r="N385" s="41"/>
      <c r="O385" s="42"/>
      <c r="P385" s="43"/>
      <c r="Q385" s="43"/>
      <c r="R385" s="44"/>
      <c r="S385" s="45"/>
      <c r="T385" s="38">
        <f t="shared" si="114"/>
        <v>0</v>
      </c>
      <c r="U385" s="46">
        <f t="shared" si="115"/>
        <v>0</v>
      </c>
      <c r="V385" s="47">
        <f t="shared" si="116"/>
        <v>0</v>
      </c>
      <c r="W385" s="48">
        <f t="shared" si="117"/>
        <v>0</v>
      </c>
      <c r="X385" s="43">
        <f t="shared" si="118"/>
        <v>0</v>
      </c>
      <c r="Y385" s="43">
        <f t="shared" si="119"/>
        <v>0</v>
      </c>
      <c r="Z385" s="43">
        <f t="shared" si="120"/>
        <v>0</v>
      </c>
      <c r="AA385" s="49">
        <f t="shared" si="121"/>
        <v>0</v>
      </c>
      <c r="AB385" s="50">
        <f t="shared" si="122"/>
        <v>0</v>
      </c>
      <c r="AC385" s="43">
        <f t="shared" si="123"/>
        <v>0</v>
      </c>
      <c r="AD385" s="43">
        <f t="shared" si="124"/>
        <v>0</v>
      </c>
      <c r="AE385" s="43">
        <f t="shared" si="125"/>
        <v>0</v>
      </c>
      <c r="AF385" s="51" t="e">
        <f>HLOOKUP(I385,ElecAvoidedCostsWOCC!$A$5:$Q$50,G385+1,FALSE)</f>
        <v>#N/A</v>
      </c>
      <c r="AG385" s="43" t="e">
        <f t="shared" si="126"/>
        <v>#N/A</v>
      </c>
      <c r="AH385" s="51" t="e">
        <f>HLOOKUP(I385,ElecAvoidedCostsWOCC!$A$5:$Q$50,T385+1,FALSE)</f>
        <v>#N/A</v>
      </c>
      <c r="AI385" s="43" t="e">
        <f t="shared" si="127"/>
        <v>#N/A</v>
      </c>
      <c r="AJ385" s="43" t="e">
        <f t="shared" si="128"/>
        <v>#N/A</v>
      </c>
      <c r="AK385" s="43" t="e">
        <f>HLOOKUP(I385,ElecAvoidedCostsWOCC!$A$5:$Q$50,G385+1,FALSE)*J385*L385</f>
        <v>#N/A</v>
      </c>
      <c r="AL385" s="43" t="e">
        <f t="shared" si="129"/>
        <v>#N/A</v>
      </c>
      <c r="AM385" s="47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7">
        <f t="shared" si="130"/>
        <v>0</v>
      </c>
      <c r="AO385" s="46">
        <f t="shared" si="131"/>
        <v>0</v>
      </c>
      <c r="AP385" s="46" t="e">
        <f t="shared" si="132"/>
        <v>#DIV/0!</v>
      </c>
    </row>
    <row r="386" spans="2:42" x14ac:dyDescent="0.25">
      <c r="B386" s="36"/>
      <c r="C386" s="60"/>
      <c r="D386" s="60"/>
      <c r="E386" s="37"/>
      <c r="F386" s="38"/>
      <c r="G386" s="38"/>
      <c r="H386" s="38"/>
      <c r="I386" s="39"/>
      <c r="J386" s="40"/>
      <c r="K386" s="40"/>
      <c r="L386" s="40"/>
      <c r="M386" s="41"/>
      <c r="N386" s="41"/>
      <c r="O386" s="42"/>
      <c r="P386" s="43"/>
      <c r="Q386" s="43"/>
      <c r="R386" s="44"/>
      <c r="S386" s="45"/>
      <c r="T386" s="38">
        <f t="shared" si="114"/>
        <v>0</v>
      </c>
      <c r="U386" s="46">
        <f t="shared" si="115"/>
        <v>0</v>
      </c>
      <c r="V386" s="47">
        <f t="shared" si="116"/>
        <v>0</v>
      </c>
      <c r="W386" s="48">
        <f t="shared" si="117"/>
        <v>0</v>
      </c>
      <c r="X386" s="43">
        <f t="shared" si="118"/>
        <v>0</v>
      </c>
      <c r="Y386" s="43">
        <f t="shared" si="119"/>
        <v>0</v>
      </c>
      <c r="Z386" s="43">
        <f t="shared" si="120"/>
        <v>0</v>
      </c>
      <c r="AA386" s="49">
        <f t="shared" si="121"/>
        <v>0</v>
      </c>
      <c r="AB386" s="50">
        <f t="shared" si="122"/>
        <v>0</v>
      </c>
      <c r="AC386" s="43">
        <f t="shared" si="123"/>
        <v>0</v>
      </c>
      <c r="AD386" s="43">
        <f t="shared" si="124"/>
        <v>0</v>
      </c>
      <c r="AE386" s="43">
        <f t="shared" si="125"/>
        <v>0</v>
      </c>
      <c r="AF386" s="51" t="e">
        <f>HLOOKUP(I386,ElecAvoidedCostsWOCC!$A$5:$Q$50,G386+1,FALSE)</f>
        <v>#N/A</v>
      </c>
      <c r="AG386" s="43" t="e">
        <f t="shared" si="126"/>
        <v>#N/A</v>
      </c>
      <c r="AH386" s="51" t="e">
        <f>HLOOKUP(I386,ElecAvoidedCostsWOCC!$A$5:$Q$50,T386+1,FALSE)</f>
        <v>#N/A</v>
      </c>
      <c r="AI386" s="43" t="e">
        <f t="shared" si="127"/>
        <v>#N/A</v>
      </c>
      <c r="AJ386" s="43" t="e">
        <f t="shared" si="128"/>
        <v>#N/A</v>
      </c>
      <c r="AK386" s="43" t="e">
        <f>HLOOKUP(I386,ElecAvoidedCostsWOCC!$A$5:$Q$50,G386+1,FALSE)*J386*L386</f>
        <v>#N/A</v>
      </c>
      <c r="AL386" s="43" t="e">
        <f t="shared" si="129"/>
        <v>#N/A</v>
      </c>
      <c r="AM386" s="47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7">
        <f t="shared" si="130"/>
        <v>0</v>
      </c>
      <c r="AO386" s="46">
        <f t="shared" si="131"/>
        <v>0</v>
      </c>
      <c r="AP386" s="46" t="e">
        <f t="shared" si="132"/>
        <v>#DIV/0!</v>
      </c>
    </row>
    <row r="387" spans="2:42" x14ac:dyDescent="0.25">
      <c r="B387" s="36"/>
      <c r="C387" s="60"/>
      <c r="D387" s="60"/>
      <c r="E387" s="37"/>
      <c r="F387" s="38"/>
      <c r="G387" s="38"/>
      <c r="H387" s="38"/>
      <c r="I387" s="39"/>
      <c r="J387" s="40"/>
      <c r="K387" s="40"/>
      <c r="L387" s="40"/>
      <c r="M387" s="41"/>
      <c r="N387" s="41"/>
      <c r="O387" s="42"/>
      <c r="P387" s="43"/>
      <c r="Q387" s="43"/>
      <c r="R387" s="44"/>
      <c r="S387" s="45"/>
      <c r="T387" s="38">
        <f t="shared" si="114"/>
        <v>0</v>
      </c>
      <c r="U387" s="46">
        <f t="shared" si="115"/>
        <v>0</v>
      </c>
      <c r="V387" s="47">
        <f t="shared" si="116"/>
        <v>0</v>
      </c>
      <c r="W387" s="48">
        <f t="shared" si="117"/>
        <v>0</v>
      </c>
      <c r="X387" s="43">
        <f t="shared" si="118"/>
        <v>0</v>
      </c>
      <c r="Y387" s="43">
        <f t="shared" si="119"/>
        <v>0</v>
      </c>
      <c r="Z387" s="43">
        <f t="shared" si="120"/>
        <v>0</v>
      </c>
      <c r="AA387" s="49">
        <f t="shared" si="121"/>
        <v>0</v>
      </c>
      <c r="AB387" s="50">
        <f t="shared" si="122"/>
        <v>0</v>
      </c>
      <c r="AC387" s="43">
        <f t="shared" si="123"/>
        <v>0</v>
      </c>
      <c r="AD387" s="43">
        <f t="shared" si="124"/>
        <v>0</v>
      </c>
      <c r="AE387" s="43">
        <f t="shared" si="125"/>
        <v>0</v>
      </c>
      <c r="AF387" s="51" t="e">
        <f>HLOOKUP(I387,ElecAvoidedCostsWOCC!$A$5:$Q$50,G387+1,FALSE)</f>
        <v>#N/A</v>
      </c>
      <c r="AG387" s="43" t="e">
        <f t="shared" si="126"/>
        <v>#N/A</v>
      </c>
      <c r="AH387" s="51" t="e">
        <f>HLOOKUP(I387,ElecAvoidedCostsWOCC!$A$5:$Q$50,T387+1,FALSE)</f>
        <v>#N/A</v>
      </c>
      <c r="AI387" s="43" t="e">
        <f t="shared" si="127"/>
        <v>#N/A</v>
      </c>
      <c r="AJ387" s="43" t="e">
        <f t="shared" si="128"/>
        <v>#N/A</v>
      </c>
      <c r="AK387" s="43" t="e">
        <f>HLOOKUP(I387,ElecAvoidedCostsWOCC!$A$5:$Q$50,G387+1,FALSE)*J387*L387</f>
        <v>#N/A</v>
      </c>
      <c r="AL387" s="43" t="e">
        <f t="shared" si="129"/>
        <v>#N/A</v>
      </c>
      <c r="AM387" s="47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7">
        <f t="shared" si="130"/>
        <v>0</v>
      </c>
      <c r="AO387" s="46">
        <f t="shared" si="131"/>
        <v>0</v>
      </c>
      <c r="AP387" s="46" t="e">
        <f t="shared" si="132"/>
        <v>#DIV/0!</v>
      </c>
    </row>
    <row r="388" spans="2:42" x14ac:dyDescent="0.25">
      <c r="B388" s="36"/>
      <c r="C388" s="60"/>
      <c r="D388" s="60"/>
      <c r="E388" s="37"/>
      <c r="F388" s="38"/>
      <c r="G388" s="38"/>
      <c r="H388" s="38"/>
      <c r="I388" s="39"/>
      <c r="J388" s="40"/>
      <c r="K388" s="40"/>
      <c r="L388" s="40"/>
      <c r="M388" s="41"/>
      <c r="N388" s="41"/>
      <c r="O388" s="42"/>
      <c r="P388" s="43"/>
      <c r="Q388" s="43"/>
      <c r="R388" s="44"/>
      <c r="S388" s="45"/>
      <c r="T388" s="38">
        <f t="shared" ref="T388:T451" si="133">G388+H388</f>
        <v>0</v>
      </c>
      <c r="U388" s="46">
        <f t="shared" ref="U388:U451" si="134">(O388/$A$10)*T388</f>
        <v>0</v>
      </c>
      <c r="V388" s="47">
        <f t="shared" ref="V388:V451" si="135">N388-M388</f>
        <v>0</v>
      </c>
      <c r="W388" s="48">
        <f t="shared" ref="W388:W451" si="136">(O388/A$10)</f>
        <v>0</v>
      </c>
      <c r="X388" s="43">
        <f t="shared" ref="X388:X451" si="137">W388*A$8</f>
        <v>0</v>
      </c>
      <c r="Y388" s="43">
        <f t="shared" ref="Y388:Y451" si="138">Q388-P388</f>
        <v>0</v>
      </c>
      <c r="Z388" s="43">
        <f t="shared" ref="Z388:Z451" si="139">X388+(A$6*W388)</f>
        <v>0</v>
      </c>
      <c r="AA388" s="49">
        <f t="shared" ref="AA388:AA451" si="140">Q388+X388</f>
        <v>0</v>
      </c>
      <c r="AB388" s="50">
        <f t="shared" ref="AB388:AB451" si="141">Z388/(1+ElecDiscountRate)^1</f>
        <v>0</v>
      </c>
      <c r="AC388" s="43">
        <f t="shared" ref="AC388:AC451" si="142">AA388/(1+ElecDiscountRate)^1</f>
        <v>0</v>
      </c>
      <c r="AD388" s="43">
        <f t="shared" ref="AD388:AD451" si="143">-PV(ElecDiscountRate,T388,R388)*J388</f>
        <v>0</v>
      </c>
      <c r="AE388" s="43">
        <f t="shared" ref="AE388:AE451" si="144">-PV(ElecDiscountRate,T388,S388)*J388</f>
        <v>0</v>
      </c>
      <c r="AF388" s="51" t="e">
        <f>HLOOKUP(I388,ElecAvoidedCostsWOCC!$A$5:$Q$50,G388+1,FALSE)</f>
        <v>#N/A</v>
      </c>
      <c r="AG388" s="43" t="e">
        <f t="shared" ref="AG388:AG451" si="145">AF388*J388*K388</f>
        <v>#N/A</v>
      </c>
      <c r="AH388" s="51" t="e">
        <f>HLOOKUP(I388,ElecAvoidedCostsWOCC!$A$5:$Q$50,T388+1,FALSE)</f>
        <v>#N/A</v>
      </c>
      <c r="AI388" s="43" t="e">
        <f t="shared" ref="AI388:AI451" si="146">AH388*J388*L388</f>
        <v>#N/A</v>
      </c>
      <c r="AJ388" s="43" t="e">
        <f t="shared" ref="AJ388:AJ451" si="147">AG388+AI388</f>
        <v>#N/A</v>
      </c>
      <c r="AK388" s="43" t="e">
        <f>HLOOKUP(I388,ElecAvoidedCostsWOCC!$A$5:$Q$50,G388+1,FALSE)*J388*L388</f>
        <v>#N/A</v>
      </c>
      <c r="AL388" s="43" t="e">
        <f t="shared" ref="AL388:AL451" si="148">AG388+AI388-AK388</f>
        <v>#N/A</v>
      </c>
      <c r="AM388" s="47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7">
        <f t="shared" ref="AN388:AN451" si="149">AM388*1.1+AD388+AE388</f>
        <v>0</v>
      </c>
      <c r="AO388" s="46">
        <f t="shared" ref="AO388:AO451" si="150">IFERROR(AM388/AB388,0)</f>
        <v>0</v>
      </c>
      <c r="AP388" s="46" t="e">
        <f t="shared" ref="AP388:AP451" si="151">AN388/AC388</f>
        <v>#DIV/0!</v>
      </c>
    </row>
    <row r="389" spans="2:42" x14ac:dyDescent="0.25">
      <c r="B389" s="36"/>
      <c r="C389" s="60"/>
      <c r="D389" s="60"/>
      <c r="E389" s="37"/>
      <c r="F389" s="38"/>
      <c r="G389" s="38"/>
      <c r="H389" s="38"/>
      <c r="I389" s="39"/>
      <c r="J389" s="40"/>
      <c r="K389" s="40"/>
      <c r="L389" s="40"/>
      <c r="M389" s="41"/>
      <c r="N389" s="41"/>
      <c r="O389" s="42"/>
      <c r="P389" s="43"/>
      <c r="Q389" s="43"/>
      <c r="R389" s="44"/>
      <c r="S389" s="45"/>
      <c r="T389" s="38">
        <f t="shared" si="133"/>
        <v>0</v>
      </c>
      <c r="U389" s="46">
        <f t="shared" si="134"/>
        <v>0</v>
      </c>
      <c r="V389" s="47">
        <f t="shared" si="135"/>
        <v>0</v>
      </c>
      <c r="W389" s="48">
        <f t="shared" si="136"/>
        <v>0</v>
      </c>
      <c r="X389" s="43">
        <f t="shared" si="137"/>
        <v>0</v>
      </c>
      <c r="Y389" s="43">
        <f t="shared" si="138"/>
        <v>0</v>
      </c>
      <c r="Z389" s="43">
        <f t="shared" si="139"/>
        <v>0</v>
      </c>
      <c r="AA389" s="49">
        <f t="shared" si="140"/>
        <v>0</v>
      </c>
      <c r="AB389" s="50">
        <f t="shared" si="141"/>
        <v>0</v>
      </c>
      <c r="AC389" s="43">
        <f t="shared" si="142"/>
        <v>0</v>
      </c>
      <c r="AD389" s="43">
        <f t="shared" si="143"/>
        <v>0</v>
      </c>
      <c r="AE389" s="43">
        <f t="shared" si="144"/>
        <v>0</v>
      </c>
      <c r="AF389" s="51" t="e">
        <f>HLOOKUP(I389,ElecAvoidedCostsWOCC!$A$5:$Q$50,G389+1,FALSE)</f>
        <v>#N/A</v>
      </c>
      <c r="AG389" s="43" t="e">
        <f t="shared" si="145"/>
        <v>#N/A</v>
      </c>
      <c r="AH389" s="51" t="e">
        <f>HLOOKUP(I389,ElecAvoidedCostsWOCC!$A$5:$Q$50,T389+1,FALSE)</f>
        <v>#N/A</v>
      </c>
      <c r="AI389" s="43" t="e">
        <f t="shared" si="146"/>
        <v>#N/A</v>
      </c>
      <c r="AJ389" s="43" t="e">
        <f t="shared" si="147"/>
        <v>#N/A</v>
      </c>
      <c r="AK389" s="43" t="e">
        <f>HLOOKUP(I389,ElecAvoidedCostsWOCC!$A$5:$Q$50,G389+1,FALSE)*J389*L389</f>
        <v>#N/A</v>
      </c>
      <c r="AL389" s="43" t="e">
        <f t="shared" si="148"/>
        <v>#N/A</v>
      </c>
      <c r="AM389" s="47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7">
        <f t="shared" si="149"/>
        <v>0</v>
      </c>
      <c r="AO389" s="46">
        <f t="shared" si="150"/>
        <v>0</v>
      </c>
      <c r="AP389" s="46" t="e">
        <f t="shared" si="151"/>
        <v>#DIV/0!</v>
      </c>
    </row>
    <row r="390" spans="2:42" x14ac:dyDescent="0.25">
      <c r="B390" s="36"/>
      <c r="C390" s="60"/>
      <c r="D390" s="60"/>
      <c r="E390" s="37"/>
      <c r="F390" s="38"/>
      <c r="G390" s="38"/>
      <c r="H390" s="38"/>
      <c r="I390" s="39"/>
      <c r="J390" s="40"/>
      <c r="K390" s="40"/>
      <c r="L390" s="40"/>
      <c r="M390" s="41"/>
      <c r="N390" s="41"/>
      <c r="O390" s="42"/>
      <c r="P390" s="43"/>
      <c r="Q390" s="43"/>
      <c r="R390" s="44"/>
      <c r="S390" s="45"/>
      <c r="T390" s="38">
        <f t="shared" si="133"/>
        <v>0</v>
      </c>
      <c r="U390" s="46">
        <f t="shared" si="134"/>
        <v>0</v>
      </c>
      <c r="V390" s="47">
        <f t="shared" si="135"/>
        <v>0</v>
      </c>
      <c r="W390" s="48">
        <f t="shared" si="136"/>
        <v>0</v>
      </c>
      <c r="X390" s="43">
        <f t="shared" si="137"/>
        <v>0</v>
      </c>
      <c r="Y390" s="43">
        <f t="shared" si="138"/>
        <v>0</v>
      </c>
      <c r="Z390" s="43">
        <f t="shared" si="139"/>
        <v>0</v>
      </c>
      <c r="AA390" s="49">
        <f t="shared" si="140"/>
        <v>0</v>
      </c>
      <c r="AB390" s="50">
        <f t="shared" si="141"/>
        <v>0</v>
      </c>
      <c r="AC390" s="43">
        <f t="shared" si="142"/>
        <v>0</v>
      </c>
      <c r="AD390" s="43">
        <f t="shared" si="143"/>
        <v>0</v>
      </c>
      <c r="AE390" s="43">
        <f t="shared" si="144"/>
        <v>0</v>
      </c>
      <c r="AF390" s="51" t="e">
        <f>HLOOKUP(I390,ElecAvoidedCostsWOCC!$A$5:$Q$50,G390+1,FALSE)</f>
        <v>#N/A</v>
      </c>
      <c r="AG390" s="43" t="e">
        <f t="shared" si="145"/>
        <v>#N/A</v>
      </c>
      <c r="AH390" s="51" t="e">
        <f>HLOOKUP(I390,ElecAvoidedCostsWOCC!$A$5:$Q$50,T390+1,FALSE)</f>
        <v>#N/A</v>
      </c>
      <c r="AI390" s="43" t="e">
        <f t="shared" si="146"/>
        <v>#N/A</v>
      </c>
      <c r="AJ390" s="43" t="e">
        <f t="shared" si="147"/>
        <v>#N/A</v>
      </c>
      <c r="AK390" s="43" t="e">
        <f>HLOOKUP(I390,ElecAvoidedCostsWOCC!$A$5:$Q$50,G390+1,FALSE)*J390*L390</f>
        <v>#N/A</v>
      </c>
      <c r="AL390" s="43" t="e">
        <f t="shared" si="148"/>
        <v>#N/A</v>
      </c>
      <c r="AM390" s="47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7">
        <f t="shared" si="149"/>
        <v>0</v>
      </c>
      <c r="AO390" s="46">
        <f t="shared" si="150"/>
        <v>0</v>
      </c>
      <c r="AP390" s="46" t="e">
        <f t="shared" si="151"/>
        <v>#DIV/0!</v>
      </c>
    </row>
    <row r="391" spans="2:42" x14ac:dyDescent="0.25">
      <c r="B391" s="36"/>
      <c r="C391" s="60"/>
      <c r="D391" s="60"/>
      <c r="E391" s="37"/>
      <c r="F391" s="38"/>
      <c r="G391" s="38"/>
      <c r="H391" s="38"/>
      <c r="I391" s="39"/>
      <c r="J391" s="40"/>
      <c r="K391" s="40"/>
      <c r="L391" s="40"/>
      <c r="M391" s="41"/>
      <c r="N391" s="41"/>
      <c r="O391" s="42"/>
      <c r="P391" s="43"/>
      <c r="Q391" s="43"/>
      <c r="R391" s="44"/>
      <c r="S391" s="45"/>
      <c r="T391" s="38">
        <f t="shared" si="133"/>
        <v>0</v>
      </c>
      <c r="U391" s="46">
        <f t="shared" si="134"/>
        <v>0</v>
      </c>
      <c r="V391" s="47">
        <f t="shared" si="135"/>
        <v>0</v>
      </c>
      <c r="W391" s="48">
        <f t="shared" si="136"/>
        <v>0</v>
      </c>
      <c r="X391" s="43">
        <f t="shared" si="137"/>
        <v>0</v>
      </c>
      <c r="Y391" s="43">
        <f t="shared" si="138"/>
        <v>0</v>
      </c>
      <c r="Z391" s="43">
        <f t="shared" si="139"/>
        <v>0</v>
      </c>
      <c r="AA391" s="49">
        <f t="shared" si="140"/>
        <v>0</v>
      </c>
      <c r="AB391" s="50">
        <f t="shared" si="141"/>
        <v>0</v>
      </c>
      <c r="AC391" s="43">
        <f t="shared" si="142"/>
        <v>0</v>
      </c>
      <c r="AD391" s="43">
        <f t="shared" si="143"/>
        <v>0</v>
      </c>
      <c r="AE391" s="43">
        <f t="shared" si="144"/>
        <v>0</v>
      </c>
      <c r="AF391" s="51" t="e">
        <f>HLOOKUP(I391,ElecAvoidedCostsWOCC!$A$5:$Q$50,G391+1,FALSE)</f>
        <v>#N/A</v>
      </c>
      <c r="AG391" s="43" t="e">
        <f t="shared" si="145"/>
        <v>#N/A</v>
      </c>
      <c r="AH391" s="51" t="e">
        <f>HLOOKUP(I391,ElecAvoidedCostsWOCC!$A$5:$Q$50,T391+1,FALSE)</f>
        <v>#N/A</v>
      </c>
      <c r="AI391" s="43" t="e">
        <f t="shared" si="146"/>
        <v>#N/A</v>
      </c>
      <c r="AJ391" s="43" t="e">
        <f t="shared" si="147"/>
        <v>#N/A</v>
      </c>
      <c r="AK391" s="43" t="e">
        <f>HLOOKUP(I391,ElecAvoidedCostsWOCC!$A$5:$Q$50,G391+1,FALSE)*J391*L391</f>
        <v>#N/A</v>
      </c>
      <c r="AL391" s="43" t="e">
        <f t="shared" si="148"/>
        <v>#N/A</v>
      </c>
      <c r="AM391" s="47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7">
        <f t="shared" si="149"/>
        <v>0</v>
      </c>
      <c r="AO391" s="46">
        <f t="shared" si="150"/>
        <v>0</v>
      </c>
      <c r="AP391" s="46" t="e">
        <f t="shared" si="151"/>
        <v>#DIV/0!</v>
      </c>
    </row>
    <row r="392" spans="2:42" x14ac:dyDescent="0.25">
      <c r="B392" s="36"/>
      <c r="C392" s="60"/>
      <c r="D392" s="60"/>
      <c r="E392" s="37"/>
      <c r="F392" s="38"/>
      <c r="G392" s="38"/>
      <c r="H392" s="38"/>
      <c r="I392" s="39"/>
      <c r="J392" s="40"/>
      <c r="K392" s="40"/>
      <c r="L392" s="40"/>
      <c r="M392" s="41"/>
      <c r="N392" s="41"/>
      <c r="O392" s="42"/>
      <c r="P392" s="43"/>
      <c r="Q392" s="43"/>
      <c r="R392" s="44"/>
      <c r="S392" s="45"/>
      <c r="T392" s="38">
        <f t="shared" si="133"/>
        <v>0</v>
      </c>
      <c r="U392" s="46">
        <f t="shared" si="134"/>
        <v>0</v>
      </c>
      <c r="V392" s="47">
        <f t="shared" si="135"/>
        <v>0</v>
      </c>
      <c r="W392" s="48">
        <f t="shared" si="136"/>
        <v>0</v>
      </c>
      <c r="X392" s="43">
        <f t="shared" si="137"/>
        <v>0</v>
      </c>
      <c r="Y392" s="43">
        <f t="shared" si="138"/>
        <v>0</v>
      </c>
      <c r="Z392" s="43">
        <f t="shared" si="139"/>
        <v>0</v>
      </c>
      <c r="AA392" s="49">
        <f t="shared" si="140"/>
        <v>0</v>
      </c>
      <c r="AB392" s="50">
        <f t="shared" si="141"/>
        <v>0</v>
      </c>
      <c r="AC392" s="43">
        <f t="shared" si="142"/>
        <v>0</v>
      </c>
      <c r="AD392" s="43">
        <f t="shared" si="143"/>
        <v>0</v>
      </c>
      <c r="AE392" s="43">
        <f t="shared" si="144"/>
        <v>0</v>
      </c>
      <c r="AF392" s="51" t="e">
        <f>HLOOKUP(I392,ElecAvoidedCostsWOCC!$A$5:$Q$50,G392+1,FALSE)</f>
        <v>#N/A</v>
      </c>
      <c r="AG392" s="43" t="e">
        <f t="shared" si="145"/>
        <v>#N/A</v>
      </c>
      <c r="AH392" s="51" t="e">
        <f>HLOOKUP(I392,ElecAvoidedCostsWOCC!$A$5:$Q$50,T392+1,FALSE)</f>
        <v>#N/A</v>
      </c>
      <c r="AI392" s="43" t="e">
        <f t="shared" si="146"/>
        <v>#N/A</v>
      </c>
      <c r="AJ392" s="43" t="e">
        <f t="shared" si="147"/>
        <v>#N/A</v>
      </c>
      <c r="AK392" s="43" t="e">
        <f>HLOOKUP(I392,ElecAvoidedCostsWOCC!$A$5:$Q$50,G392+1,FALSE)*J392*L392</f>
        <v>#N/A</v>
      </c>
      <c r="AL392" s="43" t="e">
        <f t="shared" si="148"/>
        <v>#N/A</v>
      </c>
      <c r="AM392" s="47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7">
        <f t="shared" si="149"/>
        <v>0</v>
      </c>
      <c r="AO392" s="46">
        <f t="shared" si="150"/>
        <v>0</v>
      </c>
      <c r="AP392" s="46" t="e">
        <f t="shared" si="151"/>
        <v>#DIV/0!</v>
      </c>
    </row>
    <row r="393" spans="2:42" x14ac:dyDescent="0.25">
      <c r="B393" s="36"/>
      <c r="C393" s="60"/>
      <c r="D393" s="60"/>
      <c r="E393" s="37"/>
      <c r="F393" s="38"/>
      <c r="G393" s="38"/>
      <c r="H393" s="38"/>
      <c r="I393" s="39"/>
      <c r="J393" s="40"/>
      <c r="K393" s="40"/>
      <c r="L393" s="40"/>
      <c r="M393" s="41"/>
      <c r="N393" s="41"/>
      <c r="O393" s="42"/>
      <c r="P393" s="43"/>
      <c r="Q393" s="43"/>
      <c r="R393" s="44"/>
      <c r="S393" s="45"/>
      <c r="T393" s="38">
        <f t="shared" si="133"/>
        <v>0</v>
      </c>
      <c r="U393" s="46">
        <f t="shared" si="134"/>
        <v>0</v>
      </c>
      <c r="V393" s="47">
        <f t="shared" si="135"/>
        <v>0</v>
      </c>
      <c r="W393" s="48">
        <f t="shared" si="136"/>
        <v>0</v>
      </c>
      <c r="X393" s="43">
        <f t="shared" si="137"/>
        <v>0</v>
      </c>
      <c r="Y393" s="43">
        <f t="shared" si="138"/>
        <v>0</v>
      </c>
      <c r="Z393" s="43">
        <f t="shared" si="139"/>
        <v>0</v>
      </c>
      <c r="AA393" s="49">
        <f t="shared" si="140"/>
        <v>0</v>
      </c>
      <c r="AB393" s="50">
        <f t="shared" si="141"/>
        <v>0</v>
      </c>
      <c r="AC393" s="43">
        <f t="shared" si="142"/>
        <v>0</v>
      </c>
      <c r="AD393" s="43">
        <f t="shared" si="143"/>
        <v>0</v>
      </c>
      <c r="AE393" s="43">
        <f t="shared" si="144"/>
        <v>0</v>
      </c>
      <c r="AF393" s="51" t="e">
        <f>HLOOKUP(I393,ElecAvoidedCostsWOCC!$A$5:$Q$50,G393+1,FALSE)</f>
        <v>#N/A</v>
      </c>
      <c r="AG393" s="43" t="e">
        <f t="shared" si="145"/>
        <v>#N/A</v>
      </c>
      <c r="AH393" s="51" t="e">
        <f>HLOOKUP(I393,ElecAvoidedCostsWOCC!$A$5:$Q$50,T393+1,FALSE)</f>
        <v>#N/A</v>
      </c>
      <c r="AI393" s="43" t="e">
        <f t="shared" si="146"/>
        <v>#N/A</v>
      </c>
      <c r="AJ393" s="43" t="e">
        <f t="shared" si="147"/>
        <v>#N/A</v>
      </c>
      <c r="AK393" s="43" t="e">
        <f>HLOOKUP(I393,ElecAvoidedCostsWOCC!$A$5:$Q$50,G393+1,FALSE)*J393*L393</f>
        <v>#N/A</v>
      </c>
      <c r="AL393" s="43" t="e">
        <f t="shared" si="148"/>
        <v>#N/A</v>
      </c>
      <c r="AM393" s="47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7">
        <f t="shared" si="149"/>
        <v>0</v>
      </c>
      <c r="AO393" s="46">
        <f t="shared" si="150"/>
        <v>0</v>
      </c>
      <c r="AP393" s="46" t="e">
        <f t="shared" si="151"/>
        <v>#DIV/0!</v>
      </c>
    </row>
    <row r="394" spans="2:42" x14ac:dyDescent="0.25">
      <c r="B394" s="36"/>
      <c r="C394" s="60"/>
      <c r="D394" s="60"/>
      <c r="E394" s="37"/>
      <c r="F394" s="38"/>
      <c r="G394" s="38"/>
      <c r="H394" s="38"/>
      <c r="I394" s="39"/>
      <c r="J394" s="40"/>
      <c r="K394" s="40"/>
      <c r="L394" s="40"/>
      <c r="M394" s="41"/>
      <c r="N394" s="41"/>
      <c r="O394" s="42"/>
      <c r="P394" s="43"/>
      <c r="Q394" s="43"/>
      <c r="R394" s="44"/>
      <c r="S394" s="45"/>
      <c r="T394" s="38">
        <f t="shared" si="133"/>
        <v>0</v>
      </c>
      <c r="U394" s="46">
        <f t="shared" si="134"/>
        <v>0</v>
      </c>
      <c r="V394" s="47">
        <f t="shared" si="135"/>
        <v>0</v>
      </c>
      <c r="W394" s="48">
        <f t="shared" si="136"/>
        <v>0</v>
      </c>
      <c r="X394" s="43">
        <f t="shared" si="137"/>
        <v>0</v>
      </c>
      <c r="Y394" s="43">
        <f t="shared" si="138"/>
        <v>0</v>
      </c>
      <c r="Z394" s="43">
        <f t="shared" si="139"/>
        <v>0</v>
      </c>
      <c r="AA394" s="49">
        <f t="shared" si="140"/>
        <v>0</v>
      </c>
      <c r="AB394" s="50">
        <f t="shared" si="141"/>
        <v>0</v>
      </c>
      <c r="AC394" s="43">
        <f t="shared" si="142"/>
        <v>0</v>
      </c>
      <c r="AD394" s="43">
        <f t="shared" si="143"/>
        <v>0</v>
      </c>
      <c r="AE394" s="43">
        <f t="shared" si="144"/>
        <v>0</v>
      </c>
      <c r="AF394" s="51" t="e">
        <f>HLOOKUP(I394,ElecAvoidedCostsWOCC!$A$5:$Q$50,G394+1,FALSE)</f>
        <v>#N/A</v>
      </c>
      <c r="AG394" s="43" t="e">
        <f t="shared" si="145"/>
        <v>#N/A</v>
      </c>
      <c r="AH394" s="51" t="e">
        <f>HLOOKUP(I394,ElecAvoidedCostsWOCC!$A$5:$Q$50,T394+1,FALSE)</f>
        <v>#N/A</v>
      </c>
      <c r="AI394" s="43" t="e">
        <f t="shared" si="146"/>
        <v>#N/A</v>
      </c>
      <c r="AJ394" s="43" t="e">
        <f t="shared" si="147"/>
        <v>#N/A</v>
      </c>
      <c r="AK394" s="43" t="e">
        <f>HLOOKUP(I394,ElecAvoidedCostsWOCC!$A$5:$Q$50,G394+1,FALSE)*J394*L394</f>
        <v>#N/A</v>
      </c>
      <c r="AL394" s="43" t="e">
        <f t="shared" si="148"/>
        <v>#N/A</v>
      </c>
      <c r="AM394" s="47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7">
        <f t="shared" si="149"/>
        <v>0</v>
      </c>
      <c r="AO394" s="46">
        <f t="shared" si="150"/>
        <v>0</v>
      </c>
      <c r="AP394" s="46" t="e">
        <f t="shared" si="151"/>
        <v>#DIV/0!</v>
      </c>
    </row>
    <row r="395" spans="2:42" x14ac:dyDescent="0.25">
      <c r="B395" s="36"/>
      <c r="C395" s="60"/>
      <c r="D395" s="60"/>
      <c r="E395" s="37"/>
      <c r="F395" s="38"/>
      <c r="G395" s="38"/>
      <c r="H395" s="38"/>
      <c r="I395" s="39"/>
      <c r="J395" s="40"/>
      <c r="K395" s="40"/>
      <c r="L395" s="40"/>
      <c r="M395" s="41"/>
      <c r="N395" s="41"/>
      <c r="O395" s="42"/>
      <c r="P395" s="43"/>
      <c r="Q395" s="43"/>
      <c r="R395" s="44"/>
      <c r="S395" s="45"/>
      <c r="T395" s="38">
        <f t="shared" si="133"/>
        <v>0</v>
      </c>
      <c r="U395" s="46">
        <f t="shared" si="134"/>
        <v>0</v>
      </c>
      <c r="V395" s="47">
        <f t="shared" si="135"/>
        <v>0</v>
      </c>
      <c r="W395" s="48">
        <f t="shared" si="136"/>
        <v>0</v>
      </c>
      <c r="X395" s="43">
        <f t="shared" si="137"/>
        <v>0</v>
      </c>
      <c r="Y395" s="43">
        <f t="shared" si="138"/>
        <v>0</v>
      </c>
      <c r="Z395" s="43">
        <f t="shared" si="139"/>
        <v>0</v>
      </c>
      <c r="AA395" s="49">
        <f t="shared" si="140"/>
        <v>0</v>
      </c>
      <c r="AB395" s="50">
        <f t="shared" si="141"/>
        <v>0</v>
      </c>
      <c r="AC395" s="43">
        <f t="shared" si="142"/>
        <v>0</v>
      </c>
      <c r="AD395" s="43">
        <f t="shared" si="143"/>
        <v>0</v>
      </c>
      <c r="AE395" s="43">
        <f t="shared" si="144"/>
        <v>0</v>
      </c>
      <c r="AF395" s="51" t="e">
        <f>HLOOKUP(I395,ElecAvoidedCostsWOCC!$A$5:$Q$50,G395+1,FALSE)</f>
        <v>#N/A</v>
      </c>
      <c r="AG395" s="43" t="e">
        <f t="shared" si="145"/>
        <v>#N/A</v>
      </c>
      <c r="AH395" s="51" t="e">
        <f>HLOOKUP(I395,ElecAvoidedCostsWOCC!$A$5:$Q$50,T395+1,FALSE)</f>
        <v>#N/A</v>
      </c>
      <c r="AI395" s="43" t="e">
        <f t="shared" si="146"/>
        <v>#N/A</v>
      </c>
      <c r="AJ395" s="43" t="e">
        <f t="shared" si="147"/>
        <v>#N/A</v>
      </c>
      <c r="AK395" s="43" t="e">
        <f>HLOOKUP(I395,ElecAvoidedCostsWOCC!$A$5:$Q$50,G395+1,FALSE)*J395*L395</f>
        <v>#N/A</v>
      </c>
      <c r="AL395" s="43" t="e">
        <f t="shared" si="148"/>
        <v>#N/A</v>
      </c>
      <c r="AM395" s="47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7">
        <f t="shared" si="149"/>
        <v>0</v>
      </c>
      <c r="AO395" s="46">
        <f t="shared" si="150"/>
        <v>0</v>
      </c>
      <c r="AP395" s="46" t="e">
        <f t="shared" si="151"/>
        <v>#DIV/0!</v>
      </c>
    </row>
    <row r="396" spans="2:42" x14ac:dyDescent="0.25">
      <c r="B396" s="36"/>
      <c r="C396" s="60"/>
      <c r="D396" s="60"/>
      <c r="E396" s="37"/>
      <c r="F396" s="38"/>
      <c r="G396" s="38"/>
      <c r="H396" s="38"/>
      <c r="I396" s="39"/>
      <c r="J396" s="40"/>
      <c r="K396" s="40"/>
      <c r="L396" s="40"/>
      <c r="M396" s="41"/>
      <c r="N396" s="41"/>
      <c r="O396" s="42"/>
      <c r="P396" s="43"/>
      <c r="Q396" s="43"/>
      <c r="R396" s="44"/>
      <c r="S396" s="45"/>
      <c r="T396" s="38">
        <f t="shared" si="133"/>
        <v>0</v>
      </c>
      <c r="U396" s="46">
        <f t="shared" si="134"/>
        <v>0</v>
      </c>
      <c r="V396" s="47">
        <f t="shared" si="135"/>
        <v>0</v>
      </c>
      <c r="W396" s="48">
        <f t="shared" si="136"/>
        <v>0</v>
      </c>
      <c r="X396" s="43">
        <f t="shared" si="137"/>
        <v>0</v>
      </c>
      <c r="Y396" s="43">
        <f t="shared" si="138"/>
        <v>0</v>
      </c>
      <c r="Z396" s="43">
        <f t="shared" si="139"/>
        <v>0</v>
      </c>
      <c r="AA396" s="49">
        <f t="shared" si="140"/>
        <v>0</v>
      </c>
      <c r="AB396" s="50">
        <f t="shared" si="141"/>
        <v>0</v>
      </c>
      <c r="AC396" s="43">
        <f t="shared" si="142"/>
        <v>0</v>
      </c>
      <c r="AD396" s="43">
        <f t="shared" si="143"/>
        <v>0</v>
      </c>
      <c r="AE396" s="43">
        <f t="shared" si="144"/>
        <v>0</v>
      </c>
      <c r="AF396" s="51" t="e">
        <f>HLOOKUP(I396,ElecAvoidedCostsWOCC!$A$5:$Q$50,G396+1,FALSE)</f>
        <v>#N/A</v>
      </c>
      <c r="AG396" s="43" t="e">
        <f t="shared" si="145"/>
        <v>#N/A</v>
      </c>
      <c r="AH396" s="51" t="e">
        <f>HLOOKUP(I396,ElecAvoidedCostsWOCC!$A$5:$Q$50,T396+1,FALSE)</f>
        <v>#N/A</v>
      </c>
      <c r="AI396" s="43" t="e">
        <f t="shared" si="146"/>
        <v>#N/A</v>
      </c>
      <c r="AJ396" s="43" t="e">
        <f t="shared" si="147"/>
        <v>#N/A</v>
      </c>
      <c r="AK396" s="43" t="e">
        <f>HLOOKUP(I396,ElecAvoidedCostsWOCC!$A$5:$Q$50,G396+1,FALSE)*J396*L396</f>
        <v>#N/A</v>
      </c>
      <c r="AL396" s="43" t="e">
        <f t="shared" si="148"/>
        <v>#N/A</v>
      </c>
      <c r="AM396" s="47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7">
        <f t="shared" si="149"/>
        <v>0</v>
      </c>
      <c r="AO396" s="46">
        <f t="shared" si="150"/>
        <v>0</v>
      </c>
      <c r="AP396" s="46" t="e">
        <f t="shared" si="151"/>
        <v>#DIV/0!</v>
      </c>
    </row>
    <row r="397" spans="2:42" x14ac:dyDescent="0.25">
      <c r="B397" s="36"/>
      <c r="C397" s="60"/>
      <c r="D397" s="60"/>
      <c r="E397" s="37"/>
      <c r="F397" s="38"/>
      <c r="G397" s="38"/>
      <c r="H397" s="38"/>
      <c r="I397" s="39"/>
      <c r="J397" s="40"/>
      <c r="K397" s="40"/>
      <c r="L397" s="40"/>
      <c r="M397" s="41"/>
      <c r="N397" s="41"/>
      <c r="O397" s="42"/>
      <c r="P397" s="43"/>
      <c r="Q397" s="43"/>
      <c r="R397" s="44"/>
      <c r="S397" s="45"/>
      <c r="T397" s="38">
        <f t="shared" si="133"/>
        <v>0</v>
      </c>
      <c r="U397" s="46">
        <f t="shared" si="134"/>
        <v>0</v>
      </c>
      <c r="V397" s="47">
        <f t="shared" si="135"/>
        <v>0</v>
      </c>
      <c r="W397" s="48">
        <f t="shared" si="136"/>
        <v>0</v>
      </c>
      <c r="X397" s="43">
        <f t="shared" si="137"/>
        <v>0</v>
      </c>
      <c r="Y397" s="43">
        <f t="shared" si="138"/>
        <v>0</v>
      </c>
      <c r="Z397" s="43">
        <f t="shared" si="139"/>
        <v>0</v>
      </c>
      <c r="AA397" s="49">
        <f t="shared" si="140"/>
        <v>0</v>
      </c>
      <c r="AB397" s="50">
        <f t="shared" si="141"/>
        <v>0</v>
      </c>
      <c r="AC397" s="43">
        <f t="shared" si="142"/>
        <v>0</v>
      </c>
      <c r="AD397" s="43">
        <f t="shared" si="143"/>
        <v>0</v>
      </c>
      <c r="AE397" s="43">
        <f t="shared" si="144"/>
        <v>0</v>
      </c>
      <c r="AF397" s="51" t="e">
        <f>HLOOKUP(I397,ElecAvoidedCostsWOCC!$A$5:$Q$50,G397+1,FALSE)</f>
        <v>#N/A</v>
      </c>
      <c r="AG397" s="43" t="e">
        <f t="shared" si="145"/>
        <v>#N/A</v>
      </c>
      <c r="AH397" s="51" t="e">
        <f>HLOOKUP(I397,ElecAvoidedCostsWOCC!$A$5:$Q$50,T397+1,FALSE)</f>
        <v>#N/A</v>
      </c>
      <c r="AI397" s="43" t="e">
        <f t="shared" si="146"/>
        <v>#N/A</v>
      </c>
      <c r="AJ397" s="43" t="e">
        <f t="shared" si="147"/>
        <v>#N/A</v>
      </c>
      <c r="AK397" s="43" t="e">
        <f>HLOOKUP(I397,ElecAvoidedCostsWOCC!$A$5:$Q$50,G397+1,FALSE)*J397*L397</f>
        <v>#N/A</v>
      </c>
      <c r="AL397" s="43" t="e">
        <f t="shared" si="148"/>
        <v>#N/A</v>
      </c>
      <c r="AM397" s="47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7">
        <f t="shared" si="149"/>
        <v>0</v>
      </c>
      <c r="AO397" s="46">
        <f t="shared" si="150"/>
        <v>0</v>
      </c>
      <c r="AP397" s="46" t="e">
        <f t="shared" si="151"/>
        <v>#DIV/0!</v>
      </c>
    </row>
    <row r="398" spans="2:42" x14ac:dyDescent="0.25">
      <c r="B398" s="36"/>
      <c r="C398" s="60"/>
      <c r="D398" s="60"/>
      <c r="E398" s="37"/>
      <c r="F398" s="38"/>
      <c r="G398" s="38"/>
      <c r="H398" s="38"/>
      <c r="I398" s="39"/>
      <c r="J398" s="40"/>
      <c r="K398" s="40"/>
      <c r="L398" s="40"/>
      <c r="M398" s="41"/>
      <c r="N398" s="41"/>
      <c r="O398" s="42"/>
      <c r="P398" s="43"/>
      <c r="Q398" s="43"/>
      <c r="R398" s="44"/>
      <c r="S398" s="45"/>
      <c r="T398" s="38">
        <f t="shared" si="133"/>
        <v>0</v>
      </c>
      <c r="U398" s="46">
        <f t="shared" si="134"/>
        <v>0</v>
      </c>
      <c r="V398" s="47">
        <f t="shared" si="135"/>
        <v>0</v>
      </c>
      <c r="W398" s="48">
        <f t="shared" si="136"/>
        <v>0</v>
      </c>
      <c r="X398" s="43">
        <f t="shared" si="137"/>
        <v>0</v>
      </c>
      <c r="Y398" s="43">
        <f t="shared" si="138"/>
        <v>0</v>
      </c>
      <c r="Z398" s="43">
        <f t="shared" si="139"/>
        <v>0</v>
      </c>
      <c r="AA398" s="49">
        <f t="shared" si="140"/>
        <v>0</v>
      </c>
      <c r="AB398" s="50">
        <f t="shared" si="141"/>
        <v>0</v>
      </c>
      <c r="AC398" s="43">
        <f t="shared" si="142"/>
        <v>0</v>
      </c>
      <c r="AD398" s="43">
        <f t="shared" si="143"/>
        <v>0</v>
      </c>
      <c r="AE398" s="43">
        <f t="shared" si="144"/>
        <v>0</v>
      </c>
      <c r="AF398" s="51" t="e">
        <f>HLOOKUP(I398,ElecAvoidedCostsWOCC!$A$5:$Q$50,G398+1,FALSE)</f>
        <v>#N/A</v>
      </c>
      <c r="AG398" s="43" t="e">
        <f t="shared" si="145"/>
        <v>#N/A</v>
      </c>
      <c r="AH398" s="51" t="e">
        <f>HLOOKUP(I398,ElecAvoidedCostsWOCC!$A$5:$Q$50,T398+1,FALSE)</f>
        <v>#N/A</v>
      </c>
      <c r="AI398" s="43" t="e">
        <f t="shared" si="146"/>
        <v>#N/A</v>
      </c>
      <c r="AJ398" s="43" t="e">
        <f t="shared" si="147"/>
        <v>#N/A</v>
      </c>
      <c r="AK398" s="43" t="e">
        <f>HLOOKUP(I398,ElecAvoidedCostsWOCC!$A$5:$Q$50,G398+1,FALSE)*J398*L398</f>
        <v>#N/A</v>
      </c>
      <c r="AL398" s="43" t="e">
        <f t="shared" si="148"/>
        <v>#N/A</v>
      </c>
      <c r="AM398" s="47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7">
        <f t="shared" si="149"/>
        <v>0</v>
      </c>
      <c r="AO398" s="46">
        <f t="shared" si="150"/>
        <v>0</v>
      </c>
      <c r="AP398" s="46" t="e">
        <f t="shared" si="151"/>
        <v>#DIV/0!</v>
      </c>
    </row>
    <row r="399" spans="2:42" x14ac:dyDescent="0.25">
      <c r="B399" s="36"/>
      <c r="C399" s="60"/>
      <c r="D399" s="60"/>
      <c r="E399" s="37"/>
      <c r="F399" s="38"/>
      <c r="G399" s="38"/>
      <c r="H399" s="38"/>
      <c r="I399" s="39"/>
      <c r="J399" s="40"/>
      <c r="K399" s="40"/>
      <c r="L399" s="40"/>
      <c r="M399" s="41"/>
      <c r="N399" s="41"/>
      <c r="O399" s="42"/>
      <c r="P399" s="43"/>
      <c r="Q399" s="43"/>
      <c r="R399" s="44"/>
      <c r="S399" s="45"/>
      <c r="T399" s="38">
        <f t="shared" si="133"/>
        <v>0</v>
      </c>
      <c r="U399" s="46">
        <f t="shared" si="134"/>
        <v>0</v>
      </c>
      <c r="V399" s="47">
        <f t="shared" si="135"/>
        <v>0</v>
      </c>
      <c r="W399" s="48">
        <f t="shared" si="136"/>
        <v>0</v>
      </c>
      <c r="X399" s="43">
        <f t="shared" si="137"/>
        <v>0</v>
      </c>
      <c r="Y399" s="43">
        <f t="shared" si="138"/>
        <v>0</v>
      </c>
      <c r="Z399" s="43">
        <f t="shared" si="139"/>
        <v>0</v>
      </c>
      <c r="AA399" s="49">
        <f t="shared" si="140"/>
        <v>0</v>
      </c>
      <c r="AB399" s="50">
        <f t="shared" si="141"/>
        <v>0</v>
      </c>
      <c r="AC399" s="43">
        <f t="shared" si="142"/>
        <v>0</v>
      </c>
      <c r="AD399" s="43">
        <f t="shared" si="143"/>
        <v>0</v>
      </c>
      <c r="AE399" s="43">
        <f t="shared" si="144"/>
        <v>0</v>
      </c>
      <c r="AF399" s="51" t="e">
        <f>HLOOKUP(I399,ElecAvoidedCostsWOCC!$A$5:$Q$50,G399+1,FALSE)</f>
        <v>#N/A</v>
      </c>
      <c r="AG399" s="43" t="e">
        <f t="shared" si="145"/>
        <v>#N/A</v>
      </c>
      <c r="AH399" s="51" t="e">
        <f>HLOOKUP(I399,ElecAvoidedCostsWOCC!$A$5:$Q$50,T399+1,FALSE)</f>
        <v>#N/A</v>
      </c>
      <c r="AI399" s="43" t="e">
        <f t="shared" si="146"/>
        <v>#N/A</v>
      </c>
      <c r="AJ399" s="43" t="e">
        <f t="shared" si="147"/>
        <v>#N/A</v>
      </c>
      <c r="AK399" s="43" t="e">
        <f>HLOOKUP(I399,ElecAvoidedCostsWOCC!$A$5:$Q$50,G399+1,FALSE)*J399*L399</f>
        <v>#N/A</v>
      </c>
      <c r="AL399" s="43" t="e">
        <f t="shared" si="148"/>
        <v>#N/A</v>
      </c>
      <c r="AM399" s="47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7">
        <f t="shared" si="149"/>
        <v>0</v>
      </c>
      <c r="AO399" s="46">
        <f t="shared" si="150"/>
        <v>0</v>
      </c>
      <c r="AP399" s="46" t="e">
        <f t="shared" si="151"/>
        <v>#DIV/0!</v>
      </c>
    </row>
    <row r="400" spans="2:42" x14ac:dyDescent="0.25">
      <c r="B400" s="36"/>
      <c r="C400" s="60"/>
      <c r="D400" s="60"/>
      <c r="E400" s="37"/>
      <c r="F400" s="38"/>
      <c r="G400" s="38"/>
      <c r="H400" s="38"/>
      <c r="I400" s="39"/>
      <c r="J400" s="40"/>
      <c r="K400" s="40"/>
      <c r="L400" s="40"/>
      <c r="M400" s="41"/>
      <c r="N400" s="41"/>
      <c r="O400" s="42"/>
      <c r="P400" s="43"/>
      <c r="Q400" s="43"/>
      <c r="R400" s="44"/>
      <c r="S400" s="45"/>
      <c r="T400" s="38">
        <f t="shared" si="133"/>
        <v>0</v>
      </c>
      <c r="U400" s="46">
        <f t="shared" si="134"/>
        <v>0</v>
      </c>
      <c r="V400" s="47">
        <f t="shared" si="135"/>
        <v>0</v>
      </c>
      <c r="W400" s="48">
        <f t="shared" si="136"/>
        <v>0</v>
      </c>
      <c r="X400" s="43">
        <f t="shared" si="137"/>
        <v>0</v>
      </c>
      <c r="Y400" s="43">
        <f t="shared" si="138"/>
        <v>0</v>
      </c>
      <c r="Z400" s="43">
        <f t="shared" si="139"/>
        <v>0</v>
      </c>
      <c r="AA400" s="49">
        <f t="shared" si="140"/>
        <v>0</v>
      </c>
      <c r="AB400" s="50">
        <f t="shared" si="141"/>
        <v>0</v>
      </c>
      <c r="AC400" s="43">
        <f t="shared" si="142"/>
        <v>0</v>
      </c>
      <c r="AD400" s="43">
        <f t="shared" si="143"/>
        <v>0</v>
      </c>
      <c r="AE400" s="43">
        <f t="shared" si="144"/>
        <v>0</v>
      </c>
      <c r="AF400" s="51" t="e">
        <f>HLOOKUP(I400,ElecAvoidedCostsWOCC!$A$5:$Q$50,G400+1,FALSE)</f>
        <v>#N/A</v>
      </c>
      <c r="AG400" s="43" t="e">
        <f t="shared" si="145"/>
        <v>#N/A</v>
      </c>
      <c r="AH400" s="51" t="e">
        <f>HLOOKUP(I400,ElecAvoidedCostsWOCC!$A$5:$Q$50,T400+1,FALSE)</f>
        <v>#N/A</v>
      </c>
      <c r="AI400" s="43" t="e">
        <f t="shared" si="146"/>
        <v>#N/A</v>
      </c>
      <c r="AJ400" s="43" t="e">
        <f t="shared" si="147"/>
        <v>#N/A</v>
      </c>
      <c r="AK400" s="43" t="e">
        <f>HLOOKUP(I400,ElecAvoidedCostsWOCC!$A$5:$Q$50,G400+1,FALSE)*J400*L400</f>
        <v>#N/A</v>
      </c>
      <c r="AL400" s="43" t="e">
        <f t="shared" si="148"/>
        <v>#N/A</v>
      </c>
      <c r="AM400" s="47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7">
        <f t="shared" si="149"/>
        <v>0</v>
      </c>
      <c r="AO400" s="46">
        <f t="shared" si="150"/>
        <v>0</v>
      </c>
      <c r="AP400" s="46" t="e">
        <f t="shared" si="151"/>
        <v>#DIV/0!</v>
      </c>
    </row>
    <row r="401" spans="2:42" x14ac:dyDescent="0.25">
      <c r="B401" s="36"/>
      <c r="C401" s="60"/>
      <c r="D401" s="60"/>
      <c r="E401" s="37"/>
      <c r="F401" s="38"/>
      <c r="G401" s="38"/>
      <c r="H401" s="38"/>
      <c r="I401" s="39"/>
      <c r="J401" s="40"/>
      <c r="K401" s="40"/>
      <c r="L401" s="40"/>
      <c r="M401" s="41"/>
      <c r="N401" s="41"/>
      <c r="O401" s="42"/>
      <c r="P401" s="43"/>
      <c r="Q401" s="43"/>
      <c r="R401" s="44"/>
      <c r="S401" s="45"/>
      <c r="T401" s="38">
        <f t="shared" si="133"/>
        <v>0</v>
      </c>
      <c r="U401" s="46">
        <f t="shared" si="134"/>
        <v>0</v>
      </c>
      <c r="V401" s="47">
        <f t="shared" si="135"/>
        <v>0</v>
      </c>
      <c r="W401" s="48">
        <f t="shared" si="136"/>
        <v>0</v>
      </c>
      <c r="X401" s="43">
        <f t="shared" si="137"/>
        <v>0</v>
      </c>
      <c r="Y401" s="43">
        <f t="shared" si="138"/>
        <v>0</v>
      </c>
      <c r="Z401" s="43">
        <f t="shared" si="139"/>
        <v>0</v>
      </c>
      <c r="AA401" s="49">
        <f t="shared" si="140"/>
        <v>0</v>
      </c>
      <c r="AB401" s="50">
        <f t="shared" si="141"/>
        <v>0</v>
      </c>
      <c r="AC401" s="43">
        <f t="shared" si="142"/>
        <v>0</v>
      </c>
      <c r="AD401" s="43">
        <f t="shared" si="143"/>
        <v>0</v>
      </c>
      <c r="AE401" s="43">
        <f t="shared" si="144"/>
        <v>0</v>
      </c>
      <c r="AF401" s="51" t="e">
        <f>HLOOKUP(I401,ElecAvoidedCostsWOCC!$A$5:$Q$50,G401+1,FALSE)</f>
        <v>#N/A</v>
      </c>
      <c r="AG401" s="43" t="e">
        <f t="shared" si="145"/>
        <v>#N/A</v>
      </c>
      <c r="AH401" s="51" t="e">
        <f>HLOOKUP(I401,ElecAvoidedCostsWOCC!$A$5:$Q$50,T401+1,FALSE)</f>
        <v>#N/A</v>
      </c>
      <c r="AI401" s="43" t="e">
        <f t="shared" si="146"/>
        <v>#N/A</v>
      </c>
      <c r="AJ401" s="43" t="e">
        <f t="shared" si="147"/>
        <v>#N/A</v>
      </c>
      <c r="AK401" s="43" t="e">
        <f>HLOOKUP(I401,ElecAvoidedCostsWOCC!$A$5:$Q$50,G401+1,FALSE)*J401*L401</f>
        <v>#N/A</v>
      </c>
      <c r="AL401" s="43" t="e">
        <f t="shared" si="148"/>
        <v>#N/A</v>
      </c>
      <c r="AM401" s="47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7">
        <f t="shared" si="149"/>
        <v>0</v>
      </c>
      <c r="AO401" s="46">
        <f t="shared" si="150"/>
        <v>0</v>
      </c>
      <c r="AP401" s="46" t="e">
        <f t="shared" si="151"/>
        <v>#DIV/0!</v>
      </c>
    </row>
    <row r="402" spans="2:42" x14ac:dyDescent="0.25">
      <c r="B402" s="36"/>
      <c r="C402" s="60"/>
      <c r="D402" s="60"/>
      <c r="E402" s="37"/>
      <c r="F402" s="38"/>
      <c r="G402" s="38"/>
      <c r="H402" s="38"/>
      <c r="I402" s="39"/>
      <c r="J402" s="40"/>
      <c r="K402" s="40"/>
      <c r="L402" s="40"/>
      <c r="M402" s="41"/>
      <c r="N402" s="41"/>
      <c r="O402" s="42"/>
      <c r="P402" s="43"/>
      <c r="Q402" s="43"/>
      <c r="R402" s="44"/>
      <c r="S402" s="45"/>
      <c r="T402" s="38">
        <f t="shared" si="133"/>
        <v>0</v>
      </c>
      <c r="U402" s="46">
        <f t="shared" si="134"/>
        <v>0</v>
      </c>
      <c r="V402" s="47">
        <f t="shared" si="135"/>
        <v>0</v>
      </c>
      <c r="W402" s="48">
        <f t="shared" si="136"/>
        <v>0</v>
      </c>
      <c r="X402" s="43">
        <f t="shared" si="137"/>
        <v>0</v>
      </c>
      <c r="Y402" s="43">
        <f t="shared" si="138"/>
        <v>0</v>
      </c>
      <c r="Z402" s="43">
        <f t="shared" si="139"/>
        <v>0</v>
      </c>
      <c r="AA402" s="49">
        <f t="shared" si="140"/>
        <v>0</v>
      </c>
      <c r="AB402" s="50">
        <f t="shared" si="141"/>
        <v>0</v>
      </c>
      <c r="AC402" s="43">
        <f t="shared" si="142"/>
        <v>0</v>
      </c>
      <c r="AD402" s="43">
        <f t="shared" si="143"/>
        <v>0</v>
      </c>
      <c r="AE402" s="43">
        <f t="shared" si="144"/>
        <v>0</v>
      </c>
      <c r="AF402" s="51" t="e">
        <f>HLOOKUP(I402,ElecAvoidedCostsWOCC!$A$5:$Q$50,G402+1,FALSE)</f>
        <v>#N/A</v>
      </c>
      <c r="AG402" s="43" t="e">
        <f t="shared" si="145"/>
        <v>#N/A</v>
      </c>
      <c r="AH402" s="51" t="e">
        <f>HLOOKUP(I402,ElecAvoidedCostsWOCC!$A$5:$Q$50,T402+1,FALSE)</f>
        <v>#N/A</v>
      </c>
      <c r="AI402" s="43" t="e">
        <f t="shared" si="146"/>
        <v>#N/A</v>
      </c>
      <c r="AJ402" s="43" t="e">
        <f t="shared" si="147"/>
        <v>#N/A</v>
      </c>
      <c r="AK402" s="43" t="e">
        <f>HLOOKUP(I402,ElecAvoidedCostsWOCC!$A$5:$Q$50,G402+1,FALSE)*J402*L402</f>
        <v>#N/A</v>
      </c>
      <c r="AL402" s="43" t="e">
        <f t="shared" si="148"/>
        <v>#N/A</v>
      </c>
      <c r="AM402" s="47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7">
        <f t="shared" si="149"/>
        <v>0</v>
      </c>
      <c r="AO402" s="46">
        <f t="shared" si="150"/>
        <v>0</v>
      </c>
      <c r="AP402" s="46" t="e">
        <f t="shared" si="151"/>
        <v>#DIV/0!</v>
      </c>
    </row>
    <row r="403" spans="2:42" x14ac:dyDescent="0.25">
      <c r="B403" s="36"/>
      <c r="C403" s="60"/>
      <c r="D403" s="60"/>
      <c r="E403" s="37"/>
      <c r="F403" s="38"/>
      <c r="G403" s="38"/>
      <c r="H403" s="38"/>
      <c r="I403" s="39"/>
      <c r="J403" s="40"/>
      <c r="K403" s="40"/>
      <c r="L403" s="40"/>
      <c r="M403" s="41"/>
      <c r="N403" s="41"/>
      <c r="O403" s="42"/>
      <c r="P403" s="43"/>
      <c r="Q403" s="43"/>
      <c r="R403" s="44"/>
      <c r="S403" s="45"/>
      <c r="T403" s="38">
        <f t="shared" si="133"/>
        <v>0</v>
      </c>
      <c r="U403" s="46">
        <f t="shared" si="134"/>
        <v>0</v>
      </c>
      <c r="V403" s="47">
        <f t="shared" si="135"/>
        <v>0</v>
      </c>
      <c r="W403" s="48">
        <f t="shared" si="136"/>
        <v>0</v>
      </c>
      <c r="X403" s="43">
        <f t="shared" si="137"/>
        <v>0</v>
      </c>
      <c r="Y403" s="43">
        <f t="shared" si="138"/>
        <v>0</v>
      </c>
      <c r="Z403" s="43">
        <f t="shared" si="139"/>
        <v>0</v>
      </c>
      <c r="AA403" s="49">
        <f t="shared" si="140"/>
        <v>0</v>
      </c>
      <c r="AB403" s="50">
        <f t="shared" si="141"/>
        <v>0</v>
      </c>
      <c r="AC403" s="43">
        <f t="shared" si="142"/>
        <v>0</v>
      </c>
      <c r="AD403" s="43">
        <f t="shared" si="143"/>
        <v>0</v>
      </c>
      <c r="AE403" s="43">
        <f t="shared" si="144"/>
        <v>0</v>
      </c>
      <c r="AF403" s="51" t="e">
        <f>HLOOKUP(I403,ElecAvoidedCostsWOCC!$A$5:$Q$50,G403+1,FALSE)</f>
        <v>#N/A</v>
      </c>
      <c r="AG403" s="43" t="e">
        <f t="shared" si="145"/>
        <v>#N/A</v>
      </c>
      <c r="AH403" s="51" t="e">
        <f>HLOOKUP(I403,ElecAvoidedCostsWOCC!$A$5:$Q$50,T403+1,FALSE)</f>
        <v>#N/A</v>
      </c>
      <c r="AI403" s="43" t="e">
        <f t="shared" si="146"/>
        <v>#N/A</v>
      </c>
      <c r="AJ403" s="43" t="e">
        <f t="shared" si="147"/>
        <v>#N/A</v>
      </c>
      <c r="AK403" s="43" t="e">
        <f>HLOOKUP(I403,ElecAvoidedCostsWOCC!$A$5:$Q$50,G403+1,FALSE)*J403*L403</f>
        <v>#N/A</v>
      </c>
      <c r="AL403" s="43" t="e">
        <f t="shared" si="148"/>
        <v>#N/A</v>
      </c>
      <c r="AM403" s="47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7">
        <f t="shared" si="149"/>
        <v>0</v>
      </c>
      <c r="AO403" s="46">
        <f t="shared" si="150"/>
        <v>0</v>
      </c>
      <c r="AP403" s="46" t="e">
        <f t="shared" si="151"/>
        <v>#DIV/0!</v>
      </c>
    </row>
    <row r="404" spans="2:42" x14ac:dyDescent="0.25">
      <c r="B404" s="36"/>
      <c r="C404" s="60"/>
      <c r="D404" s="60"/>
      <c r="E404" s="37"/>
      <c r="F404" s="38"/>
      <c r="G404" s="38"/>
      <c r="H404" s="38"/>
      <c r="I404" s="39"/>
      <c r="J404" s="40"/>
      <c r="K404" s="40"/>
      <c r="L404" s="40"/>
      <c r="M404" s="41"/>
      <c r="N404" s="41"/>
      <c r="O404" s="42"/>
      <c r="P404" s="43"/>
      <c r="Q404" s="43"/>
      <c r="R404" s="44"/>
      <c r="S404" s="45"/>
      <c r="T404" s="38">
        <f t="shared" si="133"/>
        <v>0</v>
      </c>
      <c r="U404" s="46">
        <f t="shared" si="134"/>
        <v>0</v>
      </c>
      <c r="V404" s="47">
        <f t="shared" si="135"/>
        <v>0</v>
      </c>
      <c r="W404" s="48">
        <f t="shared" si="136"/>
        <v>0</v>
      </c>
      <c r="X404" s="43">
        <f t="shared" si="137"/>
        <v>0</v>
      </c>
      <c r="Y404" s="43">
        <f t="shared" si="138"/>
        <v>0</v>
      </c>
      <c r="Z404" s="43">
        <f t="shared" si="139"/>
        <v>0</v>
      </c>
      <c r="AA404" s="49">
        <f t="shared" si="140"/>
        <v>0</v>
      </c>
      <c r="AB404" s="50">
        <f t="shared" si="141"/>
        <v>0</v>
      </c>
      <c r="AC404" s="43">
        <f t="shared" si="142"/>
        <v>0</v>
      </c>
      <c r="AD404" s="43">
        <f t="shared" si="143"/>
        <v>0</v>
      </c>
      <c r="AE404" s="43">
        <f t="shared" si="144"/>
        <v>0</v>
      </c>
      <c r="AF404" s="51" t="e">
        <f>HLOOKUP(I404,ElecAvoidedCostsWOCC!$A$5:$Q$50,G404+1,FALSE)</f>
        <v>#N/A</v>
      </c>
      <c r="AG404" s="43" t="e">
        <f t="shared" si="145"/>
        <v>#N/A</v>
      </c>
      <c r="AH404" s="51" t="e">
        <f>HLOOKUP(I404,ElecAvoidedCostsWOCC!$A$5:$Q$50,T404+1,FALSE)</f>
        <v>#N/A</v>
      </c>
      <c r="AI404" s="43" t="e">
        <f t="shared" si="146"/>
        <v>#N/A</v>
      </c>
      <c r="AJ404" s="43" t="e">
        <f t="shared" si="147"/>
        <v>#N/A</v>
      </c>
      <c r="AK404" s="43" t="e">
        <f>HLOOKUP(I404,ElecAvoidedCostsWOCC!$A$5:$Q$50,G404+1,FALSE)*J404*L404</f>
        <v>#N/A</v>
      </c>
      <c r="AL404" s="43" t="e">
        <f t="shared" si="148"/>
        <v>#N/A</v>
      </c>
      <c r="AM404" s="47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7">
        <f t="shared" si="149"/>
        <v>0</v>
      </c>
      <c r="AO404" s="46">
        <f t="shared" si="150"/>
        <v>0</v>
      </c>
      <c r="AP404" s="46" t="e">
        <f t="shared" si="151"/>
        <v>#DIV/0!</v>
      </c>
    </row>
    <row r="405" spans="2:42" x14ac:dyDescent="0.25">
      <c r="B405" s="36"/>
      <c r="C405" s="60"/>
      <c r="D405" s="60"/>
      <c r="E405" s="37"/>
      <c r="F405" s="38"/>
      <c r="G405" s="38"/>
      <c r="H405" s="38"/>
      <c r="I405" s="39"/>
      <c r="J405" s="40"/>
      <c r="K405" s="40"/>
      <c r="L405" s="40"/>
      <c r="M405" s="41"/>
      <c r="N405" s="41"/>
      <c r="O405" s="42"/>
      <c r="P405" s="43"/>
      <c r="Q405" s="43"/>
      <c r="R405" s="44"/>
      <c r="S405" s="45"/>
      <c r="T405" s="38">
        <f t="shared" si="133"/>
        <v>0</v>
      </c>
      <c r="U405" s="46">
        <f t="shared" si="134"/>
        <v>0</v>
      </c>
      <c r="V405" s="47">
        <f t="shared" si="135"/>
        <v>0</v>
      </c>
      <c r="W405" s="48">
        <f t="shared" si="136"/>
        <v>0</v>
      </c>
      <c r="X405" s="43">
        <f t="shared" si="137"/>
        <v>0</v>
      </c>
      <c r="Y405" s="43">
        <f t="shared" si="138"/>
        <v>0</v>
      </c>
      <c r="Z405" s="43">
        <f t="shared" si="139"/>
        <v>0</v>
      </c>
      <c r="AA405" s="49">
        <f t="shared" si="140"/>
        <v>0</v>
      </c>
      <c r="AB405" s="50">
        <f t="shared" si="141"/>
        <v>0</v>
      </c>
      <c r="AC405" s="43">
        <f t="shared" si="142"/>
        <v>0</v>
      </c>
      <c r="AD405" s="43">
        <f t="shared" si="143"/>
        <v>0</v>
      </c>
      <c r="AE405" s="43">
        <f t="shared" si="144"/>
        <v>0</v>
      </c>
      <c r="AF405" s="51" t="e">
        <f>HLOOKUP(I405,ElecAvoidedCostsWOCC!$A$5:$Q$50,G405+1,FALSE)</f>
        <v>#N/A</v>
      </c>
      <c r="AG405" s="43" t="e">
        <f t="shared" si="145"/>
        <v>#N/A</v>
      </c>
      <c r="AH405" s="51" t="e">
        <f>HLOOKUP(I405,ElecAvoidedCostsWOCC!$A$5:$Q$50,T405+1,FALSE)</f>
        <v>#N/A</v>
      </c>
      <c r="AI405" s="43" t="e">
        <f t="shared" si="146"/>
        <v>#N/A</v>
      </c>
      <c r="AJ405" s="43" t="e">
        <f t="shared" si="147"/>
        <v>#N/A</v>
      </c>
      <c r="AK405" s="43" t="e">
        <f>HLOOKUP(I405,ElecAvoidedCostsWOCC!$A$5:$Q$50,G405+1,FALSE)*J405*L405</f>
        <v>#N/A</v>
      </c>
      <c r="AL405" s="43" t="e">
        <f t="shared" si="148"/>
        <v>#N/A</v>
      </c>
      <c r="AM405" s="47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7">
        <f t="shared" si="149"/>
        <v>0</v>
      </c>
      <c r="AO405" s="46">
        <f t="shared" si="150"/>
        <v>0</v>
      </c>
      <c r="AP405" s="46" t="e">
        <f t="shared" si="151"/>
        <v>#DIV/0!</v>
      </c>
    </row>
    <row r="406" spans="2:42" x14ac:dyDescent="0.25">
      <c r="B406" s="36"/>
      <c r="C406" s="60"/>
      <c r="D406" s="60"/>
      <c r="E406" s="37"/>
      <c r="F406" s="38"/>
      <c r="G406" s="38"/>
      <c r="H406" s="38"/>
      <c r="I406" s="39"/>
      <c r="J406" s="40"/>
      <c r="K406" s="40"/>
      <c r="L406" s="40"/>
      <c r="M406" s="41"/>
      <c r="N406" s="41"/>
      <c r="O406" s="42"/>
      <c r="P406" s="43"/>
      <c r="Q406" s="43"/>
      <c r="R406" s="44"/>
      <c r="S406" s="45"/>
      <c r="T406" s="38">
        <f t="shared" si="133"/>
        <v>0</v>
      </c>
      <c r="U406" s="46">
        <f t="shared" si="134"/>
        <v>0</v>
      </c>
      <c r="V406" s="47">
        <f t="shared" si="135"/>
        <v>0</v>
      </c>
      <c r="W406" s="48">
        <f t="shared" si="136"/>
        <v>0</v>
      </c>
      <c r="X406" s="43">
        <f t="shared" si="137"/>
        <v>0</v>
      </c>
      <c r="Y406" s="43">
        <f t="shared" si="138"/>
        <v>0</v>
      </c>
      <c r="Z406" s="43">
        <f t="shared" si="139"/>
        <v>0</v>
      </c>
      <c r="AA406" s="49">
        <f t="shared" si="140"/>
        <v>0</v>
      </c>
      <c r="AB406" s="50">
        <f t="shared" si="141"/>
        <v>0</v>
      </c>
      <c r="AC406" s="43">
        <f t="shared" si="142"/>
        <v>0</v>
      </c>
      <c r="AD406" s="43">
        <f t="shared" si="143"/>
        <v>0</v>
      </c>
      <c r="AE406" s="43">
        <f t="shared" si="144"/>
        <v>0</v>
      </c>
      <c r="AF406" s="51" t="e">
        <f>HLOOKUP(I406,ElecAvoidedCostsWOCC!$A$5:$Q$50,G406+1,FALSE)</f>
        <v>#N/A</v>
      </c>
      <c r="AG406" s="43" t="e">
        <f t="shared" si="145"/>
        <v>#N/A</v>
      </c>
      <c r="AH406" s="51" t="e">
        <f>HLOOKUP(I406,ElecAvoidedCostsWOCC!$A$5:$Q$50,T406+1,FALSE)</f>
        <v>#N/A</v>
      </c>
      <c r="AI406" s="43" t="e">
        <f t="shared" si="146"/>
        <v>#N/A</v>
      </c>
      <c r="AJ406" s="43" t="e">
        <f t="shared" si="147"/>
        <v>#N/A</v>
      </c>
      <c r="AK406" s="43" t="e">
        <f>HLOOKUP(I406,ElecAvoidedCostsWOCC!$A$5:$Q$50,G406+1,FALSE)*J406*L406</f>
        <v>#N/A</v>
      </c>
      <c r="AL406" s="43" t="e">
        <f t="shared" si="148"/>
        <v>#N/A</v>
      </c>
      <c r="AM406" s="47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7">
        <f t="shared" si="149"/>
        <v>0</v>
      </c>
      <c r="AO406" s="46">
        <f t="shared" si="150"/>
        <v>0</v>
      </c>
      <c r="AP406" s="46" t="e">
        <f t="shared" si="151"/>
        <v>#DIV/0!</v>
      </c>
    </row>
    <row r="407" spans="2:42" x14ac:dyDescent="0.25">
      <c r="B407" s="36"/>
      <c r="C407" s="60"/>
      <c r="D407" s="60"/>
      <c r="E407" s="37"/>
      <c r="F407" s="38"/>
      <c r="G407" s="38"/>
      <c r="H407" s="38"/>
      <c r="I407" s="39"/>
      <c r="J407" s="40"/>
      <c r="K407" s="40"/>
      <c r="L407" s="40"/>
      <c r="M407" s="41"/>
      <c r="N407" s="41"/>
      <c r="O407" s="42"/>
      <c r="P407" s="43"/>
      <c r="Q407" s="43"/>
      <c r="R407" s="44"/>
      <c r="S407" s="45"/>
      <c r="T407" s="38">
        <f t="shared" si="133"/>
        <v>0</v>
      </c>
      <c r="U407" s="46">
        <f t="shared" si="134"/>
        <v>0</v>
      </c>
      <c r="V407" s="47">
        <f t="shared" si="135"/>
        <v>0</v>
      </c>
      <c r="W407" s="48">
        <f t="shared" si="136"/>
        <v>0</v>
      </c>
      <c r="X407" s="43">
        <f t="shared" si="137"/>
        <v>0</v>
      </c>
      <c r="Y407" s="43">
        <f t="shared" si="138"/>
        <v>0</v>
      </c>
      <c r="Z407" s="43">
        <f t="shared" si="139"/>
        <v>0</v>
      </c>
      <c r="AA407" s="49">
        <f t="shared" si="140"/>
        <v>0</v>
      </c>
      <c r="AB407" s="50">
        <f t="shared" si="141"/>
        <v>0</v>
      </c>
      <c r="AC407" s="43">
        <f t="shared" si="142"/>
        <v>0</v>
      </c>
      <c r="AD407" s="43">
        <f t="shared" si="143"/>
        <v>0</v>
      </c>
      <c r="AE407" s="43">
        <f t="shared" si="144"/>
        <v>0</v>
      </c>
      <c r="AF407" s="51" t="e">
        <f>HLOOKUP(I407,ElecAvoidedCostsWOCC!$A$5:$Q$50,G407+1,FALSE)</f>
        <v>#N/A</v>
      </c>
      <c r="AG407" s="43" t="e">
        <f t="shared" si="145"/>
        <v>#N/A</v>
      </c>
      <c r="AH407" s="51" t="e">
        <f>HLOOKUP(I407,ElecAvoidedCostsWOCC!$A$5:$Q$50,T407+1,FALSE)</f>
        <v>#N/A</v>
      </c>
      <c r="AI407" s="43" t="e">
        <f t="shared" si="146"/>
        <v>#N/A</v>
      </c>
      <c r="AJ407" s="43" t="e">
        <f t="shared" si="147"/>
        <v>#N/A</v>
      </c>
      <c r="AK407" s="43" t="e">
        <f>HLOOKUP(I407,ElecAvoidedCostsWOCC!$A$5:$Q$50,G407+1,FALSE)*J407*L407</f>
        <v>#N/A</v>
      </c>
      <c r="AL407" s="43" t="e">
        <f t="shared" si="148"/>
        <v>#N/A</v>
      </c>
      <c r="AM407" s="47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7">
        <f t="shared" si="149"/>
        <v>0</v>
      </c>
      <c r="AO407" s="46">
        <f t="shared" si="150"/>
        <v>0</v>
      </c>
      <c r="AP407" s="46" t="e">
        <f t="shared" si="151"/>
        <v>#DIV/0!</v>
      </c>
    </row>
    <row r="408" spans="2:42" x14ac:dyDescent="0.25">
      <c r="B408" s="36"/>
      <c r="C408" s="60"/>
      <c r="D408" s="60"/>
      <c r="E408" s="37"/>
      <c r="F408" s="38"/>
      <c r="G408" s="38"/>
      <c r="H408" s="38"/>
      <c r="I408" s="39"/>
      <c r="J408" s="40"/>
      <c r="K408" s="40"/>
      <c r="L408" s="40"/>
      <c r="M408" s="41"/>
      <c r="N408" s="41"/>
      <c r="O408" s="42"/>
      <c r="P408" s="43"/>
      <c r="Q408" s="43"/>
      <c r="R408" s="44"/>
      <c r="S408" s="45"/>
      <c r="T408" s="38">
        <f t="shared" si="133"/>
        <v>0</v>
      </c>
      <c r="U408" s="46">
        <f t="shared" si="134"/>
        <v>0</v>
      </c>
      <c r="V408" s="47">
        <f t="shared" si="135"/>
        <v>0</v>
      </c>
      <c r="W408" s="48">
        <f t="shared" si="136"/>
        <v>0</v>
      </c>
      <c r="X408" s="43">
        <f t="shared" si="137"/>
        <v>0</v>
      </c>
      <c r="Y408" s="43">
        <f t="shared" si="138"/>
        <v>0</v>
      </c>
      <c r="Z408" s="43">
        <f t="shared" si="139"/>
        <v>0</v>
      </c>
      <c r="AA408" s="49">
        <f t="shared" si="140"/>
        <v>0</v>
      </c>
      <c r="AB408" s="50">
        <f t="shared" si="141"/>
        <v>0</v>
      </c>
      <c r="AC408" s="43">
        <f t="shared" si="142"/>
        <v>0</v>
      </c>
      <c r="AD408" s="43">
        <f t="shared" si="143"/>
        <v>0</v>
      </c>
      <c r="AE408" s="43">
        <f t="shared" si="144"/>
        <v>0</v>
      </c>
      <c r="AF408" s="51" t="e">
        <f>HLOOKUP(I408,ElecAvoidedCostsWOCC!$A$5:$Q$50,G408+1,FALSE)</f>
        <v>#N/A</v>
      </c>
      <c r="AG408" s="43" t="e">
        <f t="shared" si="145"/>
        <v>#N/A</v>
      </c>
      <c r="AH408" s="51" t="e">
        <f>HLOOKUP(I408,ElecAvoidedCostsWOCC!$A$5:$Q$50,T408+1,FALSE)</f>
        <v>#N/A</v>
      </c>
      <c r="AI408" s="43" t="e">
        <f t="shared" si="146"/>
        <v>#N/A</v>
      </c>
      <c r="AJ408" s="43" t="e">
        <f t="shared" si="147"/>
        <v>#N/A</v>
      </c>
      <c r="AK408" s="43" t="e">
        <f>HLOOKUP(I408,ElecAvoidedCostsWOCC!$A$5:$Q$50,G408+1,FALSE)*J408*L408</f>
        <v>#N/A</v>
      </c>
      <c r="AL408" s="43" t="e">
        <f t="shared" si="148"/>
        <v>#N/A</v>
      </c>
      <c r="AM408" s="47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7">
        <f t="shared" si="149"/>
        <v>0</v>
      </c>
      <c r="AO408" s="46">
        <f t="shared" si="150"/>
        <v>0</v>
      </c>
      <c r="AP408" s="46" t="e">
        <f t="shared" si="151"/>
        <v>#DIV/0!</v>
      </c>
    </row>
    <row r="409" spans="2:42" x14ac:dyDescent="0.25">
      <c r="B409" s="36"/>
      <c r="C409" s="60"/>
      <c r="D409" s="60"/>
      <c r="E409" s="37"/>
      <c r="F409" s="38"/>
      <c r="G409" s="38"/>
      <c r="H409" s="38"/>
      <c r="I409" s="39"/>
      <c r="J409" s="40"/>
      <c r="K409" s="40"/>
      <c r="L409" s="40"/>
      <c r="M409" s="41"/>
      <c r="N409" s="41"/>
      <c r="O409" s="42"/>
      <c r="P409" s="43"/>
      <c r="Q409" s="43"/>
      <c r="R409" s="44"/>
      <c r="S409" s="45"/>
      <c r="T409" s="38">
        <f t="shared" si="133"/>
        <v>0</v>
      </c>
      <c r="U409" s="46">
        <f t="shared" si="134"/>
        <v>0</v>
      </c>
      <c r="V409" s="47">
        <f t="shared" si="135"/>
        <v>0</v>
      </c>
      <c r="W409" s="48">
        <f t="shared" si="136"/>
        <v>0</v>
      </c>
      <c r="X409" s="43">
        <f t="shared" si="137"/>
        <v>0</v>
      </c>
      <c r="Y409" s="43">
        <f t="shared" si="138"/>
        <v>0</v>
      </c>
      <c r="Z409" s="43">
        <f t="shared" si="139"/>
        <v>0</v>
      </c>
      <c r="AA409" s="49">
        <f t="shared" si="140"/>
        <v>0</v>
      </c>
      <c r="AB409" s="50">
        <f t="shared" si="141"/>
        <v>0</v>
      </c>
      <c r="AC409" s="43">
        <f t="shared" si="142"/>
        <v>0</v>
      </c>
      <c r="AD409" s="43">
        <f t="shared" si="143"/>
        <v>0</v>
      </c>
      <c r="AE409" s="43">
        <f t="shared" si="144"/>
        <v>0</v>
      </c>
      <c r="AF409" s="51" t="e">
        <f>HLOOKUP(I409,ElecAvoidedCostsWOCC!$A$5:$Q$50,G409+1,FALSE)</f>
        <v>#N/A</v>
      </c>
      <c r="AG409" s="43" t="e">
        <f t="shared" si="145"/>
        <v>#N/A</v>
      </c>
      <c r="AH409" s="51" t="e">
        <f>HLOOKUP(I409,ElecAvoidedCostsWOCC!$A$5:$Q$50,T409+1,FALSE)</f>
        <v>#N/A</v>
      </c>
      <c r="AI409" s="43" t="e">
        <f t="shared" si="146"/>
        <v>#N/A</v>
      </c>
      <c r="AJ409" s="43" t="e">
        <f t="shared" si="147"/>
        <v>#N/A</v>
      </c>
      <c r="AK409" s="43" t="e">
        <f>HLOOKUP(I409,ElecAvoidedCostsWOCC!$A$5:$Q$50,G409+1,FALSE)*J409*L409</f>
        <v>#N/A</v>
      </c>
      <c r="AL409" s="43" t="e">
        <f t="shared" si="148"/>
        <v>#N/A</v>
      </c>
      <c r="AM409" s="47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7">
        <f t="shared" si="149"/>
        <v>0</v>
      </c>
      <c r="AO409" s="46">
        <f t="shared" si="150"/>
        <v>0</v>
      </c>
      <c r="AP409" s="46" t="e">
        <f t="shared" si="151"/>
        <v>#DIV/0!</v>
      </c>
    </row>
    <row r="410" spans="2:42" x14ac:dyDescent="0.25">
      <c r="B410" s="36"/>
      <c r="C410" s="60"/>
      <c r="D410" s="60"/>
      <c r="E410" s="37"/>
      <c r="F410" s="38"/>
      <c r="G410" s="38"/>
      <c r="H410" s="38"/>
      <c r="I410" s="39"/>
      <c r="J410" s="40"/>
      <c r="K410" s="40"/>
      <c r="L410" s="40"/>
      <c r="M410" s="41"/>
      <c r="N410" s="41"/>
      <c r="O410" s="42"/>
      <c r="P410" s="43"/>
      <c r="Q410" s="43"/>
      <c r="R410" s="44"/>
      <c r="S410" s="45"/>
      <c r="T410" s="38">
        <f t="shared" si="133"/>
        <v>0</v>
      </c>
      <c r="U410" s="46">
        <f t="shared" si="134"/>
        <v>0</v>
      </c>
      <c r="V410" s="47">
        <f t="shared" si="135"/>
        <v>0</v>
      </c>
      <c r="W410" s="48">
        <f t="shared" si="136"/>
        <v>0</v>
      </c>
      <c r="X410" s="43">
        <f t="shared" si="137"/>
        <v>0</v>
      </c>
      <c r="Y410" s="43">
        <f t="shared" si="138"/>
        <v>0</v>
      </c>
      <c r="Z410" s="43">
        <f t="shared" si="139"/>
        <v>0</v>
      </c>
      <c r="AA410" s="49">
        <f t="shared" si="140"/>
        <v>0</v>
      </c>
      <c r="AB410" s="50">
        <f t="shared" si="141"/>
        <v>0</v>
      </c>
      <c r="AC410" s="43">
        <f t="shared" si="142"/>
        <v>0</v>
      </c>
      <c r="AD410" s="43">
        <f t="shared" si="143"/>
        <v>0</v>
      </c>
      <c r="AE410" s="43">
        <f t="shared" si="144"/>
        <v>0</v>
      </c>
      <c r="AF410" s="51" t="e">
        <f>HLOOKUP(I410,ElecAvoidedCostsWOCC!$A$5:$Q$50,G410+1,FALSE)</f>
        <v>#N/A</v>
      </c>
      <c r="AG410" s="43" t="e">
        <f t="shared" si="145"/>
        <v>#N/A</v>
      </c>
      <c r="AH410" s="51" t="e">
        <f>HLOOKUP(I410,ElecAvoidedCostsWOCC!$A$5:$Q$50,T410+1,FALSE)</f>
        <v>#N/A</v>
      </c>
      <c r="AI410" s="43" t="e">
        <f t="shared" si="146"/>
        <v>#N/A</v>
      </c>
      <c r="AJ410" s="43" t="e">
        <f t="shared" si="147"/>
        <v>#N/A</v>
      </c>
      <c r="AK410" s="43" t="e">
        <f>HLOOKUP(I410,ElecAvoidedCostsWOCC!$A$5:$Q$50,G410+1,FALSE)*J410*L410</f>
        <v>#N/A</v>
      </c>
      <c r="AL410" s="43" t="e">
        <f t="shared" si="148"/>
        <v>#N/A</v>
      </c>
      <c r="AM410" s="47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7">
        <f t="shared" si="149"/>
        <v>0</v>
      </c>
      <c r="AO410" s="46">
        <f t="shared" si="150"/>
        <v>0</v>
      </c>
      <c r="AP410" s="46" t="e">
        <f t="shared" si="151"/>
        <v>#DIV/0!</v>
      </c>
    </row>
    <row r="411" spans="2:42" x14ac:dyDescent="0.25">
      <c r="B411" s="36"/>
      <c r="C411" s="60"/>
      <c r="D411" s="60"/>
      <c r="E411" s="37"/>
      <c r="F411" s="38"/>
      <c r="G411" s="38"/>
      <c r="H411" s="38"/>
      <c r="I411" s="39"/>
      <c r="J411" s="40"/>
      <c r="K411" s="40"/>
      <c r="L411" s="40"/>
      <c r="M411" s="41"/>
      <c r="N411" s="41"/>
      <c r="O411" s="42"/>
      <c r="P411" s="43"/>
      <c r="Q411" s="43"/>
      <c r="R411" s="44"/>
      <c r="S411" s="45"/>
      <c r="T411" s="38">
        <f t="shared" si="133"/>
        <v>0</v>
      </c>
      <c r="U411" s="46">
        <f t="shared" si="134"/>
        <v>0</v>
      </c>
      <c r="V411" s="47">
        <f t="shared" si="135"/>
        <v>0</v>
      </c>
      <c r="W411" s="48">
        <f t="shared" si="136"/>
        <v>0</v>
      </c>
      <c r="X411" s="43">
        <f t="shared" si="137"/>
        <v>0</v>
      </c>
      <c r="Y411" s="43">
        <f t="shared" si="138"/>
        <v>0</v>
      </c>
      <c r="Z411" s="43">
        <f t="shared" si="139"/>
        <v>0</v>
      </c>
      <c r="AA411" s="49">
        <f t="shared" si="140"/>
        <v>0</v>
      </c>
      <c r="AB411" s="50">
        <f t="shared" si="141"/>
        <v>0</v>
      </c>
      <c r="AC411" s="43">
        <f t="shared" si="142"/>
        <v>0</v>
      </c>
      <c r="AD411" s="43">
        <f t="shared" si="143"/>
        <v>0</v>
      </c>
      <c r="AE411" s="43">
        <f t="shared" si="144"/>
        <v>0</v>
      </c>
      <c r="AF411" s="51" t="e">
        <f>HLOOKUP(I411,ElecAvoidedCostsWOCC!$A$5:$Q$50,G411+1,FALSE)</f>
        <v>#N/A</v>
      </c>
      <c r="AG411" s="43" t="e">
        <f t="shared" si="145"/>
        <v>#N/A</v>
      </c>
      <c r="AH411" s="51" t="e">
        <f>HLOOKUP(I411,ElecAvoidedCostsWOCC!$A$5:$Q$50,T411+1,FALSE)</f>
        <v>#N/A</v>
      </c>
      <c r="AI411" s="43" t="e">
        <f t="shared" si="146"/>
        <v>#N/A</v>
      </c>
      <c r="AJ411" s="43" t="e">
        <f t="shared" si="147"/>
        <v>#N/A</v>
      </c>
      <c r="AK411" s="43" t="e">
        <f>HLOOKUP(I411,ElecAvoidedCostsWOCC!$A$5:$Q$50,G411+1,FALSE)*J411*L411</f>
        <v>#N/A</v>
      </c>
      <c r="AL411" s="43" t="e">
        <f t="shared" si="148"/>
        <v>#N/A</v>
      </c>
      <c r="AM411" s="47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7">
        <f t="shared" si="149"/>
        <v>0</v>
      </c>
      <c r="AO411" s="46">
        <f t="shared" si="150"/>
        <v>0</v>
      </c>
      <c r="AP411" s="46" t="e">
        <f t="shared" si="151"/>
        <v>#DIV/0!</v>
      </c>
    </row>
    <row r="412" spans="2:42" x14ac:dyDescent="0.25">
      <c r="B412" s="36"/>
      <c r="C412" s="60"/>
      <c r="D412" s="60"/>
      <c r="E412" s="37"/>
      <c r="F412" s="38"/>
      <c r="G412" s="38"/>
      <c r="H412" s="38"/>
      <c r="I412" s="39"/>
      <c r="J412" s="40"/>
      <c r="K412" s="40"/>
      <c r="L412" s="40"/>
      <c r="M412" s="41"/>
      <c r="N412" s="41"/>
      <c r="O412" s="42"/>
      <c r="P412" s="43"/>
      <c r="Q412" s="43"/>
      <c r="R412" s="44"/>
      <c r="S412" s="45"/>
      <c r="T412" s="38">
        <f t="shared" si="133"/>
        <v>0</v>
      </c>
      <c r="U412" s="46">
        <f t="shared" si="134"/>
        <v>0</v>
      </c>
      <c r="V412" s="47">
        <f t="shared" si="135"/>
        <v>0</v>
      </c>
      <c r="W412" s="48">
        <f t="shared" si="136"/>
        <v>0</v>
      </c>
      <c r="X412" s="43">
        <f t="shared" si="137"/>
        <v>0</v>
      </c>
      <c r="Y412" s="43">
        <f t="shared" si="138"/>
        <v>0</v>
      </c>
      <c r="Z412" s="43">
        <f t="shared" si="139"/>
        <v>0</v>
      </c>
      <c r="AA412" s="49">
        <f t="shared" si="140"/>
        <v>0</v>
      </c>
      <c r="AB412" s="50">
        <f t="shared" si="141"/>
        <v>0</v>
      </c>
      <c r="AC412" s="43">
        <f t="shared" si="142"/>
        <v>0</v>
      </c>
      <c r="AD412" s="43">
        <f t="shared" si="143"/>
        <v>0</v>
      </c>
      <c r="AE412" s="43">
        <f t="shared" si="144"/>
        <v>0</v>
      </c>
      <c r="AF412" s="51" t="e">
        <f>HLOOKUP(I412,ElecAvoidedCostsWOCC!$A$5:$Q$50,G412+1,FALSE)</f>
        <v>#N/A</v>
      </c>
      <c r="AG412" s="43" t="e">
        <f t="shared" si="145"/>
        <v>#N/A</v>
      </c>
      <c r="AH412" s="51" t="e">
        <f>HLOOKUP(I412,ElecAvoidedCostsWOCC!$A$5:$Q$50,T412+1,FALSE)</f>
        <v>#N/A</v>
      </c>
      <c r="AI412" s="43" t="e">
        <f t="shared" si="146"/>
        <v>#N/A</v>
      </c>
      <c r="AJ412" s="43" t="e">
        <f t="shared" si="147"/>
        <v>#N/A</v>
      </c>
      <c r="AK412" s="43" t="e">
        <f>HLOOKUP(I412,ElecAvoidedCostsWOCC!$A$5:$Q$50,G412+1,FALSE)*J412*L412</f>
        <v>#N/A</v>
      </c>
      <c r="AL412" s="43" t="e">
        <f t="shared" si="148"/>
        <v>#N/A</v>
      </c>
      <c r="AM412" s="47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7">
        <f t="shared" si="149"/>
        <v>0</v>
      </c>
      <c r="AO412" s="46">
        <f t="shared" si="150"/>
        <v>0</v>
      </c>
      <c r="AP412" s="46" t="e">
        <f t="shared" si="151"/>
        <v>#DIV/0!</v>
      </c>
    </row>
    <row r="413" spans="2:42" x14ac:dyDescent="0.25">
      <c r="B413" s="36"/>
      <c r="C413" s="60"/>
      <c r="D413" s="60"/>
      <c r="E413" s="37"/>
      <c r="F413" s="38"/>
      <c r="G413" s="38"/>
      <c r="H413" s="38"/>
      <c r="I413" s="39"/>
      <c r="J413" s="40"/>
      <c r="K413" s="40"/>
      <c r="L413" s="40"/>
      <c r="M413" s="41"/>
      <c r="N413" s="41"/>
      <c r="O413" s="42"/>
      <c r="P413" s="43"/>
      <c r="Q413" s="43"/>
      <c r="R413" s="44"/>
      <c r="S413" s="45"/>
      <c r="T413" s="38">
        <f t="shared" si="133"/>
        <v>0</v>
      </c>
      <c r="U413" s="46">
        <f t="shared" si="134"/>
        <v>0</v>
      </c>
      <c r="V413" s="47">
        <f t="shared" si="135"/>
        <v>0</v>
      </c>
      <c r="W413" s="48">
        <f t="shared" si="136"/>
        <v>0</v>
      </c>
      <c r="X413" s="43">
        <f t="shared" si="137"/>
        <v>0</v>
      </c>
      <c r="Y413" s="43">
        <f t="shared" si="138"/>
        <v>0</v>
      </c>
      <c r="Z413" s="43">
        <f t="shared" si="139"/>
        <v>0</v>
      </c>
      <c r="AA413" s="49">
        <f t="shared" si="140"/>
        <v>0</v>
      </c>
      <c r="AB413" s="50">
        <f t="shared" si="141"/>
        <v>0</v>
      </c>
      <c r="AC413" s="43">
        <f t="shared" si="142"/>
        <v>0</v>
      </c>
      <c r="AD413" s="43">
        <f t="shared" si="143"/>
        <v>0</v>
      </c>
      <c r="AE413" s="43">
        <f t="shared" si="144"/>
        <v>0</v>
      </c>
      <c r="AF413" s="51" t="e">
        <f>HLOOKUP(I413,ElecAvoidedCostsWOCC!$A$5:$Q$50,G413+1,FALSE)</f>
        <v>#N/A</v>
      </c>
      <c r="AG413" s="43" t="e">
        <f t="shared" si="145"/>
        <v>#N/A</v>
      </c>
      <c r="AH413" s="51" t="e">
        <f>HLOOKUP(I413,ElecAvoidedCostsWOCC!$A$5:$Q$50,T413+1,FALSE)</f>
        <v>#N/A</v>
      </c>
      <c r="AI413" s="43" t="e">
        <f t="shared" si="146"/>
        <v>#N/A</v>
      </c>
      <c r="AJ413" s="43" t="e">
        <f t="shared" si="147"/>
        <v>#N/A</v>
      </c>
      <c r="AK413" s="43" t="e">
        <f>HLOOKUP(I413,ElecAvoidedCostsWOCC!$A$5:$Q$50,G413+1,FALSE)*J413*L413</f>
        <v>#N/A</v>
      </c>
      <c r="AL413" s="43" t="e">
        <f t="shared" si="148"/>
        <v>#N/A</v>
      </c>
      <c r="AM413" s="47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7">
        <f t="shared" si="149"/>
        <v>0</v>
      </c>
      <c r="AO413" s="46">
        <f t="shared" si="150"/>
        <v>0</v>
      </c>
      <c r="AP413" s="46" t="e">
        <f t="shared" si="151"/>
        <v>#DIV/0!</v>
      </c>
    </row>
    <row r="414" spans="2:42" x14ac:dyDescent="0.25">
      <c r="B414" s="36"/>
      <c r="C414" s="60"/>
      <c r="D414" s="60"/>
      <c r="E414" s="37"/>
      <c r="F414" s="38"/>
      <c r="G414" s="38"/>
      <c r="H414" s="38"/>
      <c r="I414" s="39"/>
      <c r="J414" s="40"/>
      <c r="K414" s="40"/>
      <c r="L414" s="40"/>
      <c r="M414" s="41"/>
      <c r="N414" s="41"/>
      <c r="O414" s="42"/>
      <c r="P414" s="43"/>
      <c r="Q414" s="43"/>
      <c r="R414" s="44"/>
      <c r="S414" s="45"/>
      <c r="T414" s="38">
        <f t="shared" si="133"/>
        <v>0</v>
      </c>
      <c r="U414" s="46">
        <f t="shared" si="134"/>
        <v>0</v>
      </c>
      <c r="V414" s="47">
        <f t="shared" si="135"/>
        <v>0</v>
      </c>
      <c r="W414" s="48">
        <f t="shared" si="136"/>
        <v>0</v>
      </c>
      <c r="X414" s="43">
        <f t="shared" si="137"/>
        <v>0</v>
      </c>
      <c r="Y414" s="43">
        <f t="shared" si="138"/>
        <v>0</v>
      </c>
      <c r="Z414" s="43">
        <f t="shared" si="139"/>
        <v>0</v>
      </c>
      <c r="AA414" s="49">
        <f t="shared" si="140"/>
        <v>0</v>
      </c>
      <c r="AB414" s="50">
        <f t="shared" si="141"/>
        <v>0</v>
      </c>
      <c r="AC414" s="43">
        <f t="shared" si="142"/>
        <v>0</v>
      </c>
      <c r="AD414" s="43">
        <f t="shared" si="143"/>
        <v>0</v>
      </c>
      <c r="AE414" s="43">
        <f t="shared" si="144"/>
        <v>0</v>
      </c>
      <c r="AF414" s="51" t="e">
        <f>HLOOKUP(I414,ElecAvoidedCostsWOCC!$A$5:$Q$50,G414+1,FALSE)</f>
        <v>#N/A</v>
      </c>
      <c r="AG414" s="43" t="e">
        <f t="shared" si="145"/>
        <v>#N/A</v>
      </c>
      <c r="AH414" s="51" t="e">
        <f>HLOOKUP(I414,ElecAvoidedCostsWOCC!$A$5:$Q$50,T414+1,FALSE)</f>
        <v>#N/A</v>
      </c>
      <c r="AI414" s="43" t="e">
        <f t="shared" si="146"/>
        <v>#N/A</v>
      </c>
      <c r="AJ414" s="43" t="e">
        <f t="shared" si="147"/>
        <v>#N/A</v>
      </c>
      <c r="AK414" s="43" t="e">
        <f>HLOOKUP(I414,ElecAvoidedCostsWOCC!$A$5:$Q$50,G414+1,FALSE)*J414*L414</f>
        <v>#N/A</v>
      </c>
      <c r="AL414" s="43" t="e">
        <f t="shared" si="148"/>
        <v>#N/A</v>
      </c>
      <c r="AM414" s="47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7">
        <f t="shared" si="149"/>
        <v>0</v>
      </c>
      <c r="AO414" s="46">
        <f t="shared" si="150"/>
        <v>0</v>
      </c>
      <c r="AP414" s="46" t="e">
        <f t="shared" si="151"/>
        <v>#DIV/0!</v>
      </c>
    </row>
    <row r="415" spans="2:42" x14ac:dyDescent="0.25">
      <c r="B415" s="36"/>
      <c r="C415" s="60"/>
      <c r="D415" s="60"/>
      <c r="E415" s="37"/>
      <c r="F415" s="38"/>
      <c r="G415" s="38"/>
      <c r="H415" s="38"/>
      <c r="I415" s="39"/>
      <c r="J415" s="40"/>
      <c r="K415" s="40"/>
      <c r="L415" s="40"/>
      <c r="M415" s="41"/>
      <c r="N415" s="41"/>
      <c r="O415" s="42"/>
      <c r="P415" s="43"/>
      <c r="Q415" s="43"/>
      <c r="R415" s="44"/>
      <c r="S415" s="45"/>
      <c r="T415" s="38">
        <f t="shared" si="133"/>
        <v>0</v>
      </c>
      <c r="U415" s="46">
        <f t="shared" si="134"/>
        <v>0</v>
      </c>
      <c r="V415" s="47">
        <f t="shared" si="135"/>
        <v>0</v>
      </c>
      <c r="W415" s="48">
        <f t="shared" si="136"/>
        <v>0</v>
      </c>
      <c r="X415" s="43">
        <f t="shared" si="137"/>
        <v>0</v>
      </c>
      <c r="Y415" s="43">
        <f t="shared" si="138"/>
        <v>0</v>
      </c>
      <c r="Z415" s="43">
        <f t="shared" si="139"/>
        <v>0</v>
      </c>
      <c r="AA415" s="49">
        <f t="shared" si="140"/>
        <v>0</v>
      </c>
      <c r="AB415" s="50">
        <f t="shared" si="141"/>
        <v>0</v>
      </c>
      <c r="AC415" s="43">
        <f t="shared" si="142"/>
        <v>0</v>
      </c>
      <c r="AD415" s="43">
        <f t="shared" si="143"/>
        <v>0</v>
      </c>
      <c r="AE415" s="43">
        <f t="shared" si="144"/>
        <v>0</v>
      </c>
      <c r="AF415" s="51" t="e">
        <f>HLOOKUP(I415,ElecAvoidedCostsWOCC!$A$5:$Q$50,G415+1,FALSE)</f>
        <v>#N/A</v>
      </c>
      <c r="AG415" s="43" t="e">
        <f t="shared" si="145"/>
        <v>#N/A</v>
      </c>
      <c r="AH415" s="51" t="e">
        <f>HLOOKUP(I415,ElecAvoidedCostsWOCC!$A$5:$Q$50,T415+1,FALSE)</f>
        <v>#N/A</v>
      </c>
      <c r="AI415" s="43" t="e">
        <f t="shared" si="146"/>
        <v>#N/A</v>
      </c>
      <c r="AJ415" s="43" t="e">
        <f t="shared" si="147"/>
        <v>#N/A</v>
      </c>
      <c r="AK415" s="43" t="e">
        <f>HLOOKUP(I415,ElecAvoidedCostsWOCC!$A$5:$Q$50,G415+1,FALSE)*J415*L415</f>
        <v>#N/A</v>
      </c>
      <c r="AL415" s="43" t="e">
        <f t="shared" si="148"/>
        <v>#N/A</v>
      </c>
      <c r="AM415" s="47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7">
        <f t="shared" si="149"/>
        <v>0</v>
      </c>
      <c r="AO415" s="46">
        <f t="shared" si="150"/>
        <v>0</v>
      </c>
      <c r="AP415" s="46" t="e">
        <f t="shared" si="151"/>
        <v>#DIV/0!</v>
      </c>
    </row>
    <row r="416" spans="2:42" x14ac:dyDescent="0.25">
      <c r="B416" s="36"/>
      <c r="C416" s="60"/>
      <c r="D416" s="60"/>
      <c r="E416" s="37"/>
      <c r="F416" s="38"/>
      <c r="G416" s="38"/>
      <c r="H416" s="38"/>
      <c r="I416" s="39"/>
      <c r="J416" s="40"/>
      <c r="K416" s="40"/>
      <c r="L416" s="40"/>
      <c r="M416" s="41"/>
      <c r="N416" s="41"/>
      <c r="O416" s="42"/>
      <c r="P416" s="43"/>
      <c r="Q416" s="43"/>
      <c r="R416" s="44"/>
      <c r="S416" s="45"/>
      <c r="T416" s="38">
        <f t="shared" si="133"/>
        <v>0</v>
      </c>
      <c r="U416" s="46">
        <f t="shared" si="134"/>
        <v>0</v>
      </c>
      <c r="V416" s="47">
        <f t="shared" si="135"/>
        <v>0</v>
      </c>
      <c r="W416" s="48">
        <f t="shared" si="136"/>
        <v>0</v>
      </c>
      <c r="X416" s="43">
        <f t="shared" si="137"/>
        <v>0</v>
      </c>
      <c r="Y416" s="43">
        <f t="shared" si="138"/>
        <v>0</v>
      </c>
      <c r="Z416" s="43">
        <f t="shared" si="139"/>
        <v>0</v>
      </c>
      <c r="AA416" s="49">
        <f t="shared" si="140"/>
        <v>0</v>
      </c>
      <c r="AB416" s="50">
        <f t="shared" si="141"/>
        <v>0</v>
      </c>
      <c r="AC416" s="43">
        <f t="shared" si="142"/>
        <v>0</v>
      </c>
      <c r="AD416" s="43">
        <f t="shared" si="143"/>
        <v>0</v>
      </c>
      <c r="AE416" s="43">
        <f t="shared" si="144"/>
        <v>0</v>
      </c>
      <c r="AF416" s="51" t="e">
        <f>HLOOKUP(I416,ElecAvoidedCostsWOCC!$A$5:$Q$50,G416+1,FALSE)</f>
        <v>#N/A</v>
      </c>
      <c r="AG416" s="43" t="e">
        <f t="shared" si="145"/>
        <v>#N/A</v>
      </c>
      <c r="AH416" s="51" t="e">
        <f>HLOOKUP(I416,ElecAvoidedCostsWOCC!$A$5:$Q$50,T416+1,FALSE)</f>
        <v>#N/A</v>
      </c>
      <c r="AI416" s="43" t="e">
        <f t="shared" si="146"/>
        <v>#N/A</v>
      </c>
      <c r="AJ416" s="43" t="e">
        <f t="shared" si="147"/>
        <v>#N/A</v>
      </c>
      <c r="AK416" s="43" t="e">
        <f>HLOOKUP(I416,ElecAvoidedCostsWOCC!$A$5:$Q$50,G416+1,FALSE)*J416*L416</f>
        <v>#N/A</v>
      </c>
      <c r="AL416" s="43" t="e">
        <f t="shared" si="148"/>
        <v>#N/A</v>
      </c>
      <c r="AM416" s="47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7">
        <f t="shared" si="149"/>
        <v>0</v>
      </c>
      <c r="AO416" s="46">
        <f t="shared" si="150"/>
        <v>0</v>
      </c>
      <c r="AP416" s="46" t="e">
        <f t="shared" si="151"/>
        <v>#DIV/0!</v>
      </c>
    </row>
    <row r="417" spans="2:42" x14ac:dyDescent="0.25">
      <c r="B417" s="36"/>
      <c r="C417" s="60"/>
      <c r="D417" s="60"/>
      <c r="E417" s="37"/>
      <c r="F417" s="38"/>
      <c r="G417" s="38"/>
      <c r="H417" s="38"/>
      <c r="I417" s="39"/>
      <c r="J417" s="40"/>
      <c r="K417" s="40"/>
      <c r="L417" s="40"/>
      <c r="M417" s="41"/>
      <c r="N417" s="41"/>
      <c r="O417" s="42"/>
      <c r="P417" s="43"/>
      <c r="Q417" s="43"/>
      <c r="R417" s="44"/>
      <c r="S417" s="45"/>
      <c r="T417" s="38">
        <f t="shared" si="133"/>
        <v>0</v>
      </c>
      <c r="U417" s="46">
        <f t="shared" si="134"/>
        <v>0</v>
      </c>
      <c r="V417" s="47">
        <f t="shared" si="135"/>
        <v>0</v>
      </c>
      <c r="W417" s="48">
        <f t="shared" si="136"/>
        <v>0</v>
      </c>
      <c r="X417" s="43">
        <f t="shared" si="137"/>
        <v>0</v>
      </c>
      <c r="Y417" s="43">
        <f t="shared" si="138"/>
        <v>0</v>
      </c>
      <c r="Z417" s="43">
        <f t="shared" si="139"/>
        <v>0</v>
      </c>
      <c r="AA417" s="49">
        <f t="shared" si="140"/>
        <v>0</v>
      </c>
      <c r="AB417" s="50">
        <f t="shared" si="141"/>
        <v>0</v>
      </c>
      <c r="AC417" s="43">
        <f t="shared" si="142"/>
        <v>0</v>
      </c>
      <c r="AD417" s="43">
        <f t="shared" si="143"/>
        <v>0</v>
      </c>
      <c r="AE417" s="43">
        <f t="shared" si="144"/>
        <v>0</v>
      </c>
      <c r="AF417" s="51" t="e">
        <f>HLOOKUP(I417,ElecAvoidedCostsWOCC!$A$5:$Q$50,G417+1,FALSE)</f>
        <v>#N/A</v>
      </c>
      <c r="AG417" s="43" t="e">
        <f t="shared" si="145"/>
        <v>#N/A</v>
      </c>
      <c r="AH417" s="51" t="e">
        <f>HLOOKUP(I417,ElecAvoidedCostsWOCC!$A$5:$Q$50,T417+1,FALSE)</f>
        <v>#N/A</v>
      </c>
      <c r="AI417" s="43" t="e">
        <f t="shared" si="146"/>
        <v>#N/A</v>
      </c>
      <c r="AJ417" s="43" t="e">
        <f t="shared" si="147"/>
        <v>#N/A</v>
      </c>
      <c r="AK417" s="43" t="e">
        <f>HLOOKUP(I417,ElecAvoidedCostsWOCC!$A$5:$Q$50,G417+1,FALSE)*J417*L417</f>
        <v>#N/A</v>
      </c>
      <c r="AL417" s="43" t="e">
        <f t="shared" si="148"/>
        <v>#N/A</v>
      </c>
      <c r="AM417" s="47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7">
        <f t="shared" si="149"/>
        <v>0</v>
      </c>
      <c r="AO417" s="46">
        <f t="shared" si="150"/>
        <v>0</v>
      </c>
      <c r="AP417" s="46" t="e">
        <f t="shared" si="151"/>
        <v>#DIV/0!</v>
      </c>
    </row>
    <row r="418" spans="2:42" x14ac:dyDescent="0.25">
      <c r="B418" s="36"/>
      <c r="C418" s="60"/>
      <c r="D418" s="60"/>
      <c r="E418" s="37"/>
      <c r="F418" s="38"/>
      <c r="G418" s="38"/>
      <c r="H418" s="38"/>
      <c r="I418" s="39"/>
      <c r="J418" s="40"/>
      <c r="K418" s="40"/>
      <c r="L418" s="40"/>
      <c r="M418" s="41"/>
      <c r="N418" s="41"/>
      <c r="O418" s="42"/>
      <c r="P418" s="43"/>
      <c r="Q418" s="43"/>
      <c r="R418" s="44"/>
      <c r="S418" s="45"/>
      <c r="T418" s="38">
        <f t="shared" si="133"/>
        <v>0</v>
      </c>
      <c r="U418" s="46">
        <f t="shared" si="134"/>
        <v>0</v>
      </c>
      <c r="V418" s="47">
        <f t="shared" si="135"/>
        <v>0</v>
      </c>
      <c r="W418" s="48">
        <f t="shared" si="136"/>
        <v>0</v>
      </c>
      <c r="X418" s="43">
        <f t="shared" si="137"/>
        <v>0</v>
      </c>
      <c r="Y418" s="43">
        <f t="shared" si="138"/>
        <v>0</v>
      </c>
      <c r="Z418" s="43">
        <f t="shared" si="139"/>
        <v>0</v>
      </c>
      <c r="AA418" s="49">
        <f t="shared" si="140"/>
        <v>0</v>
      </c>
      <c r="AB418" s="50">
        <f t="shared" si="141"/>
        <v>0</v>
      </c>
      <c r="AC418" s="43">
        <f t="shared" si="142"/>
        <v>0</v>
      </c>
      <c r="AD418" s="43">
        <f t="shared" si="143"/>
        <v>0</v>
      </c>
      <c r="AE418" s="43">
        <f t="shared" si="144"/>
        <v>0</v>
      </c>
      <c r="AF418" s="51" t="e">
        <f>HLOOKUP(I418,ElecAvoidedCostsWOCC!$A$5:$Q$50,G418+1,FALSE)</f>
        <v>#N/A</v>
      </c>
      <c r="AG418" s="43" t="e">
        <f t="shared" si="145"/>
        <v>#N/A</v>
      </c>
      <c r="AH418" s="51" t="e">
        <f>HLOOKUP(I418,ElecAvoidedCostsWOCC!$A$5:$Q$50,T418+1,FALSE)</f>
        <v>#N/A</v>
      </c>
      <c r="AI418" s="43" t="e">
        <f t="shared" si="146"/>
        <v>#N/A</v>
      </c>
      <c r="AJ418" s="43" t="e">
        <f t="shared" si="147"/>
        <v>#N/A</v>
      </c>
      <c r="AK418" s="43" t="e">
        <f>HLOOKUP(I418,ElecAvoidedCostsWOCC!$A$5:$Q$50,G418+1,FALSE)*J418*L418</f>
        <v>#N/A</v>
      </c>
      <c r="AL418" s="43" t="e">
        <f t="shared" si="148"/>
        <v>#N/A</v>
      </c>
      <c r="AM418" s="47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7">
        <f t="shared" si="149"/>
        <v>0</v>
      </c>
      <c r="AO418" s="46">
        <f t="shared" si="150"/>
        <v>0</v>
      </c>
      <c r="AP418" s="46" t="e">
        <f t="shared" si="151"/>
        <v>#DIV/0!</v>
      </c>
    </row>
    <row r="419" spans="2:42" x14ac:dyDescent="0.25">
      <c r="B419" s="36"/>
      <c r="C419" s="60"/>
      <c r="D419" s="60"/>
      <c r="E419" s="37"/>
      <c r="F419" s="38"/>
      <c r="G419" s="38"/>
      <c r="H419" s="38"/>
      <c r="I419" s="39"/>
      <c r="J419" s="40"/>
      <c r="K419" s="40"/>
      <c r="L419" s="40"/>
      <c r="M419" s="41"/>
      <c r="N419" s="41"/>
      <c r="O419" s="42"/>
      <c r="P419" s="43"/>
      <c r="Q419" s="43"/>
      <c r="R419" s="44"/>
      <c r="S419" s="45"/>
      <c r="T419" s="38">
        <f t="shared" si="133"/>
        <v>0</v>
      </c>
      <c r="U419" s="46">
        <f t="shared" si="134"/>
        <v>0</v>
      </c>
      <c r="V419" s="47">
        <f t="shared" si="135"/>
        <v>0</v>
      </c>
      <c r="W419" s="48">
        <f t="shared" si="136"/>
        <v>0</v>
      </c>
      <c r="X419" s="43">
        <f t="shared" si="137"/>
        <v>0</v>
      </c>
      <c r="Y419" s="43">
        <f t="shared" si="138"/>
        <v>0</v>
      </c>
      <c r="Z419" s="43">
        <f t="shared" si="139"/>
        <v>0</v>
      </c>
      <c r="AA419" s="49">
        <f t="shared" si="140"/>
        <v>0</v>
      </c>
      <c r="AB419" s="50">
        <f t="shared" si="141"/>
        <v>0</v>
      </c>
      <c r="AC419" s="43">
        <f t="shared" si="142"/>
        <v>0</v>
      </c>
      <c r="AD419" s="43">
        <f t="shared" si="143"/>
        <v>0</v>
      </c>
      <c r="AE419" s="43">
        <f t="shared" si="144"/>
        <v>0</v>
      </c>
      <c r="AF419" s="51" t="e">
        <f>HLOOKUP(I419,ElecAvoidedCostsWOCC!$A$5:$Q$50,G419+1,FALSE)</f>
        <v>#N/A</v>
      </c>
      <c r="AG419" s="43" t="e">
        <f t="shared" si="145"/>
        <v>#N/A</v>
      </c>
      <c r="AH419" s="51" t="e">
        <f>HLOOKUP(I419,ElecAvoidedCostsWOCC!$A$5:$Q$50,T419+1,FALSE)</f>
        <v>#N/A</v>
      </c>
      <c r="AI419" s="43" t="e">
        <f t="shared" si="146"/>
        <v>#N/A</v>
      </c>
      <c r="AJ419" s="43" t="e">
        <f t="shared" si="147"/>
        <v>#N/A</v>
      </c>
      <c r="AK419" s="43" t="e">
        <f>HLOOKUP(I419,ElecAvoidedCostsWOCC!$A$5:$Q$50,G419+1,FALSE)*J419*L419</f>
        <v>#N/A</v>
      </c>
      <c r="AL419" s="43" t="e">
        <f t="shared" si="148"/>
        <v>#N/A</v>
      </c>
      <c r="AM419" s="47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7">
        <f t="shared" si="149"/>
        <v>0</v>
      </c>
      <c r="AO419" s="46">
        <f t="shared" si="150"/>
        <v>0</v>
      </c>
      <c r="AP419" s="46" t="e">
        <f t="shared" si="151"/>
        <v>#DIV/0!</v>
      </c>
    </row>
    <row r="420" spans="2:42" x14ac:dyDescent="0.25">
      <c r="B420" s="36"/>
      <c r="C420" s="60"/>
      <c r="D420" s="60"/>
      <c r="E420" s="37"/>
      <c r="F420" s="38"/>
      <c r="G420" s="38"/>
      <c r="H420" s="38"/>
      <c r="I420" s="39"/>
      <c r="J420" s="40"/>
      <c r="K420" s="40"/>
      <c r="L420" s="40"/>
      <c r="M420" s="41"/>
      <c r="N420" s="41"/>
      <c r="O420" s="42"/>
      <c r="P420" s="43"/>
      <c r="Q420" s="43"/>
      <c r="R420" s="44"/>
      <c r="S420" s="45"/>
      <c r="T420" s="38">
        <f t="shared" si="133"/>
        <v>0</v>
      </c>
      <c r="U420" s="46">
        <f t="shared" si="134"/>
        <v>0</v>
      </c>
      <c r="V420" s="47">
        <f t="shared" si="135"/>
        <v>0</v>
      </c>
      <c r="W420" s="48">
        <f t="shared" si="136"/>
        <v>0</v>
      </c>
      <c r="X420" s="43">
        <f t="shared" si="137"/>
        <v>0</v>
      </c>
      <c r="Y420" s="43">
        <f t="shared" si="138"/>
        <v>0</v>
      </c>
      <c r="Z420" s="43">
        <f t="shared" si="139"/>
        <v>0</v>
      </c>
      <c r="AA420" s="49">
        <f t="shared" si="140"/>
        <v>0</v>
      </c>
      <c r="AB420" s="50">
        <f t="shared" si="141"/>
        <v>0</v>
      </c>
      <c r="AC420" s="43">
        <f t="shared" si="142"/>
        <v>0</v>
      </c>
      <c r="AD420" s="43">
        <f t="shared" si="143"/>
        <v>0</v>
      </c>
      <c r="AE420" s="43">
        <f t="shared" si="144"/>
        <v>0</v>
      </c>
      <c r="AF420" s="51" t="e">
        <f>HLOOKUP(I420,ElecAvoidedCostsWOCC!$A$5:$Q$50,G420+1,FALSE)</f>
        <v>#N/A</v>
      </c>
      <c r="AG420" s="43" t="e">
        <f t="shared" si="145"/>
        <v>#N/A</v>
      </c>
      <c r="AH420" s="51" t="e">
        <f>HLOOKUP(I420,ElecAvoidedCostsWOCC!$A$5:$Q$50,T420+1,FALSE)</f>
        <v>#N/A</v>
      </c>
      <c r="AI420" s="43" t="e">
        <f t="shared" si="146"/>
        <v>#N/A</v>
      </c>
      <c r="AJ420" s="43" t="e">
        <f t="shared" si="147"/>
        <v>#N/A</v>
      </c>
      <c r="AK420" s="43" t="e">
        <f>HLOOKUP(I420,ElecAvoidedCostsWOCC!$A$5:$Q$50,G420+1,FALSE)*J420*L420</f>
        <v>#N/A</v>
      </c>
      <c r="AL420" s="43" t="e">
        <f t="shared" si="148"/>
        <v>#N/A</v>
      </c>
      <c r="AM420" s="47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7">
        <f t="shared" si="149"/>
        <v>0</v>
      </c>
      <c r="AO420" s="46">
        <f t="shared" si="150"/>
        <v>0</v>
      </c>
      <c r="AP420" s="46" t="e">
        <f t="shared" si="151"/>
        <v>#DIV/0!</v>
      </c>
    </row>
    <row r="421" spans="2:42" x14ac:dyDescent="0.25">
      <c r="B421" s="36"/>
      <c r="C421" s="60"/>
      <c r="D421" s="60"/>
      <c r="E421" s="37"/>
      <c r="F421" s="38"/>
      <c r="G421" s="38"/>
      <c r="H421" s="38"/>
      <c r="I421" s="39"/>
      <c r="J421" s="40"/>
      <c r="K421" s="40"/>
      <c r="L421" s="40"/>
      <c r="M421" s="41"/>
      <c r="N421" s="41"/>
      <c r="O421" s="42"/>
      <c r="P421" s="43"/>
      <c r="Q421" s="43"/>
      <c r="R421" s="44"/>
      <c r="S421" s="45"/>
      <c r="T421" s="38">
        <f t="shared" si="133"/>
        <v>0</v>
      </c>
      <c r="U421" s="46">
        <f t="shared" si="134"/>
        <v>0</v>
      </c>
      <c r="V421" s="47">
        <f t="shared" si="135"/>
        <v>0</v>
      </c>
      <c r="W421" s="48">
        <f t="shared" si="136"/>
        <v>0</v>
      </c>
      <c r="X421" s="43">
        <f t="shared" si="137"/>
        <v>0</v>
      </c>
      <c r="Y421" s="43">
        <f t="shared" si="138"/>
        <v>0</v>
      </c>
      <c r="Z421" s="43">
        <f t="shared" si="139"/>
        <v>0</v>
      </c>
      <c r="AA421" s="49">
        <f t="shared" si="140"/>
        <v>0</v>
      </c>
      <c r="AB421" s="50">
        <f t="shared" si="141"/>
        <v>0</v>
      </c>
      <c r="AC421" s="43">
        <f t="shared" si="142"/>
        <v>0</v>
      </c>
      <c r="AD421" s="43">
        <f t="shared" si="143"/>
        <v>0</v>
      </c>
      <c r="AE421" s="43">
        <f t="shared" si="144"/>
        <v>0</v>
      </c>
      <c r="AF421" s="51" t="e">
        <f>HLOOKUP(I421,ElecAvoidedCostsWOCC!$A$5:$Q$50,G421+1,FALSE)</f>
        <v>#N/A</v>
      </c>
      <c r="AG421" s="43" t="e">
        <f t="shared" si="145"/>
        <v>#N/A</v>
      </c>
      <c r="AH421" s="51" t="e">
        <f>HLOOKUP(I421,ElecAvoidedCostsWOCC!$A$5:$Q$50,T421+1,FALSE)</f>
        <v>#N/A</v>
      </c>
      <c r="AI421" s="43" t="e">
        <f t="shared" si="146"/>
        <v>#N/A</v>
      </c>
      <c r="AJ421" s="43" t="e">
        <f t="shared" si="147"/>
        <v>#N/A</v>
      </c>
      <c r="AK421" s="43" t="e">
        <f>HLOOKUP(I421,ElecAvoidedCostsWOCC!$A$5:$Q$50,G421+1,FALSE)*J421*L421</f>
        <v>#N/A</v>
      </c>
      <c r="AL421" s="43" t="e">
        <f t="shared" si="148"/>
        <v>#N/A</v>
      </c>
      <c r="AM421" s="47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7">
        <f t="shared" si="149"/>
        <v>0</v>
      </c>
      <c r="AO421" s="46">
        <f t="shared" si="150"/>
        <v>0</v>
      </c>
      <c r="AP421" s="46" t="e">
        <f t="shared" si="151"/>
        <v>#DIV/0!</v>
      </c>
    </row>
    <row r="422" spans="2:42" x14ac:dyDescent="0.25">
      <c r="B422" s="36"/>
      <c r="C422" s="60"/>
      <c r="D422" s="60"/>
      <c r="E422" s="37"/>
      <c r="F422" s="38"/>
      <c r="G422" s="38"/>
      <c r="H422" s="38"/>
      <c r="I422" s="39"/>
      <c r="J422" s="40"/>
      <c r="K422" s="40"/>
      <c r="L422" s="40"/>
      <c r="M422" s="41"/>
      <c r="N422" s="41"/>
      <c r="O422" s="42"/>
      <c r="P422" s="43"/>
      <c r="Q422" s="43"/>
      <c r="R422" s="44"/>
      <c r="S422" s="45"/>
      <c r="T422" s="38">
        <f t="shared" si="133"/>
        <v>0</v>
      </c>
      <c r="U422" s="46">
        <f t="shared" si="134"/>
        <v>0</v>
      </c>
      <c r="V422" s="47">
        <f t="shared" si="135"/>
        <v>0</v>
      </c>
      <c r="W422" s="48">
        <f t="shared" si="136"/>
        <v>0</v>
      </c>
      <c r="X422" s="43">
        <f t="shared" si="137"/>
        <v>0</v>
      </c>
      <c r="Y422" s="43">
        <f t="shared" si="138"/>
        <v>0</v>
      </c>
      <c r="Z422" s="43">
        <f t="shared" si="139"/>
        <v>0</v>
      </c>
      <c r="AA422" s="49">
        <f t="shared" si="140"/>
        <v>0</v>
      </c>
      <c r="AB422" s="50">
        <f t="shared" si="141"/>
        <v>0</v>
      </c>
      <c r="AC422" s="43">
        <f t="shared" si="142"/>
        <v>0</v>
      </c>
      <c r="AD422" s="43">
        <f t="shared" si="143"/>
        <v>0</v>
      </c>
      <c r="AE422" s="43">
        <f t="shared" si="144"/>
        <v>0</v>
      </c>
      <c r="AF422" s="51" t="e">
        <f>HLOOKUP(I422,ElecAvoidedCostsWOCC!$A$5:$Q$50,G422+1,FALSE)</f>
        <v>#N/A</v>
      </c>
      <c r="AG422" s="43" t="e">
        <f t="shared" si="145"/>
        <v>#N/A</v>
      </c>
      <c r="AH422" s="51" t="e">
        <f>HLOOKUP(I422,ElecAvoidedCostsWOCC!$A$5:$Q$50,T422+1,FALSE)</f>
        <v>#N/A</v>
      </c>
      <c r="AI422" s="43" t="e">
        <f t="shared" si="146"/>
        <v>#N/A</v>
      </c>
      <c r="AJ422" s="43" t="e">
        <f t="shared" si="147"/>
        <v>#N/A</v>
      </c>
      <c r="AK422" s="43" t="e">
        <f>HLOOKUP(I422,ElecAvoidedCostsWOCC!$A$5:$Q$50,G422+1,FALSE)*J422*L422</f>
        <v>#N/A</v>
      </c>
      <c r="AL422" s="43" t="e">
        <f t="shared" si="148"/>
        <v>#N/A</v>
      </c>
      <c r="AM422" s="47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7">
        <f t="shared" si="149"/>
        <v>0</v>
      </c>
      <c r="AO422" s="46">
        <f t="shared" si="150"/>
        <v>0</v>
      </c>
      <c r="AP422" s="46" t="e">
        <f t="shared" si="151"/>
        <v>#DIV/0!</v>
      </c>
    </row>
    <row r="423" spans="2:42" x14ac:dyDescent="0.25">
      <c r="B423" s="36"/>
      <c r="C423" s="60"/>
      <c r="D423" s="60"/>
      <c r="E423" s="37"/>
      <c r="F423" s="38"/>
      <c r="G423" s="38"/>
      <c r="H423" s="38"/>
      <c r="I423" s="39"/>
      <c r="J423" s="40"/>
      <c r="K423" s="40"/>
      <c r="L423" s="40"/>
      <c r="M423" s="41"/>
      <c r="N423" s="41"/>
      <c r="O423" s="42"/>
      <c r="P423" s="43"/>
      <c r="Q423" s="43"/>
      <c r="R423" s="44"/>
      <c r="S423" s="45"/>
      <c r="T423" s="38">
        <f t="shared" si="133"/>
        <v>0</v>
      </c>
      <c r="U423" s="46">
        <f t="shared" si="134"/>
        <v>0</v>
      </c>
      <c r="V423" s="47">
        <f t="shared" si="135"/>
        <v>0</v>
      </c>
      <c r="W423" s="48">
        <f t="shared" si="136"/>
        <v>0</v>
      </c>
      <c r="X423" s="43">
        <f t="shared" si="137"/>
        <v>0</v>
      </c>
      <c r="Y423" s="43">
        <f t="shared" si="138"/>
        <v>0</v>
      </c>
      <c r="Z423" s="43">
        <f t="shared" si="139"/>
        <v>0</v>
      </c>
      <c r="AA423" s="49">
        <f t="shared" si="140"/>
        <v>0</v>
      </c>
      <c r="AB423" s="50">
        <f t="shared" si="141"/>
        <v>0</v>
      </c>
      <c r="AC423" s="43">
        <f t="shared" si="142"/>
        <v>0</v>
      </c>
      <c r="AD423" s="43">
        <f t="shared" si="143"/>
        <v>0</v>
      </c>
      <c r="AE423" s="43">
        <f t="shared" si="144"/>
        <v>0</v>
      </c>
      <c r="AF423" s="51" t="e">
        <f>HLOOKUP(I423,ElecAvoidedCostsWOCC!$A$5:$Q$50,G423+1,FALSE)</f>
        <v>#N/A</v>
      </c>
      <c r="AG423" s="43" t="e">
        <f t="shared" si="145"/>
        <v>#N/A</v>
      </c>
      <c r="AH423" s="51" t="e">
        <f>HLOOKUP(I423,ElecAvoidedCostsWOCC!$A$5:$Q$50,T423+1,FALSE)</f>
        <v>#N/A</v>
      </c>
      <c r="AI423" s="43" t="e">
        <f t="shared" si="146"/>
        <v>#N/A</v>
      </c>
      <c r="AJ423" s="43" t="e">
        <f t="shared" si="147"/>
        <v>#N/A</v>
      </c>
      <c r="AK423" s="43" t="e">
        <f>HLOOKUP(I423,ElecAvoidedCostsWOCC!$A$5:$Q$50,G423+1,FALSE)*J423*L423</f>
        <v>#N/A</v>
      </c>
      <c r="AL423" s="43" t="e">
        <f t="shared" si="148"/>
        <v>#N/A</v>
      </c>
      <c r="AM423" s="47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7">
        <f t="shared" si="149"/>
        <v>0</v>
      </c>
      <c r="AO423" s="46">
        <f t="shared" si="150"/>
        <v>0</v>
      </c>
      <c r="AP423" s="46" t="e">
        <f t="shared" si="151"/>
        <v>#DIV/0!</v>
      </c>
    </row>
    <row r="424" spans="2:42" x14ac:dyDescent="0.25">
      <c r="B424" s="36"/>
      <c r="C424" s="60"/>
      <c r="D424" s="60"/>
      <c r="E424" s="37"/>
      <c r="F424" s="38"/>
      <c r="G424" s="38"/>
      <c r="H424" s="38"/>
      <c r="I424" s="39"/>
      <c r="J424" s="40"/>
      <c r="K424" s="40"/>
      <c r="L424" s="40"/>
      <c r="M424" s="41"/>
      <c r="N424" s="41"/>
      <c r="O424" s="42"/>
      <c r="P424" s="43"/>
      <c r="Q424" s="43"/>
      <c r="R424" s="44"/>
      <c r="S424" s="45"/>
      <c r="T424" s="38">
        <f t="shared" si="133"/>
        <v>0</v>
      </c>
      <c r="U424" s="46">
        <f t="shared" si="134"/>
        <v>0</v>
      </c>
      <c r="V424" s="47">
        <f t="shared" si="135"/>
        <v>0</v>
      </c>
      <c r="W424" s="48">
        <f t="shared" si="136"/>
        <v>0</v>
      </c>
      <c r="X424" s="43">
        <f t="shared" si="137"/>
        <v>0</v>
      </c>
      <c r="Y424" s="43">
        <f t="shared" si="138"/>
        <v>0</v>
      </c>
      <c r="Z424" s="43">
        <f t="shared" si="139"/>
        <v>0</v>
      </c>
      <c r="AA424" s="49">
        <f t="shared" si="140"/>
        <v>0</v>
      </c>
      <c r="AB424" s="50">
        <f t="shared" si="141"/>
        <v>0</v>
      </c>
      <c r="AC424" s="43">
        <f t="shared" si="142"/>
        <v>0</v>
      </c>
      <c r="AD424" s="43">
        <f t="shared" si="143"/>
        <v>0</v>
      </c>
      <c r="AE424" s="43">
        <f t="shared" si="144"/>
        <v>0</v>
      </c>
      <c r="AF424" s="51" t="e">
        <f>HLOOKUP(I424,ElecAvoidedCostsWOCC!$A$5:$Q$50,G424+1,FALSE)</f>
        <v>#N/A</v>
      </c>
      <c r="AG424" s="43" t="e">
        <f t="shared" si="145"/>
        <v>#N/A</v>
      </c>
      <c r="AH424" s="51" t="e">
        <f>HLOOKUP(I424,ElecAvoidedCostsWOCC!$A$5:$Q$50,T424+1,FALSE)</f>
        <v>#N/A</v>
      </c>
      <c r="AI424" s="43" t="e">
        <f t="shared" si="146"/>
        <v>#N/A</v>
      </c>
      <c r="AJ424" s="43" t="e">
        <f t="shared" si="147"/>
        <v>#N/A</v>
      </c>
      <c r="AK424" s="43" t="e">
        <f>HLOOKUP(I424,ElecAvoidedCostsWOCC!$A$5:$Q$50,G424+1,FALSE)*J424*L424</f>
        <v>#N/A</v>
      </c>
      <c r="AL424" s="43" t="e">
        <f t="shared" si="148"/>
        <v>#N/A</v>
      </c>
      <c r="AM424" s="47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7">
        <f t="shared" si="149"/>
        <v>0</v>
      </c>
      <c r="AO424" s="46">
        <f t="shared" si="150"/>
        <v>0</v>
      </c>
      <c r="AP424" s="46" t="e">
        <f t="shared" si="151"/>
        <v>#DIV/0!</v>
      </c>
    </row>
    <row r="425" spans="2:42" x14ac:dyDescent="0.25">
      <c r="B425" s="36"/>
      <c r="C425" s="60"/>
      <c r="D425" s="60"/>
      <c r="E425" s="37"/>
      <c r="F425" s="38"/>
      <c r="G425" s="38"/>
      <c r="H425" s="38"/>
      <c r="I425" s="39"/>
      <c r="J425" s="40"/>
      <c r="K425" s="40"/>
      <c r="L425" s="40"/>
      <c r="M425" s="41"/>
      <c r="N425" s="41"/>
      <c r="O425" s="42"/>
      <c r="P425" s="43"/>
      <c r="Q425" s="43"/>
      <c r="R425" s="44"/>
      <c r="S425" s="45"/>
      <c r="T425" s="38">
        <f t="shared" si="133"/>
        <v>0</v>
      </c>
      <c r="U425" s="46">
        <f t="shared" si="134"/>
        <v>0</v>
      </c>
      <c r="V425" s="47">
        <f t="shared" si="135"/>
        <v>0</v>
      </c>
      <c r="W425" s="48">
        <f t="shared" si="136"/>
        <v>0</v>
      </c>
      <c r="X425" s="43">
        <f t="shared" si="137"/>
        <v>0</v>
      </c>
      <c r="Y425" s="43">
        <f t="shared" si="138"/>
        <v>0</v>
      </c>
      <c r="Z425" s="43">
        <f t="shared" si="139"/>
        <v>0</v>
      </c>
      <c r="AA425" s="49">
        <f t="shared" si="140"/>
        <v>0</v>
      </c>
      <c r="AB425" s="50">
        <f t="shared" si="141"/>
        <v>0</v>
      </c>
      <c r="AC425" s="43">
        <f t="shared" si="142"/>
        <v>0</v>
      </c>
      <c r="AD425" s="43">
        <f t="shared" si="143"/>
        <v>0</v>
      </c>
      <c r="AE425" s="43">
        <f t="shared" si="144"/>
        <v>0</v>
      </c>
      <c r="AF425" s="51" t="e">
        <f>HLOOKUP(I425,ElecAvoidedCostsWOCC!$A$5:$Q$50,G425+1,FALSE)</f>
        <v>#N/A</v>
      </c>
      <c r="AG425" s="43" t="e">
        <f t="shared" si="145"/>
        <v>#N/A</v>
      </c>
      <c r="AH425" s="51" t="e">
        <f>HLOOKUP(I425,ElecAvoidedCostsWOCC!$A$5:$Q$50,T425+1,FALSE)</f>
        <v>#N/A</v>
      </c>
      <c r="AI425" s="43" t="e">
        <f t="shared" si="146"/>
        <v>#N/A</v>
      </c>
      <c r="AJ425" s="43" t="e">
        <f t="shared" si="147"/>
        <v>#N/A</v>
      </c>
      <c r="AK425" s="43" t="e">
        <f>HLOOKUP(I425,ElecAvoidedCostsWOCC!$A$5:$Q$50,G425+1,FALSE)*J425*L425</f>
        <v>#N/A</v>
      </c>
      <c r="AL425" s="43" t="e">
        <f t="shared" si="148"/>
        <v>#N/A</v>
      </c>
      <c r="AM425" s="47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7">
        <f t="shared" si="149"/>
        <v>0</v>
      </c>
      <c r="AO425" s="46">
        <f t="shared" si="150"/>
        <v>0</v>
      </c>
      <c r="AP425" s="46" t="e">
        <f t="shared" si="151"/>
        <v>#DIV/0!</v>
      </c>
    </row>
    <row r="426" spans="2:42" x14ac:dyDescent="0.25">
      <c r="B426" s="36"/>
      <c r="C426" s="60"/>
      <c r="D426" s="60"/>
      <c r="E426" s="37"/>
      <c r="F426" s="38"/>
      <c r="G426" s="38"/>
      <c r="H426" s="38"/>
      <c r="I426" s="39"/>
      <c r="J426" s="40"/>
      <c r="K426" s="40"/>
      <c r="L426" s="40"/>
      <c r="M426" s="41"/>
      <c r="N426" s="41"/>
      <c r="O426" s="42"/>
      <c r="P426" s="43"/>
      <c r="Q426" s="43"/>
      <c r="R426" s="44"/>
      <c r="S426" s="45"/>
      <c r="T426" s="38">
        <f t="shared" si="133"/>
        <v>0</v>
      </c>
      <c r="U426" s="46">
        <f t="shared" si="134"/>
        <v>0</v>
      </c>
      <c r="V426" s="47">
        <f t="shared" si="135"/>
        <v>0</v>
      </c>
      <c r="W426" s="48">
        <f t="shared" si="136"/>
        <v>0</v>
      </c>
      <c r="X426" s="43">
        <f t="shared" si="137"/>
        <v>0</v>
      </c>
      <c r="Y426" s="43">
        <f t="shared" si="138"/>
        <v>0</v>
      </c>
      <c r="Z426" s="43">
        <f t="shared" si="139"/>
        <v>0</v>
      </c>
      <c r="AA426" s="49">
        <f t="shared" si="140"/>
        <v>0</v>
      </c>
      <c r="AB426" s="50">
        <f t="shared" si="141"/>
        <v>0</v>
      </c>
      <c r="AC426" s="43">
        <f t="shared" si="142"/>
        <v>0</v>
      </c>
      <c r="AD426" s="43">
        <f t="shared" si="143"/>
        <v>0</v>
      </c>
      <c r="AE426" s="43">
        <f t="shared" si="144"/>
        <v>0</v>
      </c>
      <c r="AF426" s="51" t="e">
        <f>HLOOKUP(I426,ElecAvoidedCostsWOCC!$A$5:$Q$50,G426+1,FALSE)</f>
        <v>#N/A</v>
      </c>
      <c r="AG426" s="43" t="e">
        <f t="shared" si="145"/>
        <v>#N/A</v>
      </c>
      <c r="AH426" s="51" t="e">
        <f>HLOOKUP(I426,ElecAvoidedCostsWOCC!$A$5:$Q$50,T426+1,FALSE)</f>
        <v>#N/A</v>
      </c>
      <c r="AI426" s="43" t="e">
        <f t="shared" si="146"/>
        <v>#N/A</v>
      </c>
      <c r="AJ426" s="43" t="e">
        <f t="shared" si="147"/>
        <v>#N/A</v>
      </c>
      <c r="AK426" s="43" t="e">
        <f>HLOOKUP(I426,ElecAvoidedCostsWOCC!$A$5:$Q$50,G426+1,FALSE)*J426*L426</f>
        <v>#N/A</v>
      </c>
      <c r="AL426" s="43" t="e">
        <f t="shared" si="148"/>
        <v>#N/A</v>
      </c>
      <c r="AM426" s="47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7">
        <f t="shared" si="149"/>
        <v>0</v>
      </c>
      <c r="AO426" s="46">
        <f t="shared" si="150"/>
        <v>0</v>
      </c>
      <c r="AP426" s="46" t="e">
        <f t="shared" si="151"/>
        <v>#DIV/0!</v>
      </c>
    </row>
    <row r="427" spans="2:42" x14ac:dyDescent="0.25">
      <c r="B427" s="36"/>
      <c r="C427" s="60"/>
      <c r="D427" s="60"/>
      <c r="E427" s="37"/>
      <c r="F427" s="38"/>
      <c r="G427" s="38"/>
      <c r="H427" s="38"/>
      <c r="I427" s="39"/>
      <c r="J427" s="40"/>
      <c r="K427" s="40"/>
      <c r="L427" s="40"/>
      <c r="M427" s="41"/>
      <c r="N427" s="41"/>
      <c r="O427" s="42"/>
      <c r="P427" s="43"/>
      <c r="Q427" s="43"/>
      <c r="R427" s="44"/>
      <c r="S427" s="45"/>
      <c r="T427" s="38">
        <f t="shared" si="133"/>
        <v>0</v>
      </c>
      <c r="U427" s="46">
        <f t="shared" si="134"/>
        <v>0</v>
      </c>
      <c r="V427" s="47">
        <f t="shared" si="135"/>
        <v>0</v>
      </c>
      <c r="W427" s="48">
        <f t="shared" si="136"/>
        <v>0</v>
      </c>
      <c r="X427" s="43">
        <f t="shared" si="137"/>
        <v>0</v>
      </c>
      <c r="Y427" s="43">
        <f t="shared" si="138"/>
        <v>0</v>
      </c>
      <c r="Z427" s="43">
        <f t="shared" si="139"/>
        <v>0</v>
      </c>
      <c r="AA427" s="49">
        <f t="shared" si="140"/>
        <v>0</v>
      </c>
      <c r="AB427" s="50">
        <f t="shared" si="141"/>
        <v>0</v>
      </c>
      <c r="AC427" s="43">
        <f t="shared" si="142"/>
        <v>0</v>
      </c>
      <c r="AD427" s="43">
        <f t="shared" si="143"/>
        <v>0</v>
      </c>
      <c r="AE427" s="43">
        <f t="shared" si="144"/>
        <v>0</v>
      </c>
      <c r="AF427" s="51" t="e">
        <f>HLOOKUP(I427,ElecAvoidedCostsWOCC!$A$5:$Q$50,G427+1,FALSE)</f>
        <v>#N/A</v>
      </c>
      <c r="AG427" s="43" t="e">
        <f t="shared" si="145"/>
        <v>#N/A</v>
      </c>
      <c r="AH427" s="51" t="e">
        <f>HLOOKUP(I427,ElecAvoidedCostsWOCC!$A$5:$Q$50,T427+1,FALSE)</f>
        <v>#N/A</v>
      </c>
      <c r="AI427" s="43" t="e">
        <f t="shared" si="146"/>
        <v>#N/A</v>
      </c>
      <c r="AJ427" s="43" t="e">
        <f t="shared" si="147"/>
        <v>#N/A</v>
      </c>
      <c r="AK427" s="43" t="e">
        <f>HLOOKUP(I427,ElecAvoidedCostsWOCC!$A$5:$Q$50,G427+1,FALSE)*J427*L427</f>
        <v>#N/A</v>
      </c>
      <c r="AL427" s="43" t="e">
        <f t="shared" si="148"/>
        <v>#N/A</v>
      </c>
      <c r="AM427" s="47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7">
        <f t="shared" si="149"/>
        <v>0</v>
      </c>
      <c r="AO427" s="46">
        <f t="shared" si="150"/>
        <v>0</v>
      </c>
      <c r="AP427" s="46" t="e">
        <f t="shared" si="151"/>
        <v>#DIV/0!</v>
      </c>
    </row>
    <row r="428" spans="2:42" x14ac:dyDescent="0.25">
      <c r="B428" s="36"/>
      <c r="C428" s="60"/>
      <c r="D428" s="60"/>
      <c r="E428" s="37"/>
      <c r="F428" s="38"/>
      <c r="G428" s="38"/>
      <c r="H428" s="38"/>
      <c r="I428" s="39"/>
      <c r="J428" s="40"/>
      <c r="K428" s="40"/>
      <c r="L428" s="40"/>
      <c r="M428" s="41"/>
      <c r="N428" s="41"/>
      <c r="O428" s="42"/>
      <c r="P428" s="43"/>
      <c r="Q428" s="43"/>
      <c r="R428" s="44"/>
      <c r="S428" s="45"/>
      <c r="T428" s="38">
        <f t="shared" si="133"/>
        <v>0</v>
      </c>
      <c r="U428" s="46">
        <f t="shared" si="134"/>
        <v>0</v>
      </c>
      <c r="V428" s="47">
        <f t="shared" si="135"/>
        <v>0</v>
      </c>
      <c r="W428" s="48">
        <f t="shared" si="136"/>
        <v>0</v>
      </c>
      <c r="X428" s="43">
        <f t="shared" si="137"/>
        <v>0</v>
      </c>
      <c r="Y428" s="43">
        <f t="shared" si="138"/>
        <v>0</v>
      </c>
      <c r="Z428" s="43">
        <f t="shared" si="139"/>
        <v>0</v>
      </c>
      <c r="AA428" s="49">
        <f t="shared" si="140"/>
        <v>0</v>
      </c>
      <c r="AB428" s="50">
        <f t="shared" si="141"/>
        <v>0</v>
      </c>
      <c r="AC428" s="43">
        <f t="shared" si="142"/>
        <v>0</v>
      </c>
      <c r="AD428" s="43">
        <f t="shared" si="143"/>
        <v>0</v>
      </c>
      <c r="AE428" s="43">
        <f t="shared" si="144"/>
        <v>0</v>
      </c>
      <c r="AF428" s="51" t="e">
        <f>HLOOKUP(I428,ElecAvoidedCostsWOCC!$A$5:$Q$50,G428+1,FALSE)</f>
        <v>#N/A</v>
      </c>
      <c r="AG428" s="43" t="e">
        <f t="shared" si="145"/>
        <v>#N/A</v>
      </c>
      <c r="AH428" s="51" t="e">
        <f>HLOOKUP(I428,ElecAvoidedCostsWOCC!$A$5:$Q$50,T428+1,FALSE)</f>
        <v>#N/A</v>
      </c>
      <c r="AI428" s="43" t="e">
        <f t="shared" si="146"/>
        <v>#N/A</v>
      </c>
      <c r="AJ428" s="43" t="e">
        <f t="shared" si="147"/>
        <v>#N/A</v>
      </c>
      <c r="AK428" s="43" t="e">
        <f>HLOOKUP(I428,ElecAvoidedCostsWOCC!$A$5:$Q$50,G428+1,FALSE)*J428*L428</f>
        <v>#N/A</v>
      </c>
      <c r="AL428" s="43" t="e">
        <f t="shared" si="148"/>
        <v>#N/A</v>
      </c>
      <c r="AM428" s="47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7">
        <f t="shared" si="149"/>
        <v>0</v>
      </c>
      <c r="AO428" s="46">
        <f t="shared" si="150"/>
        <v>0</v>
      </c>
      <c r="AP428" s="46" t="e">
        <f t="shared" si="151"/>
        <v>#DIV/0!</v>
      </c>
    </row>
    <row r="429" spans="2:42" x14ac:dyDescent="0.25">
      <c r="B429" s="36"/>
      <c r="C429" s="60"/>
      <c r="D429" s="60"/>
      <c r="E429" s="37"/>
      <c r="F429" s="38"/>
      <c r="G429" s="38"/>
      <c r="H429" s="38"/>
      <c r="I429" s="39"/>
      <c r="J429" s="40"/>
      <c r="K429" s="40"/>
      <c r="L429" s="40"/>
      <c r="M429" s="41"/>
      <c r="N429" s="41"/>
      <c r="O429" s="42"/>
      <c r="P429" s="43"/>
      <c r="Q429" s="43"/>
      <c r="R429" s="44"/>
      <c r="S429" s="45"/>
      <c r="T429" s="38">
        <f t="shared" si="133"/>
        <v>0</v>
      </c>
      <c r="U429" s="46">
        <f t="shared" si="134"/>
        <v>0</v>
      </c>
      <c r="V429" s="47">
        <f t="shared" si="135"/>
        <v>0</v>
      </c>
      <c r="W429" s="48">
        <f t="shared" si="136"/>
        <v>0</v>
      </c>
      <c r="X429" s="43">
        <f t="shared" si="137"/>
        <v>0</v>
      </c>
      <c r="Y429" s="43">
        <f t="shared" si="138"/>
        <v>0</v>
      </c>
      <c r="Z429" s="43">
        <f t="shared" si="139"/>
        <v>0</v>
      </c>
      <c r="AA429" s="49">
        <f t="shared" si="140"/>
        <v>0</v>
      </c>
      <c r="AB429" s="50">
        <f t="shared" si="141"/>
        <v>0</v>
      </c>
      <c r="AC429" s="43">
        <f t="shared" si="142"/>
        <v>0</v>
      </c>
      <c r="AD429" s="43">
        <f t="shared" si="143"/>
        <v>0</v>
      </c>
      <c r="AE429" s="43">
        <f t="shared" si="144"/>
        <v>0</v>
      </c>
      <c r="AF429" s="51" t="e">
        <f>HLOOKUP(I429,ElecAvoidedCostsWOCC!$A$5:$Q$50,G429+1,FALSE)</f>
        <v>#N/A</v>
      </c>
      <c r="AG429" s="43" t="e">
        <f t="shared" si="145"/>
        <v>#N/A</v>
      </c>
      <c r="AH429" s="51" t="e">
        <f>HLOOKUP(I429,ElecAvoidedCostsWOCC!$A$5:$Q$50,T429+1,FALSE)</f>
        <v>#N/A</v>
      </c>
      <c r="AI429" s="43" t="e">
        <f t="shared" si="146"/>
        <v>#N/A</v>
      </c>
      <c r="AJ429" s="43" t="e">
        <f t="shared" si="147"/>
        <v>#N/A</v>
      </c>
      <c r="AK429" s="43" t="e">
        <f>HLOOKUP(I429,ElecAvoidedCostsWOCC!$A$5:$Q$50,G429+1,FALSE)*J429*L429</f>
        <v>#N/A</v>
      </c>
      <c r="AL429" s="43" t="e">
        <f t="shared" si="148"/>
        <v>#N/A</v>
      </c>
      <c r="AM429" s="47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7">
        <f t="shared" si="149"/>
        <v>0</v>
      </c>
      <c r="AO429" s="46">
        <f t="shared" si="150"/>
        <v>0</v>
      </c>
      <c r="AP429" s="46" t="e">
        <f t="shared" si="151"/>
        <v>#DIV/0!</v>
      </c>
    </row>
    <row r="430" spans="2:42" x14ac:dyDescent="0.25">
      <c r="B430" s="36"/>
      <c r="C430" s="60"/>
      <c r="D430" s="60"/>
      <c r="E430" s="37"/>
      <c r="F430" s="38"/>
      <c r="G430" s="38"/>
      <c r="H430" s="38"/>
      <c r="I430" s="39"/>
      <c r="J430" s="40"/>
      <c r="K430" s="40"/>
      <c r="L430" s="40"/>
      <c r="M430" s="41"/>
      <c r="N430" s="41"/>
      <c r="O430" s="42"/>
      <c r="P430" s="43"/>
      <c r="Q430" s="43"/>
      <c r="R430" s="44"/>
      <c r="S430" s="45"/>
      <c r="T430" s="38">
        <f t="shared" si="133"/>
        <v>0</v>
      </c>
      <c r="U430" s="46">
        <f t="shared" si="134"/>
        <v>0</v>
      </c>
      <c r="V430" s="47">
        <f t="shared" si="135"/>
        <v>0</v>
      </c>
      <c r="W430" s="48">
        <f t="shared" si="136"/>
        <v>0</v>
      </c>
      <c r="X430" s="43">
        <f t="shared" si="137"/>
        <v>0</v>
      </c>
      <c r="Y430" s="43">
        <f t="shared" si="138"/>
        <v>0</v>
      </c>
      <c r="Z430" s="43">
        <f t="shared" si="139"/>
        <v>0</v>
      </c>
      <c r="AA430" s="49">
        <f t="shared" si="140"/>
        <v>0</v>
      </c>
      <c r="AB430" s="50">
        <f t="shared" si="141"/>
        <v>0</v>
      </c>
      <c r="AC430" s="43">
        <f t="shared" si="142"/>
        <v>0</v>
      </c>
      <c r="AD430" s="43">
        <f t="shared" si="143"/>
        <v>0</v>
      </c>
      <c r="AE430" s="43">
        <f t="shared" si="144"/>
        <v>0</v>
      </c>
      <c r="AF430" s="51" t="e">
        <f>HLOOKUP(I430,ElecAvoidedCostsWOCC!$A$5:$Q$50,G430+1,FALSE)</f>
        <v>#N/A</v>
      </c>
      <c r="AG430" s="43" t="e">
        <f t="shared" si="145"/>
        <v>#N/A</v>
      </c>
      <c r="AH430" s="51" t="e">
        <f>HLOOKUP(I430,ElecAvoidedCostsWOCC!$A$5:$Q$50,T430+1,FALSE)</f>
        <v>#N/A</v>
      </c>
      <c r="AI430" s="43" t="e">
        <f t="shared" si="146"/>
        <v>#N/A</v>
      </c>
      <c r="AJ430" s="43" t="e">
        <f t="shared" si="147"/>
        <v>#N/A</v>
      </c>
      <c r="AK430" s="43" t="e">
        <f>HLOOKUP(I430,ElecAvoidedCostsWOCC!$A$5:$Q$50,G430+1,FALSE)*J430*L430</f>
        <v>#N/A</v>
      </c>
      <c r="AL430" s="43" t="e">
        <f t="shared" si="148"/>
        <v>#N/A</v>
      </c>
      <c r="AM430" s="47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7">
        <f t="shared" si="149"/>
        <v>0</v>
      </c>
      <c r="AO430" s="46">
        <f t="shared" si="150"/>
        <v>0</v>
      </c>
      <c r="AP430" s="46" t="e">
        <f t="shared" si="151"/>
        <v>#DIV/0!</v>
      </c>
    </row>
    <row r="431" spans="2:42" x14ac:dyDescent="0.25">
      <c r="B431" s="36"/>
      <c r="C431" s="60"/>
      <c r="D431" s="60"/>
      <c r="E431" s="37"/>
      <c r="F431" s="38"/>
      <c r="G431" s="38"/>
      <c r="H431" s="38"/>
      <c r="I431" s="39"/>
      <c r="J431" s="40"/>
      <c r="K431" s="40"/>
      <c r="L431" s="40"/>
      <c r="M431" s="41"/>
      <c r="N431" s="41"/>
      <c r="O431" s="42"/>
      <c r="P431" s="43"/>
      <c r="Q431" s="43"/>
      <c r="R431" s="44"/>
      <c r="S431" s="45"/>
      <c r="T431" s="38">
        <f t="shared" si="133"/>
        <v>0</v>
      </c>
      <c r="U431" s="46">
        <f t="shared" si="134"/>
        <v>0</v>
      </c>
      <c r="V431" s="47">
        <f t="shared" si="135"/>
        <v>0</v>
      </c>
      <c r="W431" s="48">
        <f t="shared" si="136"/>
        <v>0</v>
      </c>
      <c r="X431" s="43">
        <f t="shared" si="137"/>
        <v>0</v>
      </c>
      <c r="Y431" s="43">
        <f t="shared" si="138"/>
        <v>0</v>
      </c>
      <c r="Z431" s="43">
        <f t="shared" si="139"/>
        <v>0</v>
      </c>
      <c r="AA431" s="49">
        <f t="shared" si="140"/>
        <v>0</v>
      </c>
      <c r="AB431" s="50">
        <f t="shared" si="141"/>
        <v>0</v>
      </c>
      <c r="AC431" s="43">
        <f t="shared" si="142"/>
        <v>0</v>
      </c>
      <c r="AD431" s="43">
        <f t="shared" si="143"/>
        <v>0</v>
      </c>
      <c r="AE431" s="43">
        <f t="shared" si="144"/>
        <v>0</v>
      </c>
      <c r="AF431" s="51" t="e">
        <f>HLOOKUP(I431,ElecAvoidedCostsWOCC!$A$5:$Q$50,G431+1,FALSE)</f>
        <v>#N/A</v>
      </c>
      <c r="AG431" s="43" t="e">
        <f t="shared" si="145"/>
        <v>#N/A</v>
      </c>
      <c r="AH431" s="51" t="e">
        <f>HLOOKUP(I431,ElecAvoidedCostsWOCC!$A$5:$Q$50,T431+1,FALSE)</f>
        <v>#N/A</v>
      </c>
      <c r="AI431" s="43" t="e">
        <f t="shared" si="146"/>
        <v>#N/A</v>
      </c>
      <c r="AJ431" s="43" t="e">
        <f t="shared" si="147"/>
        <v>#N/A</v>
      </c>
      <c r="AK431" s="43" t="e">
        <f>HLOOKUP(I431,ElecAvoidedCostsWOCC!$A$5:$Q$50,G431+1,FALSE)*J431*L431</f>
        <v>#N/A</v>
      </c>
      <c r="AL431" s="43" t="e">
        <f t="shared" si="148"/>
        <v>#N/A</v>
      </c>
      <c r="AM431" s="47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7">
        <f t="shared" si="149"/>
        <v>0</v>
      </c>
      <c r="AO431" s="46">
        <f t="shared" si="150"/>
        <v>0</v>
      </c>
      <c r="AP431" s="46" t="e">
        <f t="shared" si="151"/>
        <v>#DIV/0!</v>
      </c>
    </row>
    <row r="432" spans="2:42" x14ac:dyDescent="0.25">
      <c r="B432" s="36"/>
      <c r="C432" s="60"/>
      <c r="D432" s="60"/>
      <c r="E432" s="37"/>
      <c r="F432" s="38"/>
      <c r="G432" s="38"/>
      <c r="H432" s="38"/>
      <c r="I432" s="39"/>
      <c r="J432" s="40"/>
      <c r="K432" s="40"/>
      <c r="L432" s="40"/>
      <c r="M432" s="41"/>
      <c r="N432" s="41"/>
      <c r="O432" s="42"/>
      <c r="P432" s="43"/>
      <c r="Q432" s="43"/>
      <c r="R432" s="44"/>
      <c r="S432" s="45"/>
      <c r="T432" s="38">
        <f t="shared" si="133"/>
        <v>0</v>
      </c>
      <c r="U432" s="46">
        <f t="shared" si="134"/>
        <v>0</v>
      </c>
      <c r="V432" s="47">
        <f t="shared" si="135"/>
        <v>0</v>
      </c>
      <c r="W432" s="48">
        <f t="shared" si="136"/>
        <v>0</v>
      </c>
      <c r="X432" s="43">
        <f t="shared" si="137"/>
        <v>0</v>
      </c>
      <c r="Y432" s="43">
        <f t="shared" si="138"/>
        <v>0</v>
      </c>
      <c r="Z432" s="43">
        <f t="shared" si="139"/>
        <v>0</v>
      </c>
      <c r="AA432" s="49">
        <f t="shared" si="140"/>
        <v>0</v>
      </c>
      <c r="AB432" s="50">
        <f t="shared" si="141"/>
        <v>0</v>
      </c>
      <c r="AC432" s="43">
        <f t="shared" si="142"/>
        <v>0</v>
      </c>
      <c r="AD432" s="43">
        <f t="shared" si="143"/>
        <v>0</v>
      </c>
      <c r="AE432" s="43">
        <f t="shared" si="144"/>
        <v>0</v>
      </c>
      <c r="AF432" s="51" t="e">
        <f>HLOOKUP(I432,ElecAvoidedCostsWOCC!$A$5:$Q$50,G432+1,FALSE)</f>
        <v>#N/A</v>
      </c>
      <c r="AG432" s="43" t="e">
        <f t="shared" si="145"/>
        <v>#N/A</v>
      </c>
      <c r="AH432" s="51" t="e">
        <f>HLOOKUP(I432,ElecAvoidedCostsWOCC!$A$5:$Q$50,T432+1,FALSE)</f>
        <v>#N/A</v>
      </c>
      <c r="AI432" s="43" t="e">
        <f t="shared" si="146"/>
        <v>#N/A</v>
      </c>
      <c r="AJ432" s="43" t="e">
        <f t="shared" si="147"/>
        <v>#N/A</v>
      </c>
      <c r="AK432" s="43" t="e">
        <f>HLOOKUP(I432,ElecAvoidedCostsWOCC!$A$5:$Q$50,G432+1,FALSE)*J432*L432</f>
        <v>#N/A</v>
      </c>
      <c r="AL432" s="43" t="e">
        <f t="shared" si="148"/>
        <v>#N/A</v>
      </c>
      <c r="AM432" s="47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7">
        <f t="shared" si="149"/>
        <v>0</v>
      </c>
      <c r="AO432" s="46">
        <f t="shared" si="150"/>
        <v>0</v>
      </c>
      <c r="AP432" s="46" t="e">
        <f t="shared" si="151"/>
        <v>#DIV/0!</v>
      </c>
    </row>
    <row r="433" spans="2:42" x14ac:dyDescent="0.25">
      <c r="B433" s="36"/>
      <c r="C433" s="60"/>
      <c r="D433" s="60"/>
      <c r="E433" s="37"/>
      <c r="F433" s="38"/>
      <c r="G433" s="38"/>
      <c r="H433" s="38"/>
      <c r="I433" s="39"/>
      <c r="J433" s="40"/>
      <c r="K433" s="40"/>
      <c r="L433" s="40"/>
      <c r="M433" s="41"/>
      <c r="N433" s="41"/>
      <c r="O433" s="42"/>
      <c r="P433" s="43"/>
      <c r="Q433" s="43"/>
      <c r="R433" s="44"/>
      <c r="S433" s="45"/>
      <c r="T433" s="38">
        <f t="shared" si="133"/>
        <v>0</v>
      </c>
      <c r="U433" s="46">
        <f t="shared" si="134"/>
        <v>0</v>
      </c>
      <c r="V433" s="47">
        <f t="shared" si="135"/>
        <v>0</v>
      </c>
      <c r="W433" s="48">
        <f t="shared" si="136"/>
        <v>0</v>
      </c>
      <c r="X433" s="43">
        <f t="shared" si="137"/>
        <v>0</v>
      </c>
      <c r="Y433" s="43">
        <f t="shared" si="138"/>
        <v>0</v>
      </c>
      <c r="Z433" s="43">
        <f t="shared" si="139"/>
        <v>0</v>
      </c>
      <c r="AA433" s="49">
        <f t="shared" si="140"/>
        <v>0</v>
      </c>
      <c r="AB433" s="50">
        <f t="shared" si="141"/>
        <v>0</v>
      </c>
      <c r="AC433" s="43">
        <f t="shared" si="142"/>
        <v>0</v>
      </c>
      <c r="AD433" s="43">
        <f t="shared" si="143"/>
        <v>0</v>
      </c>
      <c r="AE433" s="43">
        <f t="shared" si="144"/>
        <v>0</v>
      </c>
      <c r="AF433" s="51" t="e">
        <f>HLOOKUP(I433,ElecAvoidedCostsWOCC!$A$5:$Q$50,G433+1,FALSE)</f>
        <v>#N/A</v>
      </c>
      <c r="AG433" s="43" t="e">
        <f t="shared" si="145"/>
        <v>#N/A</v>
      </c>
      <c r="AH433" s="51" t="e">
        <f>HLOOKUP(I433,ElecAvoidedCostsWOCC!$A$5:$Q$50,T433+1,FALSE)</f>
        <v>#N/A</v>
      </c>
      <c r="AI433" s="43" t="e">
        <f t="shared" si="146"/>
        <v>#N/A</v>
      </c>
      <c r="AJ433" s="43" t="e">
        <f t="shared" si="147"/>
        <v>#N/A</v>
      </c>
      <c r="AK433" s="43" t="e">
        <f>HLOOKUP(I433,ElecAvoidedCostsWOCC!$A$5:$Q$50,G433+1,FALSE)*J433*L433</f>
        <v>#N/A</v>
      </c>
      <c r="AL433" s="43" t="e">
        <f t="shared" si="148"/>
        <v>#N/A</v>
      </c>
      <c r="AM433" s="47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7">
        <f t="shared" si="149"/>
        <v>0</v>
      </c>
      <c r="AO433" s="46">
        <f t="shared" si="150"/>
        <v>0</v>
      </c>
      <c r="AP433" s="46" t="e">
        <f t="shared" si="151"/>
        <v>#DIV/0!</v>
      </c>
    </row>
    <row r="434" spans="2:42" x14ac:dyDescent="0.25">
      <c r="B434" s="36"/>
      <c r="C434" s="60"/>
      <c r="D434" s="60"/>
      <c r="E434" s="37"/>
      <c r="F434" s="38"/>
      <c r="G434" s="38"/>
      <c r="H434" s="38"/>
      <c r="I434" s="39"/>
      <c r="J434" s="40"/>
      <c r="K434" s="40"/>
      <c r="L434" s="40"/>
      <c r="M434" s="41"/>
      <c r="N434" s="41"/>
      <c r="O434" s="42"/>
      <c r="P434" s="43"/>
      <c r="Q434" s="43"/>
      <c r="R434" s="44"/>
      <c r="S434" s="45"/>
      <c r="T434" s="38">
        <f t="shared" si="133"/>
        <v>0</v>
      </c>
      <c r="U434" s="46">
        <f t="shared" si="134"/>
        <v>0</v>
      </c>
      <c r="V434" s="47">
        <f t="shared" si="135"/>
        <v>0</v>
      </c>
      <c r="W434" s="48">
        <f t="shared" si="136"/>
        <v>0</v>
      </c>
      <c r="X434" s="43">
        <f t="shared" si="137"/>
        <v>0</v>
      </c>
      <c r="Y434" s="43">
        <f t="shared" si="138"/>
        <v>0</v>
      </c>
      <c r="Z434" s="43">
        <f t="shared" si="139"/>
        <v>0</v>
      </c>
      <c r="AA434" s="49">
        <f t="shared" si="140"/>
        <v>0</v>
      </c>
      <c r="AB434" s="50">
        <f t="shared" si="141"/>
        <v>0</v>
      </c>
      <c r="AC434" s="43">
        <f t="shared" si="142"/>
        <v>0</v>
      </c>
      <c r="AD434" s="43">
        <f t="shared" si="143"/>
        <v>0</v>
      </c>
      <c r="AE434" s="43">
        <f t="shared" si="144"/>
        <v>0</v>
      </c>
      <c r="AF434" s="51" t="e">
        <f>HLOOKUP(I434,ElecAvoidedCostsWOCC!$A$5:$Q$50,G434+1,FALSE)</f>
        <v>#N/A</v>
      </c>
      <c r="AG434" s="43" t="e">
        <f t="shared" si="145"/>
        <v>#N/A</v>
      </c>
      <c r="AH434" s="51" t="e">
        <f>HLOOKUP(I434,ElecAvoidedCostsWOCC!$A$5:$Q$50,T434+1,FALSE)</f>
        <v>#N/A</v>
      </c>
      <c r="AI434" s="43" t="e">
        <f t="shared" si="146"/>
        <v>#N/A</v>
      </c>
      <c r="AJ434" s="43" t="e">
        <f t="shared" si="147"/>
        <v>#N/A</v>
      </c>
      <c r="AK434" s="43" t="e">
        <f>HLOOKUP(I434,ElecAvoidedCostsWOCC!$A$5:$Q$50,G434+1,FALSE)*J434*L434</f>
        <v>#N/A</v>
      </c>
      <c r="AL434" s="43" t="e">
        <f t="shared" si="148"/>
        <v>#N/A</v>
      </c>
      <c r="AM434" s="47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7">
        <f t="shared" si="149"/>
        <v>0</v>
      </c>
      <c r="AO434" s="46">
        <f t="shared" si="150"/>
        <v>0</v>
      </c>
      <c r="AP434" s="46" t="e">
        <f t="shared" si="151"/>
        <v>#DIV/0!</v>
      </c>
    </row>
    <row r="435" spans="2:42" x14ac:dyDescent="0.25">
      <c r="B435" s="36"/>
      <c r="C435" s="60"/>
      <c r="D435" s="60"/>
      <c r="E435" s="37"/>
      <c r="F435" s="38"/>
      <c r="G435" s="38"/>
      <c r="H435" s="38"/>
      <c r="I435" s="39"/>
      <c r="J435" s="40"/>
      <c r="K435" s="40"/>
      <c r="L435" s="40"/>
      <c r="M435" s="41"/>
      <c r="N435" s="41"/>
      <c r="O435" s="42"/>
      <c r="P435" s="43"/>
      <c r="Q435" s="43"/>
      <c r="R435" s="44"/>
      <c r="S435" s="45"/>
      <c r="T435" s="38">
        <f t="shared" si="133"/>
        <v>0</v>
      </c>
      <c r="U435" s="46">
        <f t="shared" si="134"/>
        <v>0</v>
      </c>
      <c r="V435" s="47">
        <f t="shared" si="135"/>
        <v>0</v>
      </c>
      <c r="W435" s="48">
        <f t="shared" si="136"/>
        <v>0</v>
      </c>
      <c r="X435" s="43">
        <f t="shared" si="137"/>
        <v>0</v>
      </c>
      <c r="Y435" s="43">
        <f t="shared" si="138"/>
        <v>0</v>
      </c>
      <c r="Z435" s="43">
        <f t="shared" si="139"/>
        <v>0</v>
      </c>
      <c r="AA435" s="49">
        <f t="shared" si="140"/>
        <v>0</v>
      </c>
      <c r="AB435" s="50">
        <f t="shared" si="141"/>
        <v>0</v>
      </c>
      <c r="AC435" s="43">
        <f t="shared" si="142"/>
        <v>0</v>
      </c>
      <c r="AD435" s="43">
        <f t="shared" si="143"/>
        <v>0</v>
      </c>
      <c r="AE435" s="43">
        <f t="shared" si="144"/>
        <v>0</v>
      </c>
      <c r="AF435" s="51" t="e">
        <f>HLOOKUP(I435,ElecAvoidedCostsWOCC!$A$5:$Q$50,G435+1,FALSE)</f>
        <v>#N/A</v>
      </c>
      <c r="AG435" s="43" t="e">
        <f t="shared" si="145"/>
        <v>#N/A</v>
      </c>
      <c r="AH435" s="51" t="e">
        <f>HLOOKUP(I435,ElecAvoidedCostsWOCC!$A$5:$Q$50,T435+1,FALSE)</f>
        <v>#N/A</v>
      </c>
      <c r="AI435" s="43" t="e">
        <f t="shared" si="146"/>
        <v>#N/A</v>
      </c>
      <c r="AJ435" s="43" t="e">
        <f t="shared" si="147"/>
        <v>#N/A</v>
      </c>
      <c r="AK435" s="43" t="e">
        <f>HLOOKUP(I435,ElecAvoidedCostsWOCC!$A$5:$Q$50,G435+1,FALSE)*J435*L435</f>
        <v>#N/A</v>
      </c>
      <c r="AL435" s="43" t="e">
        <f t="shared" si="148"/>
        <v>#N/A</v>
      </c>
      <c r="AM435" s="47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7">
        <f t="shared" si="149"/>
        <v>0</v>
      </c>
      <c r="AO435" s="46">
        <f t="shared" si="150"/>
        <v>0</v>
      </c>
      <c r="AP435" s="46" t="e">
        <f t="shared" si="151"/>
        <v>#DIV/0!</v>
      </c>
    </row>
    <row r="436" spans="2:42" x14ac:dyDescent="0.25">
      <c r="B436" s="36"/>
      <c r="C436" s="60"/>
      <c r="D436" s="60"/>
      <c r="E436" s="37"/>
      <c r="F436" s="38"/>
      <c r="G436" s="38"/>
      <c r="H436" s="38"/>
      <c r="I436" s="39"/>
      <c r="J436" s="40"/>
      <c r="K436" s="40"/>
      <c r="L436" s="40"/>
      <c r="M436" s="41"/>
      <c r="N436" s="41"/>
      <c r="O436" s="42"/>
      <c r="P436" s="43"/>
      <c r="Q436" s="43"/>
      <c r="R436" s="44"/>
      <c r="S436" s="45"/>
      <c r="T436" s="38">
        <f t="shared" si="133"/>
        <v>0</v>
      </c>
      <c r="U436" s="46">
        <f t="shared" si="134"/>
        <v>0</v>
      </c>
      <c r="V436" s="47">
        <f t="shared" si="135"/>
        <v>0</v>
      </c>
      <c r="W436" s="48">
        <f t="shared" si="136"/>
        <v>0</v>
      </c>
      <c r="X436" s="43">
        <f t="shared" si="137"/>
        <v>0</v>
      </c>
      <c r="Y436" s="43">
        <f t="shared" si="138"/>
        <v>0</v>
      </c>
      <c r="Z436" s="43">
        <f t="shared" si="139"/>
        <v>0</v>
      </c>
      <c r="AA436" s="49">
        <f t="shared" si="140"/>
        <v>0</v>
      </c>
      <c r="AB436" s="50">
        <f t="shared" si="141"/>
        <v>0</v>
      </c>
      <c r="AC436" s="43">
        <f t="shared" si="142"/>
        <v>0</v>
      </c>
      <c r="AD436" s="43">
        <f t="shared" si="143"/>
        <v>0</v>
      </c>
      <c r="AE436" s="43">
        <f t="shared" si="144"/>
        <v>0</v>
      </c>
      <c r="AF436" s="51" t="e">
        <f>HLOOKUP(I436,ElecAvoidedCostsWOCC!$A$5:$Q$50,G436+1,FALSE)</f>
        <v>#N/A</v>
      </c>
      <c r="AG436" s="43" t="e">
        <f t="shared" si="145"/>
        <v>#N/A</v>
      </c>
      <c r="AH436" s="51" t="e">
        <f>HLOOKUP(I436,ElecAvoidedCostsWOCC!$A$5:$Q$50,T436+1,FALSE)</f>
        <v>#N/A</v>
      </c>
      <c r="AI436" s="43" t="e">
        <f t="shared" si="146"/>
        <v>#N/A</v>
      </c>
      <c r="AJ436" s="43" t="e">
        <f t="shared" si="147"/>
        <v>#N/A</v>
      </c>
      <c r="AK436" s="43" t="e">
        <f>HLOOKUP(I436,ElecAvoidedCostsWOCC!$A$5:$Q$50,G436+1,FALSE)*J436*L436</f>
        <v>#N/A</v>
      </c>
      <c r="AL436" s="43" t="e">
        <f t="shared" si="148"/>
        <v>#N/A</v>
      </c>
      <c r="AM436" s="47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7">
        <f t="shared" si="149"/>
        <v>0</v>
      </c>
      <c r="AO436" s="46">
        <f t="shared" si="150"/>
        <v>0</v>
      </c>
      <c r="AP436" s="46" t="e">
        <f t="shared" si="151"/>
        <v>#DIV/0!</v>
      </c>
    </row>
    <row r="437" spans="2:42" x14ac:dyDescent="0.25">
      <c r="B437" s="36"/>
      <c r="C437" s="60"/>
      <c r="D437" s="60"/>
      <c r="E437" s="37"/>
      <c r="F437" s="38"/>
      <c r="G437" s="38"/>
      <c r="H437" s="38"/>
      <c r="I437" s="39"/>
      <c r="J437" s="40"/>
      <c r="K437" s="40"/>
      <c r="L437" s="40"/>
      <c r="M437" s="41"/>
      <c r="N437" s="41"/>
      <c r="O437" s="42"/>
      <c r="P437" s="43"/>
      <c r="Q437" s="43"/>
      <c r="R437" s="44"/>
      <c r="S437" s="45"/>
      <c r="T437" s="38">
        <f t="shared" si="133"/>
        <v>0</v>
      </c>
      <c r="U437" s="46">
        <f t="shared" si="134"/>
        <v>0</v>
      </c>
      <c r="V437" s="47">
        <f t="shared" si="135"/>
        <v>0</v>
      </c>
      <c r="W437" s="48">
        <f t="shared" si="136"/>
        <v>0</v>
      </c>
      <c r="X437" s="43">
        <f t="shared" si="137"/>
        <v>0</v>
      </c>
      <c r="Y437" s="43">
        <f t="shared" si="138"/>
        <v>0</v>
      </c>
      <c r="Z437" s="43">
        <f t="shared" si="139"/>
        <v>0</v>
      </c>
      <c r="AA437" s="49">
        <f t="shared" si="140"/>
        <v>0</v>
      </c>
      <c r="AB437" s="50">
        <f t="shared" si="141"/>
        <v>0</v>
      </c>
      <c r="AC437" s="43">
        <f t="shared" si="142"/>
        <v>0</v>
      </c>
      <c r="AD437" s="43">
        <f t="shared" si="143"/>
        <v>0</v>
      </c>
      <c r="AE437" s="43">
        <f t="shared" si="144"/>
        <v>0</v>
      </c>
      <c r="AF437" s="51" t="e">
        <f>HLOOKUP(I437,ElecAvoidedCostsWOCC!$A$5:$Q$50,G437+1,FALSE)</f>
        <v>#N/A</v>
      </c>
      <c r="AG437" s="43" t="e">
        <f t="shared" si="145"/>
        <v>#N/A</v>
      </c>
      <c r="AH437" s="51" t="e">
        <f>HLOOKUP(I437,ElecAvoidedCostsWOCC!$A$5:$Q$50,T437+1,FALSE)</f>
        <v>#N/A</v>
      </c>
      <c r="AI437" s="43" t="e">
        <f t="shared" si="146"/>
        <v>#N/A</v>
      </c>
      <c r="AJ437" s="43" t="e">
        <f t="shared" si="147"/>
        <v>#N/A</v>
      </c>
      <c r="AK437" s="43" t="e">
        <f>HLOOKUP(I437,ElecAvoidedCostsWOCC!$A$5:$Q$50,G437+1,FALSE)*J437*L437</f>
        <v>#N/A</v>
      </c>
      <c r="AL437" s="43" t="e">
        <f t="shared" si="148"/>
        <v>#N/A</v>
      </c>
      <c r="AM437" s="47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7">
        <f t="shared" si="149"/>
        <v>0</v>
      </c>
      <c r="AO437" s="46">
        <f t="shared" si="150"/>
        <v>0</v>
      </c>
      <c r="AP437" s="46" t="e">
        <f t="shared" si="151"/>
        <v>#DIV/0!</v>
      </c>
    </row>
    <row r="438" spans="2:42" x14ac:dyDescent="0.25">
      <c r="B438" s="36"/>
      <c r="C438" s="60"/>
      <c r="D438" s="60"/>
      <c r="E438" s="37"/>
      <c r="F438" s="38"/>
      <c r="G438" s="38"/>
      <c r="H438" s="38"/>
      <c r="I438" s="39"/>
      <c r="J438" s="40"/>
      <c r="K438" s="40"/>
      <c r="L438" s="40"/>
      <c r="M438" s="41"/>
      <c r="N438" s="41"/>
      <c r="O438" s="42"/>
      <c r="P438" s="43"/>
      <c r="Q438" s="43"/>
      <c r="R438" s="44"/>
      <c r="S438" s="45"/>
      <c r="T438" s="38">
        <f t="shared" si="133"/>
        <v>0</v>
      </c>
      <c r="U438" s="46">
        <f t="shared" si="134"/>
        <v>0</v>
      </c>
      <c r="V438" s="47">
        <f t="shared" si="135"/>
        <v>0</v>
      </c>
      <c r="W438" s="48">
        <f t="shared" si="136"/>
        <v>0</v>
      </c>
      <c r="X438" s="43">
        <f t="shared" si="137"/>
        <v>0</v>
      </c>
      <c r="Y438" s="43">
        <f t="shared" si="138"/>
        <v>0</v>
      </c>
      <c r="Z438" s="43">
        <f t="shared" si="139"/>
        <v>0</v>
      </c>
      <c r="AA438" s="49">
        <f t="shared" si="140"/>
        <v>0</v>
      </c>
      <c r="AB438" s="50">
        <f t="shared" si="141"/>
        <v>0</v>
      </c>
      <c r="AC438" s="43">
        <f t="shared" si="142"/>
        <v>0</v>
      </c>
      <c r="AD438" s="43">
        <f t="shared" si="143"/>
        <v>0</v>
      </c>
      <c r="AE438" s="43">
        <f t="shared" si="144"/>
        <v>0</v>
      </c>
      <c r="AF438" s="51" t="e">
        <f>HLOOKUP(I438,ElecAvoidedCostsWOCC!$A$5:$Q$50,G438+1,FALSE)</f>
        <v>#N/A</v>
      </c>
      <c r="AG438" s="43" t="e">
        <f t="shared" si="145"/>
        <v>#N/A</v>
      </c>
      <c r="AH438" s="51" t="e">
        <f>HLOOKUP(I438,ElecAvoidedCostsWOCC!$A$5:$Q$50,T438+1,FALSE)</f>
        <v>#N/A</v>
      </c>
      <c r="AI438" s="43" t="e">
        <f t="shared" si="146"/>
        <v>#N/A</v>
      </c>
      <c r="AJ438" s="43" t="e">
        <f t="shared" si="147"/>
        <v>#N/A</v>
      </c>
      <c r="AK438" s="43" t="e">
        <f>HLOOKUP(I438,ElecAvoidedCostsWOCC!$A$5:$Q$50,G438+1,FALSE)*J438*L438</f>
        <v>#N/A</v>
      </c>
      <c r="AL438" s="43" t="e">
        <f t="shared" si="148"/>
        <v>#N/A</v>
      </c>
      <c r="AM438" s="47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7">
        <f t="shared" si="149"/>
        <v>0</v>
      </c>
      <c r="AO438" s="46">
        <f t="shared" si="150"/>
        <v>0</v>
      </c>
      <c r="AP438" s="46" t="e">
        <f t="shared" si="151"/>
        <v>#DIV/0!</v>
      </c>
    </row>
    <row r="439" spans="2:42" x14ac:dyDescent="0.25">
      <c r="B439" s="36"/>
      <c r="C439" s="60"/>
      <c r="D439" s="60"/>
      <c r="E439" s="37"/>
      <c r="F439" s="38"/>
      <c r="G439" s="38"/>
      <c r="H439" s="38"/>
      <c r="I439" s="39"/>
      <c r="J439" s="40"/>
      <c r="K439" s="40"/>
      <c r="L439" s="40"/>
      <c r="M439" s="41"/>
      <c r="N439" s="41"/>
      <c r="O439" s="42"/>
      <c r="P439" s="43"/>
      <c r="Q439" s="43"/>
      <c r="R439" s="44"/>
      <c r="S439" s="45"/>
      <c r="T439" s="38">
        <f t="shared" si="133"/>
        <v>0</v>
      </c>
      <c r="U439" s="46">
        <f t="shared" si="134"/>
        <v>0</v>
      </c>
      <c r="V439" s="47">
        <f t="shared" si="135"/>
        <v>0</v>
      </c>
      <c r="W439" s="48">
        <f t="shared" si="136"/>
        <v>0</v>
      </c>
      <c r="X439" s="43">
        <f t="shared" si="137"/>
        <v>0</v>
      </c>
      <c r="Y439" s="43">
        <f t="shared" si="138"/>
        <v>0</v>
      </c>
      <c r="Z439" s="43">
        <f t="shared" si="139"/>
        <v>0</v>
      </c>
      <c r="AA439" s="49">
        <f t="shared" si="140"/>
        <v>0</v>
      </c>
      <c r="AB439" s="50">
        <f t="shared" si="141"/>
        <v>0</v>
      </c>
      <c r="AC439" s="43">
        <f t="shared" si="142"/>
        <v>0</v>
      </c>
      <c r="AD439" s="43">
        <f t="shared" si="143"/>
        <v>0</v>
      </c>
      <c r="AE439" s="43">
        <f t="shared" si="144"/>
        <v>0</v>
      </c>
      <c r="AF439" s="51" t="e">
        <f>HLOOKUP(I439,ElecAvoidedCostsWOCC!$A$5:$Q$50,G439+1,FALSE)</f>
        <v>#N/A</v>
      </c>
      <c r="AG439" s="43" t="e">
        <f t="shared" si="145"/>
        <v>#N/A</v>
      </c>
      <c r="AH439" s="51" t="e">
        <f>HLOOKUP(I439,ElecAvoidedCostsWOCC!$A$5:$Q$50,T439+1,FALSE)</f>
        <v>#N/A</v>
      </c>
      <c r="AI439" s="43" t="e">
        <f t="shared" si="146"/>
        <v>#N/A</v>
      </c>
      <c r="AJ439" s="43" t="e">
        <f t="shared" si="147"/>
        <v>#N/A</v>
      </c>
      <c r="AK439" s="43" t="e">
        <f>HLOOKUP(I439,ElecAvoidedCostsWOCC!$A$5:$Q$50,G439+1,FALSE)*J439*L439</f>
        <v>#N/A</v>
      </c>
      <c r="AL439" s="43" t="e">
        <f t="shared" si="148"/>
        <v>#N/A</v>
      </c>
      <c r="AM439" s="47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7">
        <f t="shared" si="149"/>
        <v>0</v>
      </c>
      <c r="AO439" s="46">
        <f t="shared" si="150"/>
        <v>0</v>
      </c>
      <c r="AP439" s="46" t="e">
        <f t="shared" si="151"/>
        <v>#DIV/0!</v>
      </c>
    </row>
    <row r="440" spans="2:42" x14ac:dyDescent="0.25">
      <c r="B440" s="36"/>
      <c r="C440" s="60"/>
      <c r="D440" s="60"/>
      <c r="E440" s="37"/>
      <c r="F440" s="38"/>
      <c r="G440" s="38"/>
      <c r="H440" s="38"/>
      <c r="I440" s="39"/>
      <c r="J440" s="40"/>
      <c r="K440" s="40"/>
      <c r="L440" s="40"/>
      <c r="M440" s="41"/>
      <c r="N440" s="41"/>
      <c r="O440" s="42"/>
      <c r="P440" s="43"/>
      <c r="Q440" s="43"/>
      <c r="R440" s="44"/>
      <c r="S440" s="45"/>
      <c r="T440" s="38">
        <f t="shared" si="133"/>
        <v>0</v>
      </c>
      <c r="U440" s="46">
        <f t="shared" si="134"/>
        <v>0</v>
      </c>
      <c r="V440" s="47">
        <f t="shared" si="135"/>
        <v>0</v>
      </c>
      <c r="W440" s="48">
        <f t="shared" si="136"/>
        <v>0</v>
      </c>
      <c r="X440" s="43">
        <f t="shared" si="137"/>
        <v>0</v>
      </c>
      <c r="Y440" s="43">
        <f t="shared" si="138"/>
        <v>0</v>
      </c>
      <c r="Z440" s="43">
        <f t="shared" si="139"/>
        <v>0</v>
      </c>
      <c r="AA440" s="49">
        <f t="shared" si="140"/>
        <v>0</v>
      </c>
      <c r="AB440" s="50">
        <f t="shared" si="141"/>
        <v>0</v>
      </c>
      <c r="AC440" s="43">
        <f t="shared" si="142"/>
        <v>0</v>
      </c>
      <c r="AD440" s="43">
        <f t="shared" si="143"/>
        <v>0</v>
      </c>
      <c r="AE440" s="43">
        <f t="shared" si="144"/>
        <v>0</v>
      </c>
      <c r="AF440" s="51" t="e">
        <f>HLOOKUP(I440,ElecAvoidedCostsWOCC!$A$5:$Q$50,G440+1,FALSE)</f>
        <v>#N/A</v>
      </c>
      <c r="AG440" s="43" t="e">
        <f t="shared" si="145"/>
        <v>#N/A</v>
      </c>
      <c r="AH440" s="51" t="e">
        <f>HLOOKUP(I440,ElecAvoidedCostsWOCC!$A$5:$Q$50,T440+1,FALSE)</f>
        <v>#N/A</v>
      </c>
      <c r="AI440" s="43" t="e">
        <f t="shared" si="146"/>
        <v>#N/A</v>
      </c>
      <c r="AJ440" s="43" t="e">
        <f t="shared" si="147"/>
        <v>#N/A</v>
      </c>
      <c r="AK440" s="43" t="e">
        <f>HLOOKUP(I440,ElecAvoidedCostsWOCC!$A$5:$Q$50,G440+1,FALSE)*J440*L440</f>
        <v>#N/A</v>
      </c>
      <c r="AL440" s="43" t="e">
        <f t="shared" si="148"/>
        <v>#N/A</v>
      </c>
      <c r="AM440" s="47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7">
        <f t="shared" si="149"/>
        <v>0</v>
      </c>
      <c r="AO440" s="46">
        <f t="shared" si="150"/>
        <v>0</v>
      </c>
      <c r="AP440" s="46" t="e">
        <f t="shared" si="151"/>
        <v>#DIV/0!</v>
      </c>
    </row>
    <row r="441" spans="2:42" x14ac:dyDescent="0.25">
      <c r="B441" s="36"/>
      <c r="C441" s="60"/>
      <c r="D441" s="60"/>
      <c r="E441" s="37"/>
      <c r="F441" s="38"/>
      <c r="G441" s="38"/>
      <c r="H441" s="38"/>
      <c r="I441" s="39"/>
      <c r="J441" s="40"/>
      <c r="K441" s="40"/>
      <c r="L441" s="40"/>
      <c r="M441" s="41"/>
      <c r="N441" s="41"/>
      <c r="O441" s="42"/>
      <c r="P441" s="43"/>
      <c r="Q441" s="43"/>
      <c r="R441" s="44"/>
      <c r="S441" s="45"/>
      <c r="T441" s="38">
        <f t="shared" si="133"/>
        <v>0</v>
      </c>
      <c r="U441" s="46">
        <f t="shared" si="134"/>
        <v>0</v>
      </c>
      <c r="V441" s="47">
        <f t="shared" si="135"/>
        <v>0</v>
      </c>
      <c r="W441" s="48">
        <f t="shared" si="136"/>
        <v>0</v>
      </c>
      <c r="X441" s="43">
        <f t="shared" si="137"/>
        <v>0</v>
      </c>
      <c r="Y441" s="43">
        <f t="shared" si="138"/>
        <v>0</v>
      </c>
      <c r="Z441" s="43">
        <f t="shared" si="139"/>
        <v>0</v>
      </c>
      <c r="AA441" s="49">
        <f t="shared" si="140"/>
        <v>0</v>
      </c>
      <c r="AB441" s="50">
        <f t="shared" si="141"/>
        <v>0</v>
      </c>
      <c r="AC441" s="43">
        <f t="shared" si="142"/>
        <v>0</v>
      </c>
      <c r="AD441" s="43">
        <f t="shared" si="143"/>
        <v>0</v>
      </c>
      <c r="AE441" s="43">
        <f t="shared" si="144"/>
        <v>0</v>
      </c>
      <c r="AF441" s="51" t="e">
        <f>HLOOKUP(I441,ElecAvoidedCostsWOCC!$A$5:$Q$50,G441+1,FALSE)</f>
        <v>#N/A</v>
      </c>
      <c r="AG441" s="43" t="e">
        <f t="shared" si="145"/>
        <v>#N/A</v>
      </c>
      <c r="AH441" s="51" t="e">
        <f>HLOOKUP(I441,ElecAvoidedCostsWOCC!$A$5:$Q$50,T441+1,FALSE)</f>
        <v>#N/A</v>
      </c>
      <c r="AI441" s="43" t="e">
        <f t="shared" si="146"/>
        <v>#N/A</v>
      </c>
      <c r="AJ441" s="43" t="e">
        <f t="shared" si="147"/>
        <v>#N/A</v>
      </c>
      <c r="AK441" s="43" t="e">
        <f>HLOOKUP(I441,ElecAvoidedCostsWOCC!$A$5:$Q$50,G441+1,FALSE)*J441*L441</f>
        <v>#N/A</v>
      </c>
      <c r="AL441" s="43" t="e">
        <f t="shared" si="148"/>
        <v>#N/A</v>
      </c>
      <c r="AM441" s="47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7">
        <f t="shared" si="149"/>
        <v>0</v>
      </c>
      <c r="AO441" s="46">
        <f t="shared" si="150"/>
        <v>0</v>
      </c>
      <c r="AP441" s="46" t="e">
        <f t="shared" si="151"/>
        <v>#DIV/0!</v>
      </c>
    </row>
    <row r="442" spans="2:42" x14ac:dyDescent="0.25">
      <c r="B442" s="36"/>
      <c r="C442" s="60"/>
      <c r="D442" s="60"/>
      <c r="E442" s="37"/>
      <c r="F442" s="38"/>
      <c r="G442" s="38"/>
      <c r="H442" s="38"/>
      <c r="I442" s="39"/>
      <c r="J442" s="40"/>
      <c r="K442" s="40"/>
      <c r="L442" s="40"/>
      <c r="M442" s="41"/>
      <c r="N442" s="41"/>
      <c r="O442" s="42"/>
      <c r="P442" s="43"/>
      <c r="Q442" s="43"/>
      <c r="R442" s="44"/>
      <c r="S442" s="45"/>
      <c r="T442" s="38">
        <f t="shared" si="133"/>
        <v>0</v>
      </c>
      <c r="U442" s="46">
        <f t="shared" si="134"/>
        <v>0</v>
      </c>
      <c r="V442" s="47">
        <f t="shared" si="135"/>
        <v>0</v>
      </c>
      <c r="W442" s="48">
        <f t="shared" si="136"/>
        <v>0</v>
      </c>
      <c r="X442" s="43">
        <f t="shared" si="137"/>
        <v>0</v>
      </c>
      <c r="Y442" s="43">
        <f t="shared" si="138"/>
        <v>0</v>
      </c>
      <c r="Z442" s="43">
        <f t="shared" si="139"/>
        <v>0</v>
      </c>
      <c r="AA442" s="49">
        <f t="shared" si="140"/>
        <v>0</v>
      </c>
      <c r="AB442" s="50">
        <f t="shared" si="141"/>
        <v>0</v>
      </c>
      <c r="AC442" s="43">
        <f t="shared" si="142"/>
        <v>0</v>
      </c>
      <c r="AD442" s="43">
        <f t="shared" si="143"/>
        <v>0</v>
      </c>
      <c r="AE442" s="43">
        <f t="shared" si="144"/>
        <v>0</v>
      </c>
      <c r="AF442" s="51" t="e">
        <f>HLOOKUP(I442,ElecAvoidedCostsWOCC!$A$5:$Q$50,G442+1,FALSE)</f>
        <v>#N/A</v>
      </c>
      <c r="AG442" s="43" t="e">
        <f t="shared" si="145"/>
        <v>#N/A</v>
      </c>
      <c r="AH442" s="51" t="e">
        <f>HLOOKUP(I442,ElecAvoidedCostsWOCC!$A$5:$Q$50,T442+1,FALSE)</f>
        <v>#N/A</v>
      </c>
      <c r="AI442" s="43" t="e">
        <f t="shared" si="146"/>
        <v>#N/A</v>
      </c>
      <c r="AJ442" s="43" t="e">
        <f t="shared" si="147"/>
        <v>#N/A</v>
      </c>
      <c r="AK442" s="43" t="e">
        <f>HLOOKUP(I442,ElecAvoidedCostsWOCC!$A$5:$Q$50,G442+1,FALSE)*J442*L442</f>
        <v>#N/A</v>
      </c>
      <c r="AL442" s="43" t="e">
        <f t="shared" si="148"/>
        <v>#N/A</v>
      </c>
      <c r="AM442" s="47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7">
        <f t="shared" si="149"/>
        <v>0</v>
      </c>
      <c r="AO442" s="46">
        <f t="shared" si="150"/>
        <v>0</v>
      </c>
      <c r="AP442" s="46" t="e">
        <f t="shared" si="151"/>
        <v>#DIV/0!</v>
      </c>
    </row>
    <row r="443" spans="2:42" x14ac:dyDescent="0.25">
      <c r="B443" s="36"/>
      <c r="C443" s="60"/>
      <c r="D443" s="60"/>
      <c r="E443" s="37"/>
      <c r="F443" s="38"/>
      <c r="G443" s="38"/>
      <c r="H443" s="38"/>
      <c r="I443" s="39"/>
      <c r="J443" s="40"/>
      <c r="K443" s="40"/>
      <c r="L443" s="40"/>
      <c r="M443" s="41"/>
      <c r="N443" s="41"/>
      <c r="O443" s="42"/>
      <c r="P443" s="43"/>
      <c r="Q443" s="43"/>
      <c r="R443" s="44"/>
      <c r="S443" s="45"/>
      <c r="T443" s="38">
        <f t="shared" si="133"/>
        <v>0</v>
      </c>
      <c r="U443" s="46">
        <f t="shared" si="134"/>
        <v>0</v>
      </c>
      <c r="V443" s="47">
        <f t="shared" si="135"/>
        <v>0</v>
      </c>
      <c r="W443" s="48">
        <f t="shared" si="136"/>
        <v>0</v>
      </c>
      <c r="X443" s="43">
        <f t="shared" si="137"/>
        <v>0</v>
      </c>
      <c r="Y443" s="43">
        <f t="shared" si="138"/>
        <v>0</v>
      </c>
      <c r="Z443" s="43">
        <f t="shared" si="139"/>
        <v>0</v>
      </c>
      <c r="AA443" s="49">
        <f t="shared" si="140"/>
        <v>0</v>
      </c>
      <c r="AB443" s="50">
        <f t="shared" si="141"/>
        <v>0</v>
      </c>
      <c r="AC443" s="43">
        <f t="shared" si="142"/>
        <v>0</v>
      </c>
      <c r="AD443" s="43">
        <f t="shared" si="143"/>
        <v>0</v>
      </c>
      <c r="AE443" s="43">
        <f t="shared" si="144"/>
        <v>0</v>
      </c>
      <c r="AF443" s="51" t="e">
        <f>HLOOKUP(I443,ElecAvoidedCostsWOCC!$A$5:$Q$50,G443+1,FALSE)</f>
        <v>#N/A</v>
      </c>
      <c r="AG443" s="43" t="e">
        <f t="shared" si="145"/>
        <v>#N/A</v>
      </c>
      <c r="AH443" s="51" t="e">
        <f>HLOOKUP(I443,ElecAvoidedCostsWOCC!$A$5:$Q$50,T443+1,FALSE)</f>
        <v>#N/A</v>
      </c>
      <c r="AI443" s="43" t="e">
        <f t="shared" si="146"/>
        <v>#N/A</v>
      </c>
      <c r="AJ443" s="43" t="e">
        <f t="shared" si="147"/>
        <v>#N/A</v>
      </c>
      <c r="AK443" s="43" t="e">
        <f>HLOOKUP(I443,ElecAvoidedCostsWOCC!$A$5:$Q$50,G443+1,FALSE)*J443*L443</f>
        <v>#N/A</v>
      </c>
      <c r="AL443" s="43" t="e">
        <f t="shared" si="148"/>
        <v>#N/A</v>
      </c>
      <c r="AM443" s="47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7">
        <f t="shared" si="149"/>
        <v>0</v>
      </c>
      <c r="AO443" s="46">
        <f t="shared" si="150"/>
        <v>0</v>
      </c>
      <c r="AP443" s="46" t="e">
        <f t="shared" si="151"/>
        <v>#DIV/0!</v>
      </c>
    </row>
    <row r="444" spans="2:42" x14ac:dyDescent="0.25">
      <c r="B444" s="36"/>
      <c r="C444" s="60"/>
      <c r="D444" s="60"/>
      <c r="E444" s="37"/>
      <c r="F444" s="38"/>
      <c r="G444" s="38"/>
      <c r="H444" s="38"/>
      <c r="I444" s="39"/>
      <c r="J444" s="40"/>
      <c r="K444" s="40"/>
      <c r="L444" s="40"/>
      <c r="M444" s="41"/>
      <c r="N444" s="41"/>
      <c r="O444" s="42"/>
      <c r="P444" s="43"/>
      <c r="Q444" s="43"/>
      <c r="R444" s="44"/>
      <c r="S444" s="45"/>
      <c r="T444" s="38">
        <f t="shared" si="133"/>
        <v>0</v>
      </c>
      <c r="U444" s="46">
        <f t="shared" si="134"/>
        <v>0</v>
      </c>
      <c r="V444" s="47">
        <f t="shared" si="135"/>
        <v>0</v>
      </c>
      <c r="W444" s="48">
        <f t="shared" si="136"/>
        <v>0</v>
      </c>
      <c r="X444" s="43">
        <f t="shared" si="137"/>
        <v>0</v>
      </c>
      <c r="Y444" s="43">
        <f t="shared" si="138"/>
        <v>0</v>
      </c>
      <c r="Z444" s="43">
        <f t="shared" si="139"/>
        <v>0</v>
      </c>
      <c r="AA444" s="49">
        <f t="shared" si="140"/>
        <v>0</v>
      </c>
      <c r="AB444" s="50">
        <f t="shared" si="141"/>
        <v>0</v>
      </c>
      <c r="AC444" s="43">
        <f t="shared" si="142"/>
        <v>0</v>
      </c>
      <c r="AD444" s="43">
        <f t="shared" si="143"/>
        <v>0</v>
      </c>
      <c r="AE444" s="43">
        <f t="shared" si="144"/>
        <v>0</v>
      </c>
      <c r="AF444" s="51" t="e">
        <f>HLOOKUP(I444,ElecAvoidedCostsWOCC!$A$5:$Q$50,G444+1,FALSE)</f>
        <v>#N/A</v>
      </c>
      <c r="AG444" s="43" t="e">
        <f t="shared" si="145"/>
        <v>#N/A</v>
      </c>
      <c r="AH444" s="51" t="e">
        <f>HLOOKUP(I444,ElecAvoidedCostsWOCC!$A$5:$Q$50,T444+1,FALSE)</f>
        <v>#N/A</v>
      </c>
      <c r="AI444" s="43" t="e">
        <f t="shared" si="146"/>
        <v>#N/A</v>
      </c>
      <c r="AJ444" s="43" t="e">
        <f t="shared" si="147"/>
        <v>#N/A</v>
      </c>
      <c r="AK444" s="43" t="e">
        <f>HLOOKUP(I444,ElecAvoidedCostsWOCC!$A$5:$Q$50,G444+1,FALSE)*J444*L444</f>
        <v>#N/A</v>
      </c>
      <c r="AL444" s="43" t="e">
        <f t="shared" si="148"/>
        <v>#N/A</v>
      </c>
      <c r="AM444" s="47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7">
        <f t="shared" si="149"/>
        <v>0</v>
      </c>
      <c r="AO444" s="46">
        <f t="shared" si="150"/>
        <v>0</v>
      </c>
      <c r="AP444" s="46" t="e">
        <f t="shared" si="151"/>
        <v>#DIV/0!</v>
      </c>
    </row>
    <row r="445" spans="2:42" x14ac:dyDescent="0.25">
      <c r="B445" s="36"/>
      <c r="C445" s="60"/>
      <c r="D445" s="60"/>
      <c r="E445" s="37"/>
      <c r="F445" s="38"/>
      <c r="G445" s="38"/>
      <c r="H445" s="38"/>
      <c r="I445" s="39"/>
      <c r="J445" s="40"/>
      <c r="K445" s="40"/>
      <c r="L445" s="40"/>
      <c r="M445" s="41"/>
      <c r="N445" s="41"/>
      <c r="O445" s="42"/>
      <c r="P445" s="43"/>
      <c r="Q445" s="43"/>
      <c r="R445" s="44"/>
      <c r="S445" s="45"/>
      <c r="T445" s="38">
        <f t="shared" si="133"/>
        <v>0</v>
      </c>
      <c r="U445" s="46">
        <f t="shared" si="134"/>
        <v>0</v>
      </c>
      <c r="V445" s="47">
        <f t="shared" si="135"/>
        <v>0</v>
      </c>
      <c r="W445" s="48">
        <f t="shared" si="136"/>
        <v>0</v>
      </c>
      <c r="X445" s="43">
        <f t="shared" si="137"/>
        <v>0</v>
      </c>
      <c r="Y445" s="43">
        <f t="shared" si="138"/>
        <v>0</v>
      </c>
      <c r="Z445" s="43">
        <f t="shared" si="139"/>
        <v>0</v>
      </c>
      <c r="AA445" s="49">
        <f t="shared" si="140"/>
        <v>0</v>
      </c>
      <c r="AB445" s="50">
        <f t="shared" si="141"/>
        <v>0</v>
      </c>
      <c r="AC445" s="43">
        <f t="shared" si="142"/>
        <v>0</v>
      </c>
      <c r="AD445" s="43">
        <f t="shared" si="143"/>
        <v>0</v>
      </c>
      <c r="AE445" s="43">
        <f t="shared" si="144"/>
        <v>0</v>
      </c>
      <c r="AF445" s="51" t="e">
        <f>HLOOKUP(I445,ElecAvoidedCostsWOCC!$A$5:$Q$50,G445+1,FALSE)</f>
        <v>#N/A</v>
      </c>
      <c r="AG445" s="43" t="e">
        <f t="shared" si="145"/>
        <v>#N/A</v>
      </c>
      <c r="AH445" s="51" t="e">
        <f>HLOOKUP(I445,ElecAvoidedCostsWOCC!$A$5:$Q$50,T445+1,FALSE)</f>
        <v>#N/A</v>
      </c>
      <c r="AI445" s="43" t="e">
        <f t="shared" si="146"/>
        <v>#N/A</v>
      </c>
      <c r="AJ445" s="43" t="e">
        <f t="shared" si="147"/>
        <v>#N/A</v>
      </c>
      <c r="AK445" s="43" t="e">
        <f>HLOOKUP(I445,ElecAvoidedCostsWOCC!$A$5:$Q$50,G445+1,FALSE)*J445*L445</f>
        <v>#N/A</v>
      </c>
      <c r="AL445" s="43" t="e">
        <f t="shared" si="148"/>
        <v>#N/A</v>
      </c>
      <c r="AM445" s="47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7">
        <f t="shared" si="149"/>
        <v>0</v>
      </c>
      <c r="AO445" s="46">
        <f t="shared" si="150"/>
        <v>0</v>
      </c>
      <c r="AP445" s="46" t="e">
        <f t="shared" si="151"/>
        <v>#DIV/0!</v>
      </c>
    </row>
    <row r="446" spans="2:42" x14ac:dyDescent="0.25">
      <c r="B446" s="36"/>
      <c r="C446" s="60"/>
      <c r="D446" s="60"/>
      <c r="E446" s="37"/>
      <c r="F446" s="38"/>
      <c r="G446" s="38"/>
      <c r="H446" s="38"/>
      <c r="I446" s="39"/>
      <c r="J446" s="40"/>
      <c r="K446" s="40"/>
      <c r="L446" s="40"/>
      <c r="M446" s="41"/>
      <c r="N446" s="41"/>
      <c r="O446" s="42"/>
      <c r="P446" s="43"/>
      <c r="Q446" s="43"/>
      <c r="R446" s="44"/>
      <c r="S446" s="45"/>
      <c r="T446" s="38">
        <f t="shared" si="133"/>
        <v>0</v>
      </c>
      <c r="U446" s="46">
        <f t="shared" si="134"/>
        <v>0</v>
      </c>
      <c r="V446" s="47">
        <f t="shared" si="135"/>
        <v>0</v>
      </c>
      <c r="W446" s="48">
        <f t="shared" si="136"/>
        <v>0</v>
      </c>
      <c r="X446" s="43">
        <f t="shared" si="137"/>
        <v>0</v>
      </c>
      <c r="Y446" s="43">
        <f t="shared" si="138"/>
        <v>0</v>
      </c>
      <c r="Z446" s="43">
        <f t="shared" si="139"/>
        <v>0</v>
      </c>
      <c r="AA446" s="49">
        <f t="shared" si="140"/>
        <v>0</v>
      </c>
      <c r="AB446" s="50">
        <f t="shared" si="141"/>
        <v>0</v>
      </c>
      <c r="AC446" s="43">
        <f t="shared" si="142"/>
        <v>0</v>
      </c>
      <c r="AD446" s="43">
        <f t="shared" si="143"/>
        <v>0</v>
      </c>
      <c r="AE446" s="43">
        <f t="shared" si="144"/>
        <v>0</v>
      </c>
      <c r="AF446" s="51" t="e">
        <f>HLOOKUP(I446,ElecAvoidedCostsWOCC!$A$5:$Q$50,G446+1,FALSE)</f>
        <v>#N/A</v>
      </c>
      <c r="AG446" s="43" t="e">
        <f t="shared" si="145"/>
        <v>#N/A</v>
      </c>
      <c r="AH446" s="51" t="e">
        <f>HLOOKUP(I446,ElecAvoidedCostsWOCC!$A$5:$Q$50,T446+1,FALSE)</f>
        <v>#N/A</v>
      </c>
      <c r="AI446" s="43" t="e">
        <f t="shared" si="146"/>
        <v>#N/A</v>
      </c>
      <c r="AJ446" s="43" t="e">
        <f t="shared" si="147"/>
        <v>#N/A</v>
      </c>
      <c r="AK446" s="43" t="e">
        <f>HLOOKUP(I446,ElecAvoidedCostsWOCC!$A$5:$Q$50,G446+1,FALSE)*J446*L446</f>
        <v>#N/A</v>
      </c>
      <c r="AL446" s="43" t="e">
        <f t="shared" si="148"/>
        <v>#N/A</v>
      </c>
      <c r="AM446" s="47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7">
        <f t="shared" si="149"/>
        <v>0</v>
      </c>
      <c r="AO446" s="46">
        <f t="shared" si="150"/>
        <v>0</v>
      </c>
      <c r="AP446" s="46" t="e">
        <f t="shared" si="151"/>
        <v>#DIV/0!</v>
      </c>
    </row>
    <row r="447" spans="2:42" x14ac:dyDescent="0.25">
      <c r="B447" s="36"/>
      <c r="C447" s="60"/>
      <c r="D447" s="60"/>
      <c r="E447" s="37"/>
      <c r="F447" s="38"/>
      <c r="G447" s="38"/>
      <c r="H447" s="38"/>
      <c r="I447" s="39"/>
      <c r="J447" s="40"/>
      <c r="K447" s="40"/>
      <c r="L447" s="40"/>
      <c r="M447" s="41"/>
      <c r="N447" s="41"/>
      <c r="O447" s="42"/>
      <c r="P447" s="43"/>
      <c r="Q447" s="43"/>
      <c r="R447" s="44"/>
      <c r="S447" s="45"/>
      <c r="T447" s="38">
        <f t="shared" si="133"/>
        <v>0</v>
      </c>
      <c r="U447" s="46">
        <f t="shared" si="134"/>
        <v>0</v>
      </c>
      <c r="V447" s="47">
        <f t="shared" si="135"/>
        <v>0</v>
      </c>
      <c r="W447" s="48">
        <f t="shared" si="136"/>
        <v>0</v>
      </c>
      <c r="X447" s="43">
        <f t="shared" si="137"/>
        <v>0</v>
      </c>
      <c r="Y447" s="43">
        <f t="shared" si="138"/>
        <v>0</v>
      </c>
      <c r="Z447" s="43">
        <f t="shared" si="139"/>
        <v>0</v>
      </c>
      <c r="AA447" s="49">
        <f t="shared" si="140"/>
        <v>0</v>
      </c>
      <c r="AB447" s="50">
        <f t="shared" si="141"/>
        <v>0</v>
      </c>
      <c r="AC447" s="43">
        <f t="shared" si="142"/>
        <v>0</v>
      </c>
      <c r="AD447" s="43">
        <f t="shared" si="143"/>
        <v>0</v>
      </c>
      <c r="AE447" s="43">
        <f t="shared" si="144"/>
        <v>0</v>
      </c>
      <c r="AF447" s="51" t="e">
        <f>HLOOKUP(I447,ElecAvoidedCostsWOCC!$A$5:$Q$50,G447+1,FALSE)</f>
        <v>#N/A</v>
      </c>
      <c r="AG447" s="43" t="e">
        <f t="shared" si="145"/>
        <v>#N/A</v>
      </c>
      <c r="AH447" s="51" t="e">
        <f>HLOOKUP(I447,ElecAvoidedCostsWOCC!$A$5:$Q$50,T447+1,FALSE)</f>
        <v>#N/A</v>
      </c>
      <c r="AI447" s="43" t="e">
        <f t="shared" si="146"/>
        <v>#N/A</v>
      </c>
      <c r="AJ447" s="43" t="e">
        <f t="shared" si="147"/>
        <v>#N/A</v>
      </c>
      <c r="AK447" s="43" t="e">
        <f>HLOOKUP(I447,ElecAvoidedCostsWOCC!$A$5:$Q$50,G447+1,FALSE)*J447*L447</f>
        <v>#N/A</v>
      </c>
      <c r="AL447" s="43" t="e">
        <f t="shared" si="148"/>
        <v>#N/A</v>
      </c>
      <c r="AM447" s="47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7">
        <f t="shared" si="149"/>
        <v>0</v>
      </c>
      <c r="AO447" s="46">
        <f t="shared" si="150"/>
        <v>0</v>
      </c>
      <c r="AP447" s="46" t="e">
        <f t="shared" si="151"/>
        <v>#DIV/0!</v>
      </c>
    </row>
    <row r="448" spans="2:42" x14ac:dyDescent="0.25">
      <c r="B448" s="36"/>
      <c r="C448" s="60"/>
      <c r="D448" s="60"/>
      <c r="E448" s="37"/>
      <c r="F448" s="38"/>
      <c r="G448" s="38"/>
      <c r="H448" s="38"/>
      <c r="I448" s="39"/>
      <c r="J448" s="40"/>
      <c r="K448" s="40"/>
      <c r="L448" s="40"/>
      <c r="M448" s="41"/>
      <c r="N448" s="41"/>
      <c r="O448" s="42"/>
      <c r="P448" s="43"/>
      <c r="Q448" s="43"/>
      <c r="R448" s="44"/>
      <c r="S448" s="45"/>
      <c r="T448" s="38">
        <f t="shared" si="133"/>
        <v>0</v>
      </c>
      <c r="U448" s="46">
        <f t="shared" si="134"/>
        <v>0</v>
      </c>
      <c r="V448" s="47">
        <f t="shared" si="135"/>
        <v>0</v>
      </c>
      <c r="W448" s="48">
        <f t="shared" si="136"/>
        <v>0</v>
      </c>
      <c r="X448" s="43">
        <f t="shared" si="137"/>
        <v>0</v>
      </c>
      <c r="Y448" s="43">
        <f t="shared" si="138"/>
        <v>0</v>
      </c>
      <c r="Z448" s="43">
        <f t="shared" si="139"/>
        <v>0</v>
      </c>
      <c r="AA448" s="49">
        <f t="shared" si="140"/>
        <v>0</v>
      </c>
      <c r="AB448" s="50">
        <f t="shared" si="141"/>
        <v>0</v>
      </c>
      <c r="AC448" s="43">
        <f t="shared" si="142"/>
        <v>0</v>
      </c>
      <c r="AD448" s="43">
        <f t="shared" si="143"/>
        <v>0</v>
      </c>
      <c r="AE448" s="43">
        <f t="shared" si="144"/>
        <v>0</v>
      </c>
      <c r="AF448" s="51" t="e">
        <f>HLOOKUP(I448,ElecAvoidedCostsWOCC!$A$5:$Q$50,G448+1,FALSE)</f>
        <v>#N/A</v>
      </c>
      <c r="AG448" s="43" t="e">
        <f t="shared" si="145"/>
        <v>#N/A</v>
      </c>
      <c r="AH448" s="51" t="e">
        <f>HLOOKUP(I448,ElecAvoidedCostsWOCC!$A$5:$Q$50,T448+1,FALSE)</f>
        <v>#N/A</v>
      </c>
      <c r="AI448" s="43" t="e">
        <f t="shared" si="146"/>
        <v>#N/A</v>
      </c>
      <c r="AJ448" s="43" t="e">
        <f t="shared" si="147"/>
        <v>#N/A</v>
      </c>
      <c r="AK448" s="43" t="e">
        <f>HLOOKUP(I448,ElecAvoidedCostsWOCC!$A$5:$Q$50,G448+1,FALSE)*J448*L448</f>
        <v>#N/A</v>
      </c>
      <c r="AL448" s="43" t="e">
        <f t="shared" si="148"/>
        <v>#N/A</v>
      </c>
      <c r="AM448" s="47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7">
        <f t="shared" si="149"/>
        <v>0</v>
      </c>
      <c r="AO448" s="46">
        <f t="shared" si="150"/>
        <v>0</v>
      </c>
      <c r="AP448" s="46" t="e">
        <f t="shared" si="151"/>
        <v>#DIV/0!</v>
      </c>
    </row>
    <row r="449" spans="2:42" x14ac:dyDescent="0.25">
      <c r="B449" s="36"/>
      <c r="C449" s="60"/>
      <c r="D449" s="60"/>
      <c r="E449" s="37"/>
      <c r="F449" s="38"/>
      <c r="G449" s="38"/>
      <c r="H449" s="38"/>
      <c r="I449" s="39"/>
      <c r="J449" s="40"/>
      <c r="K449" s="40"/>
      <c r="L449" s="40"/>
      <c r="M449" s="41"/>
      <c r="N449" s="41"/>
      <c r="O449" s="42"/>
      <c r="P449" s="43"/>
      <c r="Q449" s="43"/>
      <c r="R449" s="44"/>
      <c r="S449" s="45"/>
      <c r="T449" s="38">
        <f t="shared" si="133"/>
        <v>0</v>
      </c>
      <c r="U449" s="46">
        <f t="shared" si="134"/>
        <v>0</v>
      </c>
      <c r="V449" s="47">
        <f t="shared" si="135"/>
        <v>0</v>
      </c>
      <c r="W449" s="48">
        <f t="shared" si="136"/>
        <v>0</v>
      </c>
      <c r="X449" s="43">
        <f t="shared" si="137"/>
        <v>0</v>
      </c>
      <c r="Y449" s="43">
        <f t="shared" si="138"/>
        <v>0</v>
      </c>
      <c r="Z449" s="43">
        <f t="shared" si="139"/>
        <v>0</v>
      </c>
      <c r="AA449" s="49">
        <f t="shared" si="140"/>
        <v>0</v>
      </c>
      <c r="AB449" s="50">
        <f t="shared" si="141"/>
        <v>0</v>
      </c>
      <c r="AC449" s="43">
        <f t="shared" si="142"/>
        <v>0</v>
      </c>
      <c r="AD449" s="43">
        <f t="shared" si="143"/>
        <v>0</v>
      </c>
      <c r="AE449" s="43">
        <f t="shared" si="144"/>
        <v>0</v>
      </c>
      <c r="AF449" s="51" t="e">
        <f>HLOOKUP(I449,ElecAvoidedCostsWOCC!$A$5:$Q$50,G449+1,FALSE)</f>
        <v>#N/A</v>
      </c>
      <c r="AG449" s="43" t="e">
        <f t="shared" si="145"/>
        <v>#N/A</v>
      </c>
      <c r="AH449" s="51" t="e">
        <f>HLOOKUP(I449,ElecAvoidedCostsWOCC!$A$5:$Q$50,T449+1,FALSE)</f>
        <v>#N/A</v>
      </c>
      <c r="AI449" s="43" t="e">
        <f t="shared" si="146"/>
        <v>#N/A</v>
      </c>
      <c r="AJ449" s="43" t="e">
        <f t="shared" si="147"/>
        <v>#N/A</v>
      </c>
      <c r="AK449" s="43" t="e">
        <f>HLOOKUP(I449,ElecAvoidedCostsWOCC!$A$5:$Q$50,G449+1,FALSE)*J449*L449</f>
        <v>#N/A</v>
      </c>
      <c r="AL449" s="43" t="e">
        <f t="shared" si="148"/>
        <v>#N/A</v>
      </c>
      <c r="AM449" s="47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7">
        <f t="shared" si="149"/>
        <v>0</v>
      </c>
      <c r="AO449" s="46">
        <f t="shared" si="150"/>
        <v>0</v>
      </c>
      <c r="AP449" s="46" t="e">
        <f t="shared" si="151"/>
        <v>#DIV/0!</v>
      </c>
    </row>
    <row r="450" spans="2:42" x14ac:dyDescent="0.25">
      <c r="B450" s="36"/>
      <c r="C450" s="60"/>
      <c r="D450" s="60"/>
      <c r="E450" s="37"/>
      <c r="F450" s="38"/>
      <c r="G450" s="38"/>
      <c r="H450" s="38"/>
      <c r="I450" s="39"/>
      <c r="J450" s="40"/>
      <c r="K450" s="40"/>
      <c r="L450" s="40"/>
      <c r="M450" s="41"/>
      <c r="N450" s="41"/>
      <c r="O450" s="42"/>
      <c r="P450" s="43"/>
      <c r="Q450" s="43"/>
      <c r="R450" s="44"/>
      <c r="S450" s="45"/>
      <c r="T450" s="38">
        <f t="shared" si="133"/>
        <v>0</v>
      </c>
      <c r="U450" s="46">
        <f t="shared" si="134"/>
        <v>0</v>
      </c>
      <c r="V450" s="47">
        <f t="shared" si="135"/>
        <v>0</v>
      </c>
      <c r="W450" s="48">
        <f t="shared" si="136"/>
        <v>0</v>
      </c>
      <c r="X450" s="43">
        <f t="shared" si="137"/>
        <v>0</v>
      </c>
      <c r="Y450" s="43">
        <f t="shared" si="138"/>
        <v>0</v>
      </c>
      <c r="Z450" s="43">
        <f t="shared" si="139"/>
        <v>0</v>
      </c>
      <c r="AA450" s="49">
        <f t="shared" si="140"/>
        <v>0</v>
      </c>
      <c r="AB450" s="50">
        <f t="shared" si="141"/>
        <v>0</v>
      </c>
      <c r="AC450" s="43">
        <f t="shared" si="142"/>
        <v>0</v>
      </c>
      <c r="AD450" s="43">
        <f t="shared" si="143"/>
        <v>0</v>
      </c>
      <c r="AE450" s="43">
        <f t="shared" si="144"/>
        <v>0</v>
      </c>
      <c r="AF450" s="51" t="e">
        <f>HLOOKUP(I450,ElecAvoidedCostsWOCC!$A$5:$Q$50,G450+1,FALSE)</f>
        <v>#N/A</v>
      </c>
      <c r="AG450" s="43" t="e">
        <f t="shared" si="145"/>
        <v>#N/A</v>
      </c>
      <c r="AH450" s="51" t="e">
        <f>HLOOKUP(I450,ElecAvoidedCostsWOCC!$A$5:$Q$50,T450+1,FALSE)</f>
        <v>#N/A</v>
      </c>
      <c r="AI450" s="43" t="e">
        <f t="shared" si="146"/>
        <v>#N/A</v>
      </c>
      <c r="AJ450" s="43" t="e">
        <f t="shared" si="147"/>
        <v>#N/A</v>
      </c>
      <c r="AK450" s="43" t="e">
        <f>HLOOKUP(I450,ElecAvoidedCostsWOCC!$A$5:$Q$50,G450+1,FALSE)*J450*L450</f>
        <v>#N/A</v>
      </c>
      <c r="AL450" s="43" t="e">
        <f t="shared" si="148"/>
        <v>#N/A</v>
      </c>
      <c r="AM450" s="47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7">
        <f t="shared" si="149"/>
        <v>0</v>
      </c>
      <c r="AO450" s="46">
        <f t="shared" si="150"/>
        <v>0</v>
      </c>
      <c r="AP450" s="46" t="e">
        <f t="shared" si="151"/>
        <v>#DIV/0!</v>
      </c>
    </row>
    <row r="451" spans="2:42" x14ac:dyDescent="0.25">
      <c r="B451" s="36"/>
      <c r="C451" s="60"/>
      <c r="D451" s="60"/>
      <c r="E451" s="37"/>
      <c r="F451" s="38"/>
      <c r="G451" s="38"/>
      <c r="H451" s="38"/>
      <c r="I451" s="39"/>
      <c r="J451" s="40"/>
      <c r="K451" s="40"/>
      <c r="L451" s="40"/>
      <c r="M451" s="41"/>
      <c r="N451" s="41"/>
      <c r="O451" s="42"/>
      <c r="P451" s="43"/>
      <c r="Q451" s="43"/>
      <c r="R451" s="44"/>
      <c r="S451" s="45"/>
      <c r="T451" s="38">
        <f t="shared" si="133"/>
        <v>0</v>
      </c>
      <c r="U451" s="46">
        <f t="shared" si="134"/>
        <v>0</v>
      </c>
      <c r="V451" s="47">
        <f t="shared" si="135"/>
        <v>0</v>
      </c>
      <c r="W451" s="48">
        <f t="shared" si="136"/>
        <v>0</v>
      </c>
      <c r="X451" s="43">
        <f t="shared" si="137"/>
        <v>0</v>
      </c>
      <c r="Y451" s="43">
        <f t="shared" si="138"/>
        <v>0</v>
      </c>
      <c r="Z451" s="43">
        <f t="shared" si="139"/>
        <v>0</v>
      </c>
      <c r="AA451" s="49">
        <f t="shared" si="140"/>
        <v>0</v>
      </c>
      <c r="AB451" s="50">
        <f t="shared" si="141"/>
        <v>0</v>
      </c>
      <c r="AC451" s="43">
        <f t="shared" si="142"/>
        <v>0</v>
      </c>
      <c r="AD451" s="43">
        <f t="shared" si="143"/>
        <v>0</v>
      </c>
      <c r="AE451" s="43">
        <f t="shared" si="144"/>
        <v>0</v>
      </c>
      <c r="AF451" s="51" t="e">
        <f>HLOOKUP(I451,ElecAvoidedCostsWOCC!$A$5:$Q$50,G451+1,FALSE)</f>
        <v>#N/A</v>
      </c>
      <c r="AG451" s="43" t="e">
        <f t="shared" si="145"/>
        <v>#N/A</v>
      </c>
      <c r="AH451" s="51" t="e">
        <f>HLOOKUP(I451,ElecAvoidedCostsWOCC!$A$5:$Q$50,T451+1,FALSE)</f>
        <v>#N/A</v>
      </c>
      <c r="AI451" s="43" t="e">
        <f t="shared" si="146"/>
        <v>#N/A</v>
      </c>
      <c r="AJ451" s="43" t="e">
        <f t="shared" si="147"/>
        <v>#N/A</v>
      </c>
      <c r="AK451" s="43" t="e">
        <f>HLOOKUP(I451,ElecAvoidedCostsWOCC!$A$5:$Q$50,G451+1,FALSE)*J451*L451</f>
        <v>#N/A</v>
      </c>
      <c r="AL451" s="43" t="e">
        <f t="shared" si="148"/>
        <v>#N/A</v>
      </c>
      <c r="AM451" s="47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7">
        <f t="shared" si="149"/>
        <v>0</v>
      </c>
      <c r="AO451" s="46">
        <f t="shared" si="150"/>
        <v>0</v>
      </c>
      <c r="AP451" s="46" t="e">
        <f t="shared" si="151"/>
        <v>#DIV/0!</v>
      </c>
    </row>
    <row r="452" spans="2:42" x14ac:dyDescent="0.25">
      <c r="B452" s="36"/>
      <c r="C452" s="60"/>
      <c r="D452" s="60"/>
      <c r="E452" s="37"/>
      <c r="F452" s="38"/>
      <c r="G452" s="38"/>
      <c r="H452" s="38"/>
      <c r="I452" s="39"/>
      <c r="J452" s="40"/>
      <c r="K452" s="40"/>
      <c r="L452" s="40"/>
      <c r="M452" s="41"/>
      <c r="N452" s="41"/>
      <c r="O452" s="42"/>
      <c r="P452" s="43"/>
      <c r="Q452" s="43"/>
      <c r="R452" s="44"/>
      <c r="S452" s="45"/>
      <c r="T452" s="38">
        <f t="shared" ref="T452:T515" si="152">G452+H452</f>
        <v>0</v>
      </c>
      <c r="U452" s="46">
        <f t="shared" ref="U452:U515" si="153">(O452/$A$10)*T452</f>
        <v>0</v>
      </c>
      <c r="V452" s="47">
        <f t="shared" ref="V452:V515" si="154">N452-M452</f>
        <v>0</v>
      </c>
      <c r="W452" s="48">
        <f t="shared" ref="W452:W515" si="155">(O452/A$10)</f>
        <v>0</v>
      </c>
      <c r="X452" s="43">
        <f t="shared" ref="X452:X515" si="156">W452*A$8</f>
        <v>0</v>
      </c>
      <c r="Y452" s="43">
        <f t="shared" ref="Y452:Y515" si="157">Q452-P452</f>
        <v>0</v>
      </c>
      <c r="Z452" s="43">
        <f t="shared" ref="Z452:Z515" si="158">X452+(A$6*W452)</f>
        <v>0</v>
      </c>
      <c r="AA452" s="49">
        <f t="shared" ref="AA452:AA515" si="159">Q452+X452</f>
        <v>0</v>
      </c>
      <c r="AB452" s="50">
        <f t="shared" ref="AB452:AB515" si="160">Z452/(1+ElecDiscountRate)^1</f>
        <v>0</v>
      </c>
      <c r="AC452" s="43">
        <f t="shared" ref="AC452:AC515" si="161">AA452/(1+ElecDiscountRate)^1</f>
        <v>0</v>
      </c>
      <c r="AD452" s="43">
        <f t="shared" ref="AD452:AD515" si="162">-PV(ElecDiscountRate,T452,R452)*J452</f>
        <v>0</v>
      </c>
      <c r="AE452" s="43">
        <f t="shared" ref="AE452:AE515" si="163">-PV(ElecDiscountRate,T452,S452)*J452</f>
        <v>0</v>
      </c>
      <c r="AF452" s="51" t="e">
        <f>HLOOKUP(I452,ElecAvoidedCostsWOCC!$A$5:$Q$50,G452+1,FALSE)</f>
        <v>#N/A</v>
      </c>
      <c r="AG452" s="43" t="e">
        <f t="shared" ref="AG452:AG515" si="164">AF452*J452*K452</f>
        <v>#N/A</v>
      </c>
      <c r="AH452" s="51" t="e">
        <f>HLOOKUP(I452,ElecAvoidedCostsWOCC!$A$5:$Q$50,T452+1,FALSE)</f>
        <v>#N/A</v>
      </c>
      <c r="AI452" s="43" t="e">
        <f t="shared" ref="AI452:AI515" si="165">AH452*J452*L452</f>
        <v>#N/A</v>
      </c>
      <c r="AJ452" s="43" t="e">
        <f t="shared" ref="AJ452:AJ515" si="166">AG452+AI452</f>
        <v>#N/A</v>
      </c>
      <c r="AK452" s="43" t="e">
        <f>HLOOKUP(I452,ElecAvoidedCostsWOCC!$A$5:$Q$50,G452+1,FALSE)*J452*L452</f>
        <v>#N/A</v>
      </c>
      <c r="AL452" s="43" t="e">
        <f t="shared" ref="AL452:AL515" si="167">AG452+AI452-AK452</f>
        <v>#N/A</v>
      </c>
      <c r="AM452" s="47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7">
        <f t="shared" ref="AN452:AN515" si="168">AM452*1.1+AD452+AE452</f>
        <v>0</v>
      </c>
      <c r="AO452" s="46">
        <f t="shared" ref="AO452:AO515" si="169">IFERROR(AM452/AB452,0)</f>
        <v>0</v>
      </c>
      <c r="AP452" s="46" t="e">
        <f t="shared" ref="AP452:AP515" si="170">AN452/AC452</f>
        <v>#DIV/0!</v>
      </c>
    </row>
    <row r="453" spans="2:42" x14ac:dyDescent="0.25">
      <c r="B453" s="36"/>
      <c r="C453" s="60"/>
      <c r="D453" s="60"/>
      <c r="E453" s="37"/>
      <c r="F453" s="38"/>
      <c r="G453" s="38"/>
      <c r="H453" s="38"/>
      <c r="I453" s="39"/>
      <c r="J453" s="40"/>
      <c r="K453" s="40"/>
      <c r="L453" s="40"/>
      <c r="M453" s="41"/>
      <c r="N453" s="41"/>
      <c r="O453" s="42"/>
      <c r="P453" s="43"/>
      <c r="Q453" s="43"/>
      <c r="R453" s="44"/>
      <c r="S453" s="45"/>
      <c r="T453" s="38">
        <f t="shared" si="152"/>
        <v>0</v>
      </c>
      <c r="U453" s="46">
        <f t="shared" si="153"/>
        <v>0</v>
      </c>
      <c r="V453" s="47">
        <f t="shared" si="154"/>
        <v>0</v>
      </c>
      <c r="W453" s="48">
        <f t="shared" si="155"/>
        <v>0</v>
      </c>
      <c r="X453" s="43">
        <f t="shared" si="156"/>
        <v>0</v>
      </c>
      <c r="Y453" s="43">
        <f t="shared" si="157"/>
        <v>0</v>
      </c>
      <c r="Z453" s="43">
        <f t="shared" si="158"/>
        <v>0</v>
      </c>
      <c r="AA453" s="49">
        <f t="shared" si="159"/>
        <v>0</v>
      </c>
      <c r="AB453" s="50">
        <f t="shared" si="160"/>
        <v>0</v>
      </c>
      <c r="AC453" s="43">
        <f t="shared" si="161"/>
        <v>0</v>
      </c>
      <c r="AD453" s="43">
        <f t="shared" si="162"/>
        <v>0</v>
      </c>
      <c r="AE453" s="43">
        <f t="shared" si="163"/>
        <v>0</v>
      </c>
      <c r="AF453" s="51" t="e">
        <f>HLOOKUP(I453,ElecAvoidedCostsWOCC!$A$5:$Q$50,G453+1,FALSE)</f>
        <v>#N/A</v>
      </c>
      <c r="AG453" s="43" t="e">
        <f t="shared" si="164"/>
        <v>#N/A</v>
      </c>
      <c r="AH453" s="51" t="e">
        <f>HLOOKUP(I453,ElecAvoidedCostsWOCC!$A$5:$Q$50,T453+1,FALSE)</f>
        <v>#N/A</v>
      </c>
      <c r="AI453" s="43" t="e">
        <f t="shared" si="165"/>
        <v>#N/A</v>
      </c>
      <c r="AJ453" s="43" t="e">
        <f t="shared" si="166"/>
        <v>#N/A</v>
      </c>
      <c r="AK453" s="43" t="e">
        <f>HLOOKUP(I453,ElecAvoidedCostsWOCC!$A$5:$Q$50,G453+1,FALSE)*J453*L453</f>
        <v>#N/A</v>
      </c>
      <c r="AL453" s="43" t="e">
        <f t="shared" si="167"/>
        <v>#N/A</v>
      </c>
      <c r="AM453" s="47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7">
        <f t="shared" si="168"/>
        <v>0</v>
      </c>
      <c r="AO453" s="46">
        <f t="shared" si="169"/>
        <v>0</v>
      </c>
      <c r="AP453" s="46" t="e">
        <f t="shared" si="170"/>
        <v>#DIV/0!</v>
      </c>
    </row>
    <row r="454" spans="2:42" x14ac:dyDescent="0.25">
      <c r="B454" s="36"/>
      <c r="C454" s="60"/>
      <c r="D454" s="60"/>
      <c r="E454" s="37"/>
      <c r="F454" s="38"/>
      <c r="G454" s="38"/>
      <c r="H454" s="38"/>
      <c r="I454" s="39"/>
      <c r="J454" s="40"/>
      <c r="K454" s="40"/>
      <c r="L454" s="40"/>
      <c r="M454" s="41"/>
      <c r="N454" s="41"/>
      <c r="O454" s="42"/>
      <c r="P454" s="43"/>
      <c r="Q454" s="43"/>
      <c r="R454" s="44"/>
      <c r="S454" s="45"/>
      <c r="T454" s="38">
        <f t="shared" si="152"/>
        <v>0</v>
      </c>
      <c r="U454" s="46">
        <f t="shared" si="153"/>
        <v>0</v>
      </c>
      <c r="V454" s="47">
        <f t="shared" si="154"/>
        <v>0</v>
      </c>
      <c r="W454" s="48">
        <f t="shared" si="155"/>
        <v>0</v>
      </c>
      <c r="X454" s="43">
        <f t="shared" si="156"/>
        <v>0</v>
      </c>
      <c r="Y454" s="43">
        <f t="shared" si="157"/>
        <v>0</v>
      </c>
      <c r="Z454" s="43">
        <f t="shared" si="158"/>
        <v>0</v>
      </c>
      <c r="AA454" s="49">
        <f t="shared" si="159"/>
        <v>0</v>
      </c>
      <c r="AB454" s="50">
        <f t="shared" si="160"/>
        <v>0</v>
      </c>
      <c r="AC454" s="43">
        <f t="shared" si="161"/>
        <v>0</v>
      </c>
      <c r="AD454" s="43">
        <f t="shared" si="162"/>
        <v>0</v>
      </c>
      <c r="AE454" s="43">
        <f t="shared" si="163"/>
        <v>0</v>
      </c>
      <c r="AF454" s="51" t="e">
        <f>HLOOKUP(I454,ElecAvoidedCostsWOCC!$A$5:$Q$50,G454+1,FALSE)</f>
        <v>#N/A</v>
      </c>
      <c r="AG454" s="43" t="e">
        <f t="shared" si="164"/>
        <v>#N/A</v>
      </c>
      <c r="AH454" s="51" t="e">
        <f>HLOOKUP(I454,ElecAvoidedCostsWOCC!$A$5:$Q$50,T454+1,FALSE)</f>
        <v>#N/A</v>
      </c>
      <c r="AI454" s="43" t="e">
        <f t="shared" si="165"/>
        <v>#N/A</v>
      </c>
      <c r="AJ454" s="43" t="e">
        <f t="shared" si="166"/>
        <v>#N/A</v>
      </c>
      <c r="AK454" s="43" t="e">
        <f>HLOOKUP(I454,ElecAvoidedCostsWOCC!$A$5:$Q$50,G454+1,FALSE)*J454*L454</f>
        <v>#N/A</v>
      </c>
      <c r="AL454" s="43" t="e">
        <f t="shared" si="167"/>
        <v>#N/A</v>
      </c>
      <c r="AM454" s="47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7">
        <f t="shared" si="168"/>
        <v>0</v>
      </c>
      <c r="AO454" s="46">
        <f t="shared" si="169"/>
        <v>0</v>
      </c>
      <c r="AP454" s="46" t="e">
        <f t="shared" si="170"/>
        <v>#DIV/0!</v>
      </c>
    </row>
    <row r="455" spans="2:42" x14ac:dyDescent="0.25">
      <c r="B455" s="36"/>
      <c r="C455" s="60"/>
      <c r="D455" s="60"/>
      <c r="E455" s="37"/>
      <c r="F455" s="38"/>
      <c r="G455" s="38"/>
      <c r="H455" s="38"/>
      <c r="I455" s="39"/>
      <c r="J455" s="40"/>
      <c r="K455" s="40"/>
      <c r="L455" s="40"/>
      <c r="M455" s="41"/>
      <c r="N455" s="41"/>
      <c r="O455" s="42"/>
      <c r="P455" s="43"/>
      <c r="Q455" s="43"/>
      <c r="R455" s="44"/>
      <c r="S455" s="45"/>
      <c r="T455" s="38">
        <f t="shared" si="152"/>
        <v>0</v>
      </c>
      <c r="U455" s="46">
        <f t="shared" si="153"/>
        <v>0</v>
      </c>
      <c r="V455" s="47">
        <f t="shared" si="154"/>
        <v>0</v>
      </c>
      <c r="W455" s="48">
        <f t="shared" si="155"/>
        <v>0</v>
      </c>
      <c r="X455" s="43">
        <f t="shared" si="156"/>
        <v>0</v>
      </c>
      <c r="Y455" s="43">
        <f t="shared" si="157"/>
        <v>0</v>
      </c>
      <c r="Z455" s="43">
        <f t="shared" si="158"/>
        <v>0</v>
      </c>
      <c r="AA455" s="49">
        <f t="shared" si="159"/>
        <v>0</v>
      </c>
      <c r="AB455" s="50">
        <f t="shared" si="160"/>
        <v>0</v>
      </c>
      <c r="AC455" s="43">
        <f t="shared" si="161"/>
        <v>0</v>
      </c>
      <c r="AD455" s="43">
        <f t="shared" si="162"/>
        <v>0</v>
      </c>
      <c r="AE455" s="43">
        <f t="shared" si="163"/>
        <v>0</v>
      </c>
      <c r="AF455" s="51" t="e">
        <f>HLOOKUP(I455,ElecAvoidedCostsWOCC!$A$5:$Q$50,G455+1,FALSE)</f>
        <v>#N/A</v>
      </c>
      <c r="AG455" s="43" t="e">
        <f t="shared" si="164"/>
        <v>#N/A</v>
      </c>
      <c r="AH455" s="51" t="e">
        <f>HLOOKUP(I455,ElecAvoidedCostsWOCC!$A$5:$Q$50,T455+1,FALSE)</f>
        <v>#N/A</v>
      </c>
      <c r="AI455" s="43" t="e">
        <f t="shared" si="165"/>
        <v>#N/A</v>
      </c>
      <c r="AJ455" s="43" t="e">
        <f t="shared" si="166"/>
        <v>#N/A</v>
      </c>
      <c r="AK455" s="43" t="e">
        <f>HLOOKUP(I455,ElecAvoidedCostsWOCC!$A$5:$Q$50,G455+1,FALSE)*J455*L455</f>
        <v>#N/A</v>
      </c>
      <c r="AL455" s="43" t="e">
        <f t="shared" si="167"/>
        <v>#N/A</v>
      </c>
      <c r="AM455" s="47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7">
        <f t="shared" si="168"/>
        <v>0</v>
      </c>
      <c r="AO455" s="46">
        <f t="shared" si="169"/>
        <v>0</v>
      </c>
      <c r="AP455" s="46" t="e">
        <f t="shared" si="170"/>
        <v>#DIV/0!</v>
      </c>
    </row>
    <row r="456" spans="2:42" x14ac:dyDescent="0.25">
      <c r="B456" s="36"/>
      <c r="C456" s="60"/>
      <c r="D456" s="60"/>
      <c r="E456" s="37"/>
      <c r="F456" s="38"/>
      <c r="G456" s="38"/>
      <c r="H456" s="38"/>
      <c r="I456" s="39"/>
      <c r="J456" s="40"/>
      <c r="K456" s="40"/>
      <c r="L456" s="40"/>
      <c r="M456" s="41"/>
      <c r="N456" s="41"/>
      <c r="O456" s="42"/>
      <c r="P456" s="43"/>
      <c r="Q456" s="43"/>
      <c r="R456" s="44"/>
      <c r="S456" s="45"/>
      <c r="T456" s="38">
        <f t="shared" si="152"/>
        <v>0</v>
      </c>
      <c r="U456" s="46">
        <f t="shared" si="153"/>
        <v>0</v>
      </c>
      <c r="V456" s="47">
        <f t="shared" si="154"/>
        <v>0</v>
      </c>
      <c r="W456" s="48">
        <f t="shared" si="155"/>
        <v>0</v>
      </c>
      <c r="X456" s="43">
        <f t="shared" si="156"/>
        <v>0</v>
      </c>
      <c r="Y456" s="43">
        <f t="shared" si="157"/>
        <v>0</v>
      </c>
      <c r="Z456" s="43">
        <f t="shared" si="158"/>
        <v>0</v>
      </c>
      <c r="AA456" s="49">
        <f t="shared" si="159"/>
        <v>0</v>
      </c>
      <c r="AB456" s="50">
        <f t="shared" si="160"/>
        <v>0</v>
      </c>
      <c r="AC456" s="43">
        <f t="shared" si="161"/>
        <v>0</v>
      </c>
      <c r="AD456" s="43">
        <f t="shared" si="162"/>
        <v>0</v>
      </c>
      <c r="AE456" s="43">
        <f t="shared" si="163"/>
        <v>0</v>
      </c>
      <c r="AF456" s="51" t="e">
        <f>HLOOKUP(I456,ElecAvoidedCostsWOCC!$A$5:$Q$50,G456+1,FALSE)</f>
        <v>#N/A</v>
      </c>
      <c r="AG456" s="43" t="e">
        <f t="shared" si="164"/>
        <v>#N/A</v>
      </c>
      <c r="AH456" s="51" t="e">
        <f>HLOOKUP(I456,ElecAvoidedCostsWOCC!$A$5:$Q$50,T456+1,FALSE)</f>
        <v>#N/A</v>
      </c>
      <c r="AI456" s="43" t="e">
        <f t="shared" si="165"/>
        <v>#N/A</v>
      </c>
      <c r="AJ456" s="43" t="e">
        <f t="shared" si="166"/>
        <v>#N/A</v>
      </c>
      <c r="AK456" s="43" t="e">
        <f>HLOOKUP(I456,ElecAvoidedCostsWOCC!$A$5:$Q$50,G456+1,FALSE)*J456*L456</f>
        <v>#N/A</v>
      </c>
      <c r="AL456" s="43" t="e">
        <f t="shared" si="167"/>
        <v>#N/A</v>
      </c>
      <c r="AM456" s="47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7">
        <f t="shared" si="168"/>
        <v>0</v>
      </c>
      <c r="AO456" s="46">
        <f t="shared" si="169"/>
        <v>0</v>
      </c>
      <c r="AP456" s="46" t="e">
        <f t="shared" si="170"/>
        <v>#DIV/0!</v>
      </c>
    </row>
    <row r="457" spans="2:42" x14ac:dyDescent="0.25">
      <c r="B457" s="36"/>
      <c r="C457" s="60"/>
      <c r="D457" s="60"/>
      <c r="E457" s="37"/>
      <c r="F457" s="38"/>
      <c r="G457" s="38"/>
      <c r="H457" s="38"/>
      <c r="I457" s="39"/>
      <c r="J457" s="40"/>
      <c r="K457" s="40"/>
      <c r="L457" s="40"/>
      <c r="M457" s="41"/>
      <c r="N457" s="41"/>
      <c r="O457" s="42"/>
      <c r="P457" s="43"/>
      <c r="Q457" s="43"/>
      <c r="R457" s="44"/>
      <c r="S457" s="45"/>
      <c r="T457" s="38">
        <f t="shared" si="152"/>
        <v>0</v>
      </c>
      <c r="U457" s="46">
        <f t="shared" si="153"/>
        <v>0</v>
      </c>
      <c r="V457" s="47">
        <f t="shared" si="154"/>
        <v>0</v>
      </c>
      <c r="W457" s="48">
        <f t="shared" si="155"/>
        <v>0</v>
      </c>
      <c r="X457" s="43">
        <f t="shared" si="156"/>
        <v>0</v>
      </c>
      <c r="Y457" s="43">
        <f t="shared" si="157"/>
        <v>0</v>
      </c>
      <c r="Z457" s="43">
        <f t="shared" si="158"/>
        <v>0</v>
      </c>
      <c r="AA457" s="49">
        <f t="shared" si="159"/>
        <v>0</v>
      </c>
      <c r="AB457" s="50">
        <f t="shared" si="160"/>
        <v>0</v>
      </c>
      <c r="AC457" s="43">
        <f t="shared" si="161"/>
        <v>0</v>
      </c>
      <c r="AD457" s="43">
        <f t="shared" si="162"/>
        <v>0</v>
      </c>
      <c r="AE457" s="43">
        <f t="shared" si="163"/>
        <v>0</v>
      </c>
      <c r="AF457" s="51" t="e">
        <f>HLOOKUP(I457,ElecAvoidedCostsWOCC!$A$5:$Q$50,G457+1,FALSE)</f>
        <v>#N/A</v>
      </c>
      <c r="AG457" s="43" t="e">
        <f t="shared" si="164"/>
        <v>#N/A</v>
      </c>
      <c r="AH457" s="51" t="e">
        <f>HLOOKUP(I457,ElecAvoidedCostsWOCC!$A$5:$Q$50,T457+1,FALSE)</f>
        <v>#N/A</v>
      </c>
      <c r="AI457" s="43" t="e">
        <f t="shared" si="165"/>
        <v>#N/A</v>
      </c>
      <c r="AJ457" s="43" t="e">
        <f t="shared" si="166"/>
        <v>#N/A</v>
      </c>
      <c r="AK457" s="43" t="e">
        <f>HLOOKUP(I457,ElecAvoidedCostsWOCC!$A$5:$Q$50,G457+1,FALSE)*J457*L457</f>
        <v>#N/A</v>
      </c>
      <c r="AL457" s="43" t="e">
        <f t="shared" si="167"/>
        <v>#N/A</v>
      </c>
      <c r="AM457" s="47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7">
        <f t="shared" si="168"/>
        <v>0</v>
      </c>
      <c r="AO457" s="46">
        <f t="shared" si="169"/>
        <v>0</v>
      </c>
      <c r="AP457" s="46" t="e">
        <f t="shared" si="170"/>
        <v>#DIV/0!</v>
      </c>
    </row>
    <row r="458" spans="2:42" x14ac:dyDescent="0.25">
      <c r="B458" s="36"/>
      <c r="C458" s="60"/>
      <c r="D458" s="60"/>
      <c r="E458" s="37"/>
      <c r="F458" s="38"/>
      <c r="G458" s="38"/>
      <c r="H458" s="38"/>
      <c r="I458" s="39"/>
      <c r="J458" s="40"/>
      <c r="K458" s="40"/>
      <c r="L458" s="40"/>
      <c r="M458" s="41"/>
      <c r="N458" s="41"/>
      <c r="O458" s="42"/>
      <c r="P458" s="43"/>
      <c r="Q458" s="43"/>
      <c r="R458" s="44"/>
      <c r="S458" s="45"/>
      <c r="T458" s="38">
        <f t="shared" si="152"/>
        <v>0</v>
      </c>
      <c r="U458" s="46">
        <f t="shared" si="153"/>
        <v>0</v>
      </c>
      <c r="V458" s="47">
        <f t="shared" si="154"/>
        <v>0</v>
      </c>
      <c r="W458" s="48">
        <f t="shared" si="155"/>
        <v>0</v>
      </c>
      <c r="X458" s="43">
        <f t="shared" si="156"/>
        <v>0</v>
      </c>
      <c r="Y458" s="43">
        <f t="shared" si="157"/>
        <v>0</v>
      </c>
      <c r="Z458" s="43">
        <f t="shared" si="158"/>
        <v>0</v>
      </c>
      <c r="AA458" s="49">
        <f t="shared" si="159"/>
        <v>0</v>
      </c>
      <c r="AB458" s="50">
        <f t="shared" si="160"/>
        <v>0</v>
      </c>
      <c r="AC458" s="43">
        <f t="shared" si="161"/>
        <v>0</v>
      </c>
      <c r="AD458" s="43">
        <f t="shared" si="162"/>
        <v>0</v>
      </c>
      <c r="AE458" s="43">
        <f t="shared" si="163"/>
        <v>0</v>
      </c>
      <c r="AF458" s="51" t="e">
        <f>HLOOKUP(I458,ElecAvoidedCostsWOCC!$A$5:$Q$50,G458+1,FALSE)</f>
        <v>#N/A</v>
      </c>
      <c r="AG458" s="43" t="e">
        <f t="shared" si="164"/>
        <v>#N/A</v>
      </c>
      <c r="AH458" s="51" t="e">
        <f>HLOOKUP(I458,ElecAvoidedCostsWOCC!$A$5:$Q$50,T458+1,FALSE)</f>
        <v>#N/A</v>
      </c>
      <c r="AI458" s="43" t="e">
        <f t="shared" si="165"/>
        <v>#N/A</v>
      </c>
      <c r="AJ458" s="43" t="e">
        <f t="shared" si="166"/>
        <v>#N/A</v>
      </c>
      <c r="AK458" s="43" t="e">
        <f>HLOOKUP(I458,ElecAvoidedCostsWOCC!$A$5:$Q$50,G458+1,FALSE)*J458*L458</f>
        <v>#N/A</v>
      </c>
      <c r="AL458" s="43" t="e">
        <f t="shared" si="167"/>
        <v>#N/A</v>
      </c>
      <c r="AM458" s="47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7">
        <f t="shared" si="168"/>
        <v>0</v>
      </c>
      <c r="AO458" s="46">
        <f t="shared" si="169"/>
        <v>0</v>
      </c>
      <c r="AP458" s="46" t="e">
        <f t="shared" si="170"/>
        <v>#DIV/0!</v>
      </c>
    </row>
    <row r="459" spans="2:42" x14ac:dyDescent="0.25">
      <c r="B459" s="36"/>
      <c r="C459" s="60"/>
      <c r="D459" s="60"/>
      <c r="E459" s="37"/>
      <c r="F459" s="38"/>
      <c r="G459" s="38"/>
      <c r="H459" s="38"/>
      <c r="I459" s="39"/>
      <c r="J459" s="40"/>
      <c r="K459" s="40"/>
      <c r="L459" s="40"/>
      <c r="M459" s="41"/>
      <c r="N459" s="41"/>
      <c r="O459" s="42"/>
      <c r="P459" s="43"/>
      <c r="Q459" s="43"/>
      <c r="R459" s="44"/>
      <c r="S459" s="45"/>
      <c r="T459" s="38">
        <f t="shared" si="152"/>
        <v>0</v>
      </c>
      <c r="U459" s="46">
        <f t="shared" si="153"/>
        <v>0</v>
      </c>
      <c r="V459" s="47">
        <f t="shared" si="154"/>
        <v>0</v>
      </c>
      <c r="W459" s="48">
        <f t="shared" si="155"/>
        <v>0</v>
      </c>
      <c r="X459" s="43">
        <f t="shared" si="156"/>
        <v>0</v>
      </c>
      <c r="Y459" s="43">
        <f t="shared" si="157"/>
        <v>0</v>
      </c>
      <c r="Z459" s="43">
        <f t="shared" si="158"/>
        <v>0</v>
      </c>
      <c r="AA459" s="49">
        <f t="shared" si="159"/>
        <v>0</v>
      </c>
      <c r="AB459" s="50">
        <f t="shared" si="160"/>
        <v>0</v>
      </c>
      <c r="AC459" s="43">
        <f t="shared" si="161"/>
        <v>0</v>
      </c>
      <c r="AD459" s="43">
        <f t="shared" si="162"/>
        <v>0</v>
      </c>
      <c r="AE459" s="43">
        <f t="shared" si="163"/>
        <v>0</v>
      </c>
      <c r="AF459" s="51" t="e">
        <f>HLOOKUP(I459,ElecAvoidedCostsWOCC!$A$5:$Q$50,G459+1,FALSE)</f>
        <v>#N/A</v>
      </c>
      <c r="AG459" s="43" t="e">
        <f t="shared" si="164"/>
        <v>#N/A</v>
      </c>
      <c r="AH459" s="51" t="e">
        <f>HLOOKUP(I459,ElecAvoidedCostsWOCC!$A$5:$Q$50,T459+1,FALSE)</f>
        <v>#N/A</v>
      </c>
      <c r="AI459" s="43" t="e">
        <f t="shared" si="165"/>
        <v>#N/A</v>
      </c>
      <c r="AJ459" s="43" t="e">
        <f t="shared" si="166"/>
        <v>#N/A</v>
      </c>
      <c r="AK459" s="43" t="e">
        <f>HLOOKUP(I459,ElecAvoidedCostsWOCC!$A$5:$Q$50,G459+1,FALSE)*J459*L459</f>
        <v>#N/A</v>
      </c>
      <c r="AL459" s="43" t="e">
        <f t="shared" si="167"/>
        <v>#N/A</v>
      </c>
      <c r="AM459" s="47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7">
        <f t="shared" si="168"/>
        <v>0</v>
      </c>
      <c r="AO459" s="46">
        <f t="shared" si="169"/>
        <v>0</v>
      </c>
      <c r="AP459" s="46" t="e">
        <f t="shared" si="170"/>
        <v>#DIV/0!</v>
      </c>
    </row>
    <row r="460" spans="2:42" x14ac:dyDescent="0.25">
      <c r="B460" s="36"/>
      <c r="C460" s="60"/>
      <c r="D460" s="60"/>
      <c r="E460" s="37"/>
      <c r="F460" s="38"/>
      <c r="G460" s="38"/>
      <c r="H460" s="38"/>
      <c r="I460" s="39"/>
      <c r="J460" s="40"/>
      <c r="K460" s="40"/>
      <c r="L460" s="40"/>
      <c r="M460" s="41"/>
      <c r="N460" s="41"/>
      <c r="O460" s="42"/>
      <c r="P460" s="43"/>
      <c r="Q460" s="43"/>
      <c r="R460" s="44"/>
      <c r="S460" s="45"/>
      <c r="T460" s="38">
        <f t="shared" si="152"/>
        <v>0</v>
      </c>
      <c r="U460" s="46">
        <f t="shared" si="153"/>
        <v>0</v>
      </c>
      <c r="V460" s="47">
        <f t="shared" si="154"/>
        <v>0</v>
      </c>
      <c r="W460" s="48">
        <f t="shared" si="155"/>
        <v>0</v>
      </c>
      <c r="X460" s="43">
        <f t="shared" si="156"/>
        <v>0</v>
      </c>
      <c r="Y460" s="43">
        <f t="shared" si="157"/>
        <v>0</v>
      </c>
      <c r="Z460" s="43">
        <f t="shared" si="158"/>
        <v>0</v>
      </c>
      <c r="AA460" s="49">
        <f t="shared" si="159"/>
        <v>0</v>
      </c>
      <c r="AB460" s="50">
        <f t="shared" si="160"/>
        <v>0</v>
      </c>
      <c r="AC460" s="43">
        <f t="shared" si="161"/>
        <v>0</v>
      </c>
      <c r="AD460" s="43">
        <f t="shared" si="162"/>
        <v>0</v>
      </c>
      <c r="AE460" s="43">
        <f t="shared" si="163"/>
        <v>0</v>
      </c>
      <c r="AF460" s="51" t="e">
        <f>HLOOKUP(I460,ElecAvoidedCostsWOCC!$A$5:$Q$50,G460+1,FALSE)</f>
        <v>#N/A</v>
      </c>
      <c r="AG460" s="43" t="e">
        <f t="shared" si="164"/>
        <v>#N/A</v>
      </c>
      <c r="AH460" s="51" t="e">
        <f>HLOOKUP(I460,ElecAvoidedCostsWOCC!$A$5:$Q$50,T460+1,FALSE)</f>
        <v>#N/A</v>
      </c>
      <c r="AI460" s="43" t="e">
        <f t="shared" si="165"/>
        <v>#N/A</v>
      </c>
      <c r="AJ460" s="43" t="e">
        <f t="shared" si="166"/>
        <v>#N/A</v>
      </c>
      <c r="AK460" s="43" t="e">
        <f>HLOOKUP(I460,ElecAvoidedCostsWOCC!$A$5:$Q$50,G460+1,FALSE)*J460*L460</f>
        <v>#N/A</v>
      </c>
      <c r="AL460" s="43" t="e">
        <f t="shared" si="167"/>
        <v>#N/A</v>
      </c>
      <c r="AM460" s="47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7">
        <f t="shared" si="168"/>
        <v>0</v>
      </c>
      <c r="AO460" s="46">
        <f t="shared" si="169"/>
        <v>0</v>
      </c>
      <c r="AP460" s="46" t="e">
        <f t="shared" si="170"/>
        <v>#DIV/0!</v>
      </c>
    </row>
    <row r="461" spans="2:42" x14ac:dyDescent="0.25">
      <c r="B461" s="36"/>
      <c r="C461" s="60"/>
      <c r="D461" s="60"/>
      <c r="E461" s="37"/>
      <c r="F461" s="38"/>
      <c r="G461" s="38"/>
      <c r="H461" s="38"/>
      <c r="I461" s="39"/>
      <c r="J461" s="40"/>
      <c r="K461" s="40"/>
      <c r="L461" s="40"/>
      <c r="M461" s="41"/>
      <c r="N461" s="41"/>
      <c r="O461" s="42"/>
      <c r="P461" s="43"/>
      <c r="Q461" s="43"/>
      <c r="R461" s="44"/>
      <c r="S461" s="45"/>
      <c r="T461" s="38">
        <f t="shared" si="152"/>
        <v>0</v>
      </c>
      <c r="U461" s="46">
        <f t="shared" si="153"/>
        <v>0</v>
      </c>
      <c r="V461" s="47">
        <f t="shared" si="154"/>
        <v>0</v>
      </c>
      <c r="W461" s="48">
        <f t="shared" si="155"/>
        <v>0</v>
      </c>
      <c r="X461" s="43">
        <f t="shared" si="156"/>
        <v>0</v>
      </c>
      <c r="Y461" s="43">
        <f t="shared" si="157"/>
        <v>0</v>
      </c>
      <c r="Z461" s="43">
        <f t="shared" si="158"/>
        <v>0</v>
      </c>
      <c r="AA461" s="49">
        <f t="shared" si="159"/>
        <v>0</v>
      </c>
      <c r="AB461" s="50">
        <f t="shared" si="160"/>
        <v>0</v>
      </c>
      <c r="AC461" s="43">
        <f t="shared" si="161"/>
        <v>0</v>
      </c>
      <c r="AD461" s="43">
        <f t="shared" si="162"/>
        <v>0</v>
      </c>
      <c r="AE461" s="43">
        <f t="shared" si="163"/>
        <v>0</v>
      </c>
      <c r="AF461" s="51" t="e">
        <f>HLOOKUP(I461,ElecAvoidedCostsWOCC!$A$5:$Q$50,G461+1,FALSE)</f>
        <v>#N/A</v>
      </c>
      <c r="AG461" s="43" t="e">
        <f t="shared" si="164"/>
        <v>#N/A</v>
      </c>
      <c r="AH461" s="51" t="e">
        <f>HLOOKUP(I461,ElecAvoidedCostsWOCC!$A$5:$Q$50,T461+1,FALSE)</f>
        <v>#N/A</v>
      </c>
      <c r="AI461" s="43" t="e">
        <f t="shared" si="165"/>
        <v>#N/A</v>
      </c>
      <c r="AJ461" s="43" t="e">
        <f t="shared" si="166"/>
        <v>#N/A</v>
      </c>
      <c r="AK461" s="43" t="e">
        <f>HLOOKUP(I461,ElecAvoidedCostsWOCC!$A$5:$Q$50,G461+1,FALSE)*J461*L461</f>
        <v>#N/A</v>
      </c>
      <c r="AL461" s="43" t="e">
        <f t="shared" si="167"/>
        <v>#N/A</v>
      </c>
      <c r="AM461" s="47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7">
        <f t="shared" si="168"/>
        <v>0</v>
      </c>
      <c r="AO461" s="46">
        <f t="shared" si="169"/>
        <v>0</v>
      </c>
      <c r="AP461" s="46" t="e">
        <f t="shared" si="170"/>
        <v>#DIV/0!</v>
      </c>
    </row>
    <row r="462" spans="2:42" x14ac:dyDescent="0.25">
      <c r="B462" s="36"/>
      <c r="C462" s="60"/>
      <c r="D462" s="60"/>
      <c r="E462" s="37"/>
      <c r="F462" s="38"/>
      <c r="G462" s="38"/>
      <c r="H462" s="38"/>
      <c r="I462" s="39"/>
      <c r="J462" s="40"/>
      <c r="K462" s="40"/>
      <c r="L462" s="40"/>
      <c r="M462" s="41"/>
      <c r="N462" s="41"/>
      <c r="O462" s="42"/>
      <c r="P462" s="43"/>
      <c r="Q462" s="43"/>
      <c r="R462" s="44"/>
      <c r="S462" s="45"/>
      <c r="T462" s="38">
        <f t="shared" si="152"/>
        <v>0</v>
      </c>
      <c r="U462" s="46">
        <f t="shared" si="153"/>
        <v>0</v>
      </c>
      <c r="V462" s="47">
        <f t="shared" si="154"/>
        <v>0</v>
      </c>
      <c r="W462" s="48">
        <f t="shared" si="155"/>
        <v>0</v>
      </c>
      <c r="X462" s="43">
        <f t="shared" si="156"/>
        <v>0</v>
      </c>
      <c r="Y462" s="43">
        <f t="shared" si="157"/>
        <v>0</v>
      </c>
      <c r="Z462" s="43">
        <f t="shared" si="158"/>
        <v>0</v>
      </c>
      <c r="AA462" s="49">
        <f t="shared" si="159"/>
        <v>0</v>
      </c>
      <c r="AB462" s="50">
        <f t="shared" si="160"/>
        <v>0</v>
      </c>
      <c r="AC462" s="43">
        <f t="shared" si="161"/>
        <v>0</v>
      </c>
      <c r="AD462" s="43">
        <f t="shared" si="162"/>
        <v>0</v>
      </c>
      <c r="AE462" s="43">
        <f t="shared" si="163"/>
        <v>0</v>
      </c>
      <c r="AF462" s="51" t="e">
        <f>HLOOKUP(I462,ElecAvoidedCostsWOCC!$A$5:$Q$50,G462+1,FALSE)</f>
        <v>#N/A</v>
      </c>
      <c r="AG462" s="43" t="e">
        <f t="shared" si="164"/>
        <v>#N/A</v>
      </c>
      <c r="AH462" s="51" t="e">
        <f>HLOOKUP(I462,ElecAvoidedCostsWOCC!$A$5:$Q$50,T462+1,FALSE)</f>
        <v>#N/A</v>
      </c>
      <c r="AI462" s="43" t="e">
        <f t="shared" si="165"/>
        <v>#N/A</v>
      </c>
      <c r="AJ462" s="43" t="e">
        <f t="shared" si="166"/>
        <v>#N/A</v>
      </c>
      <c r="AK462" s="43" t="e">
        <f>HLOOKUP(I462,ElecAvoidedCostsWOCC!$A$5:$Q$50,G462+1,FALSE)*J462*L462</f>
        <v>#N/A</v>
      </c>
      <c r="AL462" s="43" t="e">
        <f t="shared" si="167"/>
        <v>#N/A</v>
      </c>
      <c r="AM462" s="47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7">
        <f t="shared" si="168"/>
        <v>0</v>
      </c>
      <c r="AO462" s="46">
        <f t="shared" si="169"/>
        <v>0</v>
      </c>
      <c r="AP462" s="46" t="e">
        <f t="shared" si="170"/>
        <v>#DIV/0!</v>
      </c>
    </row>
    <row r="463" spans="2:42" x14ac:dyDescent="0.25">
      <c r="B463" s="36"/>
      <c r="C463" s="60"/>
      <c r="D463" s="60"/>
      <c r="E463" s="37"/>
      <c r="F463" s="38"/>
      <c r="G463" s="38"/>
      <c r="H463" s="38"/>
      <c r="I463" s="39"/>
      <c r="J463" s="40"/>
      <c r="K463" s="40"/>
      <c r="L463" s="40"/>
      <c r="M463" s="41"/>
      <c r="N463" s="41"/>
      <c r="O463" s="42"/>
      <c r="P463" s="43"/>
      <c r="Q463" s="43"/>
      <c r="R463" s="44"/>
      <c r="S463" s="45"/>
      <c r="T463" s="38">
        <f t="shared" si="152"/>
        <v>0</v>
      </c>
      <c r="U463" s="46">
        <f t="shared" si="153"/>
        <v>0</v>
      </c>
      <c r="V463" s="47">
        <f t="shared" si="154"/>
        <v>0</v>
      </c>
      <c r="W463" s="48">
        <f t="shared" si="155"/>
        <v>0</v>
      </c>
      <c r="X463" s="43">
        <f t="shared" si="156"/>
        <v>0</v>
      </c>
      <c r="Y463" s="43">
        <f t="shared" si="157"/>
        <v>0</v>
      </c>
      <c r="Z463" s="43">
        <f t="shared" si="158"/>
        <v>0</v>
      </c>
      <c r="AA463" s="49">
        <f t="shared" si="159"/>
        <v>0</v>
      </c>
      <c r="AB463" s="50">
        <f t="shared" si="160"/>
        <v>0</v>
      </c>
      <c r="AC463" s="43">
        <f t="shared" si="161"/>
        <v>0</v>
      </c>
      <c r="AD463" s="43">
        <f t="shared" si="162"/>
        <v>0</v>
      </c>
      <c r="AE463" s="43">
        <f t="shared" si="163"/>
        <v>0</v>
      </c>
      <c r="AF463" s="51" t="e">
        <f>HLOOKUP(I463,ElecAvoidedCostsWOCC!$A$5:$Q$50,G463+1,FALSE)</f>
        <v>#N/A</v>
      </c>
      <c r="AG463" s="43" t="e">
        <f t="shared" si="164"/>
        <v>#N/A</v>
      </c>
      <c r="AH463" s="51" t="e">
        <f>HLOOKUP(I463,ElecAvoidedCostsWOCC!$A$5:$Q$50,T463+1,FALSE)</f>
        <v>#N/A</v>
      </c>
      <c r="AI463" s="43" t="e">
        <f t="shared" si="165"/>
        <v>#N/A</v>
      </c>
      <c r="AJ463" s="43" t="e">
        <f t="shared" si="166"/>
        <v>#N/A</v>
      </c>
      <c r="AK463" s="43" t="e">
        <f>HLOOKUP(I463,ElecAvoidedCostsWOCC!$A$5:$Q$50,G463+1,FALSE)*J463*L463</f>
        <v>#N/A</v>
      </c>
      <c r="AL463" s="43" t="e">
        <f t="shared" si="167"/>
        <v>#N/A</v>
      </c>
      <c r="AM463" s="47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7">
        <f t="shared" si="168"/>
        <v>0</v>
      </c>
      <c r="AO463" s="46">
        <f t="shared" si="169"/>
        <v>0</v>
      </c>
      <c r="AP463" s="46" t="e">
        <f t="shared" si="170"/>
        <v>#DIV/0!</v>
      </c>
    </row>
    <row r="464" spans="2:42" x14ac:dyDescent="0.25">
      <c r="B464" s="36"/>
      <c r="C464" s="60"/>
      <c r="D464" s="60"/>
      <c r="E464" s="37"/>
      <c r="F464" s="38"/>
      <c r="G464" s="38"/>
      <c r="H464" s="38"/>
      <c r="I464" s="39"/>
      <c r="J464" s="40"/>
      <c r="K464" s="40"/>
      <c r="L464" s="40"/>
      <c r="M464" s="41"/>
      <c r="N464" s="41"/>
      <c r="O464" s="42"/>
      <c r="P464" s="43"/>
      <c r="Q464" s="43"/>
      <c r="R464" s="44"/>
      <c r="S464" s="45"/>
      <c r="T464" s="38">
        <f t="shared" si="152"/>
        <v>0</v>
      </c>
      <c r="U464" s="46">
        <f t="shared" si="153"/>
        <v>0</v>
      </c>
      <c r="V464" s="47">
        <f t="shared" si="154"/>
        <v>0</v>
      </c>
      <c r="W464" s="48">
        <f t="shared" si="155"/>
        <v>0</v>
      </c>
      <c r="X464" s="43">
        <f t="shared" si="156"/>
        <v>0</v>
      </c>
      <c r="Y464" s="43">
        <f t="shared" si="157"/>
        <v>0</v>
      </c>
      <c r="Z464" s="43">
        <f t="shared" si="158"/>
        <v>0</v>
      </c>
      <c r="AA464" s="49">
        <f t="shared" si="159"/>
        <v>0</v>
      </c>
      <c r="AB464" s="50">
        <f t="shared" si="160"/>
        <v>0</v>
      </c>
      <c r="AC464" s="43">
        <f t="shared" si="161"/>
        <v>0</v>
      </c>
      <c r="AD464" s="43">
        <f t="shared" si="162"/>
        <v>0</v>
      </c>
      <c r="AE464" s="43">
        <f t="shared" si="163"/>
        <v>0</v>
      </c>
      <c r="AF464" s="51" t="e">
        <f>HLOOKUP(I464,ElecAvoidedCostsWOCC!$A$5:$Q$50,G464+1,FALSE)</f>
        <v>#N/A</v>
      </c>
      <c r="AG464" s="43" t="e">
        <f t="shared" si="164"/>
        <v>#N/A</v>
      </c>
      <c r="AH464" s="51" t="e">
        <f>HLOOKUP(I464,ElecAvoidedCostsWOCC!$A$5:$Q$50,T464+1,FALSE)</f>
        <v>#N/A</v>
      </c>
      <c r="AI464" s="43" t="e">
        <f t="shared" si="165"/>
        <v>#N/A</v>
      </c>
      <c r="AJ464" s="43" t="e">
        <f t="shared" si="166"/>
        <v>#N/A</v>
      </c>
      <c r="AK464" s="43" t="e">
        <f>HLOOKUP(I464,ElecAvoidedCostsWOCC!$A$5:$Q$50,G464+1,FALSE)*J464*L464</f>
        <v>#N/A</v>
      </c>
      <c r="AL464" s="43" t="e">
        <f t="shared" si="167"/>
        <v>#N/A</v>
      </c>
      <c r="AM464" s="47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7">
        <f t="shared" si="168"/>
        <v>0</v>
      </c>
      <c r="AO464" s="46">
        <f t="shared" si="169"/>
        <v>0</v>
      </c>
      <c r="AP464" s="46" t="e">
        <f t="shared" si="170"/>
        <v>#DIV/0!</v>
      </c>
    </row>
    <row r="465" spans="2:42" x14ac:dyDescent="0.25">
      <c r="B465" s="36"/>
      <c r="C465" s="60"/>
      <c r="D465" s="60"/>
      <c r="E465" s="37"/>
      <c r="F465" s="38"/>
      <c r="G465" s="38"/>
      <c r="H465" s="38"/>
      <c r="I465" s="39"/>
      <c r="J465" s="40"/>
      <c r="K465" s="40"/>
      <c r="L465" s="40"/>
      <c r="M465" s="41"/>
      <c r="N465" s="41"/>
      <c r="O465" s="42"/>
      <c r="P465" s="43"/>
      <c r="Q465" s="43"/>
      <c r="R465" s="44"/>
      <c r="S465" s="45"/>
      <c r="T465" s="38">
        <f t="shared" si="152"/>
        <v>0</v>
      </c>
      <c r="U465" s="46">
        <f t="shared" si="153"/>
        <v>0</v>
      </c>
      <c r="V465" s="47">
        <f t="shared" si="154"/>
        <v>0</v>
      </c>
      <c r="W465" s="48">
        <f t="shared" si="155"/>
        <v>0</v>
      </c>
      <c r="X465" s="43">
        <f t="shared" si="156"/>
        <v>0</v>
      </c>
      <c r="Y465" s="43">
        <f t="shared" si="157"/>
        <v>0</v>
      </c>
      <c r="Z465" s="43">
        <f t="shared" si="158"/>
        <v>0</v>
      </c>
      <c r="AA465" s="49">
        <f t="shared" si="159"/>
        <v>0</v>
      </c>
      <c r="AB465" s="50">
        <f t="shared" si="160"/>
        <v>0</v>
      </c>
      <c r="AC465" s="43">
        <f t="shared" si="161"/>
        <v>0</v>
      </c>
      <c r="AD465" s="43">
        <f t="shared" si="162"/>
        <v>0</v>
      </c>
      <c r="AE465" s="43">
        <f t="shared" si="163"/>
        <v>0</v>
      </c>
      <c r="AF465" s="51" t="e">
        <f>HLOOKUP(I465,ElecAvoidedCostsWOCC!$A$5:$Q$50,G465+1,FALSE)</f>
        <v>#N/A</v>
      </c>
      <c r="AG465" s="43" t="e">
        <f t="shared" si="164"/>
        <v>#N/A</v>
      </c>
      <c r="AH465" s="51" t="e">
        <f>HLOOKUP(I465,ElecAvoidedCostsWOCC!$A$5:$Q$50,T465+1,FALSE)</f>
        <v>#N/A</v>
      </c>
      <c r="AI465" s="43" t="e">
        <f t="shared" si="165"/>
        <v>#N/A</v>
      </c>
      <c r="AJ465" s="43" t="e">
        <f t="shared" si="166"/>
        <v>#N/A</v>
      </c>
      <c r="AK465" s="43" t="e">
        <f>HLOOKUP(I465,ElecAvoidedCostsWOCC!$A$5:$Q$50,G465+1,FALSE)*J465*L465</f>
        <v>#N/A</v>
      </c>
      <c r="AL465" s="43" t="e">
        <f t="shared" si="167"/>
        <v>#N/A</v>
      </c>
      <c r="AM465" s="47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7">
        <f t="shared" si="168"/>
        <v>0</v>
      </c>
      <c r="AO465" s="46">
        <f t="shared" si="169"/>
        <v>0</v>
      </c>
      <c r="AP465" s="46" t="e">
        <f t="shared" si="170"/>
        <v>#DIV/0!</v>
      </c>
    </row>
    <row r="466" spans="2:42" x14ac:dyDescent="0.25">
      <c r="B466" s="36"/>
      <c r="C466" s="60"/>
      <c r="D466" s="60"/>
      <c r="E466" s="37"/>
      <c r="F466" s="38"/>
      <c r="G466" s="38"/>
      <c r="H466" s="38"/>
      <c r="I466" s="39"/>
      <c r="J466" s="40"/>
      <c r="K466" s="40"/>
      <c r="L466" s="40"/>
      <c r="M466" s="41"/>
      <c r="N466" s="41"/>
      <c r="O466" s="42"/>
      <c r="P466" s="43"/>
      <c r="Q466" s="43"/>
      <c r="R466" s="44"/>
      <c r="S466" s="45"/>
      <c r="T466" s="38">
        <f t="shared" si="152"/>
        <v>0</v>
      </c>
      <c r="U466" s="46">
        <f t="shared" si="153"/>
        <v>0</v>
      </c>
      <c r="V466" s="47">
        <f t="shared" si="154"/>
        <v>0</v>
      </c>
      <c r="W466" s="48">
        <f t="shared" si="155"/>
        <v>0</v>
      </c>
      <c r="X466" s="43">
        <f t="shared" si="156"/>
        <v>0</v>
      </c>
      <c r="Y466" s="43">
        <f t="shared" si="157"/>
        <v>0</v>
      </c>
      <c r="Z466" s="43">
        <f t="shared" si="158"/>
        <v>0</v>
      </c>
      <c r="AA466" s="49">
        <f t="shared" si="159"/>
        <v>0</v>
      </c>
      <c r="AB466" s="50">
        <f t="shared" si="160"/>
        <v>0</v>
      </c>
      <c r="AC466" s="43">
        <f t="shared" si="161"/>
        <v>0</v>
      </c>
      <c r="AD466" s="43">
        <f t="shared" si="162"/>
        <v>0</v>
      </c>
      <c r="AE466" s="43">
        <f t="shared" si="163"/>
        <v>0</v>
      </c>
      <c r="AF466" s="51" t="e">
        <f>HLOOKUP(I466,ElecAvoidedCostsWOCC!$A$5:$Q$50,G466+1,FALSE)</f>
        <v>#N/A</v>
      </c>
      <c r="AG466" s="43" t="e">
        <f t="shared" si="164"/>
        <v>#N/A</v>
      </c>
      <c r="AH466" s="51" t="e">
        <f>HLOOKUP(I466,ElecAvoidedCostsWOCC!$A$5:$Q$50,T466+1,FALSE)</f>
        <v>#N/A</v>
      </c>
      <c r="AI466" s="43" t="e">
        <f t="shared" si="165"/>
        <v>#N/A</v>
      </c>
      <c r="AJ466" s="43" t="e">
        <f t="shared" si="166"/>
        <v>#N/A</v>
      </c>
      <c r="AK466" s="43" t="e">
        <f>HLOOKUP(I466,ElecAvoidedCostsWOCC!$A$5:$Q$50,G466+1,FALSE)*J466*L466</f>
        <v>#N/A</v>
      </c>
      <c r="AL466" s="43" t="e">
        <f t="shared" si="167"/>
        <v>#N/A</v>
      </c>
      <c r="AM466" s="47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7">
        <f t="shared" si="168"/>
        <v>0</v>
      </c>
      <c r="AO466" s="46">
        <f t="shared" si="169"/>
        <v>0</v>
      </c>
      <c r="AP466" s="46" t="e">
        <f t="shared" si="170"/>
        <v>#DIV/0!</v>
      </c>
    </row>
    <row r="467" spans="2:42" x14ac:dyDescent="0.25">
      <c r="B467" s="36"/>
      <c r="C467" s="60"/>
      <c r="D467" s="60"/>
      <c r="E467" s="37"/>
      <c r="F467" s="38"/>
      <c r="G467" s="38"/>
      <c r="H467" s="38"/>
      <c r="I467" s="39"/>
      <c r="J467" s="40"/>
      <c r="K467" s="40"/>
      <c r="L467" s="40"/>
      <c r="M467" s="41"/>
      <c r="N467" s="41"/>
      <c r="O467" s="42"/>
      <c r="P467" s="43"/>
      <c r="Q467" s="43"/>
      <c r="R467" s="44"/>
      <c r="S467" s="45"/>
      <c r="T467" s="38">
        <f t="shared" si="152"/>
        <v>0</v>
      </c>
      <c r="U467" s="46">
        <f t="shared" si="153"/>
        <v>0</v>
      </c>
      <c r="V467" s="47">
        <f t="shared" si="154"/>
        <v>0</v>
      </c>
      <c r="W467" s="48">
        <f t="shared" si="155"/>
        <v>0</v>
      </c>
      <c r="X467" s="43">
        <f t="shared" si="156"/>
        <v>0</v>
      </c>
      <c r="Y467" s="43">
        <f t="shared" si="157"/>
        <v>0</v>
      </c>
      <c r="Z467" s="43">
        <f t="shared" si="158"/>
        <v>0</v>
      </c>
      <c r="AA467" s="49">
        <f t="shared" si="159"/>
        <v>0</v>
      </c>
      <c r="AB467" s="50">
        <f t="shared" si="160"/>
        <v>0</v>
      </c>
      <c r="AC467" s="43">
        <f t="shared" si="161"/>
        <v>0</v>
      </c>
      <c r="AD467" s="43">
        <f t="shared" si="162"/>
        <v>0</v>
      </c>
      <c r="AE467" s="43">
        <f t="shared" si="163"/>
        <v>0</v>
      </c>
      <c r="AF467" s="51" t="e">
        <f>HLOOKUP(I467,ElecAvoidedCostsWOCC!$A$5:$Q$50,G467+1,FALSE)</f>
        <v>#N/A</v>
      </c>
      <c r="AG467" s="43" t="e">
        <f t="shared" si="164"/>
        <v>#N/A</v>
      </c>
      <c r="AH467" s="51" t="e">
        <f>HLOOKUP(I467,ElecAvoidedCostsWOCC!$A$5:$Q$50,T467+1,FALSE)</f>
        <v>#N/A</v>
      </c>
      <c r="AI467" s="43" t="e">
        <f t="shared" si="165"/>
        <v>#N/A</v>
      </c>
      <c r="AJ467" s="43" t="e">
        <f t="shared" si="166"/>
        <v>#N/A</v>
      </c>
      <c r="AK467" s="43" t="e">
        <f>HLOOKUP(I467,ElecAvoidedCostsWOCC!$A$5:$Q$50,G467+1,FALSE)*J467*L467</f>
        <v>#N/A</v>
      </c>
      <c r="AL467" s="43" t="e">
        <f t="shared" si="167"/>
        <v>#N/A</v>
      </c>
      <c r="AM467" s="47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7">
        <f t="shared" si="168"/>
        <v>0</v>
      </c>
      <c r="AO467" s="46">
        <f t="shared" si="169"/>
        <v>0</v>
      </c>
      <c r="AP467" s="46" t="e">
        <f t="shared" si="170"/>
        <v>#DIV/0!</v>
      </c>
    </row>
    <row r="468" spans="2:42" x14ac:dyDescent="0.25">
      <c r="B468" s="36"/>
      <c r="C468" s="60"/>
      <c r="D468" s="60"/>
      <c r="E468" s="37"/>
      <c r="F468" s="38"/>
      <c r="G468" s="38"/>
      <c r="H468" s="38"/>
      <c r="I468" s="39"/>
      <c r="J468" s="40"/>
      <c r="K468" s="40"/>
      <c r="L468" s="40"/>
      <c r="M468" s="41"/>
      <c r="N468" s="41"/>
      <c r="O468" s="42"/>
      <c r="P468" s="43"/>
      <c r="Q468" s="43"/>
      <c r="R468" s="44"/>
      <c r="S468" s="45"/>
      <c r="T468" s="38">
        <f t="shared" si="152"/>
        <v>0</v>
      </c>
      <c r="U468" s="46">
        <f t="shared" si="153"/>
        <v>0</v>
      </c>
      <c r="V468" s="47">
        <f t="shared" si="154"/>
        <v>0</v>
      </c>
      <c r="W468" s="48">
        <f t="shared" si="155"/>
        <v>0</v>
      </c>
      <c r="X468" s="43">
        <f t="shared" si="156"/>
        <v>0</v>
      </c>
      <c r="Y468" s="43">
        <f t="shared" si="157"/>
        <v>0</v>
      </c>
      <c r="Z468" s="43">
        <f t="shared" si="158"/>
        <v>0</v>
      </c>
      <c r="AA468" s="49">
        <f t="shared" si="159"/>
        <v>0</v>
      </c>
      <c r="AB468" s="50">
        <f t="shared" si="160"/>
        <v>0</v>
      </c>
      <c r="AC468" s="43">
        <f t="shared" si="161"/>
        <v>0</v>
      </c>
      <c r="AD468" s="43">
        <f t="shared" si="162"/>
        <v>0</v>
      </c>
      <c r="AE468" s="43">
        <f t="shared" si="163"/>
        <v>0</v>
      </c>
      <c r="AF468" s="51" t="e">
        <f>HLOOKUP(I468,ElecAvoidedCostsWOCC!$A$5:$Q$50,G468+1,FALSE)</f>
        <v>#N/A</v>
      </c>
      <c r="AG468" s="43" t="e">
        <f t="shared" si="164"/>
        <v>#N/A</v>
      </c>
      <c r="AH468" s="51" t="e">
        <f>HLOOKUP(I468,ElecAvoidedCostsWOCC!$A$5:$Q$50,T468+1,FALSE)</f>
        <v>#N/A</v>
      </c>
      <c r="AI468" s="43" t="e">
        <f t="shared" si="165"/>
        <v>#N/A</v>
      </c>
      <c r="AJ468" s="43" t="e">
        <f t="shared" si="166"/>
        <v>#N/A</v>
      </c>
      <c r="AK468" s="43" t="e">
        <f>HLOOKUP(I468,ElecAvoidedCostsWOCC!$A$5:$Q$50,G468+1,FALSE)*J468*L468</f>
        <v>#N/A</v>
      </c>
      <c r="AL468" s="43" t="e">
        <f t="shared" si="167"/>
        <v>#N/A</v>
      </c>
      <c r="AM468" s="47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7">
        <f t="shared" si="168"/>
        <v>0</v>
      </c>
      <c r="AO468" s="46">
        <f t="shared" si="169"/>
        <v>0</v>
      </c>
      <c r="AP468" s="46" t="e">
        <f t="shared" si="170"/>
        <v>#DIV/0!</v>
      </c>
    </row>
    <row r="469" spans="2:42" x14ac:dyDescent="0.25">
      <c r="B469" s="36"/>
      <c r="C469" s="60"/>
      <c r="D469" s="60"/>
      <c r="E469" s="37"/>
      <c r="F469" s="38"/>
      <c r="G469" s="38"/>
      <c r="H469" s="38"/>
      <c r="I469" s="39"/>
      <c r="J469" s="40"/>
      <c r="K469" s="40"/>
      <c r="L469" s="40"/>
      <c r="M469" s="41"/>
      <c r="N469" s="41"/>
      <c r="O469" s="42"/>
      <c r="P469" s="43"/>
      <c r="Q469" s="43"/>
      <c r="R469" s="44"/>
      <c r="S469" s="45"/>
      <c r="T469" s="38">
        <f t="shared" si="152"/>
        <v>0</v>
      </c>
      <c r="U469" s="46">
        <f t="shared" si="153"/>
        <v>0</v>
      </c>
      <c r="V469" s="47">
        <f t="shared" si="154"/>
        <v>0</v>
      </c>
      <c r="W469" s="48">
        <f t="shared" si="155"/>
        <v>0</v>
      </c>
      <c r="X469" s="43">
        <f t="shared" si="156"/>
        <v>0</v>
      </c>
      <c r="Y469" s="43">
        <f t="shared" si="157"/>
        <v>0</v>
      </c>
      <c r="Z469" s="43">
        <f t="shared" si="158"/>
        <v>0</v>
      </c>
      <c r="AA469" s="49">
        <f t="shared" si="159"/>
        <v>0</v>
      </c>
      <c r="AB469" s="50">
        <f t="shared" si="160"/>
        <v>0</v>
      </c>
      <c r="AC469" s="43">
        <f t="shared" si="161"/>
        <v>0</v>
      </c>
      <c r="AD469" s="43">
        <f t="shared" si="162"/>
        <v>0</v>
      </c>
      <c r="AE469" s="43">
        <f t="shared" si="163"/>
        <v>0</v>
      </c>
      <c r="AF469" s="51" t="e">
        <f>HLOOKUP(I469,ElecAvoidedCostsWOCC!$A$5:$Q$50,G469+1,FALSE)</f>
        <v>#N/A</v>
      </c>
      <c r="AG469" s="43" t="e">
        <f t="shared" si="164"/>
        <v>#N/A</v>
      </c>
      <c r="AH469" s="51" t="e">
        <f>HLOOKUP(I469,ElecAvoidedCostsWOCC!$A$5:$Q$50,T469+1,FALSE)</f>
        <v>#N/A</v>
      </c>
      <c r="AI469" s="43" t="e">
        <f t="shared" si="165"/>
        <v>#N/A</v>
      </c>
      <c r="AJ469" s="43" t="e">
        <f t="shared" si="166"/>
        <v>#N/A</v>
      </c>
      <c r="AK469" s="43" t="e">
        <f>HLOOKUP(I469,ElecAvoidedCostsWOCC!$A$5:$Q$50,G469+1,FALSE)*J469*L469</f>
        <v>#N/A</v>
      </c>
      <c r="AL469" s="43" t="e">
        <f t="shared" si="167"/>
        <v>#N/A</v>
      </c>
      <c r="AM469" s="47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7">
        <f t="shared" si="168"/>
        <v>0</v>
      </c>
      <c r="AO469" s="46">
        <f t="shared" si="169"/>
        <v>0</v>
      </c>
      <c r="AP469" s="46" t="e">
        <f t="shared" si="170"/>
        <v>#DIV/0!</v>
      </c>
    </row>
    <row r="470" spans="2:42" x14ac:dyDescent="0.25">
      <c r="B470" s="36"/>
      <c r="C470" s="60"/>
      <c r="D470" s="60"/>
      <c r="E470" s="37"/>
      <c r="F470" s="38"/>
      <c r="G470" s="38"/>
      <c r="H470" s="38"/>
      <c r="I470" s="39"/>
      <c r="J470" s="40"/>
      <c r="K470" s="40"/>
      <c r="L470" s="40"/>
      <c r="M470" s="41"/>
      <c r="N470" s="41"/>
      <c r="O470" s="42"/>
      <c r="P470" s="43"/>
      <c r="Q470" s="43"/>
      <c r="R470" s="44"/>
      <c r="S470" s="45"/>
      <c r="T470" s="38">
        <f t="shared" si="152"/>
        <v>0</v>
      </c>
      <c r="U470" s="46">
        <f t="shared" si="153"/>
        <v>0</v>
      </c>
      <c r="V470" s="47">
        <f t="shared" si="154"/>
        <v>0</v>
      </c>
      <c r="W470" s="48">
        <f t="shared" si="155"/>
        <v>0</v>
      </c>
      <c r="X470" s="43">
        <f t="shared" si="156"/>
        <v>0</v>
      </c>
      <c r="Y470" s="43">
        <f t="shared" si="157"/>
        <v>0</v>
      </c>
      <c r="Z470" s="43">
        <f t="shared" si="158"/>
        <v>0</v>
      </c>
      <c r="AA470" s="49">
        <f t="shared" si="159"/>
        <v>0</v>
      </c>
      <c r="AB470" s="50">
        <f t="shared" si="160"/>
        <v>0</v>
      </c>
      <c r="AC470" s="43">
        <f t="shared" si="161"/>
        <v>0</v>
      </c>
      <c r="AD470" s="43">
        <f t="shared" si="162"/>
        <v>0</v>
      </c>
      <c r="AE470" s="43">
        <f t="shared" si="163"/>
        <v>0</v>
      </c>
      <c r="AF470" s="51" t="e">
        <f>HLOOKUP(I470,ElecAvoidedCostsWOCC!$A$5:$Q$50,G470+1,FALSE)</f>
        <v>#N/A</v>
      </c>
      <c r="AG470" s="43" t="e">
        <f t="shared" si="164"/>
        <v>#N/A</v>
      </c>
      <c r="AH470" s="51" t="e">
        <f>HLOOKUP(I470,ElecAvoidedCostsWOCC!$A$5:$Q$50,T470+1,FALSE)</f>
        <v>#N/A</v>
      </c>
      <c r="AI470" s="43" t="e">
        <f t="shared" si="165"/>
        <v>#N/A</v>
      </c>
      <c r="AJ470" s="43" t="e">
        <f t="shared" si="166"/>
        <v>#N/A</v>
      </c>
      <c r="AK470" s="43" t="e">
        <f>HLOOKUP(I470,ElecAvoidedCostsWOCC!$A$5:$Q$50,G470+1,FALSE)*J470*L470</f>
        <v>#N/A</v>
      </c>
      <c r="AL470" s="43" t="e">
        <f t="shared" si="167"/>
        <v>#N/A</v>
      </c>
      <c r="AM470" s="47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7">
        <f t="shared" si="168"/>
        <v>0</v>
      </c>
      <c r="AO470" s="46">
        <f t="shared" si="169"/>
        <v>0</v>
      </c>
      <c r="AP470" s="46" t="e">
        <f t="shared" si="170"/>
        <v>#DIV/0!</v>
      </c>
    </row>
    <row r="471" spans="2:42" x14ac:dyDescent="0.25">
      <c r="B471" s="36"/>
      <c r="C471" s="60"/>
      <c r="D471" s="60"/>
      <c r="E471" s="37"/>
      <c r="F471" s="38"/>
      <c r="G471" s="38"/>
      <c r="H471" s="38"/>
      <c r="I471" s="39"/>
      <c r="J471" s="40"/>
      <c r="K471" s="40"/>
      <c r="L471" s="40"/>
      <c r="M471" s="41"/>
      <c r="N471" s="41"/>
      <c r="O471" s="42"/>
      <c r="P471" s="43"/>
      <c r="Q471" s="43"/>
      <c r="R471" s="44"/>
      <c r="S471" s="45"/>
      <c r="T471" s="38">
        <f t="shared" si="152"/>
        <v>0</v>
      </c>
      <c r="U471" s="46">
        <f t="shared" si="153"/>
        <v>0</v>
      </c>
      <c r="V471" s="47">
        <f t="shared" si="154"/>
        <v>0</v>
      </c>
      <c r="W471" s="48">
        <f t="shared" si="155"/>
        <v>0</v>
      </c>
      <c r="X471" s="43">
        <f t="shared" si="156"/>
        <v>0</v>
      </c>
      <c r="Y471" s="43">
        <f t="shared" si="157"/>
        <v>0</v>
      </c>
      <c r="Z471" s="43">
        <f t="shared" si="158"/>
        <v>0</v>
      </c>
      <c r="AA471" s="49">
        <f t="shared" si="159"/>
        <v>0</v>
      </c>
      <c r="AB471" s="50">
        <f t="shared" si="160"/>
        <v>0</v>
      </c>
      <c r="AC471" s="43">
        <f t="shared" si="161"/>
        <v>0</v>
      </c>
      <c r="AD471" s="43">
        <f t="shared" si="162"/>
        <v>0</v>
      </c>
      <c r="AE471" s="43">
        <f t="shared" si="163"/>
        <v>0</v>
      </c>
      <c r="AF471" s="51" t="e">
        <f>HLOOKUP(I471,ElecAvoidedCostsWOCC!$A$5:$Q$50,G471+1,FALSE)</f>
        <v>#N/A</v>
      </c>
      <c r="AG471" s="43" t="e">
        <f t="shared" si="164"/>
        <v>#N/A</v>
      </c>
      <c r="AH471" s="51" t="e">
        <f>HLOOKUP(I471,ElecAvoidedCostsWOCC!$A$5:$Q$50,T471+1,FALSE)</f>
        <v>#N/A</v>
      </c>
      <c r="AI471" s="43" t="e">
        <f t="shared" si="165"/>
        <v>#N/A</v>
      </c>
      <c r="AJ471" s="43" t="e">
        <f t="shared" si="166"/>
        <v>#N/A</v>
      </c>
      <c r="AK471" s="43" t="e">
        <f>HLOOKUP(I471,ElecAvoidedCostsWOCC!$A$5:$Q$50,G471+1,FALSE)*J471*L471</f>
        <v>#N/A</v>
      </c>
      <c r="AL471" s="43" t="e">
        <f t="shared" si="167"/>
        <v>#N/A</v>
      </c>
      <c r="AM471" s="47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7">
        <f t="shared" si="168"/>
        <v>0</v>
      </c>
      <c r="AO471" s="46">
        <f t="shared" si="169"/>
        <v>0</v>
      </c>
      <c r="AP471" s="46" t="e">
        <f t="shared" si="170"/>
        <v>#DIV/0!</v>
      </c>
    </row>
    <row r="472" spans="2:42" x14ac:dyDescent="0.25">
      <c r="B472" s="36"/>
      <c r="C472" s="60"/>
      <c r="D472" s="60"/>
      <c r="E472" s="37"/>
      <c r="F472" s="38"/>
      <c r="G472" s="38"/>
      <c r="H472" s="38"/>
      <c r="I472" s="39"/>
      <c r="J472" s="40"/>
      <c r="K472" s="40"/>
      <c r="L472" s="40"/>
      <c r="M472" s="41"/>
      <c r="N472" s="41"/>
      <c r="O472" s="42"/>
      <c r="P472" s="43"/>
      <c r="Q472" s="43"/>
      <c r="R472" s="44"/>
      <c r="S472" s="45"/>
      <c r="T472" s="38">
        <f t="shared" si="152"/>
        <v>0</v>
      </c>
      <c r="U472" s="46">
        <f t="shared" si="153"/>
        <v>0</v>
      </c>
      <c r="V472" s="47">
        <f t="shared" si="154"/>
        <v>0</v>
      </c>
      <c r="W472" s="48">
        <f t="shared" si="155"/>
        <v>0</v>
      </c>
      <c r="X472" s="43">
        <f t="shared" si="156"/>
        <v>0</v>
      </c>
      <c r="Y472" s="43">
        <f t="shared" si="157"/>
        <v>0</v>
      </c>
      <c r="Z472" s="43">
        <f t="shared" si="158"/>
        <v>0</v>
      </c>
      <c r="AA472" s="49">
        <f t="shared" si="159"/>
        <v>0</v>
      </c>
      <c r="AB472" s="50">
        <f t="shared" si="160"/>
        <v>0</v>
      </c>
      <c r="AC472" s="43">
        <f t="shared" si="161"/>
        <v>0</v>
      </c>
      <c r="AD472" s="43">
        <f t="shared" si="162"/>
        <v>0</v>
      </c>
      <c r="AE472" s="43">
        <f t="shared" si="163"/>
        <v>0</v>
      </c>
      <c r="AF472" s="51" t="e">
        <f>HLOOKUP(I472,ElecAvoidedCostsWOCC!$A$5:$Q$50,G472+1,FALSE)</f>
        <v>#N/A</v>
      </c>
      <c r="AG472" s="43" t="e">
        <f t="shared" si="164"/>
        <v>#N/A</v>
      </c>
      <c r="AH472" s="51" t="e">
        <f>HLOOKUP(I472,ElecAvoidedCostsWOCC!$A$5:$Q$50,T472+1,FALSE)</f>
        <v>#N/A</v>
      </c>
      <c r="AI472" s="43" t="e">
        <f t="shared" si="165"/>
        <v>#N/A</v>
      </c>
      <c r="AJ472" s="43" t="e">
        <f t="shared" si="166"/>
        <v>#N/A</v>
      </c>
      <c r="AK472" s="43" t="e">
        <f>HLOOKUP(I472,ElecAvoidedCostsWOCC!$A$5:$Q$50,G472+1,FALSE)*J472*L472</f>
        <v>#N/A</v>
      </c>
      <c r="AL472" s="43" t="e">
        <f t="shared" si="167"/>
        <v>#N/A</v>
      </c>
      <c r="AM472" s="47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7">
        <f t="shared" si="168"/>
        <v>0</v>
      </c>
      <c r="AO472" s="46">
        <f t="shared" si="169"/>
        <v>0</v>
      </c>
      <c r="AP472" s="46" t="e">
        <f t="shared" si="170"/>
        <v>#DIV/0!</v>
      </c>
    </row>
    <row r="473" spans="2:42" x14ac:dyDescent="0.25">
      <c r="B473" s="36"/>
      <c r="C473" s="60"/>
      <c r="D473" s="60"/>
      <c r="E473" s="37"/>
      <c r="F473" s="38"/>
      <c r="G473" s="38"/>
      <c r="H473" s="38"/>
      <c r="I473" s="39"/>
      <c r="J473" s="40"/>
      <c r="K473" s="40"/>
      <c r="L473" s="40"/>
      <c r="M473" s="41"/>
      <c r="N473" s="41"/>
      <c r="O473" s="42"/>
      <c r="P473" s="43"/>
      <c r="Q473" s="43"/>
      <c r="R473" s="44"/>
      <c r="S473" s="45"/>
      <c r="T473" s="38">
        <f t="shared" si="152"/>
        <v>0</v>
      </c>
      <c r="U473" s="46">
        <f t="shared" si="153"/>
        <v>0</v>
      </c>
      <c r="V473" s="47">
        <f t="shared" si="154"/>
        <v>0</v>
      </c>
      <c r="W473" s="48">
        <f t="shared" si="155"/>
        <v>0</v>
      </c>
      <c r="X473" s="43">
        <f t="shared" si="156"/>
        <v>0</v>
      </c>
      <c r="Y473" s="43">
        <f t="shared" si="157"/>
        <v>0</v>
      </c>
      <c r="Z473" s="43">
        <f t="shared" si="158"/>
        <v>0</v>
      </c>
      <c r="AA473" s="49">
        <f t="shared" si="159"/>
        <v>0</v>
      </c>
      <c r="AB473" s="50">
        <f t="shared" si="160"/>
        <v>0</v>
      </c>
      <c r="AC473" s="43">
        <f t="shared" si="161"/>
        <v>0</v>
      </c>
      <c r="AD473" s="43">
        <f t="shared" si="162"/>
        <v>0</v>
      </c>
      <c r="AE473" s="43">
        <f t="shared" si="163"/>
        <v>0</v>
      </c>
      <c r="AF473" s="51" t="e">
        <f>HLOOKUP(I473,ElecAvoidedCostsWOCC!$A$5:$Q$50,G473+1,FALSE)</f>
        <v>#N/A</v>
      </c>
      <c r="AG473" s="43" t="e">
        <f t="shared" si="164"/>
        <v>#N/A</v>
      </c>
      <c r="AH473" s="51" t="e">
        <f>HLOOKUP(I473,ElecAvoidedCostsWOCC!$A$5:$Q$50,T473+1,FALSE)</f>
        <v>#N/A</v>
      </c>
      <c r="AI473" s="43" t="e">
        <f t="shared" si="165"/>
        <v>#N/A</v>
      </c>
      <c r="AJ473" s="43" t="e">
        <f t="shared" si="166"/>
        <v>#N/A</v>
      </c>
      <c r="AK473" s="43" t="e">
        <f>HLOOKUP(I473,ElecAvoidedCostsWOCC!$A$5:$Q$50,G473+1,FALSE)*J473*L473</f>
        <v>#N/A</v>
      </c>
      <c r="AL473" s="43" t="e">
        <f t="shared" si="167"/>
        <v>#N/A</v>
      </c>
      <c r="AM473" s="47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7">
        <f t="shared" si="168"/>
        <v>0</v>
      </c>
      <c r="AO473" s="46">
        <f t="shared" si="169"/>
        <v>0</v>
      </c>
      <c r="AP473" s="46" t="e">
        <f t="shared" si="170"/>
        <v>#DIV/0!</v>
      </c>
    </row>
    <row r="474" spans="2:42" x14ac:dyDescent="0.25">
      <c r="B474" s="36"/>
      <c r="C474" s="60"/>
      <c r="D474" s="60"/>
      <c r="E474" s="37"/>
      <c r="F474" s="38"/>
      <c r="G474" s="38"/>
      <c r="H474" s="38"/>
      <c r="I474" s="39"/>
      <c r="J474" s="40"/>
      <c r="K474" s="40"/>
      <c r="L474" s="40"/>
      <c r="M474" s="41"/>
      <c r="N474" s="41"/>
      <c r="O474" s="42"/>
      <c r="P474" s="43"/>
      <c r="Q474" s="43"/>
      <c r="R474" s="44"/>
      <c r="S474" s="45"/>
      <c r="T474" s="38">
        <f t="shared" si="152"/>
        <v>0</v>
      </c>
      <c r="U474" s="46">
        <f t="shared" si="153"/>
        <v>0</v>
      </c>
      <c r="V474" s="47">
        <f t="shared" si="154"/>
        <v>0</v>
      </c>
      <c r="W474" s="48">
        <f t="shared" si="155"/>
        <v>0</v>
      </c>
      <c r="X474" s="43">
        <f t="shared" si="156"/>
        <v>0</v>
      </c>
      <c r="Y474" s="43">
        <f t="shared" si="157"/>
        <v>0</v>
      </c>
      <c r="Z474" s="43">
        <f t="shared" si="158"/>
        <v>0</v>
      </c>
      <c r="AA474" s="49">
        <f t="shared" si="159"/>
        <v>0</v>
      </c>
      <c r="AB474" s="50">
        <f t="shared" si="160"/>
        <v>0</v>
      </c>
      <c r="AC474" s="43">
        <f t="shared" si="161"/>
        <v>0</v>
      </c>
      <c r="AD474" s="43">
        <f t="shared" si="162"/>
        <v>0</v>
      </c>
      <c r="AE474" s="43">
        <f t="shared" si="163"/>
        <v>0</v>
      </c>
      <c r="AF474" s="51" t="e">
        <f>HLOOKUP(I474,ElecAvoidedCostsWOCC!$A$5:$Q$50,G474+1,FALSE)</f>
        <v>#N/A</v>
      </c>
      <c r="AG474" s="43" t="e">
        <f t="shared" si="164"/>
        <v>#N/A</v>
      </c>
      <c r="AH474" s="51" t="e">
        <f>HLOOKUP(I474,ElecAvoidedCostsWOCC!$A$5:$Q$50,T474+1,FALSE)</f>
        <v>#N/A</v>
      </c>
      <c r="AI474" s="43" t="e">
        <f t="shared" si="165"/>
        <v>#N/A</v>
      </c>
      <c r="AJ474" s="43" t="e">
        <f t="shared" si="166"/>
        <v>#N/A</v>
      </c>
      <c r="AK474" s="43" t="e">
        <f>HLOOKUP(I474,ElecAvoidedCostsWOCC!$A$5:$Q$50,G474+1,FALSE)*J474*L474</f>
        <v>#N/A</v>
      </c>
      <c r="AL474" s="43" t="e">
        <f t="shared" si="167"/>
        <v>#N/A</v>
      </c>
      <c r="AM474" s="47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7">
        <f t="shared" si="168"/>
        <v>0</v>
      </c>
      <c r="AO474" s="46">
        <f t="shared" si="169"/>
        <v>0</v>
      </c>
      <c r="AP474" s="46" t="e">
        <f t="shared" si="170"/>
        <v>#DIV/0!</v>
      </c>
    </row>
    <row r="475" spans="2:42" x14ac:dyDescent="0.25">
      <c r="B475" s="36"/>
      <c r="C475" s="60"/>
      <c r="D475" s="60"/>
      <c r="E475" s="37"/>
      <c r="F475" s="38"/>
      <c r="G475" s="38"/>
      <c r="H475" s="38"/>
      <c r="I475" s="39"/>
      <c r="J475" s="40"/>
      <c r="K475" s="40"/>
      <c r="L475" s="40"/>
      <c r="M475" s="41"/>
      <c r="N475" s="41"/>
      <c r="O475" s="42"/>
      <c r="P475" s="43"/>
      <c r="Q475" s="43"/>
      <c r="R475" s="44"/>
      <c r="S475" s="45"/>
      <c r="T475" s="38">
        <f t="shared" si="152"/>
        <v>0</v>
      </c>
      <c r="U475" s="46">
        <f t="shared" si="153"/>
        <v>0</v>
      </c>
      <c r="V475" s="47">
        <f t="shared" si="154"/>
        <v>0</v>
      </c>
      <c r="W475" s="48">
        <f t="shared" si="155"/>
        <v>0</v>
      </c>
      <c r="X475" s="43">
        <f t="shared" si="156"/>
        <v>0</v>
      </c>
      <c r="Y475" s="43">
        <f t="shared" si="157"/>
        <v>0</v>
      </c>
      <c r="Z475" s="43">
        <f t="shared" si="158"/>
        <v>0</v>
      </c>
      <c r="AA475" s="49">
        <f t="shared" si="159"/>
        <v>0</v>
      </c>
      <c r="AB475" s="50">
        <f t="shared" si="160"/>
        <v>0</v>
      </c>
      <c r="AC475" s="43">
        <f t="shared" si="161"/>
        <v>0</v>
      </c>
      <c r="AD475" s="43">
        <f t="shared" si="162"/>
        <v>0</v>
      </c>
      <c r="AE475" s="43">
        <f t="shared" si="163"/>
        <v>0</v>
      </c>
      <c r="AF475" s="51" t="e">
        <f>HLOOKUP(I475,ElecAvoidedCostsWOCC!$A$5:$Q$50,G475+1,FALSE)</f>
        <v>#N/A</v>
      </c>
      <c r="AG475" s="43" t="e">
        <f t="shared" si="164"/>
        <v>#N/A</v>
      </c>
      <c r="AH475" s="51" t="e">
        <f>HLOOKUP(I475,ElecAvoidedCostsWOCC!$A$5:$Q$50,T475+1,FALSE)</f>
        <v>#N/A</v>
      </c>
      <c r="AI475" s="43" t="e">
        <f t="shared" si="165"/>
        <v>#N/A</v>
      </c>
      <c r="AJ475" s="43" t="e">
        <f t="shared" si="166"/>
        <v>#N/A</v>
      </c>
      <c r="AK475" s="43" t="e">
        <f>HLOOKUP(I475,ElecAvoidedCostsWOCC!$A$5:$Q$50,G475+1,FALSE)*J475*L475</f>
        <v>#N/A</v>
      </c>
      <c r="AL475" s="43" t="e">
        <f t="shared" si="167"/>
        <v>#N/A</v>
      </c>
      <c r="AM475" s="47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7">
        <f t="shared" si="168"/>
        <v>0</v>
      </c>
      <c r="AO475" s="46">
        <f t="shared" si="169"/>
        <v>0</v>
      </c>
      <c r="AP475" s="46" t="e">
        <f t="shared" si="170"/>
        <v>#DIV/0!</v>
      </c>
    </row>
    <row r="476" spans="2:42" x14ac:dyDescent="0.25">
      <c r="B476" s="36"/>
      <c r="C476" s="60"/>
      <c r="D476" s="60"/>
      <c r="E476" s="37"/>
      <c r="F476" s="38"/>
      <c r="G476" s="38"/>
      <c r="H476" s="38"/>
      <c r="I476" s="39"/>
      <c r="J476" s="40"/>
      <c r="K476" s="40"/>
      <c r="L476" s="40"/>
      <c r="M476" s="41"/>
      <c r="N476" s="41"/>
      <c r="O476" s="42"/>
      <c r="P476" s="43"/>
      <c r="Q476" s="43"/>
      <c r="R476" s="44"/>
      <c r="S476" s="45"/>
      <c r="T476" s="38">
        <f t="shared" si="152"/>
        <v>0</v>
      </c>
      <c r="U476" s="46">
        <f t="shared" si="153"/>
        <v>0</v>
      </c>
      <c r="V476" s="47">
        <f t="shared" si="154"/>
        <v>0</v>
      </c>
      <c r="W476" s="48">
        <f t="shared" si="155"/>
        <v>0</v>
      </c>
      <c r="X476" s="43">
        <f t="shared" si="156"/>
        <v>0</v>
      </c>
      <c r="Y476" s="43">
        <f t="shared" si="157"/>
        <v>0</v>
      </c>
      <c r="Z476" s="43">
        <f t="shared" si="158"/>
        <v>0</v>
      </c>
      <c r="AA476" s="49">
        <f t="shared" si="159"/>
        <v>0</v>
      </c>
      <c r="AB476" s="50">
        <f t="shared" si="160"/>
        <v>0</v>
      </c>
      <c r="AC476" s="43">
        <f t="shared" si="161"/>
        <v>0</v>
      </c>
      <c r="AD476" s="43">
        <f t="shared" si="162"/>
        <v>0</v>
      </c>
      <c r="AE476" s="43">
        <f t="shared" si="163"/>
        <v>0</v>
      </c>
      <c r="AF476" s="51" t="e">
        <f>HLOOKUP(I476,ElecAvoidedCostsWOCC!$A$5:$Q$50,G476+1,FALSE)</f>
        <v>#N/A</v>
      </c>
      <c r="AG476" s="43" t="e">
        <f t="shared" si="164"/>
        <v>#N/A</v>
      </c>
      <c r="AH476" s="51" t="e">
        <f>HLOOKUP(I476,ElecAvoidedCostsWOCC!$A$5:$Q$50,T476+1,FALSE)</f>
        <v>#N/A</v>
      </c>
      <c r="AI476" s="43" t="e">
        <f t="shared" si="165"/>
        <v>#N/A</v>
      </c>
      <c r="AJ476" s="43" t="e">
        <f t="shared" si="166"/>
        <v>#N/A</v>
      </c>
      <c r="AK476" s="43" t="e">
        <f>HLOOKUP(I476,ElecAvoidedCostsWOCC!$A$5:$Q$50,G476+1,FALSE)*J476*L476</f>
        <v>#N/A</v>
      </c>
      <c r="AL476" s="43" t="e">
        <f t="shared" si="167"/>
        <v>#N/A</v>
      </c>
      <c r="AM476" s="47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7">
        <f t="shared" si="168"/>
        <v>0</v>
      </c>
      <c r="AO476" s="46">
        <f t="shared" si="169"/>
        <v>0</v>
      </c>
      <c r="AP476" s="46" t="e">
        <f t="shared" si="170"/>
        <v>#DIV/0!</v>
      </c>
    </row>
    <row r="477" spans="2:42" x14ac:dyDescent="0.25">
      <c r="B477" s="36"/>
      <c r="C477" s="60"/>
      <c r="D477" s="60"/>
      <c r="E477" s="37"/>
      <c r="F477" s="38"/>
      <c r="G477" s="38"/>
      <c r="H477" s="38"/>
      <c r="I477" s="39"/>
      <c r="J477" s="40"/>
      <c r="K477" s="40"/>
      <c r="L477" s="40"/>
      <c r="M477" s="41"/>
      <c r="N477" s="41"/>
      <c r="O477" s="42"/>
      <c r="P477" s="43"/>
      <c r="Q477" s="43"/>
      <c r="R477" s="44"/>
      <c r="S477" s="45"/>
      <c r="T477" s="38">
        <f t="shared" si="152"/>
        <v>0</v>
      </c>
      <c r="U477" s="46">
        <f t="shared" si="153"/>
        <v>0</v>
      </c>
      <c r="V477" s="47">
        <f t="shared" si="154"/>
        <v>0</v>
      </c>
      <c r="W477" s="48">
        <f t="shared" si="155"/>
        <v>0</v>
      </c>
      <c r="X477" s="43">
        <f t="shared" si="156"/>
        <v>0</v>
      </c>
      <c r="Y477" s="43">
        <f t="shared" si="157"/>
        <v>0</v>
      </c>
      <c r="Z477" s="43">
        <f t="shared" si="158"/>
        <v>0</v>
      </c>
      <c r="AA477" s="49">
        <f t="shared" si="159"/>
        <v>0</v>
      </c>
      <c r="AB477" s="50">
        <f t="shared" si="160"/>
        <v>0</v>
      </c>
      <c r="AC477" s="43">
        <f t="shared" si="161"/>
        <v>0</v>
      </c>
      <c r="AD477" s="43">
        <f t="shared" si="162"/>
        <v>0</v>
      </c>
      <c r="AE477" s="43">
        <f t="shared" si="163"/>
        <v>0</v>
      </c>
      <c r="AF477" s="51" t="e">
        <f>HLOOKUP(I477,ElecAvoidedCostsWOCC!$A$5:$Q$50,G477+1,FALSE)</f>
        <v>#N/A</v>
      </c>
      <c r="AG477" s="43" t="e">
        <f t="shared" si="164"/>
        <v>#N/A</v>
      </c>
      <c r="AH477" s="51" t="e">
        <f>HLOOKUP(I477,ElecAvoidedCostsWOCC!$A$5:$Q$50,T477+1,FALSE)</f>
        <v>#N/A</v>
      </c>
      <c r="AI477" s="43" t="e">
        <f t="shared" si="165"/>
        <v>#N/A</v>
      </c>
      <c r="AJ477" s="43" t="e">
        <f t="shared" si="166"/>
        <v>#N/A</v>
      </c>
      <c r="AK477" s="43" t="e">
        <f>HLOOKUP(I477,ElecAvoidedCostsWOCC!$A$5:$Q$50,G477+1,FALSE)*J477*L477</f>
        <v>#N/A</v>
      </c>
      <c r="AL477" s="43" t="e">
        <f t="shared" si="167"/>
        <v>#N/A</v>
      </c>
      <c r="AM477" s="47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7">
        <f t="shared" si="168"/>
        <v>0</v>
      </c>
      <c r="AO477" s="46">
        <f t="shared" si="169"/>
        <v>0</v>
      </c>
      <c r="AP477" s="46" t="e">
        <f t="shared" si="170"/>
        <v>#DIV/0!</v>
      </c>
    </row>
    <row r="478" spans="2:42" x14ac:dyDescent="0.25">
      <c r="B478" s="36"/>
      <c r="C478" s="60"/>
      <c r="D478" s="60"/>
      <c r="E478" s="37"/>
      <c r="F478" s="38"/>
      <c r="G478" s="38"/>
      <c r="H478" s="38"/>
      <c r="I478" s="39"/>
      <c r="J478" s="40"/>
      <c r="K478" s="40"/>
      <c r="L478" s="40"/>
      <c r="M478" s="41"/>
      <c r="N478" s="41"/>
      <c r="O478" s="42"/>
      <c r="P478" s="43"/>
      <c r="Q478" s="43"/>
      <c r="R478" s="44"/>
      <c r="S478" s="45"/>
      <c r="T478" s="38">
        <f t="shared" si="152"/>
        <v>0</v>
      </c>
      <c r="U478" s="46">
        <f t="shared" si="153"/>
        <v>0</v>
      </c>
      <c r="V478" s="47">
        <f t="shared" si="154"/>
        <v>0</v>
      </c>
      <c r="W478" s="48">
        <f t="shared" si="155"/>
        <v>0</v>
      </c>
      <c r="X478" s="43">
        <f t="shared" si="156"/>
        <v>0</v>
      </c>
      <c r="Y478" s="43">
        <f t="shared" si="157"/>
        <v>0</v>
      </c>
      <c r="Z478" s="43">
        <f t="shared" si="158"/>
        <v>0</v>
      </c>
      <c r="AA478" s="49">
        <f t="shared" si="159"/>
        <v>0</v>
      </c>
      <c r="AB478" s="50">
        <f t="shared" si="160"/>
        <v>0</v>
      </c>
      <c r="AC478" s="43">
        <f t="shared" si="161"/>
        <v>0</v>
      </c>
      <c r="AD478" s="43">
        <f t="shared" si="162"/>
        <v>0</v>
      </c>
      <c r="AE478" s="43">
        <f t="shared" si="163"/>
        <v>0</v>
      </c>
      <c r="AF478" s="51" t="e">
        <f>HLOOKUP(I478,ElecAvoidedCostsWOCC!$A$5:$Q$50,G478+1,FALSE)</f>
        <v>#N/A</v>
      </c>
      <c r="AG478" s="43" t="e">
        <f t="shared" si="164"/>
        <v>#N/A</v>
      </c>
      <c r="AH478" s="51" t="e">
        <f>HLOOKUP(I478,ElecAvoidedCostsWOCC!$A$5:$Q$50,T478+1,FALSE)</f>
        <v>#N/A</v>
      </c>
      <c r="AI478" s="43" t="e">
        <f t="shared" si="165"/>
        <v>#N/A</v>
      </c>
      <c r="AJ478" s="43" t="e">
        <f t="shared" si="166"/>
        <v>#N/A</v>
      </c>
      <c r="AK478" s="43" t="e">
        <f>HLOOKUP(I478,ElecAvoidedCostsWOCC!$A$5:$Q$50,G478+1,FALSE)*J478*L478</f>
        <v>#N/A</v>
      </c>
      <c r="AL478" s="43" t="e">
        <f t="shared" si="167"/>
        <v>#N/A</v>
      </c>
      <c r="AM478" s="47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7">
        <f t="shared" si="168"/>
        <v>0</v>
      </c>
      <c r="AO478" s="46">
        <f t="shared" si="169"/>
        <v>0</v>
      </c>
      <c r="AP478" s="46" t="e">
        <f t="shared" si="170"/>
        <v>#DIV/0!</v>
      </c>
    </row>
    <row r="479" spans="2:42" x14ac:dyDescent="0.25">
      <c r="B479" s="36"/>
      <c r="C479" s="60"/>
      <c r="D479" s="60"/>
      <c r="E479" s="37"/>
      <c r="F479" s="38"/>
      <c r="G479" s="38"/>
      <c r="H479" s="38"/>
      <c r="I479" s="39"/>
      <c r="J479" s="40"/>
      <c r="K479" s="40"/>
      <c r="L479" s="40"/>
      <c r="M479" s="41"/>
      <c r="N479" s="41"/>
      <c r="O479" s="42"/>
      <c r="P479" s="43"/>
      <c r="Q479" s="43"/>
      <c r="R479" s="44"/>
      <c r="S479" s="45"/>
      <c r="T479" s="38">
        <f t="shared" si="152"/>
        <v>0</v>
      </c>
      <c r="U479" s="46">
        <f t="shared" si="153"/>
        <v>0</v>
      </c>
      <c r="V479" s="47">
        <f t="shared" si="154"/>
        <v>0</v>
      </c>
      <c r="W479" s="48">
        <f t="shared" si="155"/>
        <v>0</v>
      </c>
      <c r="X479" s="43">
        <f t="shared" si="156"/>
        <v>0</v>
      </c>
      <c r="Y479" s="43">
        <f t="shared" si="157"/>
        <v>0</v>
      </c>
      <c r="Z479" s="43">
        <f t="shared" si="158"/>
        <v>0</v>
      </c>
      <c r="AA479" s="49">
        <f t="shared" si="159"/>
        <v>0</v>
      </c>
      <c r="AB479" s="50">
        <f t="shared" si="160"/>
        <v>0</v>
      </c>
      <c r="AC479" s="43">
        <f t="shared" si="161"/>
        <v>0</v>
      </c>
      <c r="AD479" s="43">
        <f t="shared" si="162"/>
        <v>0</v>
      </c>
      <c r="AE479" s="43">
        <f t="shared" si="163"/>
        <v>0</v>
      </c>
      <c r="AF479" s="51" t="e">
        <f>HLOOKUP(I479,ElecAvoidedCostsWOCC!$A$5:$Q$50,G479+1,FALSE)</f>
        <v>#N/A</v>
      </c>
      <c r="AG479" s="43" t="e">
        <f t="shared" si="164"/>
        <v>#N/A</v>
      </c>
      <c r="AH479" s="51" t="e">
        <f>HLOOKUP(I479,ElecAvoidedCostsWOCC!$A$5:$Q$50,T479+1,FALSE)</f>
        <v>#N/A</v>
      </c>
      <c r="AI479" s="43" t="e">
        <f t="shared" si="165"/>
        <v>#N/A</v>
      </c>
      <c r="AJ479" s="43" t="e">
        <f t="shared" si="166"/>
        <v>#N/A</v>
      </c>
      <c r="AK479" s="43" t="e">
        <f>HLOOKUP(I479,ElecAvoidedCostsWOCC!$A$5:$Q$50,G479+1,FALSE)*J479*L479</f>
        <v>#N/A</v>
      </c>
      <c r="AL479" s="43" t="e">
        <f t="shared" si="167"/>
        <v>#N/A</v>
      </c>
      <c r="AM479" s="47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7">
        <f t="shared" si="168"/>
        <v>0</v>
      </c>
      <c r="AO479" s="46">
        <f t="shared" si="169"/>
        <v>0</v>
      </c>
      <c r="AP479" s="46" t="e">
        <f t="shared" si="170"/>
        <v>#DIV/0!</v>
      </c>
    </row>
    <row r="480" spans="2:42" x14ac:dyDescent="0.25">
      <c r="B480" s="36"/>
      <c r="C480" s="60"/>
      <c r="D480" s="60"/>
      <c r="E480" s="37"/>
      <c r="F480" s="38"/>
      <c r="G480" s="38"/>
      <c r="H480" s="38"/>
      <c r="I480" s="39"/>
      <c r="J480" s="40"/>
      <c r="K480" s="40"/>
      <c r="L480" s="40"/>
      <c r="M480" s="41"/>
      <c r="N480" s="41"/>
      <c r="O480" s="42"/>
      <c r="P480" s="43"/>
      <c r="Q480" s="43"/>
      <c r="R480" s="44"/>
      <c r="S480" s="45"/>
      <c r="T480" s="38">
        <f t="shared" si="152"/>
        <v>0</v>
      </c>
      <c r="U480" s="46">
        <f t="shared" si="153"/>
        <v>0</v>
      </c>
      <c r="V480" s="47">
        <f t="shared" si="154"/>
        <v>0</v>
      </c>
      <c r="W480" s="48">
        <f t="shared" si="155"/>
        <v>0</v>
      </c>
      <c r="X480" s="43">
        <f t="shared" si="156"/>
        <v>0</v>
      </c>
      <c r="Y480" s="43">
        <f t="shared" si="157"/>
        <v>0</v>
      </c>
      <c r="Z480" s="43">
        <f t="shared" si="158"/>
        <v>0</v>
      </c>
      <c r="AA480" s="49">
        <f t="shared" si="159"/>
        <v>0</v>
      </c>
      <c r="AB480" s="50">
        <f t="shared" si="160"/>
        <v>0</v>
      </c>
      <c r="AC480" s="43">
        <f t="shared" si="161"/>
        <v>0</v>
      </c>
      <c r="AD480" s="43">
        <f t="shared" si="162"/>
        <v>0</v>
      </c>
      <c r="AE480" s="43">
        <f t="shared" si="163"/>
        <v>0</v>
      </c>
      <c r="AF480" s="51" t="e">
        <f>HLOOKUP(I480,ElecAvoidedCostsWOCC!$A$5:$Q$50,G480+1,FALSE)</f>
        <v>#N/A</v>
      </c>
      <c r="AG480" s="43" t="e">
        <f t="shared" si="164"/>
        <v>#N/A</v>
      </c>
      <c r="AH480" s="51" t="e">
        <f>HLOOKUP(I480,ElecAvoidedCostsWOCC!$A$5:$Q$50,T480+1,FALSE)</f>
        <v>#N/A</v>
      </c>
      <c r="AI480" s="43" t="e">
        <f t="shared" si="165"/>
        <v>#N/A</v>
      </c>
      <c r="AJ480" s="43" t="e">
        <f t="shared" si="166"/>
        <v>#N/A</v>
      </c>
      <c r="AK480" s="43" t="e">
        <f>HLOOKUP(I480,ElecAvoidedCostsWOCC!$A$5:$Q$50,G480+1,FALSE)*J480*L480</f>
        <v>#N/A</v>
      </c>
      <c r="AL480" s="43" t="e">
        <f t="shared" si="167"/>
        <v>#N/A</v>
      </c>
      <c r="AM480" s="47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7">
        <f t="shared" si="168"/>
        <v>0</v>
      </c>
      <c r="AO480" s="46">
        <f t="shared" si="169"/>
        <v>0</v>
      </c>
      <c r="AP480" s="46" t="e">
        <f t="shared" si="170"/>
        <v>#DIV/0!</v>
      </c>
    </row>
    <row r="481" spans="2:42" x14ac:dyDescent="0.25">
      <c r="B481" s="36"/>
      <c r="C481" s="60"/>
      <c r="D481" s="60"/>
      <c r="E481" s="37"/>
      <c r="F481" s="38"/>
      <c r="G481" s="38"/>
      <c r="H481" s="38"/>
      <c r="I481" s="39"/>
      <c r="J481" s="40"/>
      <c r="K481" s="40"/>
      <c r="L481" s="40"/>
      <c r="M481" s="41"/>
      <c r="N481" s="41"/>
      <c r="O481" s="42"/>
      <c r="P481" s="43"/>
      <c r="Q481" s="43"/>
      <c r="R481" s="44"/>
      <c r="S481" s="45"/>
      <c r="T481" s="38">
        <f t="shared" si="152"/>
        <v>0</v>
      </c>
      <c r="U481" s="46">
        <f t="shared" si="153"/>
        <v>0</v>
      </c>
      <c r="V481" s="47">
        <f t="shared" si="154"/>
        <v>0</v>
      </c>
      <c r="W481" s="48">
        <f t="shared" si="155"/>
        <v>0</v>
      </c>
      <c r="X481" s="43">
        <f t="shared" si="156"/>
        <v>0</v>
      </c>
      <c r="Y481" s="43">
        <f t="shared" si="157"/>
        <v>0</v>
      </c>
      <c r="Z481" s="43">
        <f t="shared" si="158"/>
        <v>0</v>
      </c>
      <c r="AA481" s="49">
        <f t="shared" si="159"/>
        <v>0</v>
      </c>
      <c r="AB481" s="50">
        <f t="shared" si="160"/>
        <v>0</v>
      </c>
      <c r="AC481" s="43">
        <f t="shared" si="161"/>
        <v>0</v>
      </c>
      <c r="AD481" s="43">
        <f t="shared" si="162"/>
        <v>0</v>
      </c>
      <c r="AE481" s="43">
        <f t="shared" si="163"/>
        <v>0</v>
      </c>
      <c r="AF481" s="51" t="e">
        <f>HLOOKUP(I481,ElecAvoidedCostsWOCC!$A$5:$Q$50,G481+1,FALSE)</f>
        <v>#N/A</v>
      </c>
      <c r="AG481" s="43" t="e">
        <f t="shared" si="164"/>
        <v>#N/A</v>
      </c>
      <c r="AH481" s="51" t="e">
        <f>HLOOKUP(I481,ElecAvoidedCostsWOCC!$A$5:$Q$50,T481+1,FALSE)</f>
        <v>#N/A</v>
      </c>
      <c r="AI481" s="43" t="e">
        <f t="shared" si="165"/>
        <v>#N/A</v>
      </c>
      <c r="AJ481" s="43" t="e">
        <f t="shared" si="166"/>
        <v>#N/A</v>
      </c>
      <c r="AK481" s="43" t="e">
        <f>HLOOKUP(I481,ElecAvoidedCostsWOCC!$A$5:$Q$50,G481+1,FALSE)*J481*L481</f>
        <v>#N/A</v>
      </c>
      <c r="AL481" s="43" t="e">
        <f t="shared" si="167"/>
        <v>#N/A</v>
      </c>
      <c r="AM481" s="47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7">
        <f t="shared" si="168"/>
        <v>0</v>
      </c>
      <c r="AO481" s="46">
        <f t="shared" si="169"/>
        <v>0</v>
      </c>
      <c r="AP481" s="46" t="e">
        <f t="shared" si="170"/>
        <v>#DIV/0!</v>
      </c>
    </row>
    <row r="482" spans="2:42" x14ac:dyDescent="0.25">
      <c r="B482" s="36"/>
      <c r="C482" s="60"/>
      <c r="D482" s="60"/>
      <c r="E482" s="37"/>
      <c r="F482" s="38"/>
      <c r="G482" s="38"/>
      <c r="H482" s="38"/>
      <c r="I482" s="39"/>
      <c r="J482" s="40"/>
      <c r="K482" s="40"/>
      <c r="L482" s="40"/>
      <c r="M482" s="41"/>
      <c r="N482" s="41"/>
      <c r="O482" s="42"/>
      <c r="P482" s="43"/>
      <c r="Q482" s="43"/>
      <c r="R482" s="44"/>
      <c r="S482" s="45"/>
      <c r="T482" s="38">
        <f t="shared" si="152"/>
        <v>0</v>
      </c>
      <c r="U482" s="46">
        <f t="shared" si="153"/>
        <v>0</v>
      </c>
      <c r="V482" s="47">
        <f t="shared" si="154"/>
        <v>0</v>
      </c>
      <c r="W482" s="48">
        <f t="shared" si="155"/>
        <v>0</v>
      </c>
      <c r="X482" s="43">
        <f t="shared" si="156"/>
        <v>0</v>
      </c>
      <c r="Y482" s="43">
        <f t="shared" si="157"/>
        <v>0</v>
      </c>
      <c r="Z482" s="43">
        <f t="shared" si="158"/>
        <v>0</v>
      </c>
      <c r="AA482" s="49">
        <f t="shared" si="159"/>
        <v>0</v>
      </c>
      <c r="AB482" s="50">
        <f t="shared" si="160"/>
        <v>0</v>
      </c>
      <c r="AC482" s="43">
        <f t="shared" si="161"/>
        <v>0</v>
      </c>
      <c r="AD482" s="43">
        <f t="shared" si="162"/>
        <v>0</v>
      </c>
      <c r="AE482" s="43">
        <f t="shared" si="163"/>
        <v>0</v>
      </c>
      <c r="AF482" s="51" t="e">
        <f>HLOOKUP(I482,ElecAvoidedCostsWOCC!$A$5:$Q$50,G482+1,FALSE)</f>
        <v>#N/A</v>
      </c>
      <c r="AG482" s="43" t="e">
        <f t="shared" si="164"/>
        <v>#N/A</v>
      </c>
      <c r="AH482" s="51" t="e">
        <f>HLOOKUP(I482,ElecAvoidedCostsWOCC!$A$5:$Q$50,T482+1,FALSE)</f>
        <v>#N/A</v>
      </c>
      <c r="AI482" s="43" t="e">
        <f t="shared" si="165"/>
        <v>#N/A</v>
      </c>
      <c r="AJ482" s="43" t="e">
        <f t="shared" si="166"/>
        <v>#N/A</v>
      </c>
      <c r="AK482" s="43" t="e">
        <f>HLOOKUP(I482,ElecAvoidedCostsWOCC!$A$5:$Q$50,G482+1,FALSE)*J482*L482</f>
        <v>#N/A</v>
      </c>
      <c r="AL482" s="43" t="e">
        <f t="shared" si="167"/>
        <v>#N/A</v>
      </c>
      <c r="AM482" s="47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7">
        <f t="shared" si="168"/>
        <v>0</v>
      </c>
      <c r="AO482" s="46">
        <f t="shared" si="169"/>
        <v>0</v>
      </c>
      <c r="AP482" s="46" t="e">
        <f t="shared" si="170"/>
        <v>#DIV/0!</v>
      </c>
    </row>
    <row r="483" spans="2:42" x14ac:dyDescent="0.25">
      <c r="B483" s="36"/>
      <c r="C483" s="60"/>
      <c r="D483" s="60"/>
      <c r="E483" s="37"/>
      <c r="F483" s="38"/>
      <c r="G483" s="38"/>
      <c r="H483" s="38"/>
      <c r="I483" s="39"/>
      <c r="J483" s="40"/>
      <c r="K483" s="40"/>
      <c r="L483" s="40"/>
      <c r="M483" s="41"/>
      <c r="N483" s="41"/>
      <c r="O483" s="42"/>
      <c r="P483" s="43"/>
      <c r="Q483" s="43"/>
      <c r="R483" s="44"/>
      <c r="S483" s="45"/>
      <c r="T483" s="38">
        <f t="shared" si="152"/>
        <v>0</v>
      </c>
      <c r="U483" s="46">
        <f t="shared" si="153"/>
        <v>0</v>
      </c>
      <c r="V483" s="47">
        <f t="shared" si="154"/>
        <v>0</v>
      </c>
      <c r="W483" s="48">
        <f t="shared" si="155"/>
        <v>0</v>
      </c>
      <c r="X483" s="43">
        <f t="shared" si="156"/>
        <v>0</v>
      </c>
      <c r="Y483" s="43">
        <f t="shared" si="157"/>
        <v>0</v>
      </c>
      <c r="Z483" s="43">
        <f t="shared" si="158"/>
        <v>0</v>
      </c>
      <c r="AA483" s="49">
        <f t="shared" si="159"/>
        <v>0</v>
      </c>
      <c r="AB483" s="50">
        <f t="shared" si="160"/>
        <v>0</v>
      </c>
      <c r="AC483" s="43">
        <f t="shared" si="161"/>
        <v>0</v>
      </c>
      <c r="AD483" s="43">
        <f t="shared" si="162"/>
        <v>0</v>
      </c>
      <c r="AE483" s="43">
        <f t="shared" si="163"/>
        <v>0</v>
      </c>
      <c r="AF483" s="51" t="e">
        <f>HLOOKUP(I483,ElecAvoidedCostsWOCC!$A$5:$Q$50,G483+1,FALSE)</f>
        <v>#N/A</v>
      </c>
      <c r="AG483" s="43" t="e">
        <f t="shared" si="164"/>
        <v>#N/A</v>
      </c>
      <c r="AH483" s="51" t="e">
        <f>HLOOKUP(I483,ElecAvoidedCostsWOCC!$A$5:$Q$50,T483+1,FALSE)</f>
        <v>#N/A</v>
      </c>
      <c r="AI483" s="43" t="e">
        <f t="shared" si="165"/>
        <v>#N/A</v>
      </c>
      <c r="AJ483" s="43" t="e">
        <f t="shared" si="166"/>
        <v>#N/A</v>
      </c>
      <c r="AK483" s="43" t="e">
        <f>HLOOKUP(I483,ElecAvoidedCostsWOCC!$A$5:$Q$50,G483+1,FALSE)*J483*L483</f>
        <v>#N/A</v>
      </c>
      <c r="AL483" s="43" t="e">
        <f t="shared" si="167"/>
        <v>#N/A</v>
      </c>
      <c r="AM483" s="47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7">
        <f t="shared" si="168"/>
        <v>0</v>
      </c>
      <c r="AO483" s="46">
        <f t="shared" si="169"/>
        <v>0</v>
      </c>
      <c r="AP483" s="46" t="e">
        <f t="shared" si="170"/>
        <v>#DIV/0!</v>
      </c>
    </row>
    <row r="484" spans="2:42" x14ac:dyDescent="0.25">
      <c r="B484" s="36"/>
      <c r="C484" s="60"/>
      <c r="D484" s="60"/>
      <c r="E484" s="37"/>
      <c r="F484" s="38"/>
      <c r="G484" s="38"/>
      <c r="H484" s="38"/>
      <c r="I484" s="39"/>
      <c r="J484" s="40"/>
      <c r="K484" s="40"/>
      <c r="L484" s="40"/>
      <c r="M484" s="41"/>
      <c r="N484" s="41"/>
      <c r="O484" s="42"/>
      <c r="P484" s="43"/>
      <c r="Q484" s="43"/>
      <c r="R484" s="44"/>
      <c r="S484" s="45"/>
      <c r="T484" s="38">
        <f t="shared" si="152"/>
        <v>0</v>
      </c>
      <c r="U484" s="46">
        <f t="shared" si="153"/>
        <v>0</v>
      </c>
      <c r="V484" s="47">
        <f t="shared" si="154"/>
        <v>0</v>
      </c>
      <c r="W484" s="48">
        <f t="shared" si="155"/>
        <v>0</v>
      </c>
      <c r="X484" s="43">
        <f t="shared" si="156"/>
        <v>0</v>
      </c>
      <c r="Y484" s="43">
        <f t="shared" si="157"/>
        <v>0</v>
      </c>
      <c r="Z484" s="43">
        <f t="shared" si="158"/>
        <v>0</v>
      </c>
      <c r="AA484" s="49">
        <f t="shared" si="159"/>
        <v>0</v>
      </c>
      <c r="AB484" s="50">
        <f t="shared" si="160"/>
        <v>0</v>
      </c>
      <c r="AC484" s="43">
        <f t="shared" si="161"/>
        <v>0</v>
      </c>
      <c r="AD484" s="43">
        <f t="shared" si="162"/>
        <v>0</v>
      </c>
      <c r="AE484" s="43">
        <f t="shared" si="163"/>
        <v>0</v>
      </c>
      <c r="AF484" s="51" t="e">
        <f>HLOOKUP(I484,ElecAvoidedCostsWOCC!$A$5:$Q$50,G484+1,FALSE)</f>
        <v>#N/A</v>
      </c>
      <c r="AG484" s="43" t="e">
        <f t="shared" si="164"/>
        <v>#N/A</v>
      </c>
      <c r="AH484" s="51" t="e">
        <f>HLOOKUP(I484,ElecAvoidedCostsWOCC!$A$5:$Q$50,T484+1,FALSE)</f>
        <v>#N/A</v>
      </c>
      <c r="AI484" s="43" t="e">
        <f t="shared" si="165"/>
        <v>#N/A</v>
      </c>
      <c r="AJ484" s="43" t="e">
        <f t="shared" si="166"/>
        <v>#N/A</v>
      </c>
      <c r="AK484" s="43" t="e">
        <f>HLOOKUP(I484,ElecAvoidedCostsWOCC!$A$5:$Q$50,G484+1,FALSE)*J484*L484</f>
        <v>#N/A</v>
      </c>
      <c r="AL484" s="43" t="e">
        <f t="shared" si="167"/>
        <v>#N/A</v>
      </c>
      <c r="AM484" s="47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7">
        <f t="shared" si="168"/>
        <v>0</v>
      </c>
      <c r="AO484" s="46">
        <f t="shared" si="169"/>
        <v>0</v>
      </c>
      <c r="AP484" s="46" t="e">
        <f t="shared" si="170"/>
        <v>#DIV/0!</v>
      </c>
    </row>
    <row r="485" spans="2:42" x14ac:dyDescent="0.25">
      <c r="B485" s="36"/>
      <c r="C485" s="60"/>
      <c r="D485" s="60"/>
      <c r="E485" s="37"/>
      <c r="F485" s="38"/>
      <c r="G485" s="38"/>
      <c r="H485" s="38"/>
      <c r="I485" s="39"/>
      <c r="J485" s="40"/>
      <c r="K485" s="40"/>
      <c r="L485" s="40"/>
      <c r="M485" s="41"/>
      <c r="N485" s="41"/>
      <c r="O485" s="42"/>
      <c r="P485" s="43"/>
      <c r="Q485" s="43"/>
      <c r="R485" s="44"/>
      <c r="S485" s="45"/>
      <c r="T485" s="38">
        <f t="shared" si="152"/>
        <v>0</v>
      </c>
      <c r="U485" s="46">
        <f t="shared" si="153"/>
        <v>0</v>
      </c>
      <c r="V485" s="47">
        <f t="shared" si="154"/>
        <v>0</v>
      </c>
      <c r="W485" s="48">
        <f t="shared" si="155"/>
        <v>0</v>
      </c>
      <c r="X485" s="43">
        <f t="shared" si="156"/>
        <v>0</v>
      </c>
      <c r="Y485" s="43">
        <f t="shared" si="157"/>
        <v>0</v>
      </c>
      <c r="Z485" s="43">
        <f t="shared" si="158"/>
        <v>0</v>
      </c>
      <c r="AA485" s="49">
        <f t="shared" si="159"/>
        <v>0</v>
      </c>
      <c r="AB485" s="50">
        <f t="shared" si="160"/>
        <v>0</v>
      </c>
      <c r="AC485" s="43">
        <f t="shared" si="161"/>
        <v>0</v>
      </c>
      <c r="AD485" s="43">
        <f t="shared" si="162"/>
        <v>0</v>
      </c>
      <c r="AE485" s="43">
        <f t="shared" si="163"/>
        <v>0</v>
      </c>
      <c r="AF485" s="51" t="e">
        <f>HLOOKUP(I485,ElecAvoidedCostsWOCC!$A$5:$Q$50,G485+1,FALSE)</f>
        <v>#N/A</v>
      </c>
      <c r="AG485" s="43" t="e">
        <f t="shared" si="164"/>
        <v>#N/A</v>
      </c>
      <c r="AH485" s="51" t="e">
        <f>HLOOKUP(I485,ElecAvoidedCostsWOCC!$A$5:$Q$50,T485+1,FALSE)</f>
        <v>#N/A</v>
      </c>
      <c r="AI485" s="43" t="e">
        <f t="shared" si="165"/>
        <v>#N/A</v>
      </c>
      <c r="AJ485" s="43" t="e">
        <f t="shared" si="166"/>
        <v>#N/A</v>
      </c>
      <c r="AK485" s="43" t="e">
        <f>HLOOKUP(I485,ElecAvoidedCostsWOCC!$A$5:$Q$50,G485+1,FALSE)*J485*L485</f>
        <v>#N/A</v>
      </c>
      <c r="AL485" s="43" t="e">
        <f t="shared" si="167"/>
        <v>#N/A</v>
      </c>
      <c r="AM485" s="47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7">
        <f t="shared" si="168"/>
        <v>0</v>
      </c>
      <c r="AO485" s="46">
        <f t="shared" si="169"/>
        <v>0</v>
      </c>
      <c r="AP485" s="46" t="e">
        <f t="shared" si="170"/>
        <v>#DIV/0!</v>
      </c>
    </row>
    <row r="486" spans="2:42" x14ac:dyDescent="0.25">
      <c r="B486" s="36"/>
      <c r="C486" s="60"/>
      <c r="D486" s="60"/>
      <c r="E486" s="37"/>
      <c r="F486" s="38"/>
      <c r="G486" s="38"/>
      <c r="H486" s="38"/>
      <c r="I486" s="39"/>
      <c r="J486" s="40"/>
      <c r="K486" s="40"/>
      <c r="L486" s="40"/>
      <c r="M486" s="41"/>
      <c r="N486" s="41"/>
      <c r="O486" s="42"/>
      <c r="P486" s="43"/>
      <c r="Q486" s="43"/>
      <c r="R486" s="44"/>
      <c r="S486" s="45"/>
      <c r="T486" s="38">
        <f t="shared" si="152"/>
        <v>0</v>
      </c>
      <c r="U486" s="46">
        <f t="shared" si="153"/>
        <v>0</v>
      </c>
      <c r="V486" s="47">
        <f t="shared" si="154"/>
        <v>0</v>
      </c>
      <c r="W486" s="48">
        <f t="shared" si="155"/>
        <v>0</v>
      </c>
      <c r="X486" s="43">
        <f t="shared" si="156"/>
        <v>0</v>
      </c>
      <c r="Y486" s="43">
        <f t="shared" si="157"/>
        <v>0</v>
      </c>
      <c r="Z486" s="43">
        <f t="shared" si="158"/>
        <v>0</v>
      </c>
      <c r="AA486" s="49">
        <f t="shared" si="159"/>
        <v>0</v>
      </c>
      <c r="AB486" s="50">
        <f t="shared" si="160"/>
        <v>0</v>
      </c>
      <c r="AC486" s="43">
        <f t="shared" si="161"/>
        <v>0</v>
      </c>
      <c r="AD486" s="43">
        <f t="shared" si="162"/>
        <v>0</v>
      </c>
      <c r="AE486" s="43">
        <f t="shared" si="163"/>
        <v>0</v>
      </c>
      <c r="AF486" s="51" t="e">
        <f>HLOOKUP(I486,ElecAvoidedCostsWOCC!$A$5:$Q$50,G486+1,FALSE)</f>
        <v>#N/A</v>
      </c>
      <c r="AG486" s="43" t="e">
        <f t="shared" si="164"/>
        <v>#N/A</v>
      </c>
      <c r="AH486" s="51" t="e">
        <f>HLOOKUP(I486,ElecAvoidedCostsWOCC!$A$5:$Q$50,T486+1,FALSE)</f>
        <v>#N/A</v>
      </c>
      <c r="AI486" s="43" t="e">
        <f t="shared" si="165"/>
        <v>#N/A</v>
      </c>
      <c r="AJ486" s="43" t="e">
        <f t="shared" si="166"/>
        <v>#N/A</v>
      </c>
      <c r="AK486" s="43" t="e">
        <f>HLOOKUP(I486,ElecAvoidedCostsWOCC!$A$5:$Q$50,G486+1,FALSE)*J486*L486</f>
        <v>#N/A</v>
      </c>
      <c r="AL486" s="43" t="e">
        <f t="shared" si="167"/>
        <v>#N/A</v>
      </c>
      <c r="AM486" s="47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7">
        <f t="shared" si="168"/>
        <v>0</v>
      </c>
      <c r="AO486" s="46">
        <f t="shared" si="169"/>
        <v>0</v>
      </c>
      <c r="AP486" s="46" t="e">
        <f t="shared" si="170"/>
        <v>#DIV/0!</v>
      </c>
    </row>
    <row r="487" spans="2:42" x14ac:dyDescent="0.25">
      <c r="B487" s="36"/>
      <c r="C487" s="60"/>
      <c r="D487" s="60"/>
      <c r="E487" s="37"/>
      <c r="F487" s="38"/>
      <c r="G487" s="38"/>
      <c r="H487" s="38"/>
      <c r="I487" s="39"/>
      <c r="J487" s="40"/>
      <c r="K487" s="40"/>
      <c r="L487" s="40"/>
      <c r="M487" s="41"/>
      <c r="N487" s="41"/>
      <c r="O487" s="42"/>
      <c r="P487" s="43"/>
      <c r="Q487" s="43"/>
      <c r="R487" s="44"/>
      <c r="S487" s="45"/>
      <c r="T487" s="38">
        <f t="shared" si="152"/>
        <v>0</v>
      </c>
      <c r="U487" s="46">
        <f t="shared" si="153"/>
        <v>0</v>
      </c>
      <c r="V487" s="47">
        <f t="shared" si="154"/>
        <v>0</v>
      </c>
      <c r="W487" s="48">
        <f t="shared" si="155"/>
        <v>0</v>
      </c>
      <c r="X487" s="43">
        <f t="shared" si="156"/>
        <v>0</v>
      </c>
      <c r="Y487" s="43">
        <f t="shared" si="157"/>
        <v>0</v>
      </c>
      <c r="Z487" s="43">
        <f t="shared" si="158"/>
        <v>0</v>
      </c>
      <c r="AA487" s="49">
        <f t="shared" si="159"/>
        <v>0</v>
      </c>
      <c r="AB487" s="50">
        <f t="shared" si="160"/>
        <v>0</v>
      </c>
      <c r="AC487" s="43">
        <f t="shared" si="161"/>
        <v>0</v>
      </c>
      <c r="AD487" s="43">
        <f t="shared" si="162"/>
        <v>0</v>
      </c>
      <c r="AE487" s="43">
        <f t="shared" si="163"/>
        <v>0</v>
      </c>
      <c r="AF487" s="51" t="e">
        <f>HLOOKUP(I487,ElecAvoidedCostsWOCC!$A$5:$Q$50,G487+1,FALSE)</f>
        <v>#N/A</v>
      </c>
      <c r="AG487" s="43" t="e">
        <f t="shared" si="164"/>
        <v>#N/A</v>
      </c>
      <c r="AH487" s="51" t="e">
        <f>HLOOKUP(I487,ElecAvoidedCostsWOCC!$A$5:$Q$50,T487+1,FALSE)</f>
        <v>#N/A</v>
      </c>
      <c r="AI487" s="43" t="e">
        <f t="shared" si="165"/>
        <v>#N/A</v>
      </c>
      <c r="AJ487" s="43" t="e">
        <f t="shared" si="166"/>
        <v>#N/A</v>
      </c>
      <c r="AK487" s="43" t="e">
        <f>HLOOKUP(I487,ElecAvoidedCostsWOCC!$A$5:$Q$50,G487+1,FALSE)*J487*L487</f>
        <v>#N/A</v>
      </c>
      <c r="AL487" s="43" t="e">
        <f t="shared" si="167"/>
        <v>#N/A</v>
      </c>
      <c r="AM487" s="47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7">
        <f t="shared" si="168"/>
        <v>0</v>
      </c>
      <c r="AO487" s="46">
        <f t="shared" si="169"/>
        <v>0</v>
      </c>
      <c r="AP487" s="46" t="e">
        <f t="shared" si="170"/>
        <v>#DIV/0!</v>
      </c>
    </row>
    <row r="488" spans="2:42" x14ac:dyDescent="0.25">
      <c r="B488" s="36"/>
      <c r="C488" s="60"/>
      <c r="D488" s="60"/>
      <c r="E488" s="37"/>
      <c r="F488" s="38"/>
      <c r="G488" s="38"/>
      <c r="H488" s="38"/>
      <c r="I488" s="39"/>
      <c r="J488" s="40"/>
      <c r="K488" s="40"/>
      <c r="L488" s="40"/>
      <c r="M488" s="41"/>
      <c r="N488" s="41"/>
      <c r="O488" s="42"/>
      <c r="P488" s="43"/>
      <c r="Q488" s="43"/>
      <c r="R488" s="44"/>
      <c r="S488" s="45"/>
      <c r="T488" s="38">
        <f t="shared" si="152"/>
        <v>0</v>
      </c>
      <c r="U488" s="46">
        <f t="shared" si="153"/>
        <v>0</v>
      </c>
      <c r="V488" s="47">
        <f t="shared" si="154"/>
        <v>0</v>
      </c>
      <c r="W488" s="48">
        <f t="shared" si="155"/>
        <v>0</v>
      </c>
      <c r="X488" s="43">
        <f t="shared" si="156"/>
        <v>0</v>
      </c>
      <c r="Y488" s="43">
        <f t="shared" si="157"/>
        <v>0</v>
      </c>
      <c r="Z488" s="43">
        <f t="shared" si="158"/>
        <v>0</v>
      </c>
      <c r="AA488" s="49">
        <f t="shared" si="159"/>
        <v>0</v>
      </c>
      <c r="AB488" s="50">
        <f t="shared" si="160"/>
        <v>0</v>
      </c>
      <c r="AC488" s="43">
        <f t="shared" si="161"/>
        <v>0</v>
      </c>
      <c r="AD488" s="43">
        <f t="shared" si="162"/>
        <v>0</v>
      </c>
      <c r="AE488" s="43">
        <f t="shared" si="163"/>
        <v>0</v>
      </c>
      <c r="AF488" s="51" t="e">
        <f>HLOOKUP(I488,ElecAvoidedCostsWOCC!$A$5:$Q$50,G488+1,FALSE)</f>
        <v>#N/A</v>
      </c>
      <c r="AG488" s="43" t="e">
        <f t="shared" si="164"/>
        <v>#N/A</v>
      </c>
      <c r="AH488" s="51" t="e">
        <f>HLOOKUP(I488,ElecAvoidedCostsWOCC!$A$5:$Q$50,T488+1,FALSE)</f>
        <v>#N/A</v>
      </c>
      <c r="AI488" s="43" t="e">
        <f t="shared" si="165"/>
        <v>#N/A</v>
      </c>
      <c r="AJ488" s="43" t="e">
        <f t="shared" si="166"/>
        <v>#N/A</v>
      </c>
      <c r="AK488" s="43" t="e">
        <f>HLOOKUP(I488,ElecAvoidedCostsWOCC!$A$5:$Q$50,G488+1,FALSE)*J488*L488</f>
        <v>#N/A</v>
      </c>
      <c r="AL488" s="43" t="e">
        <f t="shared" si="167"/>
        <v>#N/A</v>
      </c>
      <c r="AM488" s="47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7">
        <f t="shared" si="168"/>
        <v>0</v>
      </c>
      <c r="AO488" s="46">
        <f t="shared" si="169"/>
        <v>0</v>
      </c>
      <c r="AP488" s="46" t="e">
        <f t="shared" si="170"/>
        <v>#DIV/0!</v>
      </c>
    </row>
    <row r="489" spans="2:42" x14ac:dyDescent="0.25">
      <c r="B489" s="36"/>
      <c r="C489" s="60"/>
      <c r="D489" s="60"/>
      <c r="E489" s="37"/>
      <c r="F489" s="38"/>
      <c r="G489" s="38"/>
      <c r="H489" s="38"/>
      <c r="I489" s="39"/>
      <c r="J489" s="40"/>
      <c r="K489" s="40"/>
      <c r="L489" s="40"/>
      <c r="M489" s="41"/>
      <c r="N489" s="41"/>
      <c r="O489" s="42"/>
      <c r="P489" s="43"/>
      <c r="Q489" s="43"/>
      <c r="R489" s="44"/>
      <c r="S489" s="45"/>
      <c r="T489" s="38">
        <f t="shared" si="152"/>
        <v>0</v>
      </c>
      <c r="U489" s="46">
        <f t="shared" si="153"/>
        <v>0</v>
      </c>
      <c r="V489" s="47">
        <f t="shared" si="154"/>
        <v>0</v>
      </c>
      <c r="W489" s="48">
        <f t="shared" si="155"/>
        <v>0</v>
      </c>
      <c r="X489" s="43">
        <f t="shared" si="156"/>
        <v>0</v>
      </c>
      <c r="Y489" s="43">
        <f t="shared" si="157"/>
        <v>0</v>
      </c>
      <c r="Z489" s="43">
        <f t="shared" si="158"/>
        <v>0</v>
      </c>
      <c r="AA489" s="49">
        <f t="shared" si="159"/>
        <v>0</v>
      </c>
      <c r="AB489" s="50">
        <f t="shared" si="160"/>
        <v>0</v>
      </c>
      <c r="AC489" s="43">
        <f t="shared" si="161"/>
        <v>0</v>
      </c>
      <c r="AD489" s="43">
        <f t="shared" si="162"/>
        <v>0</v>
      </c>
      <c r="AE489" s="43">
        <f t="shared" si="163"/>
        <v>0</v>
      </c>
      <c r="AF489" s="51" t="e">
        <f>HLOOKUP(I489,ElecAvoidedCostsWOCC!$A$5:$Q$50,G489+1,FALSE)</f>
        <v>#N/A</v>
      </c>
      <c r="AG489" s="43" t="e">
        <f t="shared" si="164"/>
        <v>#N/A</v>
      </c>
      <c r="AH489" s="51" t="e">
        <f>HLOOKUP(I489,ElecAvoidedCostsWOCC!$A$5:$Q$50,T489+1,FALSE)</f>
        <v>#N/A</v>
      </c>
      <c r="AI489" s="43" t="e">
        <f t="shared" si="165"/>
        <v>#N/A</v>
      </c>
      <c r="AJ489" s="43" t="e">
        <f t="shared" si="166"/>
        <v>#N/A</v>
      </c>
      <c r="AK489" s="43" t="e">
        <f>HLOOKUP(I489,ElecAvoidedCostsWOCC!$A$5:$Q$50,G489+1,FALSE)*J489*L489</f>
        <v>#N/A</v>
      </c>
      <c r="AL489" s="43" t="e">
        <f t="shared" si="167"/>
        <v>#N/A</v>
      </c>
      <c r="AM489" s="47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7">
        <f t="shared" si="168"/>
        <v>0</v>
      </c>
      <c r="AO489" s="46">
        <f t="shared" si="169"/>
        <v>0</v>
      </c>
      <c r="AP489" s="46" t="e">
        <f t="shared" si="170"/>
        <v>#DIV/0!</v>
      </c>
    </row>
    <row r="490" spans="2:42" x14ac:dyDescent="0.25">
      <c r="B490" s="36"/>
      <c r="C490" s="60"/>
      <c r="D490" s="60"/>
      <c r="E490" s="37"/>
      <c r="F490" s="38"/>
      <c r="G490" s="38"/>
      <c r="H490" s="38"/>
      <c r="I490" s="39"/>
      <c r="J490" s="40"/>
      <c r="K490" s="40"/>
      <c r="L490" s="40"/>
      <c r="M490" s="41"/>
      <c r="N490" s="41"/>
      <c r="O490" s="42"/>
      <c r="P490" s="43"/>
      <c r="Q490" s="43"/>
      <c r="R490" s="44"/>
      <c r="S490" s="45"/>
      <c r="T490" s="38">
        <f t="shared" si="152"/>
        <v>0</v>
      </c>
      <c r="U490" s="46">
        <f t="shared" si="153"/>
        <v>0</v>
      </c>
      <c r="V490" s="47">
        <f t="shared" si="154"/>
        <v>0</v>
      </c>
      <c r="W490" s="48">
        <f t="shared" si="155"/>
        <v>0</v>
      </c>
      <c r="X490" s="43">
        <f t="shared" si="156"/>
        <v>0</v>
      </c>
      <c r="Y490" s="43">
        <f t="shared" si="157"/>
        <v>0</v>
      </c>
      <c r="Z490" s="43">
        <f t="shared" si="158"/>
        <v>0</v>
      </c>
      <c r="AA490" s="49">
        <f t="shared" si="159"/>
        <v>0</v>
      </c>
      <c r="AB490" s="50">
        <f t="shared" si="160"/>
        <v>0</v>
      </c>
      <c r="AC490" s="43">
        <f t="shared" si="161"/>
        <v>0</v>
      </c>
      <c r="AD490" s="43">
        <f t="shared" si="162"/>
        <v>0</v>
      </c>
      <c r="AE490" s="43">
        <f t="shared" si="163"/>
        <v>0</v>
      </c>
      <c r="AF490" s="51" t="e">
        <f>HLOOKUP(I490,ElecAvoidedCostsWOCC!$A$5:$Q$50,G490+1,FALSE)</f>
        <v>#N/A</v>
      </c>
      <c r="AG490" s="43" t="e">
        <f t="shared" si="164"/>
        <v>#N/A</v>
      </c>
      <c r="AH490" s="51" t="e">
        <f>HLOOKUP(I490,ElecAvoidedCostsWOCC!$A$5:$Q$50,T490+1,FALSE)</f>
        <v>#N/A</v>
      </c>
      <c r="AI490" s="43" t="e">
        <f t="shared" si="165"/>
        <v>#N/A</v>
      </c>
      <c r="AJ490" s="43" t="e">
        <f t="shared" si="166"/>
        <v>#N/A</v>
      </c>
      <c r="AK490" s="43" t="e">
        <f>HLOOKUP(I490,ElecAvoidedCostsWOCC!$A$5:$Q$50,G490+1,FALSE)*J490*L490</f>
        <v>#N/A</v>
      </c>
      <c r="AL490" s="43" t="e">
        <f t="shared" si="167"/>
        <v>#N/A</v>
      </c>
      <c r="AM490" s="47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7">
        <f t="shared" si="168"/>
        <v>0</v>
      </c>
      <c r="AO490" s="46">
        <f t="shared" si="169"/>
        <v>0</v>
      </c>
      <c r="AP490" s="46" t="e">
        <f t="shared" si="170"/>
        <v>#DIV/0!</v>
      </c>
    </row>
    <row r="491" spans="2:42" x14ac:dyDescent="0.25">
      <c r="B491" s="36"/>
      <c r="C491" s="60"/>
      <c r="D491" s="60"/>
      <c r="E491" s="37"/>
      <c r="F491" s="38"/>
      <c r="G491" s="38"/>
      <c r="H491" s="38"/>
      <c r="I491" s="39"/>
      <c r="J491" s="40"/>
      <c r="K491" s="40"/>
      <c r="L491" s="40"/>
      <c r="M491" s="41"/>
      <c r="N491" s="41"/>
      <c r="O491" s="42"/>
      <c r="P491" s="43"/>
      <c r="Q491" s="43"/>
      <c r="R491" s="44"/>
      <c r="S491" s="45"/>
      <c r="T491" s="38">
        <f t="shared" si="152"/>
        <v>0</v>
      </c>
      <c r="U491" s="46">
        <f t="shared" si="153"/>
        <v>0</v>
      </c>
      <c r="V491" s="47">
        <f t="shared" si="154"/>
        <v>0</v>
      </c>
      <c r="W491" s="48">
        <f t="shared" si="155"/>
        <v>0</v>
      </c>
      <c r="X491" s="43">
        <f t="shared" si="156"/>
        <v>0</v>
      </c>
      <c r="Y491" s="43">
        <f t="shared" si="157"/>
        <v>0</v>
      </c>
      <c r="Z491" s="43">
        <f t="shared" si="158"/>
        <v>0</v>
      </c>
      <c r="AA491" s="49">
        <f t="shared" si="159"/>
        <v>0</v>
      </c>
      <c r="AB491" s="50">
        <f t="shared" si="160"/>
        <v>0</v>
      </c>
      <c r="AC491" s="43">
        <f t="shared" si="161"/>
        <v>0</v>
      </c>
      <c r="AD491" s="43">
        <f t="shared" si="162"/>
        <v>0</v>
      </c>
      <c r="AE491" s="43">
        <f t="shared" si="163"/>
        <v>0</v>
      </c>
      <c r="AF491" s="51" t="e">
        <f>HLOOKUP(I491,ElecAvoidedCostsWOCC!$A$5:$Q$50,G491+1,FALSE)</f>
        <v>#N/A</v>
      </c>
      <c r="AG491" s="43" t="e">
        <f t="shared" si="164"/>
        <v>#N/A</v>
      </c>
      <c r="AH491" s="51" t="e">
        <f>HLOOKUP(I491,ElecAvoidedCostsWOCC!$A$5:$Q$50,T491+1,FALSE)</f>
        <v>#N/A</v>
      </c>
      <c r="AI491" s="43" t="e">
        <f t="shared" si="165"/>
        <v>#N/A</v>
      </c>
      <c r="AJ491" s="43" t="e">
        <f t="shared" si="166"/>
        <v>#N/A</v>
      </c>
      <c r="AK491" s="43" t="e">
        <f>HLOOKUP(I491,ElecAvoidedCostsWOCC!$A$5:$Q$50,G491+1,FALSE)*J491*L491</f>
        <v>#N/A</v>
      </c>
      <c r="AL491" s="43" t="e">
        <f t="shared" si="167"/>
        <v>#N/A</v>
      </c>
      <c r="AM491" s="47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7">
        <f t="shared" si="168"/>
        <v>0</v>
      </c>
      <c r="AO491" s="46">
        <f t="shared" si="169"/>
        <v>0</v>
      </c>
      <c r="AP491" s="46" t="e">
        <f t="shared" si="170"/>
        <v>#DIV/0!</v>
      </c>
    </row>
    <row r="492" spans="2:42" x14ac:dyDescent="0.25">
      <c r="B492" s="36"/>
      <c r="C492" s="60"/>
      <c r="D492" s="60"/>
      <c r="E492" s="37"/>
      <c r="F492" s="38"/>
      <c r="G492" s="38"/>
      <c r="H492" s="38"/>
      <c r="I492" s="39"/>
      <c r="J492" s="40"/>
      <c r="K492" s="40"/>
      <c r="L492" s="40"/>
      <c r="M492" s="41"/>
      <c r="N492" s="41"/>
      <c r="O492" s="42"/>
      <c r="P492" s="43"/>
      <c r="Q492" s="43"/>
      <c r="R492" s="44"/>
      <c r="S492" s="45"/>
      <c r="T492" s="38">
        <f t="shared" si="152"/>
        <v>0</v>
      </c>
      <c r="U492" s="46">
        <f t="shared" si="153"/>
        <v>0</v>
      </c>
      <c r="V492" s="47">
        <f t="shared" si="154"/>
        <v>0</v>
      </c>
      <c r="W492" s="48">
        <f t="shared" si="155"/>
        <v>0</v>
      </c>
      <c r="X492" s="43">
        <f t="shared" si="156"/>
        <v>0</v>
      </c>
      <c r="Y492" s="43">
        <f t="shared" si="157"/>
        <v>0</v>
      </c>
      <c r="Z492" s="43">
        <f t="shared" si="158"/>
        <v>0</v>
      </c>
      <c r="AA492" s="49">
        <f t="shared" si="159"/>
        <v>0</v>
      </c>
      <c r="AB492" s="50">
        <f t="shared" si="160"/>
        <v>0</v>
      </c>
      <c r="AC492" s="43">
        <f t="shared" si="161"/>
        <v>0</v>
      </c>
      <c r="AD492" s="43">
        <f t="shared" si="162"/>
        <v>0</v>
      </c>
      <c r="AE492" s="43">
        <f t="shared" si="163"/>
        <v>0</v>
      </c>
      <c r="AF492" s="51" t="e">
        <f>HLOOKUP(I492,ElecAvoidedCostsWOCC!$A$5:$Q$50,G492+1,FALSE)</f>
        <v>#N/A</v>
      </c>
      <c r="AG492" s="43" t="e">
        <f t="shared" si="164"/>
        <v>#N/A</v>
      </c>
      <c r="AH492" s="51" t="e">
        <f>HLOOKUP(I492,ElecAvoidedCostsWOCC!$A$5:$Q$50,T492+1,FALSE)</f>
        <v>#N/A</v>
      </c>
      <c r="AI492" s="43" t="e">
        <f t="shared" si="165"/>
        <v>#N/A</v>
      </c>
      <c r="AJ492" s="43" t="e">
        <f t="shared" si="166"/>
        <v>#N/A</v>
      </c>
      <c r="AK492" s="43" t="e">
        <f>HLOOKUP(I492,ElecAvoidedCostsWOCC!$A$5:$Q$50,G492+1,FALSE)*J492*L492</f>
        <v>#N/A</v>
      </c>
      <c r="AL492" s="43" t="e">
        <f t="shared" si="167"/>
        <v>#N/A</v>
      </c>
      <c r="AM492" s="47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7">
        <f t="shared" si="168"/>
        <v>0</v>
      </c>
      <c r="AO492" s="46">
        <f t="shared" si="169"/>
        <v>0</v>
      </c>
      <c r="AP492" s="46" t="e">
        <f t="shared" si="170"/>
        <v>#DIV/0!</v>
      </c>
    </row>
    <row r="493" spans="2:42" x14ac:dyDescent="0.25">
      <c r="B493" s="36"/>
      <c r="C493" s="60"/>
      <c r="D493" s="60"/>
      <c r="E493" s="37"/>
      <c r="F493" s="38"/>
      <c r="G493" s="38"/>
      <c r="H493" s="38"/>
      <c r="I493" s="39"/>
      <c r="J493" s="40"/>
      <c r="K493" s="40"/>
      <c r="L493" s="40"/>
      <c r="M493" s="41"/>
      <c r="N493" s="41"/>
      <c r="O493" s="42"/>
      <c r="P493" s="43"/>
      <c r="Q493" s="43"/>
      <c r="R493" s="44"/>
      <c r="S493" s="45"/>
      <c r="T493" s="38">
        <f t="shared" si="152"/>
        <v>0</v>
      </c>
      <c r="U493" s="46">
        <f t="shared" si="153"/>
        <v>0</v>
      </c>
      <c r="V493" s="47">
        <f t="shared" si="154"/>
        <v>0</v>
      </c>
      <c r="W493" s="48">
        <f t="shared" si="155"/>
        <v>0</v>
      </c>
      <c r="X493" s="43">
        <f t="shared" si="156"/>
        <v>0</v>
      </c>
      <c r="Y493" s="43">
        <f t="shared" si="157"/>
        <v>0</v>
      </c>
      <c r="Z493" s="43">
        <f t="shared" si="158"/>
        <v>0</v>
      </c>
      <c r="AA493" s="49">
        <f t="shared" si="159"/>
        <v>0</v>
      </c>
      <c r="AB493" s="50">
        <f t="shared" si="160"/>
        <v>0</v>
      </c>
      <c r="AC493" s="43">
        <f t="shared" si="161"/>
        <v>0</v>
      </c>
      <c r="AD493" s="43">
        <f t="shared" si="162"/>
        <v>0</v>
      </c>
      <c r="AE493" s="43">
        <f t="shared" si="163"/>
        <v>0</v>
      </c>
      <c r="AF493" s="51" t="e">
        <f>HLOOKUP(I493,ElecAvoidedCostsWOCC!$A$5:$Q$50,G493+1,FALSE)</f>
        <v>#N/A</v>
      </c>
      <c r="AG493" s="43" t="e">
        <f t="shared" si="164"/>
        <v>#N/A</v>
      </c>
      <c r="AH493" s="51" t="e">
        <f>HLOOKUP(I493,ElecAvoidedCostsWOCC!$A$5:$Q$50,T493+1,FALSE)</f>
        <v>#N/A</v>
      </c>
      <c r="AI493" s="43" t="e">
        <f t="shared" si="165"/>
        <v>#N/A</v>
      </c>
      <c r="AJ493" s="43" t="e">
        <f t="shared" si="166"/>
        <v>#N/A</v>
      </c>
      <c r="AK493" s="43" t="e">
        <f>HLOOKUP(I493,ElecAvoidedCostsWOCC!$A$5:$Q$50,G493+1,FALSE)*J493*L493</f>
        <v>#N/A</v>
      </c>
      <c r="AL493" s="43" t="e">
        <f t="shared" si="167"/>
        <v>#N/A</v>
      </c>
      <c r="AM493" s="47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7">
        <f t="shared" si="168"/>
        <v>0</v>
      </c>
      <c r="AO493" s="46">
        <f t="shared" si="169"/>
        <v>0</v>
      </c>
      <c r="AP493" s="46" t="e">
        <f t="shared" si="170"/>
        <v>#DIV/0!</v>
      </c>
    </row>
    <row r="494" spans="2:42" x14ac:dyDescent="0.25">
      <c r="B494" s="36"/>
      <c r="C494" s="60"/>
      <c r="D494" s="60"/>
      <c r="E494" s="37"/>
      <c r="F494" s="38"/>
      <c r="G494" s="38"/>
      <c r="H494" s="38"/>
      <c r="I494" s="39"/>
      <c r="J494" s="40"/>
      <c r="K494" s="40"/>
      <c r="L494" s="40"/>
      <c r="M494" s="41"/>
      <c r="N494" s="41"/>
      <c r="O494" s="42"/>
      <c r="P494" s="43"/>
      <c r="Q494" s="43"/>
      <c r="R494" s="44"/>
      <c r="S494" s="45"/>
      <c r="T494" s="38">
        <f t="shared" si="152"/>
        <v>0</v>
      </c>
      <c r="U494" s="46">
        <f t="shared" si="153"/>
        <v>0</v>
      </c>
      <c r="V494" s="47">
        <f t="shared" si="154"/>
        <v>0</v>
      </c>
      <c r="W494" s="48">
        <f t="shared" si="155"/>
        <v>0</v>
      </c>
      <c r="X494" s="43">
        <f t="shared" si="156"/>
        <v>0</v>
      </c>
      <c r="Y494" s="43">
        <f t="shared" si="157"/>
        <v>0</v>
      </c>
      <c r="Z494" s="43">
        <f t="shared" si="158"/>
        <v>0</v>
      </c>
      <c r="AA494" s="49">
        <f t="shared" si="159"/>
        <v>0</v>
      </c>
      <c r="AB494" s="50">
        <f t="shared" si="160"/>
        <v>0</v>
      </c>
      <c r="AC494" s="43">
        <f t="shared" si="161"/>
        <v>0</v>
      </c>
      <c r="AD494" s="43">
        <f t="shared" si="162"/>
        <v>0</v>
      </c>
      <c r="AE494" s="43">
        <f t="shared" si="163"/>
        <v>0</v>
      </c>
      <c r="AF494" s="51" t="e">
        <f>HLOOKUP(I494,ElecAvoidedCostsWOCC!$A$5:$Q$50,G494+1,FALSE)</f>
        <v>#N/A</v>
      </c>
      <c r="AG494" s="43" t="e">
        <f t="shared" si="164"/>
        <v>#N/A</v>
      </c>
      <c r="AH494" s="51" t="e">
        <f>HLOOKUP(I494,ElecAvoidedCostsWOCC!$A$5:$Q$50,T494+1,FALSE)</f>
        <v>#N/A</v>
      </c>
      <c r="AI494" s="43" t="e">
        <f t="shared" si="165"/>
        <v>#N/A</v>
      </c>
      <c r="AJ494" s="43" t="e">
        <f t="shared" si="166"/>
        <v>#N/A</v>
      </c>
      <c r="AK494" s="43" t="e">
        <f>HLOOKUP(I494,ElecAvoidedCostsWOCC!$A$5:$Q$50,G494+1,FALSE)*J494*L494</f>
        <v>#N/A</v>
      </c>
      <c r="AL494" s="43" t="e">
        <f t="shared" si="167"/>
        <v>#N/A</v>
      </c>
      <c r="AM494" s="47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7">
        <f t="shared" si="168"/>
        <v>0</v>
      </c>
      <c r="AO494" s="46">
        <f t="shared" si="169"/>
        <v>0</v>
      </c>
      <c r="AP494" s="46" t="e">
        <f t="shared" si="170"/>
        <v>#DIV/0!</v>
      </c>
    </row>
    <row r="495" spans="2:42" x14ac:dyDescent="0.25">
      <c r="B495" s="36"/>
      <c r="C495" s="60"/>
      <c r="D495" s="60"/>
      <c r="E495" s="37"/>
      <c r="F495" s="38"/>
      <c r="G495" s="38"/>
      <c r="H495" s="38"/>
      <c r="I495" s="39"/>
      <c r="J495" s="40"/>
      <c r="K495" s="40"/>
      <c r="L495" s="40"/>
      <c r="M495" s="41"/>
      <c r="N495" s="41"/>
      <c r="O495" s="42"/>
      <c r="P495" s="43"/>
      <c r="Q495" s="43"/>
      <c r="R495" s="44"/>
      <c r="S495" s="45"/>
      <c r="T495" s="38">
        <f t="shared" si="152"/>
        <v>0</v>
      </c>
      <c r="U495" s="46">
        <f t="shared" si="153"/>
        <v>0</v>
      </c>
      <c r="V495" s="47">
        <f t="shared" si="154"/>
        <v>0</v>
      </c>
      <c r="W495" s="48">
        <f t="shared" si="155"/>
        <v>0</v>
      </c>
      <c r="X495" s="43">
        <f t="shared" si="156"/>
        <v>0</v>
      </c>
      <c r="Y495" s="43">
        <f t="shared" si="157"/>
        <v>0</v>
      </c>
      <c r="Z495" s="43">
        <f t="shared" si="158"/>
        <v>0</v>
      </c>
      <c r="AA495" s="49">
        <f t="shared" si="159"/>
        <v>0</v>
      </c>
      <c r="AB495" s="50">
        <f t="shared" si="160"/>
        <v>0</v>
      </c>
      <c r="AC495" s="43">
        <f t="shared" si="161"/>
        <v>0</v>
      </c>
      <c r="AD495" s="43">
        <f t="shared" si="162"/>
        <v>0</v>
      </c>
      <c r="AE495" s="43">
        <f t="shared" si="163"/>
        <v>0</v>
      </c>
      <c r="AF495" s="51" t="e">
        <f>HLOOKUP(I495,ElecAvoidedCostsWOCC!$A$5:$Q$50,G495+1,FALSE)</f>
        <v>#N/A</v>
      </c>
      <c r="AG495" s="43" t="e">
        <f t="shared" si="164"/>
        <v>#N/A</v>
      </c>
      <c r="AH495" s="51" t="e">
        <f>HLOOKUP(I495,ElecAvoidedCostsWOCC!$A$5:$Q$50,T495+1,FALSE)</f>
        <v>#N/A</v>
      </c>
      <c r="AI495" s="43" t="e">
        <f t="shared" si="165"/>
        <v>#N/A</v>
      </c>
      <c r="AJ495" s="43" t="e">
        <f t="shared" si="166"/>
        <v>#N/A</v>
      </c>
      <c r="AK495" s="43" t="e">
        <f>HLOOKUP(I495,ElecAvoidedCostsWOCC!$A$5:$Q$50,G495+1,FALSE)*J495*L495</f>
        <v>#N/A</v>
      </c>
      <c r="AL495" s="43" t="e">
        <f t="shared" si="167"/>
        <v>#N/A</v>
      </c>
      <c r="AM495" s="47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7">
        <f t="shared" si="168"/>
        <v>0</v>
      </c>
      <c r="AO495" s="46">
        <f t="shared" si="169"/>
        <v>0</v>
      </c>
      <c r="AP495" s="46" t="e">
        <f t="shared" si="170"/>
        <v>#DIV/0!</v>
      </c>
    </row>
    <row r="496" spans="2:42" x14ac:dyDescent="0.25">
      <c r="B496" s="36"/>
      <c r="C496" s="60"/>
      <c r="D496" s="60"/>
      <c r="E496" s="37"/>
      <c r="F496" s="38"/>
      <c r="G496" s="38"/>
      <c r="H496" s="38"/>
      <c r="I496" s="39"/>
      <c r="J496" s="40"/>
      <c r="K496" s="40"/>
      <c r="L496" s="40"/>
      <c r="M496" s="41"/>
      <c r="N496" s="41"/>
      <c r="O496" s="42"/>
      <c r="P496" s="43"/>
      <c r="Q496" s="43"/>
      <c r="R496" s="44"/>
      <c r="S496" s="45"/>
      <c r="T496" s="38">
        <f t="shared" si="152"/>
        <v>0</v>
      </c>
      <c r="U496" s="46">
        <f t="shared" si="153"/>
        <v>0</v>
      </c>
      <c r="V496" s="47">
        <f t="shared" si="154"/>
        <v>0</v>
      </c>
      <c r="W496" s="48">
        <f t="shared" si="155"/>
        <v>0</v>
      </c>
      <c r="X496" s="43">
        <f t="shared" si="156"/>
        <v>0</v>
      </c>
      <c r="Y496" s="43">
        <f t="shared" si="157"/>
        <v>0</v>
      </c>
      <c r="Z496" s="43">
        <f t="shared" si="158"/>
        <v>0</v>
      </c>
      <c r="AA496" s="49">
        <f t="shared" si="159"/>
        <v>0</v>
      </c>
      <c r="AB496" s="50">
        <f t="shared" si="160"/>
        <v>0</v>
      </c>
      <c r="AC496" s="43">
        <f t="shared" si="161"/>
        <v>0</v>
      </c>
      <c r="AD496" s="43">
        <f t="shared" si="162"/>
        <v>0</v>
      </c>
      <c r="AE496" s="43">
        <f t="shared" si="163"/>
        <v>0</v>
      </c>
      <c r="AF496" s="51" t="e">
        <f>HLOOKUP(I496,ElecAvoidedCostsWOCC!$A$5:$Q$50,G496+1,FALSE)</f>
        <v>#N/A</v>
      </c>
      <c r="AG496" s="43" t="e">
        <f t="shared" si="164"/>
        <v>#N/A</v>
      </c>
      <c r="AH496" s="51" t="e">
        <f>HLOOKUP(I496,ElecAvoidedCostsWOCC!$A$5:$Q$50,T496+1,FALSE)</f>
        <v>#N/A</v>
      </c>
      <c r="AI496" s="43" t="e">
        <f t="shared" si="165"/>
        <v>#N/A</v>
      </c>
      <c r="AJ496" s="43" t="e">
        <f t="shared" si="166"/>
        <v>#N/A</v>
      </c>
      <c r="AK496" s="43" t="e">
        <f>HLOOKUP(I496,ElecAvoidedCostsWOCC!$A$5:$Q$50,G496+1,FALSE)*J496*L496</f>
        <v>#N/A</v>
      </c>
      <c r="AL496" s="43" t="e">
        <f t="shared" si="167"/>
        <v>#N/A</v>
      </c>
      <c r="AM496" s="47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7">
        <f t="shared" si="168"/>
        <v>0</v>
      </c>
      <c r="AO496" s="46">
        <f t="shared" si="169"/>
        <v>0</v>
      </c>
      <c r="AP496" s="46" t="e">
        <f t="shared" si="170"/>
        <v>#DIV/0!</v>
      </c>
    </row>
    <row r="497" spans="2:42" x14ac:dyDescent="0.25">
      <c r="B497" s="36"/>
      <c r="C497" s="60"/>
      <c r="D497" s="60"/>
      <c r="E497" s="37"/>
      <c r="F497" s="38"/>
      <c r="G497" s="38"/>
      <c r="H497" s="38"/>
      <c r="I497" s="39"/>
      <c r="J497" s="40"/>
      <c r="K497" s="40"/>
      <c r="L497" s="40"/>
      <c r="M497" s="41"/>
      <c r="N497" s="41"/>
      <c r="O497" s="42"/>
      <c r="P497" s="43"/>
      <c r="Q497" s="43"/>
      <c r="R497" s="44"/>
      <c r="S497" s="45"/>
      <c r="T497" s="38">
        <f t="shared" si="152"/>
        <v>0</v>
      </c>
      <c r="U497" s="46">
        <f t="shared" si="153"/>
        <v>0</v>
      </c>
      <c r="V497" s="47">
        <f t="shared" si="154"/>
        <v>0</v>
      </c>
      <c r="W497" s="48">
        <f t="shared" si="155"/>
        <v>0</v>
      </c>
      <c r="X497" s="43">
        <f t="shared" si="156"/>
        <v>0</v>
      </c>
      <c r="Y497" s="43">
        <f t="shared" si="157"/>
        <v>0</v>
      </c>
      <c r="Z497" s="43">
        <f t="shared" si="158"/>
        <v>0</v>
      </c>
      <c r="AA497" s="49">
        <f t="shared" si="159"/>
        <v>0</v>
      </c>
      <c r="AB497" s="50">
        <f t="shared" si="160"/>
        <v>0</v>
      </c>
      <c r="AC497" s="43">
        <f t="shared" si="161"/>
        <v>0</v>
      </c>
      <c r="AD497" s="43">
        <f t="shared" si="162"/>
        <v>0</v>
      </c>
      <c r="AE497" s="43">
        <f t="shared" si="163"/>
        <v>0</v>
      </c>
      <c r="AF497" s="51" t="e">
        <f>HLOOKUP(I497,ElecAvoidedCostsWOCC!$A$5:$Q$50,G497+1,FALSE)</f>
        <v>#N/A</v>
      </c>
      <c r="AG497" s="43" t="e">
        <f t="shared" si="164"/>
        <v>#N/A</v>
      </c>
      <c r="AH497" s="51" t="e">
        <f>HLOOKUP(I497,ElecAvoidedCostsWOCC!$A$5:$Q$50,T497+1,FALSE)</f>
        <v>#N/A</v>
      </c>
      <c r="AI497" s="43" t="e">
        <f t="shared" si="165"/>
        <v>#N/A</v>
      </c>
      <c r="AJ497" s="43" t="e">
        <f t="shared" si="166"/>
        <v>#N/A</v>
      </c>
      <c r="AK497" s="43" t="e">
        <f>HLOOKUP(I497,ElecAvoidedCostsWOCC!$A$5:$Q$50,G497+1,FALSE)*J497*L497</f>
        <v>#N/A</v>
      </c>
      <c r="AL497" s="43" t="e">
        <f t="shared" si="167"/>
        <v>#N/A</v>
      </c>
      <c r="AM497" s="47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7">
        <f t="shared" si="168"/>
        <v>0</v>
      </c>
      <c r="AO497" s="46">
        <f t="shared" si="169"/>
        <v>0</v>
      </c>
      <c r="AP497" s="46" t="e">
        <f t="shared" si="170"/>
        <v>#DIV/0!</v>
      </c>
    </row>
    <row r="498" spans="2:42" x14ac:dyDescent="0.25">
      <c r="B498" s="36"/>
      <c r="C498" s="60"/>
      <c r="D498" s="60"/>
      <c r="E498" s="37"/>
      <c r="F498" s="38"/>
      <c r="G498" s="38"/>
      <c r="H498" s="38"/>
      <c r="I498" s="39"/>
      <c r="J498" s="40"/>
      <c r="K498" s="40"/>
      <c r="L498" s="40"/>
      <c r="M498" s="41"/>
      <c r="N498" s="41"/>
      <c r="O498" s="42"/>
      <c r="P498" s="43"/>
      <c r="Q498" s="43"/>
      <c r="R498" s="44"/>
      <c r="S498" s="45"/>
      <c r="T498" s="38">
        <f t="shared" si="152"/>
        <v>0</v>
      </c>
      <c r="U498" s="46">
        <f t="shared" si="153"/>
        <v>0</v>
      </c>
      <c r="V498" s="47">
        <f t="shared" si="154"/>
        <v>0</v>
      </c>
      <c r="W498" s="48">
        <f t="shared" si="155"/>
        <v>0</v>
      </c>
      <c r="X498" s="43">
        <f t="shared" si="156"/>
        <v>0</v>
      </c>
      <c r="Y498" s="43">
        <f t="shared" si="157"/>
        <v>0</v>
      </c>
      <c r="Z498" s="43">
        <f t="shared" si="158"/>
        <v>0</v>
      </c>
      <c r="AA498" s="49">
        <f t="shared" si="159"/>
        <v>0</v>
      </c>
      <c r="AB498" s="50">
        <f t="shared" si="160"/>
        <v>0</v>
      </c>
      <c r="AC498" s="43">
        <f t="shared" si="161"/>
        <v>0</v>
      </c>
      <c r="AD498" s="43">
        <f t="shared" si="162"/>
        <v>0</v>
      </c>
      <c r="AE498" s="43">
        <f t="shared" si="163"/>
        <v>0</v>
      </c>
      <c r="AF498" s="51" t="e">
        <f>HLOOKUP(I498,ElecAvoidedCostsWOCC!$A$5:$Q$50,G498+1,FALSE)</f>
        <v>#N/A</v>
      </c>
      <c r="AG498" s="43" t="e">
        <f t="shared" si="164"/>
        <v>#N/A</v>
      </c>
      <c r="AH498" s="51" t="e">
        <f>HLOOKUP(I498,ElecAvoidedCostsWOCC!$A$5:$Q$50,T498+1,FALSE)</f>
        <v>#N/A</v>
      </c>
      <c r="AI498" s="43" t="e">
        <f t="shared" si="165"/>
        <v>#N/A</v>
      </c>
      <c r="AJ498" s="43" t="e">
        <f t="shared" si="166"/>
        <v>#N/A</v>
      </c>
      <c r="AK498" s="43" t="e">
        <f>HLOOKUP(I498,ElecAvoidedCostsWOCC!$A$5:$Q$50,G498+1,FALSE)*J498*L498</f>
        <v>#N/A</v>
      </c>
      <c r="AL498" s="43" t="e">
        <f t="shared" si="167"/>
        <v>#N/A</v>
      </c>
      <c r="AM498" s="47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7">
        <f t="shared" si="168"/>
        <v>0</v>
      </c>
      <c r="AO498" s="46">
        <f t="shared" si="169"/>
        <v>0</v>
      </c>
      <c r="AP498" s="46" t="e">
        <f t="shared" si="170"/>
        <v>#DIV/0!</v>
      </c>
    </row>
    <row r="499" spans="2:42" x14ac:dyDescent="0.25">
      <c r="B499" s="36"/>
      <c r="C499" s="60"/>
      <c r="D499" s="60"/>
      <c r="E499" s="37"/>
      <c r="F499" s="38"/>
      <c r="G499" s="38"/>
      <c r="H499" s="38"/>
      <c r="I499" s="39"/>
      <c r="J499" s="40"/>
      <c r="K499" s="40"/>
      <c r="L499" s="40"/>
      <c r="M499" s="41"/>
      <c r="N499" s="41"/>
      <c r="O499" s="42"/>
      <c r="P499" s="43"/>
      <c r="Q499" s="43"/>
      <c r="R499" s="44"/>
      <c r="S499" s="45"/>
      <c r="T499" s="38">
        <f t="shared" si="152"/>
        <v>0</v>
      </c>
      <c r="U499" s="46">
        <f t="shared" si="153"/>
        <v>0</v>
      </c>
      <c r="V499" s="47">
        <f t="shared" si="154"/>
        <v>0</v>
      </c>
      <c r="W499" s="48">
        <f t="shared" si="155"/>
        <v>0</v>
      </c>
      <c r="X499" s="43">
        <f t="shared" si="156"/>
        <v>0</v>
      </c>
      <c r="Y499" s="43">
        <f t="shared" si="157"/>
        <v>0</v>
      </c>
      <c r="Z499" s="43">
        <f t="shared" si="158"/>
        <v>0</v>
      </c>
      <c r="AA499" s="49">
        <f t="shared" si="159"/>
        <v>0</v>
      </c>
      <c r="AB499" s="50">
        <f t="shared" si="160"/>
        <v>0</v>
      </c>
      <c r="AC499" s="43">
        <f t="shared" si="161"/>
        <v>0</v>
      </c>
      <c r="AD499" s="43">
        <f t="shared" si="162"/>
        <v>0</v>
      </c>
      <c r="AE499" s="43">
        <f t="shared" si="163"/>
        <v>0</v>
      </c>
      <c r="AF499" s="51" t="e">
        <f>HLOOKUP(I499,ElecAvoidedCostsWOCC!$A$5:$Q$50,G499+1,FALSE)</f>
        <v>#N/A</v>
      </c>
      <c r="AG499" s="43" t="e">
        <f t="shared" si="164"/>
        <v>#N/A</v>
      </c>
      <c r="AH499" s="51" t="e">
        <f>HLOOKUP(I499,ElecAvoidedCostsWOCC!$A$5:$Q$50,T499+1,FALSE)</f>
        <v>#N/A</v>
      </c>
      <c r="AI499" s="43" t="e">
        <f t="shared" si="165"/>
        <v>#N/A</v>
      </c>
      <c r="AJ499" s="43" t="e">
        <f t="shared" si="166"/>
        <v>#N/A</v>
      </c>
      <c r="AK499" s="43" t="e">
        <f>HLOOKUP(I499,ElecAvoidedCostsWOCC!$A$5:$Q$50,G499+1,FALSE)*J499*L499</f>
        <v>#N/A</v>
      </c>
      <c r="AL499" s="43" t="e">
        <f t="shared" si="167"/>
        <v>#N/A</v>
      </c>
      <c r="AM499" s="47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7">
        <f t="shared" si="168"/>
        <v>0</v>
      </c>
      <c r="AO499" s="46">
        <f t="shared" si="169"/>
        <v>0</v>
      </c>
      <c r="AP499" s="46" t="e">
        <f t="shared" si="170"/>
        <v>#DIV/0!</v>
      </c>
    </row>
    <row r="500" spans="2:42" x14ac:dyDescent="0.25">
      <c r="B500" s="36"/>
      <c r="C500" s="60"/>
      <c r="D500" s="60"/>
      <c r="E500" s="37"/>
      <c r="F500" s="38"/>
      <c r="G500" s="38"/>
      <c r="H500" s="38"/>
      <c r="I500" s="39"/>
      <c r="J500" s="40"/>
      <c r="K500" s="40"/>
      <c r="L500" s="40"/>
      <c r="M500" s="41"/>
      <c r="N500" s="41"/>
      <c r="O500" s="42"/>
      <c r="P500" s="43"/>
      <c r="Q500" s="43"/>
      <c r="R500" s="44"/>
      <c r="S500" s="45"/>
      <c r="T500" s="38">
        <f t="shared" si="152"/>
        <v>0</v>
      </c>
      <c r="U500" s="46">
        <f t="shared" si="153"/>
        <v>0</v>
      </c>
      <c r="V500" s="47">
        <f t="shared" si="154"/>
        <v>0</v>
      </c>
      <c r="W500" s="48">
        <f t="shared" si="155"/>
        <v>0</v>
      </c>
      <c r="X500" s="43">
        <f t="shared" si="156"/>
        <v>0</v>
      </c>
      <c r="Y500" s="43">
        <f t="shared" si="157"/>
        <v>0</v>
      </c>
      <c r="Z500" s="43">
        <f t="shared" si="158"/>
        <v>0</v>
      </c>
      <c r="AA500" s="49">
        <f t="shared" si="159"/>
        <v>0</v>
      </c>
      <c r="AB500" s="50">
        <f t="shared" si="160"/>
        <v>0</v>
      </c>
      <c r="AC500" s="43">
        <f t="shared" si="161"/>
        <v>0</v>
      </c>
      <c r="AD500" s="43">
        <f t="shared" si="162"/>
        <v>0</v>
      </c>
      <c r="AE500" s="43">
        <f t="shared" si="163"/>
        <v>0</v>
      </c>
      <c r="AF500" s="51" t="e">
        <f>HLOOKUP(I500,ElecAvoidedCostsWOCC!$A$5:$Q$50,G500+1,FALSE)</f>
        <v>#N/A</v>
      </c>
      <c r="AG500" s="43" t="e">
        <f t="shared" si="164"/>
        <v>#N/A</v>
      </c>
      <c r="AH500" s="51" t="e">
        <f>HLOOKUP(I500,ElecAvoidedCostsWOCC!$A$5:$Q$50,T500+1,FALSE)</f>
        <v>#N/A</v>
      </c>
      <c r="AI500" s="43" t="e">
        <f t="shared" si="165"/>
        <v>#N/A</v>
      </c>
      <c r="AJ500" s="43" t="e">
        <f t="shared" si="166"/>
        <v>#N/A</v>
      </c>
      <c r="AK500" s="43" t="e">
        <f>HLOOKUP(I500,ElecAvoidedCostsWOCC!$A$5:$Q$50,G500+1,FALSE)*J500*L500</f>
        <v>#N/A</v>
      </c>
      <c r="AL500" s="43" t="e">
        <f t="shared" si="167"/>
        <v>#N/A</v>
      </c>
      <c r="AM500" s="47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7">
        <f t="shared" si="168"/>
        <v>0</v>
      </c>
      <c r="AO500" s="46">
        <f t="shared" si="169"/>
        <v>0</v>
      </c>
      <c r="AP500" s="46" t="e">
        <f t="shared" si="170"/>
        <v>#DIV/0!</v>
      </c>
    </row>
    <row r="501" spans="2:42" x14ac:dyDescent="0.25">
      <c r="B501" s="36"/>
      <c r="C501" s="60"/>
      <c r="D501" s="60"/>
      <c r="E501" s="37"/>
      <c r="F501" s="38"/>
      <c r="G501" s="38"/>
      <c r="H501" s="38"/>
      <c r="I501" s="39"/>
      <c r="J501" s="40"/>
      <c r="K501" s="40"/>
      <c r="L501" s="40"/>
      <c r="M501" s="41"/>
      <c r="N501" s="41"/>
      <c r="O501" s="42"/>
      <c r="P501" s="43"/>
      <c r="Q501" s="43"/>
      <c r="R501" s="44"/>
      <c r="S501" s="45"/>
      <c r="T501" s="38">
        <f t="shared" si="152"/>
        <v>0</v>
      </c>
      <c r="U501" s="46">
        <f t="shared" si="153"/>
        <v>0</v>
      </c>
      <c r="V501" s="47">
        <f t="shared" si="154"/>
        <v>0</v>
      </c>
      <c r="W501" s="48">
        <f t="shared" si="155"/>
        <v>0</v>
      </c>
      <c r="X501" s="43">
        <f t="shared" si="156"/>
        <v>0</v>
      </c>
      <c r="Y501" s="43">
        <f t="shared" si="157"/>
        <v>0</v>
      </c>
      <c r="Z501" s="43">
        <f t="shared" si="158"/>
        <v>0</v>
      </c>
      <c r="AA501" s="49">
        <f t="shared" si="159"/>
        <v>0</v>
      </c>
      <c r="AB501" s="50">
        <f t="shared" si="160"/>
        <v>0</v>
      </c>
      <c r="AC501" s="43">
        <f t="shared" si="161"/>
        <v>0</v>
      </c>
      <c r="AD501" s="43">
        <f t="shared" si="162"/>
        <v>0</v>
      </c>
      <c r="AE501" s="43">
        <f t="shared" si="163"/>
        <v>0</v>
      </c>
      <c r="AF501" s="51" t="e">
        <f>HLOOKUP(I501,ElecAvoidedCostsWOCC!$A$5:$Q$50,G501+1,FALSE)</f>
        <v>#N/A</v>
      </c>
      <c r="AG501" s="43" t="e">
        <f t="shared" si="164"/>
        <v>#N/A</v>
      </c>
      <c r="AH501" s="51" t="e">
        <f>HLOOKUP(I501,ElecAvoidedCostsWOCC!$A$5:$Q$50,T501+1,FALSE)</f>
        <v>#N/A</v>
      </c>
      <c r="AI501" s="43" t="e">
        <f t="shared" si="165"/>
        <v>#N/A</v>
      </c>
      <c r="AJ501" s="43" t="e">
        <f t="shared" si="166"/>
        <v>#N/A</v>
      </c>
      <c r="AK501" s="43" t="e">
        <f>HLOOKUP(I501,ElecAvoidedCostsWOCC!$A$5:$Q$50,G501+1,FALSE)*J501*L501</f>
        <v>#N/A</v>
      </c>
      <c r="AL501" s="43" t="e">
        <f t="shared" si="167"/>
        <v>#N/A</v>
      </c>
      <c r="AM501" s="47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7">
        <f t="shared" si="168"/>
        <v>0</v>
      </c>
      <c r="AO501" s="46">
        <f t="shared" si="169"/>
        <v>0</v>
      </c>
      <c r="AP501" s="46" t="e">
        <f t="shared" si="170"/>
        <v>#DIV/0!</v>
      </c>
    </row>
    <row r="502" spans="2:42" x14ac:dyDescent="0.25">
      <c r="B502" s="36"/>
      <c r="C502" s="60"/>
      <c r="D502" s="60"/>
      <c r="E502" s="37"/>
      <c r="F502" s="38"/>
      <c r="G502" s="38"/>
      <c r="H502" s="38"/>
      <c r="I502" s="39"/>
      <c r="J502" s="40"/>
      <c r="K502" s="40"/>
      <c r="L502" s="40"/>
      <c r="M502" s="41"/>
      <c r="N502" s="41"/>
      <c r="O502" s="42"/>
      <c r="P502" s="43"/>
      <c r="Q502" s="43"/>
      <c r="R502" s="44"/>
      <c r="S502" s="45"/>
      <c r="T502" s="38">
        <f t="shared" si="152"/>
        <v>0</v>
      </c>
      <c r="U502" s="46">
        <f t="shared" si="153"/>
        <v>0</v>
      </c>
      <c r="V502" s="47">
        <f t="shared" si="154"/>
        <v>0</v>
      </c>
      <c r="W502" s="48">
        <f t="shared" si="155"/>
        <v>0</v>
      </c>
      <c r="X502" s="43">
        <f t="shared" si="156"/>
        <v>0</v>
      </c>
      <c r="Y502" s="43">
        <f t="shared" si="157"/>
        <v>0</v>
      </c>
      <c r="Z502" s="43">
        <f t="shared" si="158"/>
        <v>0</v>
      </c>
      <c r="AA502" s="49">
        <f t="shared" si="159"/>
        <v>0</v>
      </c>
      <c r="AB502" s="50">
        <f t="shared" si="160"/>
        <v>0</v>
      </c>
      <c r="AC502" s="43">
        <f t="shared" si="161"/>
        <v>0</v>
      </c>
      <c r="AD502" s="43">
        <f t="shared" si="162"/>
        <v>0</v>
      </c>
      <c r="AE502" s="43">
        <f t="shared" si="163"/>
        <v>0</v>
      </c>
      <c r="AF502" s="51" t="e">
        <f>HLOOKUP(I502,ElecAvoidedCostsWOCC!$A$5:$Q$50,G502+1,FALSE)</f>
        <v>#N/A</v>
      </c>
      <c r="AG502" s="43" t="e">
        <f t="shared" si="164"/>
        <v>#N/A</v>
      </c>
      <c r="AH502" s="51" t="e">
        <f>HLOOKUP(I502,ElecAvoidedCostsWOCC!$A$5:$Q$50,T502+1,FALSE)</f>
        <v>#N/A</v>
      </c>
      <c r="AI502" s="43" t="e">
        <f t="shared" si="165"/>
        <v>#N/A</v>
      </c>
      <c r="AJ502" s="43" t="e">
        <f t="shared" si="166"/>
        <v>#N/A</v>
      </c>
      <c r="AK502" s="43" t="e">
        <f>HLOOKUP(I502,ElecAvoidedCostsWOCC!$A$5:$Q$50,G502+1,FALSE)*J502*L502</f>
        <v>#N/A</v>
      </c>
      <c r="AL502" s="43" t="e">
        <f t="shared" si="167"/>
        <v>#N/A</v>
      </c>
      <c r="AM502" s="47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7">
        <f t="shared" si="168"/>
        <v>0</v>
      </c>
      <c r="AO502" s="46">
        <f t="shared" si="169"/>
        <v>0</v>
      </c>
      <c r="AP502" s="46" t="e">
        <f t="shared" si="170"/>
        <v>#DIV/0!</v>
      </c>
    </row>
    <row r="503" spans="2:42" x14ac:dyDescent="0.25">
      <c r="B503" s="36"/>
      <c r="C503" s="60"/>
      <c r="D503" s="60"/>
      <c r="E503" s="37"/>
      <c r="F503" s="38"/>
      <c r="G503" s="38"/>
      <c r="H503" s="38"/>
      <c r="I503" s="39"/>
      <c r="J503" s="40"/>
      <c r="K503" s="40"/>
      <c r="L503" s="40"/>
      <c r="M503" s="41"/>
      <c r="N503" s="41"/>
      <c r="O503" s="42"/>
      <c r="P503" s="43"/>
      <c r="Q503" s="43"/>
      <c r="R503" s="44"/>
      <c r="S503" s="45"/>
      <c r="T503" s="38">
        <f t="shared" si="152"/>
        <v>0</v>
      </c>
      <c r="U503" s="46">
        <f t="shared" si="153"/>
        <v>0</v>
      </c>
      <c r="V503" s="47">
        <f t="shared" si="154"/>
        <v>0</v>
      </c>
      <c r="W503" s="48">
        <f t="shared" si="155"/>
        <v>0</v>
      </c>
      <c r="X503" s="43">
        <f t="shared" si="156"/>
        <v>0</v>
      </c>
      <c r="Y503" s="43">
        <f t="shared" si="157"/>
        <v>0</v>
      </c>
      <c r="Z503" s="43">
        <f t="shared" si="158"/>
        <v>0</v>
      </c>
      <c r="AA503" s="49">
        <f t="shared" si="159"/>
        <v>0</v>
      </c>
      <c r="AB503" s="50">
        <f t="shared" si="160"/>
        <v>0</v>
      </c>
      <c r="AC503" s="43">
        <f t="shared" si="161"/>
        <v>0</v>
      </c>
      <c r="AD503" s="43">
        <f t="shared" si="162"/>
        <v>0</v>
      </c>
      <c r="AE503" s="43">
        <f t="shared" si="163"/>
        <v>0</v>
      </c>
      <c r="AF503" s="51" t="e">
        <f>HLOOKUP(I503,ElecAvoidedCostsWOCC!$A$5:$Q$50,G503+1,FALSE)</f>
        <v>#N/A</v>
      </c>
      <c r="AG503" s="43" t="e">
        <f t="shared" si="164"/>
        <v>#N/A</v>
      </c>
      <c r="AH503" s="51" t="e">
        <f>HLOOKUP(I503,ElecAvoidedCostsWOCC!$A$5:$Q$50,T503+1,FALSE)</f>
        <v>#N/A</v>
      </c>
      <c r="AI503" s="43" t="e">
        <f t="shared" si="165"/>
        <v>#N/A</v>
      </c>
      <c r="AJ503" s="43" t="e">
        <f t="shared" si="166"/>
        <v>#N/A</v>
      </c>
      <c r="AK503" s="43" t="e">
        <f>HLOOKUP(I503,ElecAvoidedCostsWOCC!$A$5:$Q$50,G503+1,FALSE)*J503*L503</f>
        <v>#N/A</v>
      </c>
      <c r="AL503" s="43" t="e">
        <f t="shared" si="167"/>
        <v>#N/A</v>
      </c>
      <c r="AM503" s="47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7">
        <f t="shared" si="168"/>
        <v>0</v>
      </c>
      <c r="AO503" s="46">
        <f t="shared" si="169"/>
        <v>0</v>
      </c>
      <c r="AP503" s="46" t="e">
        <f t="shared" si="170"/>
        <v>#DIV/0!</v>
      </c>
    </row>
    <row r="504" spans="2:42" x14ac:dyDescent="0.25">
      <c r="B504" s="36"/>
      <c r="C504" s="60"/>
      <c r="D504" s="60"/>
      <c r="E504" s="37"/>
      <c r="F504" s="38"/>
      <c r="G504" s="38"/>
      <c r="H504" s="38"/>
      <c r="I504" s="39"/>
      <c r="J504" s="40"/>
      <c r="K504" s="40"/>
      <c r="L504" s="40"/>
      <c r="M504" s="41"/>
      <c r="N504" s="41"/>
      <c r="O504" s="42"/>
      <c r="P504" s="43"/>
      <c r="Q504" s="43"/>
      <c r="R504" s="44"/>
      <c r="S504" s="45"/>
      <c r="T504" s="38">
        <f t="shared" si="152"/>
        <v>0</v>
      </c>
      <c r="U504" s="46">
        <f t="shared" si="153"/>
        <v>0</v>
      </c>
      <c r="V504" s="47">
        <f t="shared" si="154"/>
        <v>0</v>
      </c>
      <c r="W504" s="48">
        <f t="shared" si="155"/>
        <v>0</v>
      </c>
      <c r="X504" s="43">
        <f t="shared" si="156"/>
        <v>0</v>
      </c>
      <c r="Y504" s="43">
        <f t="shared" si="157"/>
        <v>0</v>
      </c>
      <c r="Z504" s="43">
        <f t="shared" si="158"/>
        <v>0</v>
      </c>
      <c r="AA504" s="49">
        <f t="shared" si="159"/>
        <v>0</v>
      </c>
      <c r="AB504" s="50">
        <f t="shared" si="160"/>
        <v>0</v>
      </c>
      <c r="AC504" s="43">
        <f t="shared" si="161"/>
        <v>0</v>
      </c>
      <c r="AD504" s="43">
        <f t="shared" si="162"/>
        <v>0</v>
      </c>
      <c r="AE504" s="43">
        <f t="shared" si="163"/>
        <v>0</v>
      </c>
      <c r="AF504" s="51" t="e">
        <f>HLOOKUP(I504,ElecAvoidedCostsWOCC!$A$5:$Q$50,G504+1,FALSE)</f>
        <v>#N/A</v>
      </c>
      <c r="AG504" s="43" t="e">
        <f t="shared" si="164"/>
        <v>#N/A</v>
      </c>
      <c r="AH504" s="51" t="e">
        <f>HLOOKUP(I504,ElecAvoidedCostsWOCC!$A$5:$Q$50,T504+1,FALSE)</f>
        <v>#N/A</v>
      </c>
      <c r="AI504" s="43" t="e">
        <f t="shared" si="165"/>
        <v>#N/A</v>
      </c>
      <c r="AJ504" s="43" t="e">
        <f t="shared" si="166"/>
        <v>#N/A</v>
      </c>
      <c r="AK504" s="43" t="e">
        <f>HLOOKUP(I504,ElecAvoidedCostsWOCC!$A$5:$Q$50,G504+1,FALSE)*J504*L504</f>
        <v>#N/A</v>
      </c>
      <c r="AL504" s="43" t="e">
        <f t="shared" si="167"/>
        <v>#N/A</v>
      </c>
      <c r="AM504" s="47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7">
        <f t="shared" si="168"/>
        <v>0</v>
      </c>
      <c r="AO504" s="46">
        <f t="shared" si="169"/>
        <v>0</v>
      </c>
      <c r="AP504" s="46" t="e">
        <f t="shared" si="170"/>
        <v>#DIV/0!</v>
      </c>
    </row>
    <row r="505" spans="2:42" x14ac:dyDescent="0.25">
      <c r="B505" s="36"/>
      <c r="C505" s="60"/>
      <c r="D505" s="60"/>
      <c r="E505" s="37"/>
      <c r="F505" s="38"/>
      <c r="G505" s="38"/>
      <c r="H505" s="38"/>
      <c r="I505" s="39"/>
      <c r="J505" s="40"/>
      <c r="K505" s="40"/>
      <c r="L505" s="40"/>
      <c r="M505" s="41"/>
      <c r="N505" s="41"/>
      <c r="O505" s="42"/>
      <c r="P505" s="43"/>
      <c r="Q505" s="43"/>
      <c r="R505" s="44"/>
      <c r="S505" s="45"/>
      <c r="T505" s="38">
        <f t="shared" si="152"/>
        <v>0</v>
      </c>
      <c r="U505" s="46">
        <f t="shared" si="153"/>
        <v>0</v>
      </c>
      <c r="V505" s="47">
        <f t="shared" si="154"/>
        <v>0</v>
      </c>
      <c r="W505" s="48">
        <f t="shared" si="155"/>
        <v>0</v>
      </c>
      <c r="X505" s="43">
        <f t="shared" si="156"/>
        <v>0</v>
      </c>
      <c r="Y505" s="43">
        <f t="shared" si="157"/>
        <v>0</v>
      </c>
      <c r="Z505" s="43">
        <f t="shared" si="158"/>
        <v>0</v>
      </c>
      <c r="AA505" s="49">
        <f t="shared" si="159"/>
        <v>0</v>
      </c>
      <c r="AB505" s="50">
        <f t="shared" si="160"/>
        <v>0</v>
      </c>
      <c r="AC505" s="43">
        <f t="shared" si="161"/>
        <v>0</v>
      </c>
      <c r="AD505" s="43">
        <f t="shared" si="162"/>
        <v>0</v>
      </c>
      <c r="AE505" s="43">
        <f t="shared" si="163"/>
        <v>0</v>
      </c>
      <c r="AF505" s="51" t="e">
        <f>HLOOKUP(I505,ElecAvoidedCostsWOCC!$A$5:$Q$50,G505+1,FALSE)</f>
        <v>#N/A</v>
      </c>
      <c r="AG505" s="43" t="e">
        <f t="shared" si="164"/>
        <v>#N/A</v>
      </c>
      <c r="AH505" s="51" t="e">
        <f>HLOOKUP(I505,ElecAvoidedCostsWOCC!$A$5:$Q$50,T505+1,FALSE)</f>
        <v>#N/A</v>
      </c>
      <c r="AI505" s="43" t="e">
        <f t="shared" si="165"/>
        <v>#N/A</v>
      </c>
      <c r="AJ505" s="43" t="e">
        <f t="shared" si="166"/>
        <v>#N/A</v>
      </c>
      <c r="AK505" s="43" t="e">
        <f>HLOOKUP(I505,ElecAvoidedCostsWOCC!$A$5:$Q$50,G505+1,FALSE)*J505*L505</f>
        <v>#N/A</v>
      </c>
      <c r="AL505" s="43" t="e">
        <f t="shared" si="167"/>
        <v>#N/A</v>
      </c>
      <c r="AM505" s="47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7">
        <f t="shared" si="168"/>
        <v>0</v>
      </c>
      <c r="AO505" s="46">
        <f t="shared" si="169"/>
        <v>0</v>
      </c>
      <c r="AP505" s="46" t="e">
        <f t="shared" si="170"/>
        <v>#DIV/0!</v>
      </c>
    </row>
    <row r="506" spans="2:42" x14ac:dyDescent="0.25">
      <c r="B506" s="36"/>
      <c r="C506" s="60"/>
      <c r="D506" s="60"/>
      <c r="E506" s="37"/>
      <c r="F506" s="38"/>
      <c r="G506" s="38"/>
      <c r="H506" s="38"/>
      <c r="I506" s="39"/>
      <c r="J506" s="40"/>
      <c r="K506" s="40"/>
      <c r="L506" s="40"/>
      <c r="M506" s="41"/>
      <c r="N506" s="41"/>
      <c r="O506" s="42"/>
      <c r="P506" s="43"/>
      <c r="Q506" s="43"/>
      <c r="R506" s="44"/>
      <c r="S506" s="45"/>
      <c r="T506" s="38">
        <f t="shared" si="152"/>
        <v>0</v>
      </c>
      <c r="U506" s="46">
        <f t="shared" si="153"/>
        <v>0</v>
      </c>
      <c r="V506" s="47">
        <f t="shared" si="154"/>
        <v>0</v>
      </c>
      <c r="W506" s="48">
        <f t="shared" si="155"/>
        <v>0</v>
      </c>
      <c r="X506" s="43">
        <f t="shared" si="156"/>
        <v>0</v>
      </c>
      <c r="Y506" s="43">
        <f t="shared" si="157"/>
        <v>0</v>
      </c>
      <c r="Z506" s="43">
        <f t="shared" si="158"/>
        <v>0</v>
      </c>
      <c r="AA506" s="49">
        <f t="shared" si="159"/>
        <v>0</v>
      </c>
      <c r="AB506" s="50">
        <f t="shared" si="160"/>
        <v>0</v>
      </c>
      <c r="AC506" s="43">
        <f t="shared" si="161"/>
        <v>0</v>
      </c>
      <c r="AD506" s="43">
        <f t="shared" si="162"/>
        <v>0</v>
      </c>
      <c r="AE506" s="43">
        <f t="shared" si="163"/>
        <v>0</v>
      </c>
      <c r="AF506" s="51" t="e">
        <f>HLOOKUP(I506,ElecAvoidedCostsWOCC!$A$5:$Q$50,G506+1,FALSE)</f>
        <v>#N/A</v>
      </c>
      <c r="AG506" s="43" t="e">
        <f t="shared" si="164"/>
        <v>#N/A</v>
      </c>
      <c r="AH506" s="51" t="e">
        <f>HLOOKUP(I506,ElecAvoidedCostsWOCC!$A$5:$Q$50,T506+1,FALSE)</f>
        <v>#N/A</v>
      </c>
      <c r="AI506" s="43" t="e">
        <f t="shared" si="165"/>
        <v>#N/A</v>
      </c>
      <c r="AJ506" s="43" t="e">
        <f t="shared" si="166"/>
        <v>#N/A</v>
      </c>
      <c r="AK506" s="43" t="e">
        <f>HLOOKUP(I506,ElecAvoidedCostsWOCC!$A$5:$Q$50,G506+1,FALSE)*J506*L506</f>
        <v>#N/A</v>
      </c>
      <c r="AL506" s="43" t="e">
        <f t="shared" si="167"/>
        <v>#N/A</v>
      </c>
      <c r="AM506" s="47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7">
        <f t="shared" si="168"/>
        <v>0</v>
      </c>
      <c r="AO506" s="46">
        <f t="shared" si="169"/>
        <v>0</v>
      </c>
      <c r="AP506" s="46" t="e">
        <f t="shared" si="170"/>
        <v>#DIV/0!</v>
      </c>
    </row>
    <row r="507" spans="2:42" x14ac:dyDescent="0.25">
      <c r="B507" s="36"/>
      <c r="C507" s="60"/>
      <c r="D507" s="60"/>
      <c r="E507" s="37"/>
      <c r="F507" s="38"/>
      <c r="G507" s="38"/>
      <c r="H507" s="38"/>
      <c r="I507" s="39"/>
      <c r="J507" s="40"/>
      <c r="K507" s="40"/>
      <c r="L507" s="40"/>
      <c r="M507" s="41"/>
      <c r="N507" s="41"/>
      <c r="O507" s="42"/>
      <c r="P507" s="43"/>
      <c r="Q507" s="43"/>
      <c r="R507" s="44"/>
      <c r="S507" s="45"/>
      <c r="T507" s="38">
        <f t="shared" si="152"/>
        <v>0</v>
      </c>
      <c r="U507" s="46">
        <f t="shared" si="153"/>
        <v>0</v>
      </c>
      <c r="V507" s="47">
        <f t="shared" si="154"/>
        <v>0</v>
      </c>
      <c r="W507" s="48">
        <f t="shared" si="155"/>
        <v>0</v>
      </c>
      <c r="X507" s="43">
        <f t="shared" si="156"/>
        <v>0</v>
      </c>
      <c r="Y507" s="43">
        <f t="shared" si="157"/>
        <v>0</v>
      </c>
      <c r="Z507" s="43">
        <f t="shared" si="158"/>
        <v>0</v>
      </c>
      <c r="AA507" s="49">
        <f t="shared" si="159"/>
        <v>0</v>
      </c>
      <c r="AB507" s="50">
        <f t="shared" si="160"/>
        <v>0</v>
      </c>
      <c r="AC507" s="43">
        <f t="shared" si="161"/>
        <v>0</v>
      </c>
      <c r="AD507" s="43">
        <f t="shared" si="162"/>
        <v>0</v>
      </c>
      <c r="AE507" s="43">
        <f t="shared" si="163"/>
        <v>0</v>
      </c>
      <c r="AF507" s="51" t="e">
        <f>HLOOKUP(I507,ElecAvoidedCostsWOCC!$A$5:$Q$50,G507+1,FALSE)</f>
        <v>#N/A</v>
      </c>
      <c r="AG507" s="43" t="e">
        <f t="shared" si="164"/>
        <v>#N/A</v>
      </c>
      <c r="AH507" s="51" t="e">
        <f>HLOOKUP(I507,ElecAvoidedCostsWOCC!$A$5:$Q$50,T507+1,FALSE)</f>
        <v>#N/A</v>
      </c>
      <c r="AI507" s="43" t="e">
        <f t="shared" si="165"/>
        <v>#N/A</v>
      </c>
      <c r="AJ507" s="43" t="e">
        <f t="shared" si="166"/>
        <v>#N/A</v>
      </c>
      <c r="AK507" s="43" t="e">
        <f>HLOOKUP(I507,ElecAvoidedCostsWOCC!$A$5:$Q$50,G507+1,FALSE)*J507*L507</f>
        <v>#N/A</v>
      </c>
      <c r="AL507" s="43" t="e">
        <f t="shared" si="167"/>
        <v>#N/A</v>
      </c>
      <c r="AM507" s="47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7">
        <f t="shared" si="168"/>
        <v>0</v>
      </c>
      <c r="AO507" s="46">
        <f t="shared" si="169"/>
        <v>0</v>
      </c>
      <c r="AP507" s="46" t="e">
        <f t="shared" si="170"/>
        <v>#DIV/0!</v>
      </c>
    </row>
    <row r="508" spans="2:42" x14ac:dyDescent="0.25">
      <c r="B508" s="36"/>
      <c r="C508" s="60"/>
      <c r="D508" s="60"/>
      <c r="E508" s="37"/>
      <c r="F508" s="38"/>
      <c r="G508" s="38"/>
      <c r="H508" s="38"/>
      <c r="I508" s="39"/>
      <c r="J508" s="40"/>
      <c r="K508" s="40"/>
      <c r="L508" s="40"/>
      <c r="M508" s="41"/>
      <c r="N508" s="41"/>
      <c r="O508" s="42"/>
      <c r="P508" s="43"/>
      <c r="Q508" s="43"/>
      <c r="R508" s="44"/>
      <c r="S508" s="45"/>
      <c r="T508" s="38">
        <f t="shared" si="152"/>
        <v>0</v>
      </c>
      <c r="U508" s="46">
        <f t="shared" si="153"/>
        <v>0</v>
      </c>
      <c r="V508" s="47">
        <f t="shared" si="154"/>
        <v>0</v>
      </c>
      <c r="W508" s="48">
        <f t="shared" si="155"/>
        <v>0</v>
      </c>
      <c r="X508" s="43">
        <f t="shared" si="156"/>
        <v>0</v>
      </c>
      <c r="Y508" s="43">
        <f t="shared" si="157"/>
        <v>0</v>
      </c>
      <c r="Z508" s="43">
        <f t="shared" si="158"/>
        <v>0</v>
      </c>
      <c r="AA508" s="49">
        <f t="shared" si="159"/>
        <v>0</v>
      </c>
      <c r="AB508" s="50">
        <f t="shared" si="160"/>
        <v>0</v>
      </c>
      <c r="AC508" s="43">
        <f t="shared" si="161"/>
        <v>0</v>
      </c>
      <c r="AD508" s="43">
        <f t="shared" si="162"/>
        <v>0</v>
      </c>
      <c r="AE508" s="43">
        <f t="shared" si="163"/>
        <v>0</v>
      </c>
      <c r="AF508" s="51" t="e">
        <f>HLOOKUP(I508,ElecAvoidedCostsWOCC!$A$5:$Q$50,G508+1,FALSE)</f>
        <v>#N/A</v>
      </c>
      <c r="AG508" s="43" t="e">
        <f t="shared" si="164"/>
        <v>#N/A</v>
      </c>
      <c r="AH508" s="51" t="e">
        <f>HLOOKUP(I508,ElecAvoidedCostsWOCC!$A$5:$Q$50,T508+1,FALSE)</f>
        <v>#N/A</v>
      </c>
      <c r="AI508" s="43" t="e">
        <f t="shared" si="165"/>
        <v>#N/A</v>
      </c>
      <c r="AJ508" s="43" t="e">
        <f t="shared" si="166"/>
        <v>#N/A</v>
      </c>
      <c r="AK508" s="43" t="e">
        <f>HLOOKUP(I508,ElecAvoidedCostsWOCC!$A$5:$Q$50,G508+1,FALSE)*J508*L508</f>
        <v>#N/A</v>
      </c>
      <c r="AL508" s="43" t="e">
        <f t="shared" si="167"/>
        <v>#N/A</v>
      </c>
      <c r="AM508" s="47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7">
        <f t="shared" si="168"/>
        <v>0</v>
      </c>
      <c r="AO508" s="46">
        <f t="shared" si="169"/>
        <v>0</v>
      </c>
      <c r="AP508" s="46" t="e">
        <f t="shared" si="170"/>
        <v>#DIV/0!</v>
      </c>
    </row>
    <row r="509" spans="2:42" x14ac:dyDescent="0.25">
      <c r="B509" s="36"/>
      <c r="C509" s="60"/>
      <c r="D509" s="60"/>
      <c r="E509" s="37"/>
      <c r="F509" s="38"/>
      <c r="G509" s="38"/>
      <c r="H509" s="38"/>
      <c r="I509" s="39"/>
      <c r="J509" s="40"/>
      <c r="K509" s="40"/>
      <c r="L509" s="40"/>
      <c r="M509" s="41"/>
      <c r="N509" s="41"/>
      <c r="O509" s="42"/>
      <c r="P509" s="43"/>
      <c r="Q509" s="43"/>
      <c r="R509" s="44"/>
      <c r="S509" s="45"/>
      <c r="T509" s="38">
        <f t="shared" si="152"/>
        <v>0</v>
      </c>
      <c r="U509" s="46">
        <f t="shared" si="153"/>
        <v>0</v>
      </c>
      <c r="V509" s="47">
        <f t="shared" si="154"/>
        <v>0</v>
      </c>
      <c r="W509" s="48">
        <f t="shared" si="155"/>
        <v>0</v>
      </c>
      <c r="X509" s="43">
        <f t="shared" si="156"/>
        <v>0</v>
      </c>
      <c r="Y509" s="43">
        <f t="shared" si="157"/>
        <v>0</v>
      </c>
      <c r="Z509" s="43">
        <f t="shared" si="158"/>
        <v>0</v>
      </c>
      <c r="AA509" s="49">
        <f t="shared" si="159"/>
        <v>0</v>
      </c>
      <c r="AB509" s="50">
        <f t="shared" si="160"/>
        <v>0</v>
      </c>
      <c r="AC509" s="43">
        <f t="shared" si="161"/>
        <v>0</v>
      </c>
      <c r="AD509" s="43">
        <f t="shared" si="162"/>
        <v>0</v>
      </c>
      <c r="AE509" s="43">
        <f t="shared" si="163"/>
        <v>0</v>
      </c>
      <c r="AF509" s="51" t="e">
        <f>HLOOKUP(I509,ElecAvoidedCostsWOCC!$A$5:$Q$50,G509+1,FALSE)</f>
        <v>#N/A</v>
      </c>
      <c r="AG509" s="43" t="e">
        <f t="shared" si="164"/>
        <v>#N/A</v>
      </c>
      <c r="AH509" s="51" t="e">
        <f>HLOOKUP(I509,ElecAvoidedCostsWOCC!$A$5:$Q$50,T509+1,FALSE)</f>
        <v>#N/A</v>
      </c>
      <c r="AI509" s="43" t="e">
        <f t="shared" si="165"/>
        <v>#N/A</v>
      </c>
      <c r="AJ509" s="43" t="e">
        <f t="shared" si="166"/>
        <v>#N/A</v>
      </c>
      <c r="AK509" s="43" t="e">
        <f>HLOOKUP(I509,ElecAvoidedCostsWOCC!$A$5:$Q$50,G509+1,FALSE)*J509*L509</f>
        <v>#N/A</v>
      </c>
      <c r="AL509" s="43" t="e">
        <f t="shared" si="167"/>
        <v>#N/A</v>
      </c>
      <c r="AM509" s="47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7">
        <f t="shared" si="168"/>
        <v>0</v>
      </c>
      <c r="AO509" s="46">
        <f t="shared" si="169"/>
        <v>0</v>
      </c>
      <c r="AP509" s="46" t="e">
        <f t="shared" si="170"/>
        <v>#DIV/0!</v>
      </c>
    </row>
    <row r="510" spans="2:42" x14ac:dyDescent="0.25">
      <c r="B510" s="36"/>
      <c r="C510" s="60"/>
      <c r="D510" s="60"/>
      <c r="E510" s="37"/>
      <c r="F510" s="38"/>
      <c r="G510" s="38"/>
      <c r="H510" s="38"/>
      <c r="I510" s="39"/>
      <c r="J510" s="40"/>
      <c r="K510" s="40"/>
      <c r="L510" s="40"/>
      <c r="M510" s="41"/>
      <c r="N510" s="41"/>
      <c r="O510" s="42"/>
      <c r="P510" s="43"/>
      <c r="Q510" s="43"/>
      <c r="R510" s="44"/>
      <c r="S510" s="45"/>
      <c r="T510" s="38">
        <f t="shared" si="152"/>
        <v>0</v>
      </c>
      <c r="U510" s="46">
        <f t="shared" si="153"/>
        <v>0</v>
      </c>
      <c r="V510" s="47">
        <f t="shared" si="154"/>
        <v>0</v>
      </c>
      <c r="W510" s="48">
        <f t="shared" si="155"/>
        <v>0</v>
      </c>
      <c r="X510" s="43">
        <f t="shared" si="156"/>
        <v>0</v>
      </c>
      <c r="Y510" s="43">
        <f t="shared" si="157"/>
        <v>0</v>
      </c>
      <c r="Z510" s="43">
        <f t="shared" si="158"/>
        <v>0</v>
      </c>
      <c r="AA510" s="49">
        <f t="shared" si="159"/>
        <v>0</v>
      </c>
      <c r="AB510" s="50">
        <f t="shared" si="160"/>
        <v>0</v>
      </c>
      <c r="AC510" s="43">
        <f t="shared" si="161"/>
        <v>0</v>
      </c>
      <c r="AD510" s="43">
        <f t="shared" si="162"/>
        <v>0</v>
      </c>
      <c r="AE510" s="43">
        <f t="shared" si="163"/>
        <v>0</v>
      </c>
      <c r="AF510" s="51" t="e">
        <f>HLOOKUP(I510,ElecAvoidedCostsWOCC!$A$5:$Q$50,G510+1,FALSE)</f>
        <v>#N/A</v>
      </c>
      <c r="AG510" s="43" t="e">
        <f t="shared" si="164"/>
        <v>#N/A</v>
      </c>
      <c r="AH510" s="51" t="e">
        <f>HLOOKUP(I510,ElecAvoidedCostsWOCC!$A$5:$Q$50,T510+1,FALSE)</f>
        <v>#N/A</v>
      </c>
      <c r="AI510" s="43" t="e">
        <f t="shared" si="165"/>
        <v>#N/A</v>
      </c>
      <c r="AJ510" s="43" t="e">
        <f t="shared" si="166"/>
        <v>#N/A</v>
      </c>
      <c r="AK510" s="43" t="e">
        <f>HLOOKUP(I510,ElecAvoidedCostsWOCC!$A$5:$Q$50,G510+1,FALSE)*J510*L510</f>
        <v>#N/A</v>
      </c>
      <c r="AL510" s="43" t="e">
        <f t="shared" si="167"/>
        <v>#N/A</v>
      </c>
      <c r="AM510" s="47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7">
        <f t="shared" si="168"/>
        <v>0</v>
      </c>
      <c r="AO510" s="46">
        <f t="shared" si="169"/>
        <v>0</v>
      </c>
      <c r="AP510" s="46" t="e">
        <f t="shared" si="170"/>
        <v>#DIV/0!</v>
      </c>
    </row>
    <row r="511" spans="2:42" x14ac:dyDescent="0.25">
      <c r="B511" s="36"/>
      <c r="C511" s="60"/>
      <c r="D511" s="60"/>
      <c r="E511" s="37"/>
      <c r="F511" s="38"/>
      <c r="G511" s="38"/>
      <c r="H511" s="38"/>
      <c r="I511" s="39"/>
      <c r="J511" s="40"/>
      <c r="K511" s="40"/>
      <c r="L511" s="40"/>
      <c r="M511" s="41"/>
      <c r="N511" s="41"/>
      <c r="O511" s="42"/>
      <c r="P511" s="43"/>
      <c r="Q511" s="43"/>
      <c r="R511" s="44"/>
      <c r="S511" s="45"/>
      <c r="T511" s="38">
        <f t="shared" si="152"/>
        <v>0</v>
      </c>
      <c r="U511" s="46">
        <f t="shared" si="153"/>
        <v>0</v>
      </c>
      <c r="V511" s="47">
        <f t="shared" si="154"/>
        <v>0</v>
      </c>
      <c r="W511" s="48">
        <f t="shared" si="155"/>
        <v>0</v>
      </c>
      <c r="X511" s="43">
        <f t="shared" si="156"/>
        <v>0</v>
      </c>
      <c r="Y511" s="43">
        <f t="shared" si="157"/>
        <v>0</v>
      </c>
      <c r="Z511" s="43">
        <f t="shared" si="158"/>
        <v>0</v>
      </c>
      <c r="AA511" s="49">
        <f t="shared" si="159"/>
        <v>0</v>
      </c>
      <c r="AB511" s="50">
        <f t="shared" si="160"/>
        <v>0</v>
      </c>
      <c r="AC511" s="43">
        <f t="shared" si="161"/>
        <v>0</v>
      </c>
      <c r="AD511" s="43">
        <f t="shared" si="162"/>
        <v>0</v>
      </c>
      <c r="AE511" s="43">
        <f t="shared" si="163"/>
        <v>0</v>
      </c>
      <c r="AF511" s="51" t="e">
        <f>HLOOKUP(I511,ElecAvoidedCostsWOCC!$A$5:$Q$50,G511+1,FALSE)</f>
        <v>#N/A</v>
      </c>
      <c r="AG511" s="43" t="e">
        <f t="shared" si="164"/>
        <v>#N/A</v>
      </c>
      <c r="AH511" s="51" t="e">
        <f>HLOOKUP(I511,ElecAvoidedCostsWOCC!$A$5:$Q$50,T511+1,FALSE)</f>
        <v>#N/A</v>
      </c>
      <c r="AI511" s="43" t="e">
        <f t="shared" si="165"/>
        <v>#N/A</v>
      </c>
      <c r="AJ511" s="43" t="e">
        <f t="shared" si="166"/>
        <v>#N/A</v>
      </c>
      <c r="AK511" s="43" t="e">
        <f>HLOOKUP(I511,ElecAvoidedCostsWOCC!$A$5:$Q$50,G511+1,FALSE)*J511*L511</f>
        <v>#N/A</v>
      </c>
      <c r="AL511" s="43" t="e">
        <f t="shared" si="167"/>
        <v>#N/A</v>
      </c>
      <c r="AM511" s="47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7">
        <f t="shared" si="168"/>
        <v>0</v>
      </c>
      <c r="AO511" s="46">
        <f t="shared" si="169"/>
        <v>0</v>
      </c>
      <c r="AP511" s="46" t="e">
        <f t="shared" si="170"/>
        <v>#DIV/0!</v>
      </c>
    </row>
    <row r="512" spans="2:42" x14ac:dyDescent="0.25">
      <c r="B512" s="36"/>
      <c r="C512" s="60"/>
      <c r="D512" s="60"/>
      <c r="E512" s="37"/>
      <c r="F512" s="38"/>
      <c r="G512" s="38"/>
      <c r="H512" s="38"/>
      <c r="I512" s="39"/>
      <c r="J512" s="40"/>
      <c r="K512" s="40"/>
      <c r="L512" s="40"/>
      <c r="M512" s="41"/>
      <c r="N512" s="41"/>
      <c r="O512" s="42"/>
      <c r="P512" s="43"/>
      <c r="Q512" s="43"/>
      <c r="R512" s="44"/>
      <c r="S512" s="45"/>
      <c r="T512" s="38">
        <f t="shared" si="152"/>
        <v>0</v>
      </c>
      <c r="U512" s="46">
        <f t="shared" si="153"/>
        <v>0</v>
      </c>
      <c r="V512" s="47">
        <f t="shared" si="154"/>
        <v>0</v>
      </c>
      <c r="W512" s="48">
        <f t="shared" si="155"/>
        <v>0</v>
      </c>
      <c r="X512" s="43">
        <f t="shared" si="156"/>
        <v>0</v>
      </c>
      <c r="Y512" s="43">
        <f t="shared" si="157"/>
        <v>0</v>
      </c>
      <c r="Z512" s="43">
        <f t="shared" si="158"/>
        <v>0</v>
      </c>
      <c r="AA512" s="49">
        <f t="shared" si="159"/>
        <v>0</v>
      </c>
      <c r="AB512" s="50">
        <f t="shared" si="160"/>
        <v>0</v>
      </c>
      <c r="AC512" s="43">
        <f t="shared" si="161"/>
        <v>0</v>
      </c>
      <c r="AD512" s="43">
        <f t="shared" si="162"/>
        <v>0</v>
      </c>
      <c r="AE512" s="43">
        <f t="shared" si="163"/>
        <v>0</v>
      </c>
      <c r="AF512" s="51" t="e">
        <f>HLOOKUP(I512,ElecAvoidedCostsWOCC!$A$5:$Q$50,G512+1,FALSE)</f>
        <v>#N/A</v>
      </c>
      <c r="AG512" s="43" t="e">
        <f t="shared" si="164"/>
        <v>#N/A</v>
      </c>
      <c r="AH512" s="51" t="e">
        <f>HLOOKUP(I512,ElecAvoidedCostsWOCC!$A$5:$Q$50,T512+1,FALSE)</f>
        <v>#N/A</v>
      </c>
      <c r="AI512" s="43" t="e">
        <f t="shared" si="165"/>
        <v>#N/A</v>
      </c>
      <c r="AJ512" s="43" t="e">
        <f t="shared" si="166"/>
        <v>#N/A</v>
      </c>
      <c r="AK512" s="43" t="e">
        <f>HLOOKUP(I512,ElecAvoidedCostsWOCC!$A$5:$Q$50,G512+1,FALSE)*J512*L512</f>
        <v>#N/A</v>
      </c>
      <c r="AL512" s="43" t="e">
        <f t="shared" si="167"/>
        <v>#N/A</v>
      </c>
      <c r="AM512" s="47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7">
        <f t="shared" si="168"/>
        <v>0</v>
      </c>
      <c r="AO512" s="46">
        <f t="shared" si="169"/>
        <v>0</v>
      </c>
      <c r="AP512" s="46" t="e">
        <f t="shared" si="170"/>
        <v>#DIV/0!</v>
      </c>
    </row>
    <row r="513" spans="2:42" x14ac:dyDescent="0.25">
      <c r="B513" s="36"/>
      <c r="C513" s="60"/>
      <c r="D513" s="60"/>
      <c r="E513" s="37"/>
      <c r="F513" s="38"/>
      <c r="G513" s="38"/>
      <c r="H513" s="38"/>
      <c r="I513" s="39"/>
      <c r="J513" s="40"/>
      <c r="K513" s="40"/>
      <c r="L513" s="40"/>
      <c r="M513" s="41"/>
      <c r="N513" s="41"/>
      <c r="O513" s="42"/>
      <c r="P513" s="43"/>
      <c r="Q513" s="43"/>
      <c r="R513" s="44"/>
      <c r="S513" s="45"/>
      <c r="T513" s="38">
        <f t="shared" si="152"/>
        <v>0</v>
      </c>
      <c r="U513" s="46">
        <f t="shared" si="153"/>
        <v>0</v>
      </c>
      <c r="V513" s="47">
        <f t="shared" si="154"/>
        <v>0</v>
      </c>
      <c r="W513" s="48">
        <f t="shared" si="155"/>
        <v>0</v>
      </c>
      <c r="X513" s="43">
        <f t="shared" si="156"/>
        <v>0</v>
      </c>
      <c r="Y513" s="43">
        <f t="shared" si="157"/>
        <v>0</v>
      </c>
      <c r="Z513" s="43">
        <f t="shared" si="158"/>
        <v>0</v>
      </c>
      <c r="AA513" s="49">
        <f t="shared" si="159"/>
        <v>0</v>
      </c>
      <c r="AB513" s="50">
        <f t="shared" si="160"/>
        <v>0</v>
      </c>
      <c r="AC513" s="43">
        <f t="shared" si="161"/>
        <v>0</v>
      </c>
      <c r="AD513" s="43">
        <f t="shared" si="162"/>
        <v>0</v>
      </c>
      <c r="AE513" s="43">
        <f t="shared" si="163"/>
        <v>0</v>
      </c>
      <c r="AF513" s="51" t="e">
        <f>HLOOKUP(I513,ElecAvoidedCostsWOCC!$A$5:$Q$50,G513+1,FALSE)</f>
        <v>#N/A</v>
      </c>
      <c r="AG513" s="43" t="e">
        <f t="shared" si="164"/>
        <v>#N/A</v>
      </c>
      <c r="AH513" s="51" t="e">
        <f>HLOOKUP(I513,ElecAvoidedCostsWOCC!$A$5:$Q$50,T513+1,FALSE)</f>
        <v>#N/A</v>
      </c>
      <c r="AI513" s="43" t="e">
        <f t="shared" si="165"/>
        <v>#N/A</v>
      </c>
      <c r="AJ513" s="43" t="e">
        <f t="shared" si="166"/>
        <v>#N/A</v>
      </c>
      <c r="AK513" s="43" t="e">
        <f>HLOOKUP(I513,ElecAvoidedCostsWOCC!$A$5:$Q$50,G513+1,FALSE)*J513*L513</f>
        <v>#N/A</v>
      </c>
      <c r="AL513" s="43" t="e">
        <f t="shared" si="167"/>
        <v>#N/A</v>
      </c>
      <c r="AM513" s="47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7">
        <f t="shared" si="168"/>
        <v>0</v>
      </c>
      <c r="AO513" s="46">
        <f t="shared" si="169"/>
        <v>0</v>
      </c>
      <c r="AP513" s="46" t="e">
        <f t="shared" si="170"/>
        <v>#DIV/0!</v>
      </c>
    </row>
    <row r="514" spans="2:42" x14ac:dyDescent="0.25">
      <c r="B514" s="36"/>
      <c r="C514" s="60"/>
      <c r="D514" s="60"/>
      <c r="E514" s="37"/>
      <c r="F514" s="38"/>
      <c r="G514" s="38"/>
      <c r="H514" s="38"/>
      <c r="I514" s="39"/>
      <c r="J514" s="40"/>
      <c r="K514" s="40"/>
      <c r="L514" s="40"/>
      <c r="M514" s="41"/>
      <c r="N514" s="41"/>
      <c r="O514" s="42"/>
      <c r="P514" s="43"/>
      <c r="Q514" s="43"/>
      <c r="R514" s="44"/>
      <c r="S514" s="45"/>
      <c r="T514" s="38">
        <f t="shared" si="152"/>
        <v>0</v>
      </c>
      <c r="U514" s="46">
        <f t="shared" si="153"/>
        <v>0</v>
      </c>
      <c r="V514" s="47">
        <f t="shared" si="154"/>
        <v>0</v>
      </c>
      <c r="W514" s="48">
        <f t="shared" si="155"/>
        <v>0</v>
      </c>
      <c r="X514" s="43">
        <f t="shared" si="156"/>
        <v>0</v>
      </c>
      <c r="Y514" s="43">
        <f t="shared" si="157"/>
        <v>0</v>
      </c>
      <c r="Z514" s="43">
        <f t="shared" si="158"/>
        <v>0</v>
      </c>
      <c r="AA514" s="49">
        <f t="shared" si="159"/>
        <v>0</v>
      </c>
      <c r="AB514" s="50">
        <f t="shared" si="160"/>
        <v>0</v>
      </c>
      <c r="AC514" s="43">
        <f t="shared" si="161"/>
        <v>0</v>
      </c>
      <c r="AD514" s="43">
        <f t="shared" si="162"/>
        <v>0</v>
      </c>
      <c r="AE514" s="43">
        <f t="shared" si="163"/>
        <v>0</v>
      </c>
      <c r="AF514" s="51" t="e">
        <f>HLOOKUP(I514,ElecAvoidedCostsWOCC!$A$5:$Q$50,G514+1,FALSE)</f>
        <v>#N/A</v>
      </c>
      <c r="AG514" s="43" t="e">
        <f t="shared" si="164"/>
        <v>#N/A</v>
      </c>
      <c r="AH514" s="51" t="e">
        <f>HLOOKUP(I514,ElecAvoidedCostsWOCC!$A$5:$Q$50,T514+1,FALSE)</f>
        <v>#N/A</v>
      </c>
      <c r="AI514" s="43" t="e">
        <f t="shared" si="165"/>
        <v>#N/A</v>
      </c>
      <c r="AJ514" s="43" t="e">
        <f t="shared" si="166"/>
        <v>#N/A</v>
      </c>
      <c r="AK514" s="43" t="e">
        <f>HLOOKUP(I514,ElecAvoidedCostsWOCC!$A$5:$Q$50,G514+1,FALSE)*J514*L514</f>
        <v>#N/A</v>
      </c>
      <c r="AL514" s="43" t="e">
        <f t="shared" si="167"/>
        <v>#N/A</v>
      </c>
      <c r="AM514" s="47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7">
        <f t="shared" si="168"/>
        <v>0</v>
      </c>
      <c r="AO514" s="46">
        <f t="shared" si="169"/>
        <v>0</v>
      </c>
      <c r="AP514" s="46" t="e">
        <f t="shared" si="170"/>
        <v>#DIV/0!</v>
      </c>
    </row>
    <row r="515" spans="2:42" x14ac:dyDescent="0.25">
      <c r="B515" s="36"/>
      <c r="C515" s="60"/>
      <c r="D515" s="60"/>
      <c r="E515" s="37"/>
      <c r="F515" s="38"/>
      <c r="G515" s="38"/>
      <c r="H515" s="38"/>
      <c r="I515" s="39"/>
      <c r="J515" s="40"/>
      <c r="K515" s="40"/>
      <c r="L515" s="40"/>
      <c r="M515" s="41"/>
      <c r="N515" s="41"/>
      <c r="O515" s="42"/>
      <c r="P515" s="43"/>
      <c r="Q515" s="43"/>
      <c r="R515" s="44"/>
      <c r="S515" s="45"/>
      <c r="T515" s="38">
        <f t="shared" si="152"/>
        <v>0</v>
      </c>
      <c r="U515" s="46">
        <f t="shared" si="153"/>
        <v>0</v>
      </c>
      <c r="V515" s="47">
        <f t="shared" si="154"/>
        <v>0</v>
      </c>
      <c r="W515" s="48">
        <f t="shared" si="155"/>
        <v>0</v>
      </c>
      <c r="X515" s="43">
        <f t="shared" si="156"/>
        <v>0</v>
      </c>
      <c r="Y515" s="43">
        <f t="shared" si="157"/>
        <v>0</v>
      </c>
      <c r="Z515" s="43">
        <f t="shared" si="158"/>
        <v>0</v>
      </c>
      <c r="AA515" s="49">
        <f t="shared" si="159"/>
        <v>0</v>
      </c>
      <c r="AB515" s="50">
        <f t="shared" si="160"/>
        <v>0</v>
      </c>
      <c r="AC515" s="43">
        <f t="shared" si="161"/>
        <v>0</v>
      </c>
      <c r="AD515" s="43">
        <f t="shared" si="162"/>
        <v>0</v>
      </c>
      <c r="AE515" s="43">
        <f t="shared" si="163"/>
        <v>0</v>
      </c>
      <c r="AF515" s="51" t="e">
        <f>HLOOKUP(I515,ElecAvoidedCostsWOCC!$A$5:$Q$50,G515+1,FALSE)</f>
        <v>#N/A</v>
      </c>
      <c r="AG515" s="43" t="e">
        <f t="shared" si="164"/>
        <v>#N/A</v>
      </c>
      <c r="AH515" s="51" t="e">
        <f>HLOOKUP(I515,ElecAvoidedCostsWOCC!$A$5:$Q$50,T515+1,FALSE)</f>
        <v>#N/A</v>
      </c>
      <c r="AI515" s="43" t="e">
        <f t="shared" si="165"/>
        <v>#N/A</v>
      </c>
      <c r="AJ515" s="43" t="e">
        <f t="shared" si="166"/>
        <v>#N/A</v>
      </c>
      <c r="AK515" s="43" t="e">
        <f>HLOOKUP(I515,ElecAvoidedCostsWOCC!$A$5:$Q$50,G515+1,FALSE)*J515*L515</f>
        <v>#N/A</v>
      </c>
      <c r="AL515" s="43" t="e">
        <f t="shared" si="167"/>
        <v>#N/A</v>
      </c>
      <c r="AM515" s="47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7">
        <f t="shared" si="168"/>
        <v>0</v>
      </c>
      <c r="AO515" s="46">
        <f t="shared" si="169"/>
        <v>0</v>
      </c>
      <c r="AP515" s="46" t="e">
        <f t="shared" si="170"/>
        <v>#DIV/0!</v>
      </c>
    </row>
  </sheetData>
  <conditionalFormatting sqref="J5:L515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15 R5:S515">
    <cfRule type="expression" dxfId="302" priority="2">
      <formula>ISTEXT(M5)</formula>
    </cfRule>
  </conditionalFormatting>
  <conditionalFormatting sqref="M5:N515 R5:S515">
    <cfRule type="notContainsBlanks" dxfId="301" priority="3">
      <formula>LEN(TRIM(M5))&gt;0</formula>
    </cfRule>
  </conditionalFormatting>
  <conditionalFormatting sqref="R5:S515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D1" zoomScale="85" zoomScaleNormal="85" workbookViewId="0">
      <selection activeCell="M14" sqref="M14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18230461</v>
      </c>
      <c r="D2" s="19" t="s">
        <v>51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18230461</v>
      </c>
      <c r="D5" s="60" t="s">
        <v>51</v>
      </c>
      <c r="E5" s="37" t="s">
        <v>1010</v>
      </c>
      <c r="F5" s="38" t="s">
        <v>1011</v>
      </c>
      <c r="G5" s="38">
        <v>1</v>
      </c>
      <c r="H5" s="38">
        <v>0</v>
      </c>
      <c r="I5" s="39" t="s">
        <v>238</v>
      </c>
      <c r="J5" s="40">
        <v>663400</v>
      </c>
      <c r="K5" s="487">
        <v>120</v>
      </c>
      <c r="L5" s="40">
        <v>0</v>
      </c>
      <c r="M5" s="41">
        <v>3.36</v>
      </c>
      <c r="N5" s="41">
        <v>3.36</v>
      </c>
      <c r="O5" s="42">
        <v>79608000</v>
      </c>
      <c r="P5" s="43">
        <v>2229024</v>
      </c>
      <c r="Q5" s="43">
        <v>2229024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2457929.4000000004</v>
      </c>
      <c r="Y5" s="43">
        <f t="shared" ref="Y5:Y24" si="5">Q5-P5</f>
        <v>0</v>
      </c>
      <c r="Z5" s="43">
        <f t="shared" ref="Z5:Z24" si="6">X5+(A$6*W5)</f>
        <v>4686953.4000000004</v>
      </c>
      <c r="AA5" s="49">
        <f t="shared" ref="AA5:AA24" si="7">Q5+X5</f>
        <v>4686953.4000000004</v>
      </c>
      <c r="AB5" s="50">
        <f t="shared" ref="AB5:AC20" si="8">Z5/(1+ElecDiscountRate)^1</f>
        <v>4388533.1460674163</v>
      </c>
      <c r="AC5" s="43">
        <f t="shared" si="8"/>
        <v>4388533.1460674163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10740337.471521214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10740337.471521214</v>
      </c>
      <c r="AK5" s="43">
        <f>HLOOKUP(I5,ElecAvoidedCostsWOCC!$A$5:$Q$50,G5+1,FALSE)*J5*L5</f>
        <v>0</v>
      </c>
      <c r="AL5" s="43">
        <f>AG5+AI5-AK5</f>
        <v>10740337.471521214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10740337.471521212</v>
      </c>
      <c r="AN5" s="47">
        <f>AM5*1.1+AD5+AE5</f>
        <v>11814371.218673334</v>
      </c>
      <c r="AO5" s="46">
        <f>IFERROR(AM5/AB5,0)</f>
        <v>2.4473638717177457</v>
      </c>
      <c r="AP5" s="46">
        <f>AN5/AC5</f>
        <v>2.6921002588895204</v>
      </c>
    </row>
    <row r="6" spans="1:42" ht="13.5" customHeight="1" x14ac:dyDescent="0.25">
      <c r="A6" s="52">
        <f>SUMIF('Program Costs'!D:D,C2,'Program Costs'!L:L)</f>
        <v>2229024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/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2457929.4000000004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79608000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2229024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4686953.4000000004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4686953.4000000004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2.4473638717177457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2.6921002588895204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18230751</v>
      </c>
      <c r="D2" s="19" t="s">
        <v>543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18230751</v>
      </c>
      <c r="D5" s="60" t="s">
        <v>543</v>
      </c>
      <c r="E5" s="37"/>
      <c r="F5" s="38"/>
      <c r="G5" s="38"/>
      <c r="H5" s="38"/>
      <c r="I5" s="39"/>
      <c r="J5" s="40"/>
      <c r="K5" s="487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175991.2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175991.2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175991.2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P11" sqref="P11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18230162</v>
      </c>
      <c r="D2" s="19" t="s">
        <v>552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18230162</v>
      </c>
      <c r="D5" s="60" t="s">
        <v>552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272</v>
      </c>
      <c r="J5" s="40">
        <v>1</v>
      </c>
      <c r="K5" s="487">
        <v>13908895</v>
      </c>
      <c r="L5" s="40">
        <v>0</v>
      </c>
      <c r="M5" s="41">
        <v>4182395</v>
      </c>
      <c r="N5" s="41">
        <v>6273598</v>
      </c>
      <c r="O5" s="42">
        <v>13908895</v>
      </c>
      <c r="P5" s="43">
        <v>4182395</v>
      </c>
      <c r="Q5" s="43">
        <v>6273598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7.3170731065766477</v>
      </c>
      <c r="V5" s="47">
        <f t="shared" ref="V5:V24" si="2">N5-M5</f>
        <v>2091203</v>
      </c>
      <c r="W5" s="48">
        <f t="shared" ref="W5:W24" si="3">(O5/A$10)</f>
        <v>0.4878048737717765</v>
      </c>
      <c r="X5" s="43">
        <f t="shared" ref="X5:X24" si="4">W5*A$8</f>
        <v>2964971.9983937899</v>
      </c>
      <c r="Y5" s="43">
        <f t="shared" ref="Y5:Y24" si="5">Q5-P5</f>
        <v>2091203</v>
      </c>
      <c r="Z5" s="43">
        <f t="shared" ref="Z5:Z24" si="6">X5+(A$6*W5)</f>
        <v>7147367.0836743619</v>
      </c>
      <c r="AA5" s="49">
        <f t="shared" ref="AA5:AA24" si="7">Q5+X5</f>
        <v>9238569.9983937889</v>
      </c>
      <c r="AB5" s="50">
        <f t="shared" ref="AB5:AC20" si="8">Z5/(1+ElecDiscountRate)^1</f>
        <v>6692291.2768486533</v>
      </c>
      <c r="AC5" s="43">
        <f t="shared" si="8"/>
        <v>8650346.4404436219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1.7654180640246628</v>
      </c>
      <c r="AG5" s="43">
        <f t="shared" ref="AG5:AG24" si="10">AF5*J5*K5</f>
        <v>24555014.483622313</v>
      </c>
      <c r="AH5" s="51">
        <f>HLOOKUP(I5,ElecAvoidedCostsWOCC!$A$5:$Q$50,T5+1,FALSE)</f>
        <v>1.7654180640246628</v>
      </c>
      <c r="AI5" s="43">
        <f t="shared" ref="AI5:AI24" si="11">AH5*J5*L5</f>
        <v>0</v>
      </c>
      <c r="AJ5" s="43">
        <f>AG5+AI5</f>
        <v>24555014.483622313</v>
      </c>
      <c r="AK5" s="43">
        <f>HLOOKUP(I5,ElecAvoidedCostsWOCC!$A$5:$Q$50,G5+1,FALSE)*J5*L5</f>
        <v>0</v>
      </c>
      <c r="AL5" s="43">
        <f>AG5+AI5-AK5</f>
        <v>24555014.483622313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24555014.483622313</v>
      </c>
      <c r="AN5" s="47">
        <f>AM5*1.1+AD5+AE5</f>
        <v>27010515.931984548</v>
      </c>
      <c r="AO5" s="46">
        <f>IFERROR(AM5/AB5,0)</f>
        <v>3.6691490952535277</v>
      </c>
      <c r="AP5" s="46">
        <f>AN5/AC5</f>
        <v>3.1224779398083098</v>
      </c>
    </row>
    <row r="6" spans="1:42" ht="13.5" customHeight="1" x14ac:dyDescent="0.25">
      <c r="A6" s="52">
        <f>SUMIF('Program Costs'!D:D,C2,'Program Costs'!L:L)</f>
        <v>8573910</v>
      </c>
      <c r="B6" s="88" t="s">
        <v>15</v>
      </c>
      <c r="C6" s="60">
        <v>18230162</v>
      </c>
      <c r="D6" s="60" t="s">
        <v>552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272</v>
      </c>
      <c r="J6" s="40">
        <v>1</v>
      </c>
      <c r="K6" s="40">
        <v>14604340</v>
      </c>
      <c r="L6" s="40">
        <v>0</v>
      </c>
      <c r="M6" s="41">
        <v>4391515</v>
      </c>
      <c r="N6" s="41">
        <v>6587272</v>
      </c>
      <c r="O6" s="42">
        <v>14604340</v>
      </c>
      <c r="P6" s="43">
        <v>4391515</v>
      </c>
      <c r="Q6" s="43">
        <v>6587272</v>
      </c>
      <c r="R6" s="44">
        <v>0</v>
      </c>
      <c r="S6" s="45"/>
      <c r="T6" s="38">
        <f t="shared" si="0"/>
        <v>15</v>
      </c>
      <c r="U6" s="46">
        <f t="shared" si="1"/>
        <v>7.6829268934233523</v>
      </c>
      <c r="V6" s="47">
        <f t="shared" si="2"/>
        <v>2195757</v>
      </c>
      <c r="W6" s="48">
        <f t="shared" si="3"/>
        <v>0.5121951262282235</v>
      </c>
      <c r="X6" s="43">
        <f t="shared" si="4"/>
        <v>3113220.6516062105</v>
      </c>
      <c r="Y6" s="43">
        <f t="shared" si="5"/>
        <v>2195757</v>
      </c>
      <c r="Z6" s="43">
        <f t="shared" si="6"/>
        <v>7504735.5663256384</v>
      </c>
      <c r="AA6" s="49">
        <f t="shared" si="7"/>
        <v>9700492.6516062096</v>
      </c>
      <c r="AB6" s="50">
        <f t="shared" si="8"/>
        <v>7026905.9609790621</v>
      </c>
      <c r="AC6" s="43">
        <f t="shared" si="8"/>
        <v>9082858.2880207952</v>
      </c>
      <c r="AD6" s="43">
        <f t="shared" si="9"/>
        <v>0</v>
      </c>
      <c r="AE6" s="43">
        <v>0</v>
      </c>
      <c r="AF6" s="51">
        <f>HLOOKUP(I6,ElecAvoidedCostsWOCC!$A$5:$Q$50,G6+1,FALSE)</f>
        <v>1.7654180640246628</v>
      </c>
      <c r="AG6" s="43">
        <f t="shared" si="10"/>
        <v>25782765.649157945</v>
      </c>
      <c r="AH6" s="51">
        <f>HLOOKUP(I6,ElecAvoidedCostsWOCC!$A$5:$Q$50,T6+1,FALSE)</f>
        <v>1.7654180640246628</v>
      </c>
      <c r="AI6" s="43">
        <f t="shared" si="11"/>
        <v>0</v>
      </c>
      <c r="AJ6" s="43">
        <f t="shared" ref="AJ6:AJ24" si="12">AG6+AI6</f>
        <v>25782765.649157945</v>
      </c>
      <c r="AK6" s="43">
        <f>HLOOKUP(I6,ElecAvoidedCostsWOCC!$A$5:$Q$50,G6+1,FALSE)*J6*L6</f>
        <v>0</v>
      </c>
      <c r="AL6" s="43">
        <f t="shared" ref="AL6:AL24" si="13">AG6+AI6-AK6</f>
        <v>25782765.649157945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25782765.649157945</v>
      </c>
      <c r="AN6" s="47">
        <f t="shared" ref="AN6:AN24" si="14">AM6*1.1+AD6+AE6</f>
        <v>28361042.214073744</v>
      </c>
      <c r="AO6" s="46">
        <f t="shared" ref="AO6:AO24" si="15">IFERROR(AM6/AB6,0)</f>
        <v>3.6691490952535277</v>
      </c>
      <c r="AP6" s="46">
        <f t="shared" ref="AP6:AP24" si="16">AN6/AC6</f>
        <v>3.1224798752479237</v>
      </c>
    </row>
    <row r="7" spans="1:42" ht="13.5" customHeight="1" x14ac:dyDescent="0.25">
      <c r="A7" s="35" t="s">
        <v>239</v>
      </c>
      <c r="B7" s="88" t="s">
        <v>15</v>
      </c>
      <c r="C7" s="60">
        <v>18230162</v>
      </c>
      <c r="D7" s="60" t="s">
        <v>552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6078192.6500000004</v>
      </c>
      <c r="B8" s="88" t="s">
        <v>15</v>
      </c>
      <c r="C8" s="60">
        <v>18230162</v>
      </c>
      <c r="D8" s="60" t="s">
        <v>552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18230162</v>
      </c>
      <c r="D9" s="60" t="s">
        <v>552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28513235</v>
      </c>
      <c r="B10" s="88" t="s">
        <v>15</v>
      </c>
      <c r="C10" s="60">
        <v>18230162</v>
      </c>
      <c r="D10" s="60" t="s">
        <v>552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18230162</v>
      </c>
      <c r="D11" s="60" t="s">
        <v>552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8573910</v>
      </c>
      <c r="B12" s="88" t="s">
        <v>15</v>
      </c>
      <c r="C12" s="60">
        <v>18230162</v>
      </c>
      <c r="D12" s="60" t="s">
        <v>552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18230162</v>
      </c>
      <c r="D13" s="60" t="s">
        <v>552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4286960</v>
      </c>
      <c r="B14" s="88" t="s">
        <v>15</v>
      </c>
      <c r="C14" s="60">
        <v>18230162</v>
      </c>
      <c r="D14" s="60" t="s">
        <v>552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18230162</v>
      </c>
      <c r="D15" s="60" t="s">
        <v>552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15</v>
      </c>
      <c r="C16" s="60">
        <v>18230162</v>
      </c>
      <c r="D16" s="60" t="s">
        <v>552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18230162</v>
      </c>
      <c r="D17" s="60" t="s">
        <v>552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14652102.65</v>
      </c>
      <c r="B18" s="88" t="s">
        <v>15</v>
      </c>
      <c r="C18" s="60">
        <v>18230162</v>
      </c>
      <c r="D18" s="60" t="s">
        <v>552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18230162</v>
      </c>
      <c r="D19" s="60" t="s">
        <v>552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18939062.649999999</v>
      </c>
      <c r="B20" s="88" t="s">
        <v>15</v>
      </c>
      <c r="C20" s="60">
        <v>18230162</v>
      </c>
      <c r="D20" s="60" t="s">
        <v>552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18230162</v>
      </c>
      <c r="D21" s="60" t="s">
        <v>552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3.6691490952535277</v>
      </c>
      <c r="B22" s="88" t="s">
        <v>15</v>
      </c>
      <c r="C22" s="60">
        <v>18230162</v>
      </c>
      <c r="D22" s="60" t="s">
        <v>552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18230162</v>
      </c>
      <c r="D23" s="60" t="s">
        <v>552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3.1224789311307477</v>
      </c>
      <c r="B24" s="88" t="s">
        <v>15</v>
      </c>
      <c r="C24" s="60">
        <v>18230162</v>
      </c>
      <c r="D24" s="60" t="s">
        <v>552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18230162</v>
      </c>
      <c r="D25" s="60" t="s">
        <v>552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2" si="19">G25+H25</f>
        <v>0</v>
      </c>
      <c r="U25" s="46">
        <f t="shared" ref="U25:U52" si="20">(O25/$A$10)*T25</f>
        <v>0</v>
      </c>
      <c r="V25" s="47">
        <f t="shared" ref="V25:V52" si="21">N25-M25</f>
        <v>0</v>
      </c>
      <c r="W25" s="48">
        <f t="shared" ref="W25:W52" si="22">(O25/A$10)</f>
        <v>0</v>
      </c>
      <c r="X25" s="43">
        <f t="shared" ref="X25:X52" si="23">W25*A$8</f>
        <v>0</v>
      </c>
      <c r="Y25" s="43">
        <f t="shared" ref="Y25:Y52" si="24">Q25-P25</f>
        <v>0</v>
      </c>
      <c r="Z25" s="43">
        <f t="shared" ref="Z25:Z52" si="25">X25+(A$6*W25)</f>
        <v>0</v>
      </c>
      <c r="AA25" s="49">
        <f t="shared" ref="AA25:AA52" si="26">Q25+X25</f>
        <v>0</v>
      </c>
      <c r="AB25" s="50">
        <f t="shared" ref="AB25:AB52" si="27">Z25/(1+ElecDiscountRate)^1</f>
        <v>0</v>
      </c>
      <c r="AC25" s="43">
        <f t="shared" ref="AC25:AC52" si="28">AA25/(1+ElecDiscountRate)^1</f>
        <v>0</v>
      </c>
      <c r="AD25" s="43">
        <f t="shared" ref="AD25:AD52" si="29">-PV(ElecDiscountRate,T25,R25)*J25</f>
        <v>0</v>
      </c>
      <c r="AE25" s="43">
        <f t="shared" ref="AE25:AE52" si="30">-PV(ElecDiscountRate,T25,S25)*J25</f>
        <v>0</v>
      </c>
      <c r="AF25" s="51" t="e">
        <f>HLOOKUP(I25,ElecAvoidedCostsWOCC!$A$5:$Q$50,G25+1,FALSE)</f>
        <v>#N/A</v>
      </c>
      <c r="AG25" s="43" t="e">
        <f t="shared" ref="AG25:AG52" si="31">AF25*J25*K25</f>
        <v>#N/A</v>
      </c>
      <c r="AH25" s="51" t="e">
        <f>HLOOKUP(I25,ElecAvoidedCostsWOCC!$A$5:$Q$50,T25+1,FALSE)</f>
        <v>#N/A</v>
      </c>
      <c r="AI25" s="43" t="e">
        <f t="shared" ref="AI25:AI52" si="32">AH25*J25*L25</f>
        <v>#N/A</v>
      </c>
      <c r="AJ25" s="43" t="e">
        <f t="shared" ref="AJ25:AJ52" si="33">AG25+AI25</f>
        <v>#N/A</v>
      </c>
      <c r="AK25" s="43" t="e">
        <f>HLOOKUP(I25,ElecAvoidedCostsWOCC!$A$5:$Q$50,G25+1,FALSE)*J25*L25</f>
        <v>#N/A</v>
      </c>
      <c r="AL25" s="43" t="e">
        <f t="shared" ref="AL25:AL52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2" si="35">AM25*1.1+AD25+AE25</f>
        <v>0</v>
      </c>
      <c r="AO25" s="46">
        <f t="shared" ref="AO25:AO52" si="36">IFERROR(AM25/AB25,0)</f>
        <v>0</v>
      </c>
      <c r="AP25" s="46" t="e">
        <f t="shared" ref="AP25:AP52" si="37">AN25/AC25</f>
        <v>#DIV/0!</v>
      </c>
    </row>
    <row r="26" spans="1:42" ht="13.5" customHeight="1" x14ac:dyDescent="0.25">
      <c r="B26" s="88" t="s">
        <v>15</v>
      </c>
      <c r="C26" s="60">
        <v>18230162</v>
      </c>
      <c r="D26" s="60" t="s">
        <v>552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2 R5:S52">
    <cfRule type="expression" dxfId="287" priority="2">
      <formula>ISTEXT(M5)</formula>
    </cfRule>
  </conditionalFormatting>
  <conditionalFormatting sqref="M5:N52 R5:S52">
    <cfRule type="notContainsBlanks" dxfId="286" priority="3">
      <formula>LEN(TRIM(M5))&gt;0</formula>
    </cfRule>
  </conditionalFormatting>
  <conditionalFormatting sqref="R5:S52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F16" sqref="F16"/>
    </sheetView>
  </sheetViews>
  <sheetFormatPr defaultRowHeight="15" x14ac:dyDescent="0.2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18230405</v>
      </c>
      <c r="D2" s="19" t="s">
        <v>37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18230405</v>
      </c>
      <c r="D5" s="60" t="s">
        <v>37</v>
      </c>
      <c r="E5" s="37" t="s">
        <v>807</v>
      </c>
      <c r="F5" s="38" t="s">
        <v>379</v>
      </c>
      <c r="G5" s="38">
        <v>28</v>
      </c>
      <c r="H5" s="38">
        <v>0</v>
      </c>
      <c r="I5" s="39" t="s">
        <v>272</v>
      </c>
      <c r="J5" s="40">
        <v>1050</v>
      </c>
      <c r="K5" s="488">
        <v>600</v>
      </c>
      <c r="L5" s="40">
        <v>0</v>
      </c>
      <c r="M5" s="41">
        <v>500</v>
      </c>
      <c r="N5" s="41">
        <v>500</v>
      </c>
      <c r="O5" s="42">
        <v>630000</v>
      </c>
      <c r="P5" s="43">
        <v>525000</v>
      </c>
      <c r="Q5" s="43">
        <v>525000</v>
      </c>
      <c r="R5" s="44">
        <v>0</v>
      </c>
      <c r="S5" s="45"/>
      <c r="T5" s="38">
        <f t="shared" ref="T5:T24" si="0">G5+H5</f>
        <v>28</v>
      </c>
      <c r="U5" s="46">
        <f t="shared" ref="U5:U24" si="1">(O5/$A$10)*T5</f>
        <v>28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1041664</v>
      </c>
      <c r="Y5" s="43">
        <f t="shared" ref="Y5:Y24" si="5">Q5-P5</f>
        <v>0</v>
      </c>
      <c r="Z5" s="43">
        <f t="shared" ref="Z5:Z24" si="6">X5+(A$6*W5)</f>
        <v>1566664</v>
      </c>
      <c r="AA5" s="49">
        <f t="shared" ref="AA5:AA24" si="7">Q5+X5</f>
        <v>1566664</v>
      </c>
      <c r="AB5" s="50">
        <f t="shared" ref="AB5:AC20" si="8">Z5/(1+ElecDiscountRate)^1</f>
        <v>1466913.8576779026</v>
      </c>
      <c r="AC5" s="43">
        <f t="shared" si="8"/>
        <v>1466913.8576779026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2.4006194278371362</v>
      </c>
      <c r="AG5" s="43">
        <f t="shared" ref="AG5:AG24" si="10">AF5*J5*K5</f>
        <v>1512390.2395373958</v>
      </c>
      <c r="AH5" s="51">
        <f>HLOOKUP(I5,ElecAvoidedCostsWOCC!$A$5:$Q$50,T5+1,FALSE)</f>
        <v>2.4006194278371362</v>
      </c>
      <c r="AI5" s="43">
        <f t="shared" ref="AI5:AI24" si="11">AH5*J5*L5</f>
        <v>0</v>
      </c>
      <c r="AJ5" s="43">
        <f>AG5+AI5</f>
        <v>1512390.2395373958</v>
      </c>
      <c r="AK5" s="43">
        <f>HLOOKUP(I5,ElecAvoidedCostsWOCC!$A$5:$Q$50,G5+1,FALSE)*J5*L5</f>
        <v>0</v>
      </c>
      <c r="AL5" s="43">
        <f>AG5+AI5-AK5</f>
        <v>1512390.2395373958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1512390.239537396</v>
      </c>
      <c r="AN5" s="47">
        <f>AM5*1.1+AD5+AE5</f>
        <v>1663629.2634911358</v>
      </c>
      <c r="AO5" s="46">
        <f>IFERROR(AM5/AB5,0)</f>
        <v>1.0310013990402147</v>
      </c>
      <c r="AP5" s="46">
        <f>AN5/AC5</f>
        <v>1.1341015389442364</v>
      </c>
    </row>
    <row r="6" spans="1:42" ht="13.5" customHeight="1" x14ac:dyDescent="0.25">
      <c r="A6" s="52">
        <f>SUMIF('Program Costs'!D:D,C2,'Program Costs'!L:L)</f>
        <v>525000</v>
      </c>
      <c r="B6" s="88" t="s">
        <v>17</v>
      </c>
      <c r="C6" s="60">
        <v>18230405</v>
      </c>
      <c r="D6" s="60" t="s">
        <v>37</v>
      </c>
      <c r="E6" s="37"/>
      <c r="F6" s="38"/>
      <c r="G6" s="38"/>
      <c r="H6" s="38"/>
      <c r="I6" s="39"/>
      <c r="J6" s="40"/>
      <c r="K6" s="488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17</v>
      </c>
      <c r="C7" s="60">
        <v>18230405</v>
      </c>
      <c r="D7" s="60" t="s">
        <v>37</v>
      </c>
      <c r="E7" s="37"/>
      <c r="F7" s="38"/>
      <c r="G7" s="38"/>
      <c r="H7" s="38"/>
      <c r="I7" s="39"/>
      <c r="J7" s="40"/>
      <c r="K7" s="488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1041664</v>
      </c>
      <c r="B8" s="88" t="s">
        <v>17</v>
      </c>
      <c r="C8" s="60">
        <v>18230405</v>
      </c>
      <c r="D8" s="60" t="s">
        <v>37</v>
      </c>
      <c r="E8" s="37"/>
      <c r="F8" s="38"/>
      <c r="G8" s="38"/>
      <c r="H8" s="38"/>
      <c r="I8" s="39"/>
      <c r="J8" s="40"/>
      <c r="K8" s="488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18230405</v>
      </c>
      <c r="D9" s="60" t="s">
        <v>37</v>
      </c>
      <c r="E9" s="37"/>
      <c r="F9" s="38"/>
      <c r="G9" s="38"/>
      <c r="H9" s="38"/>
      <c r="I9" s="39"/>
      <c r="J9" s="40"/>
      <c r="K9" s="488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630000</v>
      </c>
      <c r="B10" s="88" t="s">
        <v>17</v>
      </c>
      <c r="C10" s="60">
        <v>18230405</v>
      </c>
      <c r="D10" s="60" t="s">
        <v>37</v>
      </c>
      <c r="E10" s="37"/>
      <c r="F10" s="38"/>
      <c r="G10" s="38"/>
      <c r="H10" s="38"/>
      <c r="I10" s="39"/>
      <c r="J10" s="40"/>
      <c r="K10" s="488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18230405</v>
      </c>
      <c r="D11" s="60" t="s">
        <v>37</v>
      </c>
      <c r="E11" s="37"/>
      <c r="F11" s="38"/>
      <c r="G11" s="38"/>
      <c r="H11" s="38"/>
      <c r="I11" s="39"/>
      <c r="J11" s="40"/>
      <c r="K11" s="488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525000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28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1566664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1566664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1.0310013990402147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1.1341015389442364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I15" sqref="I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18230071</v>
      </c>
      <c r="D2" s="19" t="s">
        <v>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18230071</v>
      </c>
      <c r="D5" s="60" t="s">
        <v>18</v>
      </c>
      <c r="E5" s="37" t="s">
        <v>1246</v>
      </c>
      <c r="F5" s="38" t="s">
        <v>650</v>
      </c>
      <c r="G5" s="38">
        <v>45</v>
      </c>
      <c r="H5" s="38">
        <v>0</v>
      </c>
      <c r="I5" s="39" t="s">
        <v>273</v>
      </c>
      <c r="J5" s="40">
        <v>160</v>
      </c>
      <c r="K5" s="40">
        <v>2066</v>
      </c>
      <c r="L5" s="40">
        <v>0</v>
      </c>
      <c r="M5" s="41">
        <v>2200</v>
      </c>
      <c r="N5" s="41">
        <v>2675.93</v>
      </c>
      <c r="O5" s="42">
        <v>330560</v>
      </c>
      <c r="P5" s="43">
        <v>352000</v>
      </c>
      <c r="Q5" s="43">
        <v>428148.8</v>
      </c>
      <c r="R5" s="44">
        <v>72.558000000000007</v>
      </c>
      <c r="S5" s="45"/>
      <c r="T5" s="38">
        <f t="shared" ref="T5:T24" si="0">G5+H5</f>
        <v>45</v>
      </c>
      <c r="U5" s="46">
        <f t="shared" ref="U5:U24" si="1">(O5/$A$10)*T5</f>
        <v>39.959597696209059</v>
      </c>
      <c r="V5" s="47">
        <f t="shared" ref="V5:V24" si="2">N5-M5</f>
        <v>475.92999999999984</v>
      </c>
      <c r="W5" s="48">
        <f t="shared" ref="W5:W24" si="3">(O5/A$10)</f>
        <v>0.88799105991575689</v>
      </c>
      <c r="X5" s="43">
        <f t="shared" ref="X5:X24" si="4">W5*A$8</f>
        <v>169763.82205793864</v>
      </c>
      <c r="Y5" s="43">
        <f t="shared" ref="Y5:Y24" si="5">Q5-P5</f>
        <v>76148.799999999988</v>
      </c>
      <c r="Z5" s="43">
        <f t="shared" ref="Z5:Z24" si="6">X5+(A$6*W5)</f>
        <v>584633.24525058025</v>
      </c>
      <c r="AA5" s="49">
        <f t="shared" ref="AA5:AA24" si="7">Q5+X5</f>
        <v>597912.6220579386</v>
      </c>
      <c r="AB5" s="50">
        <f t="shared" ref="AB5:AC20" si="8">Z5/(1+ElecDiscountRate)^1</f>
        <v>547409.40566533722</v>
      </c>
      <c r="AC5" s="43">
        <f t="shared" si="8"/>
        <v>559843.27908046683</v>
      </c>
      <c r="AD5" s="43">
        <f t="shared" ref="AD5:AD24" si="9">-PV(ElecDiscountRate,T5,R5)*J5</f>
        <v>161881.90182085437</v>
      </c>
      <c r="AE5" s="43">
        <v>0</v>
      </c>
      <c r="AF5" s="51">
        <f>HLOOKUP(I5,ElecAvoidedCostsWOCC!$A$5:$Q$50,G5+1,FALSE)</f>
        <v>3.7416616988497218</v>
      </c>
      <c r="AG5" s="43">
        <f t="shared" ref="AG5:AG24" si="10">AF5*J5*K5</f>
        <v>1236843.6911717639</v>
      </c>
      <c r="AH5" s="51">
        <f>HLOOKUP(I5,ElecAvoidedCostsWOCC!$A$5:$Q$50,T5+1,FALSE)</f>
        <v>3.7416616988497218</v>
      </c>
      <c r="AI5" s="43">
        <f t="shared" ref="AI5:AI24" si="11">AH5*J5*L5</f>
        <v>0</v>
      </c>
      <c r="AJ5" s="43">
        <f>AG5+AI5</f>
        <v>1236843.6911717639</v>
      </c>
      <c r="AK5" s="43">
        <f>HLOOKUP(I5,ElecAvoidedCostsWOCC!$A$5:$Q$50,G5+1,FALSE)*J5*L5</f>
        <v>0</v>
      </c>
      <c r="AL5" s="43">
        <f>AG5+AI5-AK5</f>
        <v>1236843.6911717639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1236843.6911717642</v>
      </c>
      <c r="AN5" s="47">
        <f>AM5*1.1+AD5+AE5</f>
        <v>1522409.9621097951</v>
      </c>
      <c r="AO5" s="46">
        <f>IFERROR(AM5/AB5,0)</f>
        <v>2.2594491040366189</v>
      </c>
      <c r="AP5" s="46">
        <f>AN5/AC5</f>
        <v>2.7193502521104258</v>
      </c>
    </row>
    <row r="6" spans="1:42" ht="13.5" customHeight="1" x14ac:dyDescent="0.25">
      <c r="A6" s="52">
        <f>SUMIF('Program Costs'!D:D,C2,'Program Costs'!L:L)</f>
        <v>467200</v>
      </c>
      <c r="B6" s="88" t="s">
        <v>17</v>
      </c>
      <c r="C6" s="60">
        <v>18230071</v>
      </c>
      <c r="D6" s="60" t="s">
        <v>18</v>
      </c>
      <c r="E6" s="37" t="s">
        <v>1247</v>
      </c>
      <c r="F6" s="38" t="s">
        <v>652</v>
      </c>
      <c r="G6" s="38">
        <v>43</v>
      </c>
      <c r="H6" s="38">
        <v>0</v>
      </c>
      <c r="I6" s="39" t="s">
        <v>273</v>
      </c>
      <c r="J6" s="40">
        <v>16</v>
      </c>
      <c r="K6" s="40">
        <v>2606</v>
      </c>
      <c r="L6" s="40">
        <v>0</v>
      </c>
      <c r="M6" s="41">
        <v>4400</v>
      </c>
      <c r="N6" s="41">
        <v>4428.42</v>
      </c>
      <c r="O6" s="42">
        <v>41696</v>
      </c>
      <c r="P6" s="43">
        <v>70400</v>
      </c>
      <c r="Q6" s="43">
        <v>70854.720000000001</v>
      </c>
      <c r="R6" s="44">
        <v>77.715999999999994</v>
      </c>
      <c r="S6" s="45"/>
      <c r="T6" s="38">
        <f t="shared" si="0"/>
        <v>43</v>
      </c>
      <c r="U6" s="46">
        <f t="shared" si="1"/>
        <v>4.8163844236224529</v>
      </c>
      <c r="V6" s="47">
        <f t="shared" si="2"/>
        <v>28.420000000000073</v>
      </c>
      <c r="W6" s="48">
        <f t="shared" si="3"/>
        <v>0.1120089400842431</v>
      </c>
      <c r="X6" s="43">
        <f t="shared" si="4"/>
        <v>21413.57794206138</v>
      </c>
      <c r="Y6" s="43">
        <f t="shared" si="5"/>
        <v>454.72000000000116</v>
      </c>
      <c r="Z6" s="43">
        <f t="shared" si="6"/>
        <v>73744.154749419758</v>
      </c>
      <c r="AA6" s="49">
        <f t="shared" si="7"/>
        <v>92268.297942061385</v>
      </c>
      <c r="AB6" s="50">
        <f t="shared" si="8"/>
        <v>69048.834035037216</v>
      </c>
      <c r="AC6" s="43">
        <f t="shared" si="8"/>
        <v>86393.53739893387</v>
      </c>
      <c r="AD6" s="43">
        <f t="shared" si="9"/>
        <v>17205.784643422532</v>
      </c>
      <c r="AE6" s="43">
        <v>0</v>
      </c>
      <c r="AF6" s="51">
        <f>HLOOKUP(I6,ElecAvoidedCostsWOCC!$A$5:$Q$50,G6+1,FALSE)</f>
        <v>3.5613674706481584</v>
      </c>
      <c r="AG6" s="43">
        <f t="shared" si="10"/>
        <v>148494.77805614562</v>
      </c>
      <c r="AH6" s="51">
        <f>HLOOKUP(I6,ElecAvoidedCostsWOCC!$A$5:$Q$50,T6+1,FALSE)</f>
        <v>3.5613674706481584</v>
      </c>
      <c r="AI6" s="43">
        <f t="shared" si="11"/>
        <v>0</v>
      </c>
      <c r="AJ6" s="43">
        <f t="shared" ref="AJ6:AJ24" si="12">AG6+AI6</f>
        <v>148494.77805614562</v>
      </c>
      <c r="AK6" s="43">
        <f>HLOOKUP(I6,ElecAvoidedCostsWOCC!$A$5:$Q$50,G6+1,FALSE)*J6*L6</f>
        <v>0</v>
      </c>
      <c r="AL6" s="43">
        <f t="shared" ref="AL6:AL24" si="13">AG6+AI6-AK6</f>
        <v>148494.77805614562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148494.77805614562</v>
      </c>
      <c r="AN6" s="47">
        <f t="shared" ref="AN6:AN24" si="14">AM6*1.1+AD6+AE6</f>
        <v>180550.04050518273</v>
      </c>
      <c r="AO6" s="46">
        <f t="shared" ref="AO6:AO24" si="15">IFERROR(AM6/AB6,0)</f>
        <v>2.1505761846868467</v>
      </c>
      <c r="AP6" s="46">
        <f t="shared" ref="AP6:AP24" si="16">AN6/AC6</f>
        <v>2.089855861225689</v>
      </c>
    </row>
    <row r="7" spans="1:42" ht="13.5" customHeight="1" x14ac:dyDescent="0.25">
      <c r="A7" s="35" t="s">
        <v>239</v>
      </c>
      <c r="B7" s="88" t="s">
        <v>17</v>
      </c>
      <c r="C7" s="60">
        <v>18230071</v>
      </c>
      <c r="D7" s="60" t="s">
        <v>18</v>
      </c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96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38400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-38400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0.16733299209051841</v>
      </c>
      <c r="AG7" s="43">
        <f t="shared" si="10"/>
        <v>0</v>
      </c>
      <c r="AH7" s="51">
        <f>HLOOKUP(I7,ElecAvoidedCostsWOCC!$A$5:$Q$50,T7+1,FALSE)</f>
        <v>0.16733299209051841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191177.40000000002</v>
      </c>
      <c r="B8" s="88" t="s">
        <v>17</v>
      </c>
      <c r="C8" s="60">
        <v>18230071</v>
      </c>
      <c r="D8" s="60" t="s">
        <v>18</v>
      </c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8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6400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-6400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0.16733299209051841</v>
      </c>
      <c r="AG8" s="43">
        <f t="shared" si="10"/>
        <v>0</v>
      </c>
      <c r="AH8" s="51">
        <f>HLOOKUP(I8,ElecAvoidedCostsWOCC!$A$5:$Q$50,T8+1,FALSE)</f>
        <v>0.16733299209051841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18230071</v>
      </c>
      <c r="D9" s="60" t="s">
        <v>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372256</v>
      </c>
      <c r="B10" s="88" t="s">
        <v>17</v>
      </c>
      <c r="C10" s="60">
        <v>18230071</v>
      </c>
      <c r="D10" s="60" t="s">
        <v>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18230071</v>
      </c>
      <c r="D11" s="60" t="s">
        <v>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467200</v>
      </c>
      <c r="B12" s="88" t="s">
        <v>17</v>
      </c>
      <c r="C12" s="60">
        <v>18230071</v>
      </c>
      <c r="D12" s="60" t="s">
        <v>18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17</v>
      </c>
      <c r="C13" s="60">
        <v>18230071</v>
      </c>
      <c r="D13" s="60" t="s">
        <v>18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31803.51999999999</v>
      </c>
      <c r="B14" s="88" t="s">
        <v>17</v>
      </c>
      <c r="C14" s="60">
        <v>18230071</v>
      </c>
      <c r="D14" s="60" t="s">
        <v>18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44.775982119831511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658377.4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690180.92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2.2472543637363738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2.6351949613339012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11"/>
  <sheetViews>
    <sheetView zoomScale="70" zoomScaleNormal="70" workbookViewId="0">
      <selection activeCell="H19" sqref="H19"/>
    </sheetView>
  </sheetViews>
  <sheetFormatPr defaultRowHeight="15" x14ac:dyDescent="0.25"/>
  <cols>
    <col min="1" max="1" width="26.140625" customWidth="1"/>
    <col min="3" max="3" width="13.28515625" customWidth="1"/>
    <col min="4" max="4" width="26.1406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18230407</v>
      </c>
      <c r="D2" s="19" t="s">
        <v>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38</v>
      </c>
      <c r="C5" s="60">
        <v>18230407</v>
      </c>
      <c r="D5" s="60" t="s">
        <v>39</v>
      </c>
      <c r="E5" s="37" t="s">
        <v>1248</v>
      </c>
      <c r="F5" s="38" t="s">
        <v>1249</v>
      </c>
      <c r="G5" s="38">
        <v>45</v>
      </c>
      <c r="H5" s="38">
        <v>0</v>
      </c>
      <c r="I5" s="39" t="s">
        <v>271</v>
      </c>
      <c r="J5" s="40">
        <v>2000</v>
      </c>
      <c r="K5" s="40">
        <v>0.9</v>
      </c>
      <c r="L5" s="40">
        <v>0</v>
      </c>
      <c r="M5" s="41">
        <v>1</v>
      </c>
      <c r="N5" s="41">
        <v>0.98</v>
      </c>
      <c r="O5" s="42">
        <v>1800</v>
      </c>
      <c r="P5" s="43">
        <v>2000</v>
      </c>
      <c r="Q5" s="43">
        <v>1960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7.3462028892089951E-3</v>
      </c>
      <c r="V5" s="47">
        <f t="shared" ref="V5:V24" si="2">N5-M5</f>
        <v>-2.0000000000000018E-2</v>
      </c>
      <c r="W5" s="48">
        <f t="shared" ref="W5:W24" si="3">(O5/A$10)</f>
        <v>1.6324895309353322E-4</v>
      </c>
      <c r="X5" s="43">
        <f t="shared" ref="X5:X24" si="4">W5*A$8</f>
        <v>383.0678247523216</v>
      </c>
      <c r="Y5" s="43">
        <f t="shared" ref="Y5:Y24" si="5">Q5-P5</f>
        <v>-40</v>
      </c>
      <c r="Z5" s="43">
        <f t="shared" ref="Z5:Z24" si="6">X5+(A$6*W5)</f>
        <v>2164.0769271148934</v>
      </c>
      <c r="AA5" s="49">
        <f t="shared" ref="AA5:AA24" si="7">Q5+X5</f>
        <v>2343.0678247523215</v>
      </c>
      <c r="AB5" s="50">
        <f t="shared" ref="AB5:AC20" si="8">Z5/(1+ElecDiscountRate)^1</f>
        <v>2026.2892575982146</v>
      </c>
      <c r="AC5" s="43">
        <f t="shared" si="8"/>
        <v>2193.8837310414992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3.5408139669770344</v>
      </c>
      <c r="AG5" s="43">
        <f t="shared" ref="AG5:AG24" si="10">AF5*J5*K5</f>
        <v>6373.4651405586619</v>
      </c>
      <c r="AH5" s="51">
        <f>HLOOKUP(I5,ElecAvoidedCostsWOCC!$A$5:$Q$50,T5+1,FALSE)</f>
        <v>3.5408139669770344</v>
      </c>
      <c r="AI5" s="43">
        <f t="shared" ref="AI5:AI24" si="11">AH5*J5*L5</f>
        <v>0</v>
      </c>
      <c r="AJ5" s="43">
        <f>AG5+AI5</f>
        <v>6373.4651405586619</v>
      </c>
      <c r="AK5" s="43">
        <f>HLOOKUP(I5,ElecAvoidedCostsWOCC!$A$5:$Q$50,G5+1,FALSE)*J5*L5</f>
        <v>0</v>
      </c>
      <c r="AL5" s="43">
        <f>AG5+AI5-AK5</f>
        <v>6373.4651405586619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6373.4651405586619</v>
      </c>
      <c r="AN5" s="47">
        <f>AM5*1.1+AD5+AE5</f>
        <v>7010.8116546145284</v>
      </c>
      <c r="AO5" s="46">
        <f>IFERROR(AM5/AB5,0)</f>
        <v>3.1453876176164544</v>
      </c>
      <c r="AP5" s="46">
        <f>AN5/AC5</f>
        <v>3.1956167755919753</v>
      </c>
    </row>
    <row r="6" spans="1:42" ht="13.5" customHeight="1" x14ac:dyDescent="0.25">
      <c r="A6" s="52">
        <f>SUMIF('Program Costs'!D:D,C2,'Program Costs'!L:L)</f>
        <v>10909773.5</v>
      </c>
      <c r="B6" s="88" t="s">
        <v>38</v>
      </c>
      <c r="C6" s="60">
        <v>18230407</v>
      </c>
      <c r="D6" s="60" t="s">
        <v>39</v>
      </c>
      <c r="E6" s="37" t="s">
        <v>1250</v>
      </c>
      <c r="F6" s="38" t="s">
        <v>654</v>
      </c>
      <c r="G6" s="38">
        <v>45</v>
      </c>
      <c r="H6" s="38">
        <v>0</v>
      </c>
      <c r="I6" s="39" t="s">
        <v>271</v>
      </c>
      <c r="J6" s="40">
        <v>10000</v>
      </c>
      <c r="K6" s="40">
        <v>0.6</v>
      </c>
      <c r="L6" s="40">
        <v>0</v>
      </c>
      <c r="M6" s="41">
        <v>1</v>
      </c>
      <c r="N6" s="41">
        <v>0.7</v>
      </c>
      <c r="O6" s="42">
        <v>6000</v>
      </c>
      <c r="P6" s="43">
        <v>10000</v>
      </c>
      <c r="Q6" s="43">
        <v>7000</v>
      </c>
      <c r="R6" s="44">
        <v>0</v>
      </c>
      <c r="S6" s="45"/>
      <c r="T6" s="38">
        <f t="shared" si="0"/>
        <v>45</v>
      </c>
      <c r="U6" s="46">
        <f t="shared" si="1"/>
        <v>2.448734296402998E-2</v>
      </c>
      <c r="V6" s="47">
        <f t="shared" si="2"/>
        <v>-0.30000000000000004</v>
      </c>
      <c r="W6" s="48">
        <f t="shared" si="3"/>
        <v>5.4416317697844401E-4</v>
      </c>
      <c r="X6" s="43">
        <f t="shared" si="4"/>
        <v>1276.8927491744053</v>
      </c>
      <c r="Y6" s="43">
        <f t="shared" si="5"/>
        <v>-3000</v>
      </c>
      <c r="Z6" s="43">
        <f t="shared" si="6"/>
        <v>7213.5897570496436</v>
      </c>
      <c r="AA6" s="49">
        <f t="shared" si="7"/>
        <v>8276.8927491744053</v>
      </c>
      <c r="AB6" s="50">
        <f t="shared" si="8"/>
        <v>6754.2975253273817</v>
      </c>
      <c r="AC6" s="43">
        <f t="shared" si="8"/>
        <v>7749.8995778786566</v>
      </c>
      <c r="AD6" s="43">
        <f t="shared" si="9"/>
        <v>0</v>
      </c>
      <c r="AE6" s="43">
        <v>0</v>
      </c>
      <c r="AF6" s="51">
        <f>HLOOKUP(I6,ElecAvoidedCostsWOCC!$A$5:$Q$50,G6+1,FALSE)</f>
        <v>3.5408139669770344</v>
      </c>
      <c r="AG6" s="43">
        <f t="shared" si="10"/>
        <v>21244.883801862208</v>
      </c>
      <c r="AH6" s="51">
        <f>HLOOKUP(I6,ElecAvoidedCostsWOCC!$A$5:$Q$50,T6+1,FALSE)</f>
        <v>3.5408139669770344</v>
      </c>
      <c r="AI6" s="43">
        <f t="shared" si="11"/>
        <v>0</v>
      </c>
      <c r="AJ6" s="43">
        <f t="shared" ref="AJ6:AJ24" si="12">AG6+AI6</f>
        <v>21244.883801862208</v>
      </c>
      <c r="AK6" s="43">
        <f>HLOOKUP(I6,ElecAvoidedCostsWOCC!$A$5:$Q$50,G6+1,FALSE)*J6*L6</f>
        <v>0</v>
      </c>
      <c r="AL6" s="43">
        <f t="shared" ref="AL6:AL24" si="13">AG6+AI6-AK6</f>
        <v>21244.883801862208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21244.883801862208</v>
      </c>
      <c r="AN6" s="47">
        <f t="shared" ref="AN6:AN24" si="14">AM6*1.1+AD6+AE6</f>
        <v>23369.372182048432</v>
      </c>
      <c r="AO6" s="46">
        <f t="shared" ref="AO6:AO24" si="15">IFERROR(AM6/AB6,0)</f>
        <v>3.1453876176164548</v>
      </c>
      <c r="AP6" s="46">
        <f t="shared" ref="AP6:AP24" si="16">AN6/AC6</f>
        <v>3.0154419353708866</v>
      </c>
    </row>
    <row r="7" spans="1:42" ht="13.5" customHeight="1" x14ac:dyDescent="0.25">
      <c r="A7" s="35" t="s">
        <v>239</v>
      </c>
      <c r="B7" s="88" t="s">
        <v>38</v>
      </c>
      <c r="C7" s="60">
        <v>18230407</v>
      </c>
      <c r="D7" s="60" t="s">
        <v>39</v>
      </c>
      <c r="E7" s="37" t="s">
        <v>1251</v>
      </c>
      <c r="F7" s="38" t="s">
        <v>655</v>
      </c>
      <c r="G7" s="38">
        <v>45</v>
      </c>
      <c r="H7" s="38">
        <v>0</v>
      </c>
      <c r="I7" s="39" t="s">
        <v>271</v>
      </c>
      <c r="J7" s="40">
        <v>4000</v>
      </c>
      <c r="K7" s="40">
        <v>1.4</v>
      </c>
      <c r="L7" s="40">
        <v>0</v>
      </c>
      <c r="M7" s="41">
        <v>1</v>
      </c>
      <c r="N7" s="41">
        <v>1.28</v>
      </c>
      <c r="O7" s="42">
        <v>5600</v>
      </c>
      <c r="P7" s="43">
        <v>4000</v>
      </c>
      <c r="Q7" s="43">
        <v>5120</v>
      </c>
      <c r="R7" s="44">
        <v>0</v>
      </c>
      <c r="S7" s="45"/>
      <c r="T7" s="38">
        <f t="shared" si="0"/>
        <v>45</v>
      </c>
      <c r="U7" s="46">
        <f t="shared" si="1"/>
        <v>2.2854853433094648E-2</v>
      </c>
      <c r="V7" s="47">
        <f t="shared" si="2"/>
        <v>0.28000000000000003</v>
      </c>
      <c r="W7" s="48">
        <f t="shared" si="3"/>
        <v>5.0788563184654776E-4</v>
      </c>
      <c r="X7" s="43">
        <f t="shared" si="4"/>
        <v>1191.7665658961116</v>
      </c>
      <c r="Y7" s="43">
        <f t="shared" si="5"/>
        <v>1120</v>
      </c>
      <c r="Z7" s="43">
        <f t="shared" si="6"/>
        <v>6732.6837732463346</v>
      </c>
      <c r="AA7" s="49">
        <f t="shared" si="7"/>
        <v>6311.7665658961114</v>
      </c>
      <c r="AB7" s="50">
        <f t="shared" si="8"/>
        <v>6304.01102363889</v>
      </c>
      <c r="AC7" s="43">
        <f t="shared" si="8"/>
        <v>5909.8937882922392</v>
      </c>
      <c r="AD7" s="43">
        <f t="shared" si="9"/>
        <v>0</v>
      </c>
      <c r="AE7" s="43">
        <v>0</v>
      </c>
      <c r="AF7" s="51">
        <f>HLOOKUP(I7,ElecAvoidedCostsWOCC!$A$5:$Q$50,G7+1,FALSE)</f>
        <v>3.5408139669770344</v>
      </c>
      <c r="AG7" s="43">
        <f t="shared" si="10"/>
        <v>19828.558215071393</v>
      </c>
      <c r="AH7" s="51">
        <f>HLOOKUP(I7,ElecAvoidedCostsWOCC!$A$5:$Q$50,T7+1,FALSE)</f>
        <v>3.5408139669770344</v>
      </c>
      <c r="AI7" s="43">
        <f t="shared" si="11"/>
        <v>0</v>
      </c>
      <c r="AJ7" s="43">
        <f t="shared" si="12"/>
        <v>19828.558215071393</v>
      </c>
      <c r="AK7" s="43">
        <f>HLOOKUP(I7,ElecAvoidedCostsWOCC!$A$5:$Q$50,G7+1,FALSE)*J7*L7</f>
        <v>0</v>
      </c>
      <c r="AL7" s="43">
        <f t="shared" si="13"/>
        <v>19828.558215071393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19828.558215071393</v>
      </c>
      <c r="AN7" s="47">
        <f t="shared" si="14"/>
        <v>21811.414036578535</v>
      </c>
      <c r="AO7" s="46">
        <f t="shared" si="15"/>
        <v>3.1453876176164539</v>
      </c>
      <c r="AP7" s="46">
        <f t="shared" si="16"/>
        <v>3.6906609184395007</v>
      </c>
    </row>
    <row r="8" spans="1:42" ht="13.5" customHeight="1" x14ac:dyDescent="0.25">
      <c r="A8" s="52">
        <f>SUMIF('Program Costs'!D:D,C2,'Program Costs'!O:O)</f>
        <v>2346525.4600000009</v>
      </c>
      <c r="B8" s="88" t="s">
        <v>38</v>
      </c>
      <c r="C8" s="60">
        <v>18230407</v>
      </c>
      <c r="D8" s="60" t="s">
        <v>39</v>
      </c>
      <c r="E8" s="37" t="s">
        <v>1252</v>
      </c>
      <c r="F8" s="38" t="s">
        <v>656</v>
      </c>
      <c r="G8" s="38">
        <v>45</v>
      </c>
      <c r="H8" s="38">
        <v>0</v>
      </c>
      <c r="I8" s="39" t="s">
        <v>271</v>
      </c>
      <c r="J8" s="40">
        <v>180000</v>
      </c>
      <c r="K8" s="40">
        <v>0.7</v>
      </c>
      <c r="L8" s="40">
        <v>0</v>
      </c>
      <c r="M8" s="41">
        <v>1</v>
      </c>
      <c r="N8" s="41">
        <v>0.71</v>
      </c>
      <c r="O8" s="42">
        <v>125999.99999999999</v>
      </c>
      <c r="P8" s="43">
        <v>180000</v>
      </c>
      <c r="Q8" s="43">
        <v>127800</v>
      </c>
      <c r="R8" s="44">
        <v>0</v>
      </c>
      <c r="S8" s="45"/>
      <c r="T8" s="38">
        <f t="shared" si="0"/>
        <v>45</v>
      </c>
      <c r="U8" s="46">
        <f t="shared" si="1"/>
        <v>0.51423420224462957</v>
      </c>
      <c r="V8" s="47">
        <f t="shared" si="2"/>
        <v>-0.29000000000000004</v>
      </c>
      <c r="W8" s="48">
        <f t="shared" si="3"/>
        <v>1.1427426716547324E-2</v>
      </c>
      <c r="X8" s="43">
        <f t="shared" si="4"/>
        <v>26814.747732662508</v>
      </c>
      <c r="Y8" s="43">
        <f t="shared" si="5"/>
        <v>-52200</v>
      </c>
      <c r="Z8" s="43">
        <f t="shared" si="6"/>
        <v>151485.38489804251</v>
      </c>
      <c r="AA8" s="49">
        <f t="shared" si="7"/>
        <v>154614.74773266251</v>
      </c>
      <c r="AB8" s="50">
        <f t="shared" si="8"/>
        <v>141840.248031875</v>
      </c>
      <c r="AC8" s="43">
        <f t="shared" si="8"/>
        <v>144770.36304556413</v>
      </c>
      <c r="AD8" s="43">
        <f t="shared" si="9"/>
        <v>0</v>
      </c>
      <c r="AE8" s="43">
        <v>0</v>
      </c>
      <c r="AF8" s="51">
        <f>HLOOKUP(I8,ElecAvoidedCostsWOCC!$A$5:$Q$50,G8+1,FALSE)</f>
        <v>3.5408139669770344</v>
      </c>
      <c r="AG8" s="43">
        <f t="shared" si="10"/>
        <v>446142.55983910628</v>
      </c>
      <c r="AH8" s="51">
        <f>HLOOKUP(I8,ElecAvoidedCostsWOCC!$A$5:$Q$50,T8+1,FALSE)</f>
        <v>3.5408139669770344</v>
      </c>
      <c r="AI8" s="43">
        <f t="shared" si="11"/>
        <v>0</v>
      </c>
      <c r="AJ8" s="43">
        <f t="shared" si="12"/>
        <v>446142.55983910628</v>
      </c>
      <c r="AK8" s="43">
        <f>HLOOKUP(I8,ElecAvoidedCostsWOCC!$A$5:$Q$50,G8+1,FALSE)*J8*L8</f>
        <v>0</v>
      </c>
      <c r="AL8" s="43">
        <f t="shared" si="13"/>
        <v>446142.55983910628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446142.55983910634</v>
      </c>
      <c r="AN8" s="47">
        <f t="shared" si="14"/>
        <v>490756.81582301704</v>
      </c>
      <c r="AO8" s="46">
        <f t="shared" si="15"/>
        <v>3.1453876176164548</v>
      </c>
      <c r="AP8" s="46">
        <f t="shared" si="16"/>
        <v>3.3898983569486476</v>
      </c>
    </row>
    <row r="9" spans="1:42" ht="13.5" customHeight="1" x14ac:dyDescent="0.25">
      <c r="A9" s="35" t="s">
        <v>241</v>
      </c>
      <c r="B9" s="88" t="s">
        <v>38</v>
      </c>
      <c r="C9" s="60">
        <v>18230407</v>
      </c>
      <c r="D9" s="60" t="s">
        <v>39</v>
      </c>
      <c r="E9" s="37" t="s">
        <v>1253</v>
      </c>
      <c r="F9" s="38" t="s">
        <v>658</v>
      </c>
      <c r="G9" s="38">
        <v>45</v>
      </c>
      <c r="H9" s="38">
        <v>0</v>
      </c>
      <c r="I9" s="39" t="s">
        <v>271</v>
      </c>
      <c r="J9" s="40">
        <v>20000</v>
      </c>
      <c r="K9" s="40">
        <v>2.1</v>
      </c>
      <c r="L9" s="40">
        <v>0</v>
      </c>
      <c r="M9" s="41">
        <v>1</v>
      </c>
      <c r="N9" s="41">
        <v>1.18</v>
      </c>
      <c r="O9" s="42">
        <v>42000</v>
      </c>
      <c r="P9" s="43">
        <v>20000</v>
      </c>
      <c r="Q9" s="43">
        <v>23600</v>
      </c>
      <c r="R9" s="44">
        <v>0</v>
      </c>
      <c r="S9" s="45"/>
      <c r="T9" s="38">
        <f t="shared" si="0"/>
        <v>45</v>
      </c>
      <c r="U9" s="46">
        <f t="shared" si="1"/>
        <v>0.17141140074820987</v>
      </c>
      <c r="V9" s="47">
        <f t="shared" si="2"/>
        <v>0.17999999999999994</v>
      </c>
      <c r="W9" s="48">
        <f t="shared" si="3"/>
        <v>3.8091422388491086E-3</v>
      </c>
      <c r="X9" s="43">
        <f t="shared" si="4"/>
        <v>8938.2492442208386</v>
      </c>
      <c r="Y9" s="43">
        <f t="shared" si="5"/>
        <v>3600</v>
      </c>
      <c r="Z9" s="43">
        <f t="shared" si="6"/>
        <v>50495.128299347518</v>
      </c>
      <c r="AA9" s="49">
        <f t="shared" si="7"/>
        <v>32538.249244220839</v>
      </c>
      <c r="AB9" s="50">
        <f t="shared" si="8"/>
        <v>47280.082677291684</v>
      </c>
      <c r="AC9" s="43">
        <f t="shared" si="8"/>
        <v>30466.52550957007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3.5408139669770344</v>
      </c>
      <c r="AG9" s="43">
        <f t="shared" si="10"/>
        <v>148714.18661303545</v>
      </c>
      <c r="AH9" s="51">
        <f>HLOOKUP(I9,ElecAvoidedCostsWOCC!$A$5:$Q$50,T9+1,FALSE)</f>
        <v>3.5408139669770344</v>
      </c>
      <c r="AI9" s="43">
        <f t="shared" si="11"/>
        <v>0</v>
      </c>
      <c r="AJ9" s="43">
        <f t="shared" si="12"/>
        <v>148714.18661303545</v>
      </c>
      <c r="AK9" s="43">
        <f>HLOOKUP(I9,ElecAvoidedCostsWOCC!$A$5:$Q$50,G9+1,FALSE)*J9*L9</f>
        <v>0</v>
      </c>
      <c r="AL9" s="43">
        <f t="shared" si="13"/>
        <v>148714.18661303545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148714.18661303545</v>
      </c>
      <c r="AN9" s="47">
        <f t="shared" si="14"/>
        <v>163585.605274339</v>
      </c>
      <c r="AO9" s="46">
        <f t="shared" si="15"/>
        <v>3.1453876176164535</v>
      </c>
      <c r="AP9" s="46">
        <f t="shared" si="16"/>
        <v>5.3693554659836051</v>
      </c>
    </row>
    <row r="10" spans="1:42" ht="13.5" customHeight="1" x14ac:dyDescent="0.25">
      <c r="A10" s="53">
        <f>SUM(O5:O999)</f>
        <v>11026104.399999999</v>
      </c>
      <c r="B10" s="88" t="s">
        <v>38</v>
      </c>
      <c r="C10" s="60">
        <v>18230407</v>
      </c>
      <c r="D10" s="60" t="s">
        <v>39</v>
      </c>
      <c r="E10" s="37" t="s">
        <v>1254</v>
      </c>
      <c r="F10" s="38" t="s">
        <v>680</v>
      </c>
      <c r="G10" s="38">
        <v>45</v>
      </c>
      <c r="H10" s="38">
        <v>0</v>
      </c>
      <c r="I10" s="39" t="s">
        <v>271</v>
      </c>
      <c r="J10" s="40">
        <v>2000</v>
      </c>
      <c r="K10" s="40">
        <v>1</v>
      </c>
      <c r="L10" s="40">
        <v>0</v>
      </c>
      <c r="M10" s="41">
        <v>1</v>
      </c>
      <c r="N10" s="41">
        <v>1.26</v>
      </c>
      <c r="O10" s="42">
        <v>2000</v>
      </c>
      <c r="P10" s="43">
        <v>2000</v>
      </c>
      <c r="Q10" s="43">
        <v>2520</v>
      </c>
      <c r="R10" s="44">
        <v>0</v>
      </c>
      <c r="S10" s="45"/>
      <c r="T10" s="38">
        <f t="shared" si="0"/>
        <v>45</v>
      </c>
      <c r="U10" s="46">
        <f t="shared" si="1"/>
        <v>8.1624476546766599E-3</v>
      </c>
      <c r="V10" s="47">
        <f t="shared" si="2"/>
        <v>0.26</v>
      </c>
      <c r="W10" s="48">
        <f t="shared" si="3"/>
        <v>1.8138772565948135E-4</v>
      </c>
      <c r="X10" s="43">
        <f t="shared" si="4"/>
        <v>425.63091639146842</v>
      </c>
      <c r="Y10" s="43">
        <f t="shared" si="5"/>
        <v>520</v>
      </c>
      <c r="Z10" s="43">
        <f t="shared" si="6"/>
        <v>2404.5299190165479</v>
      </c>
      <c r="AA10" s="49">
        <f t="shared" si="7"/>
        <v>2945.6309163914684</v>
      </c>
      <c r="AB10" s="50">
        <f t="shared" si="8"/>
        <v>2251.4325084424604</v>
      </c>
      <c r="AC10" s="43">
        <f t="shared" si="8"/>
        <v>2758.0813823890153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3.5408139669770344</v>
      </c>
      <c r="AG10" s="43">
        <f t="shared" si="10"/>
        <v>7081.6279339540688</v>
      </c>
      <c r="AH10" s="51">
        <f>HLOOKUP(I10,ElecAvoidedCostsWOCC!$A$5:$Q$50,T10+1,FALSE)</f>
        <v>3.5408139669770344</v>
      </c>
      <c r="AI10" s="43">
        <f t="shared" si="11"/>
        <v>0</v>
      </c>
      <c r="AJ10" s="43">
        <f t="shared" si="12"/>
        <v>7081.6279339540688</v>
      </c>
      <c r="AK10" s="43">
        <f>HLOOKUP(I10,ElecAvoidedCostsWOCC!$A$5:$Q$50,G10+1,FALSE)*J10*L10</f>
        <v>0</v>
      </c>
      <c r="AL10" s="43">
        <f t="shared" si="13"/>
        <v>7081.6279339540688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7081.6279339540688</v>
      </c>
      <c r="AN10" s="47">
        <f t="shared" si="14"/>
        <v>7789.7907273494766</v>
      </c>
      <c r="AO10" s="46">
        <f t="shared" si="15"/>
        <v>3.1453876176164548</v>
      </c>
      <c r="AP10" s="46">
        <f t="shared" si="16"/>
        <v>2.8243512961905637</v>
      </c>
    </row>
    <row r="11" spans="1:42" ht="13.5" customHeight="1" x14ac:dyDescent="0.25">
      <c r="A11" s="35" t="s">
        <v>242</v>
      </c>
      <c r="B11" s="88" t="s">
        <v>38</v>
      </c>
      <c r="C11" s="60">
        <v>18230407</v>
      </c>
      <c r="D11" s="60" t="s">
        <v>39</v>
      </c>
      <c r="E11" s="37" t="s">
        <v>1255</v>
      </c>
      <c r="F11" s="38" t="s">
        <v>682</v>
      </c>
      <c r="G11" s="38">
        <v>45</v>
      </c>
      <c r="H11" s="38">
        <v>0</v>
      </c>
      <c r="I11" s="39" t="s">
        <v>271</v>
      </c>
      <c r="J11" s="40">
        <v>160000</v>
      </c>
      <c r="K11" s="40">
        <v>0.6</v>
      </c>
      <c r="L11" s="40">
        <v>0</v>
      </c>
      <c r="M11" s="41">
        <v>1</v>
      </c>
      <c r="N11" s="41">
        <v>0.98</v>
      </c>
      <c r="O11" s="42">
        <v>96000</v>
      </c>
      <c r="P11" s="43">
        <v>160000</v>
      </c>
      <c r="Q11" s="43">
        <v>156800</v>
      </c>
      <c r="R11" s="44">
        <v>0</v>
      </c>
      <c r="S11" s="45"/>
      <c r="T11" s="38">
        <f t="shared" si="0"/>
        <v>45</v>
      </c>
      <c r="U11" s="46">
        <f t="shared" si="1"/>
        <v>0.39179748742447967</v>
      </c>
      <c r="V11" s="47">
        <f t="shared" si="2"/>
        <v>-2.0000000000000018E-2</v>
      </c>
      <c r="W11" s="48">
        <f t="shared" si="3"/>
        <v>8.7066108316551042E-3</v>
      </c>
      <c r="X11" s="43">
        <f t="shared" si="4"/>
        <v>20430.283986790484</v>
      </c>
      <c r="Y11" s="43">
        <f t="shared" si="5"/>
        <v>-3200</v>
      </c>
      <c r="Z11" s="43">
        <f t="shared" si="6"/>
        <v>115417.4361127943</v>
      </c>
      <c r="AA11" s="49">
        <f t="shared" si="7"/>
        <v>177230.28398679048</v>
      </c>
      <c r="AB11" s="50">
        <f t="shared" si="8"/>
        <v>108068.76040523811</v>
      </c>
      <c r="AC11" s="43">
        <f t="shared" si="8"/>
        <v>165945.95878912965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3.5408139669770344</v>
      </c>
      <c r="AG11" s="43">
        <f t="shared" si="10"/>
        <v>339918.14082979533</v>
      </c>
      <c r="AH11" s="51">
        <f>HLOOKUP(I11,ElecAvoidedCostsWOCC!$A$5:$Q$50,T11+1,FALSE)</f>
        <v>3.5408139669770344</v>
      </c>
      <c r="AI11" s="43">
        <f t="shared" si="11"/>
        <v>0</v>
      </c>
      <c r="AJ11" s="43">
        <f t="shared" si="12"/>
        <v>339918.14082979533</v>
      </c>
      <c r="AK11" s="43">
        <f>HLOOKUP(I11,ElecAvoidedCostsWOCC!$A$5:$Q$50,G11+1,FALSE)*J11*L11</f>
        <v>0</v>
      </c>
      <c r="AL11" s="43">
        <f t="shared" si="13"/>
        <v>339918.14082979533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339918.14082979533</v>
      </c>
      <c r="AN11" s="47">
        <f t="shared" si="14"/>
        <v>373909.95491277491</v>
      </c>
      <c r="AO11" s="46">
        <f t="shared" si="15"/>
        <v>3.1453876176164548</v>
      </c>
      <c r="AP11" s="46">
        <f t="shared" si="16"/>
        <v>2.2532031369797236</v>
      </c>
    </row>
    <row r="12" spans="1:42" ht="13.5" customHeight="1" x14ac:dyDescent="0.25">
      <c r="A12" s="54">
        <f>SUM(P5:P1000)</f>
        <v>10909763.5</v>
      </c>
      <c r="B12" s="88" t="s">
        <v>38</v>
      </c>
      <c r="C12" s="60">
        <v>18230407</v>
      </c>
      <c r="D12" s="60" t="s">
        <v>39</v>
      </c>
      <c r="E12" s="37" t="s">
        <v>1256</v>
      </c>
      <c r="F12" s="38" t="s">
        <v>1257</v>
      </c>
      <c r="G12" s="38">
        <v>45</v>
      </c>
      <c r="H12" s="38">
        <v>0</v>
      </c>
      <c r="I12" s="39" t="s">
        <v>271</v>
      </c>
      <c r="J12" s="40">
        <v>40000</v>
      </c>
      <c r="K12" s="40">
        <v>0.3</v>
      </c>
      <c r="L12" s="40">
        <v>0</v>
      </c>
      <c r="M12" s="41">
        <v>0.5</v>
      </c>
      <c r="N12" s="41">
        <v>0.8</v>
      </c>
      <c r="O12" s="42">
        <v>12000</v>
      </c>
      <c r="P12" s="43">
        <v>20000</v>
      </c>
      <c r="Q12" s="43">
        <v>32000</v>
      </c>
      <c r="R12" s="44">
        <v>0</v>
      </c>
      <c r="S12" s="45"/>
      <c r="T12" s="38">
        <f t="shared" si="0"/>
        <v>45</v>
      </c>
      <c r="U12" s="46">
        <f t="shared" si="1"/>
        <v>4.8974685928059959E-2</v>
      </c>
      <c r="V12" s="47">
        <f t="shared" si="2"/>
        <v>0.30000000000000004</v>
      </c>
      <c r="W12" s="48">
        <f t="shared" si="3"/>
        <v>1.088326353956888E-3</v>
      </c>
      <c r="X12" s="43">
        <f t="shared" si="4"/>
        <v>2553.7854983488105</v>
      </c>
      <c r="Y12" s="43">
        <f t="shared" si="5"/>
        <v>12000</v>
      </c>
      <c r="Z12" s="43">
        <f t="shared" si="6"/>
        <v>14427.179514099287</v>
      </c>
      <c r="AA12" s="49">
        <f t="shared" si="7"/>
        <v>34553.785498348807</v>
      </c>
      <c r="AB12" s="50">
        <f t="shared" si="8"/>
        <v>13508.595050654763</v>
      </c>
      <c r="AC12" s="43">
        <f t="shared" si="8"/>
        <v>32353.731740026971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3.5408139669770344</v>
      </c>
      <c r="AG12" s="43">
        <f t="shared" si="10"/>
        <v>42489.767603724416</v>
      </c>
      <c r="AH12" s="51">
        <f>HLOOKUP(I12,ElecAvoidedCostsWOCC!$A$5:$Q$50,T12+1,FALSE)</f>
        <v>3.5408139669770344</v>
      </c>
      <c r="AI12" s="43">
        <f t="shared" si="11"/>
        <v>0</v>
      </c>
      <c r="AJ12" s="43">
        <f t="shared" si="12"/>
        <v>42489.767603724416</v>
      </c>
      <c r="AK12" s="43">
        <f>HLOOKUP(I12,ElecAvoidedCostsWOCC!$A$5:$Q$50,G12+1,FALSE)*J12*L12</f>
        <v>0</v>
      </c>
      <c r="AL12" s="43">
        <f t="shared" si="13"/>
        <v>42489.767603724416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42489.767603724416</v>
      </c>
      <c r="AN12" s="47">
        <f t="shared" si="14"/>
        <v>46738.744364096863</v>
      </c>
      <c r="AO12" s="46">
        <f t="shared" si="15"/>
        <v>3.1453876176164548</v>
      </c>
      <c r="AP12" s="46">
        <f t="shared" si="16"/>
        <v>1.4446167984471858</v>
      </c>
    </row>
    <row r="13" spans="1:42" ht="13.5" customHeight="1" x14ac:dyDescent="0.25">
      <c r="A13" s="55" t="s">
        <v>245</v>
      </c>
      <c r="B13" s="88" t="s">
        <v>38</v>
      </c>
      <c r="C13" s="60">
        <v>18230407</v>
      </c>
      <c r="D13" s="60" t="s">
        <v>39</v>
      </c>
      <c r="E13" s="37" t="s">
        <v>1258</v>
      </c>
      <c r="F13" s="38" t="s">
        <v>667</v>
      </c>
      <c r="G13" s="38">
        <v>45</v>
      </c>
      <c r="H13" s="38">
        <v>0</v>
      </c>
      <c r="I13" s="39" t="s">
        <v>271</v>
      </c>
      <c r="J13" s="40">
        <v>30000</v>
      </c>
      <c r="K13" s="40">
        <v>13</v>
      </c>
      <c r="L13" s="40">
        <v>0</v>
      </c>
      <c r="M13" s="41">
        <v>5</v>
      </c>
      <c r="N13" s="41">
        <v>23.3</v>
      </c>
      <c r="O13" s="42">
        <v>390000</v>
      </c>
      <c r="P13" s="43">
        <v>150000</v>
      </c>
      <c r="Q13" s="43">
        <v>699000</v>
      </c>
      <c r="R13" s="44">
        <v>0</v>
      </c>
      <c r="S13" s="45"/>
      <c r="T13" s="38">
        <f t="shared" si="0"/>
        <v>45</v>
      </c>
      <c r="U13" s="46">
        <f t="shared" si="1"/>
        <v>1.5916772926619489</v>
      </c>
      <c r="V13" s="47">
        <f t="shared" si="2"/>
        <v>18.3</v>
      </c>
      <c r="W13" s="48">
        <f t="shared" si="3"/>
        <v>3.5370606503598863E-2</v>
      </c>
      <c r="X13" s="43">
        <f t="shared" si="4"/>
        <v>82998.028696336347</v>
      </c>
      <c r="Y13" s="43">
        <f t="shared" si="5"/>
        <v>549000</v>
      </c>
      <c r="Z13" s="43">
        <f t="shared" si="6"/>
        <v>468883.33420822688</v>
      </c>
      <c r="AA13" s="49">
        <f t="shared" si="7"/>
        <v>781998.02869633632</v>
      </c>
      <c r="AB13" s="50">
        <f t="shared" si="8"/>
        <v>439029.33914627985</v>
      </c>
      <c r="AC13" s="43">
        <f t="shared" si="8"/>
        <v>732207.89203776803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3.5408139669770344</v>
      </c>
      <c r="AG13" s="43">
        <f t="shared" si="10"/>
        <v>1380917.4471210435</v>
      </c>
      <c r="AH13" s="51">
        <f>HLOOKUP(I13,ElecAvoidedCostsWOCC!$A$5:$Q$50,T13+1,FALSE)</f>
        <v>3.5408139669770344</v>
      </c>
      <c r="AI13" s="43">
        <f t="shared" si="11"/>
        <v>0</v>
      </c>
      <c r="AJ13" s="43">
        <f t="shared" si="12"/>
        <v>1380917.4471210435</v>
      </c>
      <c r="AK13" s="43">
        <f>HLOOKUP(I13,ElecAvoidedCostsWOCC!$A$5:$Q$50,G13+1,FALSE)*J13*L13</f>
        <v>0</v>
      </c>
      <c r="AL13" s="43">
        <f t="shared" si="13"/>
        <v>1380917.4471210435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1380917.4471210435</v>
      </c>
      <c r="AN13" s="47">
        <f t="shared" si="14"/>
        <v>1519009.191833148</v>
      </c>
      <c r="AO13" s="46">
        <f t="shared" si="15"/>
        <v>3.1453876176164544</v>
      </c>
      <c r="AP13" s="46">
        <f t="shared" si="16"/>
        <v>2.0745599826924508</v>
      </c>
    </row>
    <row r="14" spans="1:42" ht="13.5" customHeight="1" x14ac:dyDescent="0.25">
      <c r="A14" s="54">
        <f>SUM(Y5:Y1000)</f>
        <v>1506956.0799999996</v>
      </c>
      <c r="B14" s="88" t="s">
        <v>38</v>
      </c>
      <c r="C14" s="60">
        <v>18230407</v>
      </c>
      <c r="D14" s="60" t="s">
        <v>39</v>
      </c>
      <c r="E14" s="37" t="s">
        <v>1259</v>
      </c>
      <c r="F14" s="38" t="s">
        <v>668</v>
      </c>
      <c r="G14" s="38">
        <v>45</v>
      </c>
      <c r="H14" s="38">
        <v>0</v>
      </c>
      <c r="I14" s="39" t="s">
        <v>271</v>
      </c>
      <c r="J14" s="40">
        <v>18600</v>
      </c>
      <c r="K14" s="40">
        <v>24</v>
      </c>
      <c r="L14" s="40">
        <v>0</v>
      </c>
      <c r="M14" s="41">
        <v>7</v>
      </c>
      <c r="N14" s="41">
        <v>23.3</v>
      </c>
      <c r="O14" s="42">
        <v>446400</v>
      </c>
      <c r="P14" s="43">
        <v>130200</v>
      </c>
      <c r="Q14" s="43">
        <v>433380</v>
      </c>
      <c r="R14" s="44">
        <v>0</v>
      </c>
      <c r="S14" s="45"/>
      <c r="T14" s="38">
        <f t="shared" si="0"/>
        <v>45</v>
      </c>
      <c r="U14" s="46">
        <f t="shared" si="1"/>
        <v>1.8218583165238307</v>
      </c>
      <c r="V14" s="47">
        <f t="shared" si="2"/>
        <v>16.3</v>
      </c>
      <c r="W14" s="48">
        <f t="shared" si="3"/>
        <v>4.0485740367196238E-2</v>
      </c>
      <c r="X14" s="43">
        <f t="shared" si="4"/>
        <v>95000.820538575761</v>
      </c>
      <c r="Y14" s="43">
        <f t="shared" si="5"/>
        <v>303180</v>
      </c>
      <c r="Z14" s="43">
        <f t="shared" si="6"/>
        <v>536691.07792449347</v>
      </c>
      <c r="AA14" s="49">
        <f t="shared" si="7"/>
        <v>528380.82053857576</v>
      </c>
      <c r="AB14" s="50">
        <f t="shared" si="8"/>
        <v>502519.73588435713</v>
      </c>
      <c r="AC14" s="43">
        <f t="shared" si="8"/>
        <v>494738.59600990237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1580619.3548585484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1580619.3548585484</v>
      </c>
      <c r="AK14" s="43">
        <f>HLOOKUP(I14,ElecAvoidedCostsWOCC!$A$5:$Q$50,G14+1,FALSE)*J14*L14</f>
        <v>0</v>
      </c>
      <c r="AL14" s="43">
        <f t="shared" si="13"/>
        <v>1580619.3548585484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1580619.3548585484</v>
      </c>
      <c r="AN14" s="47">
        <f t="shared" si="14"/>
        <v>1738681.2903444034</v>
      </c>
      <c r="AO14" s="46">
        <f t="shared" si="15"/>
        <v>3.1453876176164552</v>
      </c>
      <c r="AP14" s="46">
        <f t="shared" si="16"/>
        <v>3.5143433408409539</v>
      </c>
    </row>
    <row r="15" spans="1:42" ht="13.5" customHeight="1" x14ac:dyDescent="0.25">
      <c r="A15" s="56" t="s">
        <v>248</v>
      </c>
      <c r="B15" s="88" t="s">
        <v>38</v>
      </c>
      <c r="C15" s="60">
        <v>18230407</v>
      </c>
      <c r="D15" s="60" t="s">
        <v>39</v>
      </c>
      <c r="E15" s="37" t="s">
        <v>1260</v>
      </c>
      <c r="F15" s="38" t="s">
        <v>1261</v>
      </c>
      <c r="G15" s="38">
        <v>45</v>
      </c>
      <c r="H15" s="38">
        <v>0</v>
      </c>
      <c r="I15" s="39" t="s">
        <v>271</v>
      </c>
      <c r="J15" s="40">
        <v>10000</v>
      </c>
      <c r="K15" s="40">
        <v>15</v>
      </c>
      <c r="L15" s="40">
        <v>0</v>
      </c>
      <c r="M15" s="41">
        <v>7</v>
      </c>
      <c r="N15" s="41">
        <v>26.98</v>
      </c>
      <c r="O15" s="42">
        <v>150000</v>
      </c>
      <c r="P15" s="43">
        <v>70000</v>
      </c>
      <c r="Q15" s="43">
        <v>269800</v>
      </c>
      <c r="R15" s="44">
        <v>0</v>
      </c>
      <c r="S15" s="45"/>
      <c r="T15" s="38">
        <f t="shared" si="0"/>
        <v>45</v>
      </c>
      <c r="U15" s="46">
        <f t="shared" si="1"/>
        <v>0.61218357410074953</v>
      </c>
      <c r="V15" s="47">
        <f t="shared" si="2"/>
        <v>19.98</v>
      </c>
      <c r="W15" s="48">
        <f t="shared" si="3"/>
        <v>1.3604079424461102E-2</v>
      </c>
      <c r="X15" s="43">
        <f t="shared" si="4"/>
        <v>31922.318729360133</v>
      </c>
      <c r="Y15" s="43">
        <f t="shared" si="5"/>
        <v>199800</v>
      </c>
      <c r="Z15" s="43">
        <f t="shared" si="6"/>
        <v>180339.74392624109</v>
      </c>
      <c r="AA15" s="49">
        <f t="shared" si="7"/>
        <v>301722.31872936012</v>
      </c>
      <c r="AB15" s="50">
        <f t="shared" si="8"/>
        <v>168857.43813318454</v>
      </c>
      <c r="AC15" s="43">
        <f t="shared" si="8"/>
        <v>282511.5343907866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531122.09504655516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531122.09504655516</v>
      </c>
      <c r="AK15" s="43">
        <f>HLOOKUP(I15,ElecAvoidedCostsWOCC!$A$5:$Q$50,G15+1,FALSE)*J15*L15</f>
        <v>0</v>
      </c>
      <c r="AL15" s="43">
        <f t="shared" si="13"/>
        <v>531122.09504655516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531122.09504655516</v>
      </c>
      <c r="AN15" s="47">
        <f t="shared" si="14"/>
        <v>584234.30455121072</v>
      </c>
      <c r="AO15" s="46">
        <f t="shared" si="15"/>
        <v>3.1453876176164544</v>
      </c>
      <c r="AP15" s="46">
        <f t="shared" si="16"/>
        <v>2.0680015979208246</v>
      </c>
    </row>
    <row r="16" spans="1:42" ht="13.5" customHeight="1" x14ac:dyDescent="0.25">
      <c r="A16" s="53">
        <f>SUM(U5:U999)</f>
        <v>22.689755703746101</v>
      </c>
      <c r="B16" s="88" t="s">
        <v>38</v>
      </c>
      <c r="C16" s="60">
        <v>18230407</v>
      </c>
      <c r="D16" s="60" t="s">
        <v>39</v>
      </c>
      <c r="E16" s="37" t="s">
        <v>1262</v>
      </c>
      <c r="F16" s="38" t="s">
        <v>670</v>
      </c>
      <c r="G16" s="38">
        <v>45</v>
      </c>
      <c r="H16" s="38">
        <v>0</v>
      </c>
      <c r="I16" s="39" t="s">
        <v>271</v>
      </c>
      <c r="J16" s="40">
        <v>6000</v>
      </c>
      <c r="K16" s="40">
        <v>27</v>
      </c>
      <c r="L16" s="40">
        <v>0</v>
      </c>
      <c r="M16" s="41">
        <v>9</v>
      </c>
      <c r="N16" s="41">
        <v>26.98</v>
      </c>
      <c r="O16" s="42">
        <v>162000</v>
      </c>
      <c r="P16" s="43">
        <v>54000</v>
      </c>
      <c r="Q16" s="43">
        <v>161880</v>
      </c>
      <c r="R16" s="44">
        <v>0</v>
      </c>
      <c r="S16" s="45"/>
      <c r="T16" s="38">
        <f t="shared" si="0"/>
        <v>45</v>
      </c>
      <c r="U16" s="46">
        <f t="shared" si="1"/>
        <v>0.66115826002880951</v>
      </c>
      <c r="V16" s="47">
        <f t="shared" si="2"/>
        <v>17.98</v>
      </c>
      <c r="W16" s="48">
        <f t="shared" si="3"/>
        <v>1.469240577841799E-2</v>
      </c>
      <c r="X16" s="43">
        <f t="shared" si="4"/>
        <v>34476.104227708944</v>
      </c>
      <c r="Y16" s="43">
        <f t="shared" si="5"/>
        <v>107880</v>
      </c>
      <c r="Z16" s="43">
        <f t="shared" si="6"/>
        <v>194766.92344034041</v>
      </c>
      <c r="AA16" s="49">
        <f t="shared" si="7"/>
        <v>196356.10422770894</v>
      </c>
      <c r="AB16" s="50">
        <f t="shared" si="8"/>
        <v>182366.03318383932</v>
      </c>
      <c r="AC16" s="43">
        <f t="shared" si="8"/>
        <v>183854.03017575742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573611.86265027965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573611.86265027965</v>
      </c>
      <c r="AK16" s="43">
        <f>HLOOKUP(I16,ElecAvoidedCostsWOCC!$A$5:$Q$50,G16+1,FALSE)*J16*L16</f>
        <v>0</v>
      </c>
      <c r="AL16" s="43">
        <f t="shared" si="13"/>
        <v>573611.86265027965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573611.86265027954</v>
      </c>
      <c r="AN16" s="47">
        <f t="shared" si="14"/>
        <v>630973.0489153075</v>
      </c>
      <c r="AO16" s="46">
        <f t="shared" si="15"/>
        <v>3.1453876176164539</v>
      </c>
      <c r="AP16" s="46">
        <f t="shared" si="16"/>
        <v>3.4319239470144951</v>
      </c>
    </row>
    <row r="17" spans="1:42" ht="13.5" customHeight="1" x14ac:dyDescent="0.25">
      <c r="A17" s="57" t="s">
        <v>251</v>
      </c>
      <c r="B17" s="88" t="s">
        <v>38</v>
      </c>
      <c r="C17" s="60">
        <v>18230407</v>
      </c>
      <c r="D17" s="60" t="s">
        <v>39</v>
      </c>
      <c r="E17" s="37" t="s">
        <v>1263</v>
      </c>
      <c r="F17" s="38" t="s">
        <v>1264</v>
      </c>
      <c r="G17" s="38">
        <v>45</v>
      </c>
      <c r="H17" s="38">
        <v>0</v>
      </c>
      <c r="I17" s="39" t="s">
        <v>271</v>
      </c>
      <c r="J17" s="40">
        <v>10000</v>
      </c>
      <c r="K17" s="40">
        <v>3</v>
      </c>
      <c r="L17" s="40">
        <v>0</v>
      </c>
      <c r="M17" s="41">
        <v>3</v>
      </c>
      <c r="N17" s="41">
        <v>3.68</v>
      </c>
      <c r="O17" s="42">
        <v>30000</v>
      </c>
      <c r="P17" s="43">
        <v>30000</v>
      </c>
      <c r="Q17" s="43">
        <v>36800</v>
      </c>
      <c r="R17" s="44">
        <v>0</v>
      </c>
      <c r="S17" s="45"/>
      <c r="T17" s="38">
        <f t="shared" si="0"/>
        <v>45</v>
      </c>
      <c r="U17" s="46">
        <f t="shared" si="1"/>
        <v>0.12243671482014992</v>
      </c>
      <c r="V17" s="47">
        <f t="shared" si="2"/>
        <v>0.68000000000000016</v>
      </c>
      <c r="W17" s="48">
        <f t="shared" si="3"/>
        <v>2.7208158848922204E-3</v>
      </c>
      <c r="X17" s="43">
        <f t="shared" si="4"/>
        <v>6384.4637458720272</v>
      </c>
      <c r="Y17" s="43">
        <f t="shared" si="5"/>
        <v>6800</v>
      </c>
      <c r="Z17" s="43">
        <f t="shared" si="6"/>
        <v>36067.94878524822</v>
      </c>
      <c r="AA17" s="49">
        <f t="shared" si="7"/>
        <v>43184.463745872024</v>
      </c>
      <c r="AB17" s="50">
        <f t="shared" si="8"/>
        <v>33771.48762663691</v>
      </c>
      <c r="AC17" s="43">
        <f t="shared" si="8"/>
        <v>40434.891147820243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106224.41900931104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106224.41900931104</v>
      </c>
      <c r="AK17" s="43">
        <f>HLOOKUP(I17,ElecAvoidedCostsWOCC!$A$5:$Q$50,G17+1,FALSE)*J17*L17</f>
        <v>0</v>
      </c>
      <c r="AL17" s="43">
        <f t="shared" si="13"/>
        <v>106224.41900931104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106224.41900931104</v>
      </c>
      <c r="AN17" s="47">
        <f t="shared" si="14"/>
        <v>116846.86091024215</v>
      </c>
      <c r="AO17" s="46">
        <f t="shared" si="15"/>
        <v>3.1453876176164544</v>
      </c>
      <c r="AP17" s="46">
        <f t="shared" si="16"/>
        <v>2.8897533193072813</v>
      </c>
    </row>
    <row r="18" spans="1:42" ht="13.5" customHeight="1" x14ac:dyDescent="0.25">
      <c r="A18" s="58">
        <f>A6+A8</f>
        <v>13256298.960000001</v>
      </c>
      <c r="B18" s="88" t="s">
        <v>38</v>
      </c>
      <c r="C18" s="60">
        <v>18230407</v>
      </c>
      <c r="D18" s="60" t="s">
        <v>39</v>
      </c>
      <c r="E18" s="37" t="s">
        <v>857</v>
      </c>
      <c r="F18" s="38" t="s">
        <v>683</v>
      </c>
      <c r="G18" s="38">
        <v>45</v>
      </c>
      <c r="H18" s="38">
        <v>0</v>
      </c>
      <c r="I18" s="39" t="s">
        <v>271</v>
      </c>
      <c r="J18" s="40">
        <v>10000</v>
      </c>
      <c r="K18" s="40">
        <v>13</v>
      </c>
      <c r="L18" s="40">
        <v>0</v>
      </c>
      <c r="M18" s="41">
        <v>10</v>
      </c>
      <c r="N18" s="41">
        <v>23.3</v>
      </c>
      <c r="O18" s="42">
        <v>130000</v>
      </c>
      <c r="P18" s="43">
        <v>100000</v>
      </c>
      <c r="Q18" s="43">
        <v>233000</v>
      </c>
      <c r="R18" s="44">
        <v>0</v>
      </c>
      <c r="S18" s="45"/>
      <c r="T18" s="38">
        <f t="shared" si="0"/>
        <v>45</v>
      </c>
      <c r="U18" s="46">
        <f t="shared" si="1"/>
        <v>0.53055909755398301</v>
      </c>
      <c r="V18" s="47">
        <f t="shared" si="2"/>
        <v>13.3</v>
      </c>
      <c r="W18" s="48">
        <f t="shared" si="3"/>
        <v>1.1790202167866288E-2</v>
      </c>
      <c r="X18" s="43">
        <f t="shared" si="4"/>
        <v>27666.009565445449</v>
      </c>
      <c r="Y18" s="43">
        <f t="shared" si="5"/>
        <v>133000</v>
      </c>
      <c r="Z18" s="43">
        <f t="shared" si="6"/>
        <v>156294.44473607565</v>
      </c>
      <c r="AA18" s="49">
        <f t="shared" si="7"/>
        <v>260666.00956544545</v>
      </c>
      <c r="AB18" s="50">
        <f t="shared" si="8"/>
        <v>146343.11304875996</v>
      </c>
      <c r="AC18" s="43">
        <f t="shared" si="8"/>
        <v>244069.29734592268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3.5408139669770344</v>
      </c>
      <c r="AG18" s="43">
        <f t="shared" si="10"/>
        <v>460305.81570701452</v>
      </c>
      <c r="AH18" s="51">
        <f>HLOOKUP(I18,ElecAvoidedCostsWOCC!$A$5:$Q$50,T18+1,FALSE)</f>
        <v>3.5408139669770344</v>
      </c>
      <c r="AI18" s="43">
        <f t="shared" si="11"/>
        <v>0</v>
      </c>
      <c r="AJ18" s="43">
        <f t="shared" si="12"/>
        <v>460305.81570701452</v>
      </c>
      <c r="AK18" s="43">
        <f>HLOOKUP(I18,ElecAvoidedCostsWOCC!$A$5:$Q$50,G18+1,FALSE)*J18*L18</f>
        <v>0</v>
      </c>
      <c r="AL18" s="43">
        <f t="shared" si="13"/>
        <v>460305.81570701452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460305.81570701452</v>
      </c>
      <c r="AN18" s="47">
        <f t="shared" si="14"/>
        <v>506336.39727771602</v>
      </c>
      <c r="AO18" s="46">
        <f t="shared" si="15"/>
        <v>3.1453876176164544</v>
      </c>
      <c r="AP18" s="46">
        <f t="shared" si="16"/>
        <v>2.0745599826924508</v>
      </c>
    </row>
    <row r="19" spans="1:42" ht="13.5" customHeight="1" x14ac:dyDescent="0.25">
      <c r="A19" s="57" t="s">
        <v>221</v>
      </c>
      <c r="B19" s="88" t="s">
        <v>38</v>
      </c>
      <c r="C19" s="60">
        <v>18230407</v>
      </c>
      <c r="D19" s="60" t="s">
        <v>39</v>
      </c>
      <c r="E19" s="37" t="s">
        <v>857</v>
      </c>
      <c r="F19" s="38" t="s">
        <v>1265</v>
      </c>
      <c r="G19" s="38">
        <v>45</v>
      </c>
      <c r="H19" s="38">
        <v>0</v>
      </c>
      <c r="I19" s="39" t="s">
        <v>271</v>
      </c>
      <c r="J19" s="40">
        <v>40000</v>
      </c>
      <c r="K19" s="40">
        <v>24</v>
      </c>
      <c r="L19" s="40">
        <v>0</v>
      </c>
      <c r="M19" s="41">
        <v>14</v>
      </c>
      <c r="N19" s="41">
        <v>23.3</v>
      </c>
      <c r="O19" s="42">
        <v>960000</v>
      </c>
      <c r="P19" s="43">
        <v>560000</v>
      </c>
      <c r="Q19" s="43">
        <v>932000</v>
      </c>
      <c r="R19" s="44">
        <v>0</v>
      </c>
      <c r="S19" s="45"/>
      <c r="T19" s="38">
        <f t="shared" si="0"/>
        <v>45</v>
      </c>
      <c r="U19" s="46">
        <f t="shared" si="1"/>
        <v>3.9179748742447975</v>
      </c>
      <c r="V19" s="47">
        <f t="shared" si="2"/>
        <v>9.3000000000000007</v>
      </c>
      <c r="W19" s="48">
        <f t="shared" si="3"/>
        <v>8.7066108316551052E-2</v>
      </c>
      <c r="X19" s="43">
        <f t="shared" si="4"/>
        <v>204302.83986790487</v>
      </c>
      <c r="Y19" s="43">
        <f t="shared" si="5"/>
        <v>372000</v>
      </c>
      <c r="Z19" s="43">
        <f t="shared" si="6"/>
        <v>1154174.361127943</v>
      </c>
      <c r="AA19" s="49">
        <f t="shared" si="7"/>
        <v>1136302.8398679048</v>
      </c>
      <c r="AB19" s="50">
        <f t="shared" si="8"/>
        <v>1080687.6040523811</v>
      </c>
      <c r="AC19" s="43">
        <f t="shared" si="8"/>
        <v>1063953.9699137683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3399181.4082979532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3399181.4082979532</v>
      </c>
      <c r="AK19" s="43">
        <f>HLOOKUP(I19,ElecAvoidedCostsWOCC!$A$5:$Q$50,G19+1,FALSE)*J19*L19</f>
        <v>0</v>
      </c>
      <c r="AL19" s="43">
        <f t="shared" si="13"/>
        <v>3399181.4082979532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3399181.4082979532</v>
      </c>
      <c r="AN19" s="47">
        <f t="shared" si="14"/>
        <v>3739099.5491277487</v>
      </c>
      <c r="AO19" s="46">
        <f t="shared" si="15"/>
        <v>3.1453876176164544</v>
      </c>
      <c r="AP19" s="46">
        <f t="shared" si="16"/>
        <v>3.5143433408409543</v>
      </c>
    </row>
    <row r="20" spans="1:42" ht="13.5" customHeight="1" x14ac:dyDescent="0.25">
      <c r="A20" s="58">
        <f>A8+SUM(Q5:Q906)</f>
        <v>15150830.039999999</v>
      </c>
      <c r="B20" s="88" t="s">
        <v>38</v>
      </c>
      <c r="C20" s="60">
        <v>18230407</v>
      </c>
      <c r="D20" s="60" t="s">
        <v>39</v>
      </c>
      <c r="E20" s="37" t="s">
        <v>857</v>
      </c>
      <c r="F20" s="38" t="s">
        <v>1266</v>
      </c>
      <c r="G20" s="38">
        <v>45</v>
      </c>
      <c r="H20" s="38">
        <v>0</v>
      </c>
      <c r="I20" s="39" t="s">
        <v>271</v>
      </c>
      <c r="J20" s="40">
        <v>15000</v>
      </c>
      <c r="K20" s="40">
        <v>15</v>
      </c>
      <c r="L20" s="40">
        <v>0</v>
      </c>
      <c r="M20" s="41">
        <v>14</v>
      </c>
      <c r="N20" s="41">
        <v>26.98</v>
      </c>
      <c r="O20" s="42">
        <v>225000</v>
      </c>
      <c r="P20" s="43">
        <v>210000</v>
      </c>
      <c r="Q20" s="43">
        <v>404700</v>
      </c>
      <c r="R20" s="44">
        <v>0</v>
      </c>
      <c r="S20" s="45"/>
      <c r="T20" s="38">
        <f t="shared" si="0"/>
        <v>45</v>
      </c>
      <c r="U20" s="46">
        <f t="shared" si="1"/>
        <v>0.91827536115112429</v>
      </c>
      <c r="V20" s="47">
        <f t="shared" si="2"/>
        <v>12.98</v>
      </c>
      <c r="W20" s="48">
        <f t="shared" si="3"/>
        <v>2.0406119136691651E-2</v>
      </c>
      <c r="X20" s="43">
        <f t="shared" si="4"/>
        <v>47883.478094040198</v>
      </c>
      <c r="Y20" s="43">
        <f t="shared" si="5"/>
        <v>194700</v>
      </c>
      <c r="Z20" s="43">
        <f t="shared" si="6"/>
        <v>270509.61588936165</v>
      </c>
      <c r="AA20" s="49">
        <f t="shared" si="7"/>
        <v>452583.47809404018</v>
      </c>
      <c r="AB20" s="50">
        <f t="shared" si="8"/>
        <v>253286.15719977682</v>
      </c>
      <c r="AC20" s="43">
        <f t="shared" si="8"/>
        <v>423767.30158617994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796683.14256983274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796683.14256983274</v>
      </c>
      <c r="AK20" s="43">
        <f>HLOOKUP(I20,ElecAvoidedCostsWOCC!$A$5:$Q$50,G20+1,FALSE)*J20*L20</f>
        <v>0</v>
      </c>
      <c r="AL20" s="43">
        <f t="shared" si="13"/>
        <v>796683.14256983274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796683.14256983274</v>
      </c>
      <c r="AN20" s="47">
        <f t="shared" si="14"/>
        <v>876351.45682681608</v>
      </c>
      <c r="AO20" s="46">
        <f t="shared" si="15"/>
        <v>3.1453876176164544</v>
      </c>
      <c r="AP20" s="46">
        <f t="shared" si="16"/>
        <v>2.0680015979208246</v>
      </c>
    </row>
    <row r="21" spans="1:42" ht="13.5" customHeight="1" x14ac:dyDescent="0.25">
      <c r="A21" s="57" t="s">
        <v>235</v>
      </c>
      <c r="B21" s="88" t="s">
        <v>38</v>
      </c>
      <c r="C21" s="60">
        <v>18230407</v>
      </c>
      <c r="D21" s="60" t="s">
        <v>39</v>
      </c>
      <c r="E21" s="37" t="s">
        <v>857</v>
      </c>
      <c r="F21" s="38" t="s">
        <v>1267</v>
      </c>
      <c r="G21" s="38">
        <v>45</v>
      </c>
      <c r="H21" s="38">
        <v>0</v>
      </c>
      <c r="I21" s="39" t="s">
        <v>271</v>
      </c>
      <c r="J21" s="40">
        <v>6000</v>
      </c>
      <c r="K21" s="40">
        <v>27</v>
      </c>
      <c r="L21" s="40">
        <v>0</v>
      </c>
      <c r="M21" s="41">
        <v>18</v>
      </c>
      <c r="N21" s="41">
        <v>26.98</v>
      </c>
      <c r="O21" s="42">
        <v>162000</v>
      </c>
      <c r="P21" s="43">
        <v>108000</v>
      </c>
      <c r="Q21" s="43">
        <v>161880</v>
      </c>
      <c r="R21" s="44">
        <v>0</v>
      </c>
      <c r="S21" s="45"/>
      <c r="T21" s="38">
        <f t="shared" si="0"/>
        <v>45</v>
      </c>
      <c r="U21" s="46">
        <f t="shared" si="1"/>
        <v>0.66115826002880951</v>
      </c>
      <c r="V21" s="47">
        <f t="shared" si="2"/>
        <v>8.98</v>
      </c>
      <c r="W21" s="48">
        <f t="shared" si="3"/>
        <v>1.469240577841799E-2</v>
      </c>
      <c r="X21" s="43">
        <f t="shared" si="4"/>
        <v>34476.104227708944</v>
      </c>
      <c r="Y21" s="43">
        <f t="shared" si="5"/>
        <v>53880</v>
      </c>
      <c r="Z21" s="43">
        <f t="shared" si="6"/>
        <v>194766.92344034041</v>
      </c>
      <c r="AA21" s="49">
        <f t="shared" si="7"/>
        <v>196356.10422770894</v>
      </c>
      <c r="AB21" s="50">
        <f t="shared" ref="AB21:AC24" si="18">Z21/(1+ElecDiscountRate)^1</f>
        <v>182366.03318383932</v>
      </c>
      <c r="AC21" s="43">
        <f t="shared" si="18"/>
        <v>183854.03017575742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3.5408139669770344</v>
      </c>
      <c r="AG21" s="43">
        <f t="shared" si="10"/>
        <v>573611.86265027965</v>
      </c>
      <c r="AH21" s="51">
        <f>HLOOKUP(I21,ElecAvoidedCostsWOCC!$A$5:$Q$50,T21+1,FALSE)</f>
        <v>3.5408139669770344</v>
      </c>
      <c r="AI21" s="43">
        <f t="shared" si="11"/>
        <v>0</v>
      </c>
      <c r="AJ21" s="43">
        <f t="shared" si="12"/>
        <v>573611.86265027965</v>
      </c>
      <c r="AK21" s="43">
        <f>HLOOKUP(I21,ElecAvoidedCostsWOCC!$A$5:$Q$50,G21+1,FALSE)*J21*L21</f>
        <v>0</v>
      </c>
      <c r="AL21" s="43">
        <f t="shared" si="13"/>
        <v>573611.86265027965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573611.86265027954</v>
      </c>
      <c r="AN21" s="47">
        <f t="shared" si="14"/>
        <v>630973.0489153075</v>
      </c>
      <c r="AO21" s="46">
        <f t="shared" si="15"/>
        <v>3.1453876176164539</v>
      </c>
      <c r="AP21" s="46">
        <f t="shared" si="16"/>
        <v>3.4319239470144951</v>
      </c>
    </row>
    <row r="22" spans="1:42" ht="13.5" customHeight="1" x14ac:dyDescent="0.25">
      <c r="A22" s="59">
        <f>(SUM(AM5:AM1000)/(SUM(AB5:AB1000)))</f>
        <v>2.1917206339319795</v>
      </c>
      <c r="B22" s="88" t="s">
        <v>38</v>
      </c>
      <c r="C22" s="60">
        <v>18230407</v>
      </c>
      <c r="D22" s="60" t="s">
        <v>39</v>
      </c>
      <c r="E22" s="37" t="s">
        <v>857</v>
      </c>
      <c r="F22" s="38" t="s">
        <v>1268</v>
      </c>
      <c r="G22" s="38">
        <v>45</v>
      </c>
      <c r="H22" s="38">
        <v>0</v>
      </c>
      <c r="I22" s="39" t="s">
        <v>271</v>
      </c>
      <c r="J22" s="40">
        <v>500000</v>
      </c>
      <c r="K22" s="40">
        <v>3</v>
      </c>
      <c r="L22" s="40">
        <v>0</v>
      </c>
      <c r="M22" s="41">
        <v>6</v>
      </c>
      <c r="N22" s="41">
        <v>3.68</v>
      </c>
      <c r="O22" s="42">
        <v>1500000</v>
      </c>
      <c r="P22" s="43">
        <v>3000000</v>
      </c>
      <c r="Q22" s="43">
        <v>1840000</v>
      </c>
      <c r="R22" s="44">
        <v>0</v>
      </c>
      <c r="S22" s="45"/>
      <c r="T22" s="38">
        <f t="shared" si="0"/>
        <v>45</v>
      </c>
      <c r="U22" s="46">
        <f t="shared" si="1"/>
        <v>6.1218357410074962</v>
      </c>
      <c r="V22" s="47">
        <f t="shared" si="2"/>
        <v>-2.3199999999999998</v>
      </c>
      <c r="W22" s="48">
        <f t="shared" si="3"/>
        <v>0.13604079424461102</v>
      </c>
      <c r="X22" s="43">
        <f t="shared" si="4"/>
        <v>319223.18729360134</v>
      </c>
      <c r="Y22" s="43">
        <f t="shared" si="5"/>
        <v>-1160000</v>
      </c>
      <c r="Z22" s="43">
        <f t="shared" si="6"/>
        <v>1803397.4392624111</v>
      </c>
      <c r="AA22" s="49">
        <f t="shared" si="7"/>
        <v>2159223.1872936012</v>
      </c>
      <c r="AB22" s="50">
        <f t="shared" si="18"/>
        <v>1688574.3813318454</v>
      </c>
      <c r="AC22" s="43">
        <f t="shared" si="18"/>
        <v>2021744.5573910123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3.5408139669770344</v>
      </c>
      <c r="AG22" s="43">
        <f t="shared" si="10"/>
        <v>5311220.9504655516</v>
      </c>
      <c r="AH22" s="51">
        <f>HLOOKUP(I22,ElecAvoidedCostsWOCC!$A$5:$Q$50,T22+1,FALSE)</f>
        <v>3.5408139669770344</v>
      </c>
      <c r="AI22" s="43">
        <f t="shared" si="11"/>
        <v>0</v>
      </c>
      <c r="AJ22" s="43">
        <f t="shared" si="12"/>
        <v>5311220.9504655516</v>
      </c>
      <c r="AK22" s="43">
        <f>HLOOKUP(I22,ElecAvoidedCostsWOCC!$A$5:$Q$50,G22+1,FALSE)*J22*L22</f>
        <v>0</v>
      </c>
      <c r="AL22" s="43">
        <f t="shared" si="13"/>
        <v>5311220.9504655516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5311220.9504655525</v>
      </c>
      <c r="AN22" s="47">
        <f t="shared" si="14"/>
        <v>5842343.0455121081</v>
      </c>
      <c r="AO22" s="46">
        <f t="shared" si="15"/>
        <v>3.1453876176164548</v>
      </c>
      <c r="AP22" s="46">
        <f t="shared" si="16"/>
        <v>2.8897533193072813</v>
      </c>
    </row>
    <row r="23" spans="1:42" ht="13.5" customHeight="1" x14ac:dyDescent="0.25">
      <c r="A23" s="57" t="s">
        <v>236</v>
      </c>
      <c r="B23" s="88" t="s">
        <v>38</v>
      </c>
      <c r="C23" s="60">
        <v>18230407</v>
      </c>
      <c r="D23" s="60" t="s">
        <v>39</v>
      </c>
      <c r="E23" s="37" t="s">
        <v>1269</v>
      </c>
      <c r="F23" s="38" t="s">
        <v>662</v>
      </c>
      <c r="G23" s="38">
        <v>15</v>
      </c>
      <c r="H23" s="38">
        <v>0</v>
      </c>
      <c r="I23" s="39" t="s">
        <v>261</v>
      </c>
      <c r="J23" s="40">
        <v>20000</v>
      </c>
      <c r="K23" s="40">
        <v>0</v>
      </c>
      <c r="L23" s="40">
        <v>0</v>
      </c>
      <c r="M23" s="41">
        <v>0.19</v>
      </c>
      <c r="N23" s="41">
        <v>0.27</v>
      </c>
      <c r="O23" s="42">
        <v>20000</v>
      </c>
      <c r="P23" s="43">
        <v>3800</v>
      </c>
      <c r="Q23" s="43">
        <v>5400</v>
      </c>
      <c r="R23" s="44">
        <v>0</v>
      </c>
      <c r="S23" s="45"/>
      <c r="T23" s="38">
        <f t="shared" si="0"/>
        <v>15</v>
      </c>
      <c r="U23" s="46">
        <f t="shared" si="1"/>
        <v>2.7208158848922203E-2</v>
      </c>
      <c r="V23" s="47">
        <f t="shared" si="2"/>
        <v>8.0000000000000016E-2</v>
      </c>
      <c r="W23" s="48">
        <f t="shared" si="3"/>
        <v>1.8138772565948135E-3</v>
      </c>
      <c r="X23" s="43">
        <f t="shared" si="4"/>
        <v>4256.3091639146842</v>
      </c>
      <c r="Y23" s="43">
        <f t="shared" si="5"/>
        <v>1600</v>
      </c>
      <c r="Z23" s="43">
        <f t="shared" si="6"/>
        <v>24045.299190165482</v>
      </c>
      <c r="AA23" s="49">
        <f t="shared" si="7"/>
        <v>9656.3091639146842</v>
      </c>
      <c r="AB23" s="50">
        <f t="shared" si="18"/>
        <v>22514.325084424607</v>
      </c>
      <c r="AC23" s="43">
        <f t="shared" si="18"/>
        <v>9041.4879811935243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1.3606535375205495</v>
      </c>
      <c r="AG23" s="43">
        <f t="shared" si="10"/>
        <v>0</v>
      </c>
      <c r="AH23" s="51">
        <f>HLOOKUP(I23,ElecAvoidedCostsWOCC!$A$5:$Q$50,T23+1,FALSE)</f>
        <v>1.3606535375205495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>
        <f t="shared" si="16"/>
        <v>0</v>
      </c>
    </row>
    <row r="24" spans="1:42" ht="13.5" customHeight="1" x14ac:dyDescent="0.25">
      <c r="A24" s="59">
        <f>(SUM(AN5:AN1000)/SUM(AC5:AC1000))</f>
        <v>2.310609578475963</v>
      </c>
      <c r="B24" s="88" t="s">
        <v>38</v>
      </c>
      <c r="C24" s="60">
        <v>18230407</v>
      </c>
      <c r="D24" s="60" t="s">
        <v>39</v>
      </c>
      <c r="E24" s="37" t="s">
        <v>1256</v>
      </c>
      <c r="F24" s="38" t="s">
        <v>1270</v>
      </c>
      <c r="G24" s="38">
        <v>15</v>
      </c>
      <c r="H24" s="38">
        <v>0</v>
      </c>
      <c r="I24" s="39" t="s">
        <v>261</v>
      </c>
      <c r="J24" s="40">
        <v>199932</v>
      </c>
      <c r="K24" s="40">
        <v>0</v>
      </c>
      <c r="L24" s="40">
        <v>0</v>
      </c>
      <c r="M24" s="41">
        <v>0.3</v>
      </c>
      <c r="N24" s="41">
        <v>0.89</v>
      </c>
      <c r="O24" s="42">
        <v>199932</v>
      </c>
      <c r="P24" s="43">
        <v>59979.6</v>
      </c>
      <c r="Q24" s="43">
        <v>177939.48</v>
      </c>
      <c r="R24" s="44">
        <v>0</v>
      </c>
      <c r="S24" s="45"/>
      <c r="T24" s="38">
        <f t="shared" si="0"/>
        <v>15</v>
      </c>
      <c r="U24" s="46">
        <f t="shared" si="1"/>
        <v>0.27198908074913569</v>
      </c>
      <c r="V24" s="47">
        <f t="shared" si="2"/>
        <v>0.59000000000000008</v>
      </c>
      <c r="W24" s="48">
        <f t="shared" si="3"/>
        <v>1.8132605383275713E-2</v>
      </c>
      <c r="X24" s="43">
        <f t="shared" si="4"/>
        <v>42548.620187989538</v>
      </c>
      <c r="Y24" s="43">
        <f t="shared" si="5"/>
        <v>117959.88</v>
      </c>
      <c r="Z24" s="43">
        <f t="shared" si="6"/>
        <v>240371.23788440827</v>
      </c>
      <c r="AA24" s="49">
        <f t="shared" si="7"/>
        <v>220488.10018798953</v>
      </c>
      <c r="AB24" s="50">
        <f t="shared" si="18"/>
        <v>225066.70213895905</v>
      </c>
      <c r="AC24" s="43">
        <f t="shared" si="18"/>
        <v>206449.53201122614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1.3606535375205495</v>
      </c>
      <c r="AG24" s="43">
        <f t="shared" si="10"/>
        <v>0</v>
      </c>
      <c r="AH24" s="51">
        <f>HLOOKUP(I24,ElecAvoidedCostsWOCC!$A$5:$Q$50,T24+1,FALSE)</f>
        <v>1.3606535375205495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>
        <f t="shared" si="16"/>
        <v>0</v>
      </c>
    </row>
    <row r="25" spans="1:42" ht="13.5" customHeight="1" x14ac:dyDescent="0.25">
      <c r="B25" s="88" t="s">
        <v>38</v>
      </c>
      <c r="C25" s="60">
        <v>18230407</v>
      </c>
      <c r="D25" s="60" t="s">
        <v>39</v>
      </c>
      <c r="E25" s="37" t="s">
        <v>1271</v>
      </c>
      <c r="F25" s="38" t="s">
        <v>1272</v>
      </c>
      <c r="G25" s="38">
        <v>15</v>
      </c>
      <c r="H25" s="38">
        <v>0</v>
      </c>
      <c r="I25" s="39" t="s">
        <v>238</v>
      </c>
      <c r="J25" s="40">
        <v>2000</v>
      </c>
      <c r="K25" s="40">
        <v>59</v>
      </c>
      <c r="L25" s="40">
        <v>0</v>
      </c>
      <c r="M25" s="41">
        <v>70</v>
      </c>
      <c r="N25" s="41">
        <v>80</v>
      </c>
      <c r="O25" s="42">
        <v>118000</v>
      </c>
      <c r="P25" s="43">
        <v>140000</v>
      </c>
      <c r="Q25" s="43">
        <v>160000</v>
      </c>
      <c r="R25" s="44">
        <v>1.44</v>
      </c>
      <c r="S25" s="45"/>
      <c r="T25" s="38">
        <f t="shared" ref="T25:T80" si="19">G25+H25</f>
        <v>15</v>
      </c>
      <c r="U25" s="46">
        <f t="shared" ref="U25:U80" si="20">(O25/$A$10)*T25</f>
        <v>0.16052813720864098</v>
      </c>
      <c r="V25" s="47">
        <f t="shared" ref="V25:V80" si="21">N25-M25</f>
        <v>10</v>
      </c>
      <c r="W25" s="48">
        <f t="shared" ref="W25:W80" si="22">(O25/A$10)</f>
        <v>1.07018758139094E-2</v>
      </c>
      <c r="X25" s="43">
        <f t="shared" ref="X25:X80" si="23">W25*A$8</f>
        <v>25112.224067096638</v>
      </c>
      <c r="Y25" s="43">
        <f t="shared" ref="Y25:Y80" si="24">Q25-P25</f>
        <v>20000</v>
      </c>
      <c r="Z25" s="43">
        <f t="shared" ref="Z25:Z80" si="25">X25+(A$6*W25)</f>
        <v>141867.26522197633</v>
      </c>
      <c r="AA25" s="49">
        <f t="shared" ref="AA25:AA80" si="26">Q25+X25</f>
        <v>185112.22406709663</v>
      </c>
      <c r="AB25" s="50">
        <f t="shared" ref="AB25:AB80" si="27">Z25/(1+ElecDiscountRate)^1</f>
        <v>132834.51799810518</v>
      </c>
      <c r="AC25" s="43">
        <f t="shared" ref="AC25:AC80" si="28">AA25/(1+ElecDiscountRate)^1</f>
        <v>173326.05249728149</v>
      </c>
      <c r="AD25" s="43">
        <f t="shared" ref="AD25:AD80" si="29">-PV(ElecDiscountRate,T25,R25)*J25</f>
        <v>26565.389516414449</v>
      </c>
      <c r="AE25" s="43">
        <f t="shared" ref="AE25:AE80" si="30">-PV(ElecDiscountRate,T25,S25)*J25</f>
        <v>0</v>
      </c>
      <c r="AF25" s="51">
        <f>HLOOKUP(I25,ElecAvoidedCostsWOCC!$A$5:$Q$50,G25+1,FALSE)</f>
        <v>1.4225105163514826</v>
      </c>
      <c r="AG25" s="43">
        <f t="shared" ref="AG25:AG80" si="31">AF25*J25*K25</f>
        <v>167856.24092947497</v>
      </c>
      <c r="AH25" s="51">
        <f>HLOOKUP(I25,ElecAvoidedCostsWOCC!$A$5:$Q$50,T25+1,FALSE)</f>
        <v>1.4225105163514826</v>
      </c>
      <c r="AI25" s="43">
        <f t="shared" ref="AI25:AI80" si="32">AH25*J25*L25</f>
        <v>0</v>
      </c>
      <c r="AJ25" s="43">
        <f t="shared" ref="AJ25:AJ80" si="33">AG25+AI25</f>
        <v>167856.24092947497</v>
      </c>
      <c r="AK25" s="43">
        <f>HLOOKUP(I25,ElecAvoidedCostsWOCC!$A$5:$Q$50,G25+1,FALSE)*J25*L25</f>
        <v>0</v>
      </c>
      <c r="AL25" s="43">
        <f t="shared" ref="AL25:AL80" si="34">AG25+AI25-AK25</f>
        <v>167856.24092947497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167856.24092947494</v>
      </c>
      <c r="AN25" s="47">
        <f t="shared" ref="AN25:AN80" si="35">AM25*1.1+AD25+AE25</f>
        <v>211207.25453883689</v>
      </c>
      <c r="AO25" s="46">
        <f t="shared" ref="AO25:AO80" si="36">IFERROR(AM25/AB25,0)</f>
        <v>1.2636492642060804</v>
      </c>
      <c r="AP25" s="46">
        <f t="shared" ref="AP25:AP80" si="37">AN25/AC25</f>
        <v>1.2185545767399828</v>
      </c>
    </row>
    <row r="26" spans="1:42" ht="13.5" customHeight="1" x14ac:dyDescent="0.25">
      <c r="B26" s="88" t="s">
        <v>38</v>
      </c>
      <c r="C26" s="60">
        <v>18230407</v>
      </c>
      <c r="D26" s="60" t="s">
        <v>39</v>
      </c>
      <c r="E26" s="37" t="s">
        <v>1273</v>
      </c>
      <c r="F26" s="38" t="s">
        <v>1274</v>
      </c>
      <c r="G26" s="38">
        <v>15</v>
      </c>
      <c r="H26" s="38">
        <v>0</v>
      </c>
      <c r="I26" s="39" t="s">
        <v>238</v>
      </c>
      <c r="J26" s="40">
        <v>2000</v>
      </c>
      <c r="K26" s="40">
        <v>91</v>
      </c>
      <c r="L26" s="40">
        <v>0</v>
      </c>
      <c r="M26" s="41">
        <v>70</v>
      </c>
      <c r="N26" s="41">
        <v>80</v>
      </c>
      <c r="O26" s="42">
        <v>182000</v>
      </c>
      <c r="P26" s="43">
        <v>140000</v>
      </c>
      <c r="Q26" s="43">
        <v>160000</v>
      </c>
      <c r="R26" s="44">
        <v>3.25</v>
      </c>
      <c r="S26" s="45"/>
      <c r="T26" s="38">
        <f t="shared" si="19"/>
        <v>15</v>
      </c>
      <c r="U26" s="46">
        <f t="shared" si="20"/>
        <v>0.24759424552519202</v>
      </c>
      <c r="V26" s="47">
        <f t="shared" si="21"/>
        <v>10</v>
      </c>
      <c r="W26" s="48">
        <f t="shared" si="22"/>
        <v>1.6506283035012802E-2</v>
      </c>
      <c r="X26" s="43">
        <f t="shared" si="23"/>
        <v>38732.413391623624</v>
      </c>
      <c r="Y26" s="43">
        <f t="shared" si="24"/>
        <v>20000</v>
      </c>
      <c r="Z26" s="43">
        <f t="shared" si="25"/>
        <v>218812.22263050586</v>
      </c>
      <c r="AA26" s="49">
        <f t="shared" si="26"/>
        <v>198732.41339162362</v>
      </c>
      <c r="AB26" s="50">
        <f t="shared" si="27"/>
        <v>204880.3582682639</v>
      </c>
      <c r="AC26" s="43">
        <f t="shared" si="28"/>
        <v>186079.03875620189</v>
      </c>
      <c r="AD26" s="43">
        <f t="shared" si="29"/>
        <v>59956.608283574285</v>
      </c>
      <c r="AE26" s="43">
        <f t="shared" si="30"/>
        <v>0</v>
      </c>
      <c r="AF26" s="51">
        <f>HLOOKUP(I26,ElecAvoidedCostsWOCC!$A$5:$Q$50,G26+1,FALSE)</f>
        <v>1.4225105163514826</v>
      </c>
      <c r="AG26" s="43">
        <f t="shared" si="31"/>
        <v>258896.91397596986</v>
      </c>
      <c r="AH26" s="51">
        <f>HLOOKUP(I26,ElecAvoidedCostsWOCC!$A$5:$Q$50,T26+1,FALSE)</f>
        <v>1.4225105163514826</v>
      </c>
      <c r="AI26" s="43">
        <f t="shared" si="32"/>
        <v>0</v>
      </c>
      <c r="AJ26" s="43">
        <f t="shared" si="33"/>
        <v>258896.91397596986</v>
      </c>
      <c r="AK26" s="43">
        <f>HLOOKUP(I26,ElecAvoidedCostsWOCC!$A$5:$Q$50,G26+1,FALSE)*J26*L26</f>
        <v>0</v>
      </c>
      <c r="AL26" s="43">
        <f t="shared" si="34"/>
        <v>258896.91397596986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258896.91397596983</v>
      </c>
      <c r="AN26" s="47">
        <f t="shared" si="35"/>
        <v>344743.21365714114</v>
      </c>
      <c r="AO26" s="46">
        <f t="shared" si="36"/>
        <v>1.2636492642060806</v>
      </c>
      <c r="AP26" s="46">
        <f t="shared" si="37"/>
        <v>1.852670864819002</v>
      </c>
    </row>
    <row r="27" spans="1:42" ht="13.5" customHeight="1" x14ac:dyDescent="0.25">
      <c r="B27" s="88" t="s">
        <v>38</v>
      </c>
      <c r="C27" s="60">
        <v>18230407</v>
      </c>
      <c r="D27" s="60" t="s">
        <v>39</v>
      </c>
      <c r="E27" s="37" t="s">
        <v>1275</v>
      </c>
      <c r="F27" s="38" t="s">
        <v>1276</v>
      </c>
      <c r="G27" s="38">
        <v>12</v>
      </c>
      <c r="H27" s="38">
        <v>0</v>
      </c>
      <c r="I27" s="39" t="s">
        <v>238</v>
      </c>
      <c r="J27" s="40">
        <v>20</v>
      </c>
      <c r="K27" s="40">
        <v>49</v>
      </c>
      <c r="L27" s="40">
        <v>0</v>
      </c>
      <c r="M27" s="41">
        <v>30</v>
      </c>
      <c r="N27" s="41">
        <v>30</v>
      </c>
      <c r="O27" s="42">
        <v>980</v>
      </c>
      <c r="P27" s="43">
        <v>600</v>
      </c>
      <c r="Q27" s="43">
        <v>600</v>
      </c>
      <c r="R27" s="44">
        <v>1.62</v>
      </c>
      <c r="S27" s="45"/>
      <c r="T27" s="38">
        <f t="shared" si="19"/>
        <v>12</v>
      </c>
      <c r="U27" s="46">
        <f t="shared" si="20"/>
        <v>1.0665598268777504E-3</v>
      </c>
      <c r="V27" s="47">
        <f t="shared" si="21"/>
        <v>0</v>
      </c>
      <c r="W27" s="48">
        <f t="shared" si="22"/>
        <v>8.8879985573145869E-5</v>
      </c>
      <c r="X27" s="43">
        <f t="shared" si="23"/>
        <v>208.55914903181954</v>
      </c>
      <c r="Y27" s="43">
        <f t="shared" si="24"/>
        <v>0</v>
      </c>
      <c r="Z27" s="43">
        <f t="shared" si="25"/>
        <v>1178.2196603181087</v>
      </c>
      <c r="AA27" s="49">
        <f t="shared" si="26"/>
        <v>808.55914903181952</v>
      </c>
      <c r="AB27" s="50">
        <f t="shared" si="27"/>
        <v>1103.2019291368058</v>
      </c>
      <c r="AC27" s="43">
        <f t="shared" si="28"/>
        <v>757.07785489870741</v>
      </c>
      <c r="AD27" s="43">
        <f t="shared" si="29"/>
        <v>260.10854943402518</v>
      </c>
      <c r="AE27" s="43">
        <f t="shared" si="30"/>
        <v>0</v>
      </c>
      <c r="AF27" s="51">
        <f>HLOOKUP(I27,ElecAvoidedCostsWOCC!$A$5:$Q$50,G27+1,FALSE)</f>
        <v>1.2241199295840157</v>
      </c>
      <c r="AG27" s="43">
        <f t="shared" si="31"/>
        <v>1199.6375309923355</v>
      </c>
      <c r="AH27" s="51">
        <f>HLOOKUP(I27,ElecAvoidedCostsWOCC!$A$5:$Q$50,T27+1,FALSE)</f>
        <v>1.2241199295840157</v>
      </c>
      <c r="AI27" s="43">
        <f t="shared" si="32"/>
        <v>0</v>
      </c>
      <c r="AJ27" s="43">
        <f t="shared" si="33"/>
        <v>1199.6375309923355</v>
      </c>
      <c r="AK27" s="43">
        <f>HLOOKUP(I27,ElecAvoidedCostsWOCC!$A$5:$Q$50,G27+1,FALSE)*J27*L27</f>
        <v>0</v>
      </c>
      <c r="AL27" s="43">
        <f t="shared" si="34"/>
        <v>1199.6375309923355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1199.6375309923355</v>
      </c>
      <c r="AN27" s="47">
        <f t="shared" si="35"/>
        <v>1579.7098335255944</v>
      </c>
      <c r="AO27" s="46">
        <f t="shared" si="36"/>
        <v>1.0874142795698203</v>
      </c>
      <c r="AP27" s="46">
        <f t="shared" si="37"/>
        <v>2.0865883519165283</v>
      </c>
    </row>
    <row r="28" spans="1:42" ht="13.5" customHeight="1" x14ac:dyDescent="0.25">
      <c r="B28" s="88" t="s">
        <v>38</v>
      </c>
      <c r="C28" s="60">
        <v>18230407</v>
      </c>
      <c r="D28" s="60" t="s">
        <v>39</v>
      </c>
      <c r="E28" s="37" t="s">
        <v>1277</v>
      </c>
      <c r="F28" s="38" t="s">
        <v>1278</v>
      </c>
      <c r="G28" s="38">
        <v>12</v>
      </c>
      <c r="H28" s="38">
        <v>0</v>
      </c>
      <c r="I28" s="39" t="s">
        <v>238</v>
      </c>
      <c r="J28" s="40">
        <v>800</v>
      </c>
      <c r="K28" s="40">
        <v>36</v>
      </c>
      <c r="L28" s="40">
        <v>0</v>
      </c>
      <c r="M28" s="41">
        <v>30</v>
      </c>
      <c r="N28" s="41">
        <v>30</v>
      </c>
      <c r="O28" s="42">
        <v>28800</v>
      </c>
      <c r="P28" s="43">
        <v>24000</v>
      </c>
      <c r="Q28" s="43">
        <v>24000</v>
      </c>
      <c r="R28" s="44">
        <v>0.72</v>
      </c>
      <c r="S28" s="45"/>
      <c r="T28" s="38">
        <f t="shared" si="19"/>
        <v>12</v>
      </c>
      <c r="U28" s="46">
        <f t="shared" si="20"/>
        <v>3.134379899395838E-2</v>
      </c>
      <c r="V28" s="47">
        <f t="shared" si="21"/>
        <v>0</v>
      </c>
      <c r="W28" s="48">
        <f t="shared" si="22"/>
        <v>2.6119832494965315E-3</v>
      </c>
      <c r="X28" s="43">
        <f t="shared" si="23"/>
        <v>6129.0851960371456</v>
      </c>
      <c r="Y28" s="43">
        <f t="shared" si="24"/>
        <v>0</v>
      </c>
      <c r="Z28" s="43">
        <f t="shared" si="25"/>
        <v>34625.230833838294</v>
      </c>
      <c r="AA28" s="49">
        <f t="shared" si="26"/>
        <v>30129.085196037144</v>
      </c>
      <c r="AB28" s="50">
        <f t="shared" si="27"/>
        <v>32420.628121571433</v>
      </c>
      <c r="AC28" s="43">
        <f t="shared" si="28"/>
        <v>28210.753928873728</v>
      </c>
      <c r="AD28" s="43">
        <f t="shared" si="29"/>
        <v>4624.1519899382247</v>
      </c>
      <c r="AE28" s="43">
        <f t="shared" si="30"/>
        <v>0</v>
      </c>
      <c r="AF28" s="51">
        <f>HLOOKUP(I28,ElecAvoidedCostsWOCC!$A$5:$Q$50,G28+1,FALSE)</f>
        <v>1.2241199295840157</v>
      </c>
      <c r="AG28" s="43">
        <f t="shared" si="31"/>
        <v>35254.653972019652</v>
      </c>
      <c r="AH28" s="51">
        <f>HLOOKUP(I28,ElecAvoidedCostsWOCC!$A$5:$Q$50,T28+1,FALSE)</f>
        <v>1.2241199295840157</v>
      </c>
      <c r="AI28" s="43">
        <f t="shared" si="32"/>
        <v>0</v>
      </c>
      <c r="AJ28" s="43">
        <f t="shared" si="33"/>
        <v>35254.653972019652</v>
      </c>
      <c r="AK28" s="43">
        <f>HLOOKUP(I28,ElecAvoidedCostsWOCC!$A$5:$Q$50,G28+1,FALSE)*J28*L28</f>
        <v>0</v>
      </c>
      <c r="AL28" s="43">
        <f t="shared" si="34"/>
        <v>35254.653972019652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35254.653972019652</v>
      </c>
      <c r="AN28" s="47">
        <f t="shared" si="35"/>
        <v>43404.271359159844</v>
      </c>
      <c r="AO28" s="46">
        <f t="shared" si="36"/>
        <v>1.0874142795698201</v>
      </c>
      <c r="AP28" s="46">
        <f t="shared" si="37"/>
        <v>1.538571832167007</v>
      </c>
    </row>
    <row r="29" spans="1:42" x14ac:dyDescent="0.25">
      <c r="B29" s="88" t="s">
        <v>38</v>
      </c>
      <c r="C29" s="60">
        <v>18230407</v>
      </c>
      <c r="D29" s="60" t="s">
        <v>39</v>
      </c>
      <c r="E29" s="37" t="s">
        <v>1279</v>
      </c>
      <c r="F29" s="38" t="s">
        <v>1280</v>
      </c>
      <c r="G29" s="38">
        <v>12</v>
      </c>
      <c r="H29" s="38">
        <v>0</v>
      </c>
      <c r="I29" s="39" t="s">
        <v>238</v>
      </c>
      <c r="J29" s="40">
        <v>400</v>
      </c>
      <c r="K29" s="40">
        <v>99</v>
      </c>
      <c r="L29" s="40">
        <v>0</v>
      </c>
      <c r="M29" s="41">
        <v>60</v>
      </c>
      <c r="N29" s="41">
        <v>60</v>
      </c>
      <c r="O29" s="42">
        <v>39600</v>
      </c>
      <c r="P29" s="43">
        <v>24000</v>
      </c>
      <c r="Q29" s="43">
        <v>24000</v>
      </c>
      <c r="R29" s="44">
        <v>3.24</v>
      </c>
      <c r="S29" s="45"/>
      <c r="T29" s="38">
        <f t="shared" si="19"/>
        <v>12</v>
      </c>
      <c r="U29" s="46">
        <f t="shared" si="20"/>
        <v>4.3097723616692771E-2</v>
      </c>
      <c r="V29" s="47">
        <f t="shared" si="21"/>
        <v>0</v>
      </c>
      <c r="W29" s="48">
        <f t="shared" si="22"/>
        <v>3.5914769680577309E-3</v>
      </c>
      <c r="X29" s="43">
        <f t="shared" si="23"/>
        <v>8427.4921445510754</v>
      </c>
      <c r="Y29" s="43">
        <f t="shared" si="24"/>
        <v>0</v>
      </c>
      <c r="Z29" s="43">
        <f t="shared" si="25"/>
        <v>47609.692396527658</v>
      </c>
      <c r="AA29" s="49">
        <f t="shared" si="26"/>
        <v>32427.492144551077</v>
      </c>
      <c r="AB29" s="50">
        <f t="shared" si="27"/>
        <v>44578.363667160724</v>
      </c>
      <c r="AC29" s="43">
        <f t="shared" si="28"/>
        <v>30362.820360066551</v>
      </c>
      <c r="AD29" s="43">
        <f t="shared" si="29"/>
        <v>10404.341977361008</v>
      </c>
      <c r="AE29" s="43">
        <f t="shared" si="30"/>
        <v>0</v>
      </c>
      <c r="AF29" s="51">
        <f>HLOOKUP(I29,ElecAvoidedCostsWOCC!$A$5:$Q$50,G29+1,FALSE)</f>
        <v>1.2241199295840157</v>
      </c>
      <c r="AG29" s="43">
        <f t="shared" si="31"/>
        <v>48475.149211527023</v>
      </c>
      <c r="AH29" s="51">
        <f>HLOOKUP(I29,ElecAvoidedCostsWOCC!$A$5:$Q$50,T29+1,FALSE)</f>
        <v>1.2241199295840157</v>
      </c>
      <c r="AI29" s="43">
        <f t="shared" si="32"/>
        <v>0</v>
      </c>
      <c r="AJ29" s="43">
        <f t="shared" si="33"/>
        <v>48475.149211527023</v>
      </c>
      <c r="AK29" s="43">
        <f>HLOOKUP(I29,ElecAvoidedCostsWOCC!$A$5:$Q$50,G29+1,FALSE)*J29*L29</f>
        <v>0</v>
      </c>
      <c r="AL29" s="43">
        <f t="shared" si="34"/>
        <v>48475.149211527023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48475.149211527023</v>
      </c>
      <c r="AN29" s="47">
        <f t="shared" si="35"/>
        <v>63727.00611004074</v>
      </c>
      <c r="AO29" s="46">
        <f t="shared" si="36"/>
        <v>1.0874142795698201</v>
      </c>
      <c r="AP29" s="46">
        <f t="shared" si="37"/>
        <v>2.0988500196725814</v>
      </c>
    </row>
    <row r="30" spans="1:42" x14ac:dyDescent="0.25">
      <c r="B30" s="88" t="s">
        <v>38</v>
      </c>
      <c r="C30" s="60">
        <v>18230407</v>
      </c>
      <c r="D30" s="60" t="s">
        <v>39</v>
      </c>
      <c r="E30" s="37" t="s">
        <v>1281</v>
      </c>
      <c r="F30" s="38" t="s">
        <v>1282</v>
      </c>
      <c r="G30" s="38">
        <v>12</v>
      </c>
      <c r="H30" s="38">
        <v>0</v>
      </c>
      <c r="I30" s="39" t="s">
        <v>238</v>
      </c>
      <c r="J30" s="40">
        <v>200</v>
      </c>
      <c r="K30" s="40">
        <v>67</v>
      </c>
      <c r="L30" s="40">
        <v>0</v>
      </c>
      <c r="M30" s="41">
        <v>60</v>
      </c>
      <c r="N30" s="41">
        <v>60</v>
      </c>
      <c r="O30" s="42">
        <v>13400</v>
      </c>
      <c r="P30" s="43">
        <v>12000</v>
      </c>
      <c r="Q30" s="43">
        <v>12000</v>
      </c>
      <c r="R30" s="44">
        <v>1.44</v>
      </c>
      <c r="S30" s="45"/>
      <c r="T30" s="38">
        <f t="shared" si="19"/>
        <v>12</v>
      </c>
      <c r="U30" s="46">
        <f t="shared" si="20"/>
        <v>1.4583573143022301E-2</v>
      </c>
      <c r="V30" s="47">
        <f t="shared" si="21"/>
        <v>0</v>
      </c>
      <c r="W30" s="48">
        <f t="shared" si="22"/>
        <v>1.2152977619185252E-3</v>
      </c>
      <c r="X30" s="43">
        <f t="shared" si="23"/>
        <v>2851.727139822839</v>
      </c>
      <c r="Y30" s="43">
        <f t="shared" si="24"/>
        <v>0</v>
      </c>
      <c r="Z30" s="43">
        <f t="shared" si="25"/>
        <v>16110.350457410874</v>
      </c>
      <c r="AA30" s="49">
        <f t="shared" si="26"/>
        <v>14851.727139822839</v>
      </c>
      <c r="AB30" s="50">
        <f t="shared" si="27"/>
        <v>15084.597806564489</v>
      </c>
      <c r="AC30" s="43">
        <f t="shared" si="28"/>
        <v>13906.111554141235</v>
      </c>
      <c r="AD30" s="43">
        <f t="shared" si="29"/>
        <v>2312.0759949691123</v>
      </c>
      <c r="AE30" s="43">
        <f t="shared" si="30"/>
        <v>0</v>
      </c>
      <c r="AF30" s="51">
        <f>HLOOKUP(I30,ElecAvoidedCostsWOCC!$A$5:$Q$50,G30+1,FALSE)</f>
        <v>1.2241199295840157</v>
      </c>
      <c r="AG30" s="43">
        <f t="shared" si="31"/>
        <v>16403.20705642581</v>
      </c>
      <c r="AH30" s="51">
        <f>HLOOKUP(I30,ElecAvoidedCostsWOCC!$A$5:$Q$50,T30+1,FALSE)</f>
        <v>1.2241199295840157</v>
      </c>
      <c r="AI30" s="43">
        <f t="shared" si="32"/>
        <v>0</v>
      </c>
      <c r="AJ30" s="43">
        <f t="shared" si="33"/>
        <v>16403.20705642581</v>
      </c>
      <c r="AK30" s="43">
        <f>HLOOKUP(I30,ElecAvoidedCostsWOCC!$A$5:$Q$50,G30+1,FALSE)*J30*L30</f>
        <v>0</v>
      </c>
      <c r="AL30" s="43">
        <f t="shared" si="34"/>
        <v>16403.20705642581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16403.20705642581</v>
      </c>
      <c r="AN30" s="47">
        <f t="shared" si="35"/>
        <v>20355.603757037505</v>
      </c>
      <c r="AO30" s="46">
        <f t="shared" si="36"/>
        <v>1.0874142795698201</v>
      </c>
      <c r="AP30" s="46">
        <f t="shared" si="37"/>
        <v>1.4637883262899336</v>
      </c>
    </row>
    <row r="31" spans="1:42" x14ac:dyDescent="0.25">
      <c r="B31" s="88" t="s">
        <v>38</v>
      </c>
      <c r="C31" s="60">
        <v>18230407</v>
      </c>
      <c r="D31" s="60" t="s">
        <v>39</v>
      </c>
      <c r="E31" s="37" t="s">
        <v>1283</v>
      </c>
      <c r="F31" s="38" t="s">
        <v>1284</v>
      </c>
      <c r="G31" s="38">
        <v>12</v>
      </c>
      <c r="H31" s="38">
        <v>0</v>
      </c>
      <c r="I31" s="39" t="s">
        <v>238</v>
      </c>
      <c r="J31" s="40">
        <v>20</v>
      </c>
      <c r="K31" s="40">
        <v>147</v>
      </c>
      <c r="L31" s="40">
        <v>0</v>
      </c>
      <c r="M31" s="41">
        <v>90</v>
      </c>
      <c r="N31" s="41">
        <v>90</v>
      </c>
      <c r="O31" s="42">
        <v>2940</v>
      </c>
      <c r="P31" s="43">
        <v>1800</v>
      </c>
      <c r="Q31" s="43">
        <v>1800</v>
      </c>
      <c r="R31" s="44">
        <v>4.8600000000000003</v>
      </c>
      <c r="S31" s="45"/>
      <c r="T31" s="38">
        <f t="shared" si="19"/>
        <v>12</v>
      </c>
      <c r="U31" s="46">
        <f t="shared" si="20"/>
        <v>3.1996794806332515E-3</v>
      </c>
      <c r="V31" s="47">
        <f t="shared" si="21"/>
        <v>0</v>
      </c>
      <c r="W31" s="48">
        <f t="shared" si="22"/>
        <v>2.6663995671943761E-4</v>
      </c>
      <c r="X31" s="43">
        <f t="shared" si="23"/>
        <v>625.67744709545866</v>
      </c>
      <c r="Y31" s="43">
        <f t="shared" si="24"/>
        <v>0</v>
      </c>
      <c r="Z31" s="43">
        <f t="shared" si="25"/>
        <v>3534.6589809543261</v>
      </c>
      <c r="AA31" s="49">
        <f t="shared" si="26"/>
        <v>2425.6774470954588</v>
      </c>
      <c r="AB31" s="50">
        <f t="shared" si="27"/>
        <v>3309.6057874104176</v>
      </c>
      <c r="AC31" s="43">
        <f t="shared" si="28"/>
        <v>2271.2335646961224</v>
      </c>
      <c r="AD31" s="43">
        <f t="shared" si="29"/>
        <v>780.32564830207548</v>
      </c>
      <c r="AE31" s="43">
        <f t="shared" si="30"/>
        <v>0</v>
      </c>
      <c r="AF31" s="51">
        <f>HLOOKUP(I31,ElecAvoidedCostsWOCC!$A$5:$Q$50,G31+1,FALSE)</f>
        <v>1.2241199295840157</v>
      </c>
      <c r="AG31" s="43">
        <f t="shared" si="31"/>
        <v>3598.9125929770062</v>
      </c>
      <c r="AH31" s="51">
        <f>HLOOKUP(I31,ElecAvoidedCostsWOCC!$A$5:$Q$50,T31+1,FALSE)</f>
        <v>1.2241199295840157</v>
      </c>
      <c r="AI31" s="43">
        <f t="shared" si="32"/>
        <v>0</v>
      </c>
      <c r="AJ31" s="43">
        <f t="shared" si="33"/>
        <v>3598.9125929770062</v>
      </c>
      <c r="AK31" s="43">
        <f>HLOOKUP(I31,ElecAvoidedCostsWOCC!$A$5:$Q$50,G31+1,FALSE)*J31*L31</f>
        <v>0</v>
      </c>
      <c r="AL31" s="43">
        <f t="shared" si="34"/>
        <v>3598.9125929770062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3598.9125929770062</v>
      </c>
      <c r="AN31" s="47">
        <f t="shared" si="35"/>
        <v>4739.1295005767824</v>
      </c>
      <c r="AO31" s="46">
        <f t="shared" si="36"/>
        <v>1.0874142795698201</v>
      </c>
      <c r="AP31" s="46">
        <f t="shared" si="37"/>
        <v>2.0865883519165278</v>
      </c>
    </row>
    <row r="32" spans="1:42" x14ac:dyDescent="0.25">
      <c r="B32" s="88" t="s">
        <v>38</v>
      </c>
      <c r="C32" s="60">
        <v>18230407</v>
      </c>
      <c r="D32" s="60" t="s">
        <v>39</v>
      </c>
      <c r="E32" s="37" t="s">
        <v>1285</v>
      </c>
      <c r="F32" s="38" t="s">
        <v>1286</v>
      </c>
      <c r="G32" s="38">
        <v>12</v>
      </c>
      <c r="H32" s="38">
        <v>0</v>
      </c>
      <c r="I32" s="39" t="s">
        <v>238</v>
      </c>
      <c r="J32" s="40">
        <v>20</v>
      </c>
      <c r="K32" s="40">
        <v>102</v>
      </c>
      <c r="L32" s="40">
        <v>0</v>
      </c>
      <c r="M32" s="41">
        <v>90</v>
      </c>
      <c r="N32" s="41">
        <v>90</v>
      </c>
      <c r="O32" s="42">
        <v>2040</v>
      </c>
      <c r="P32" s="43">
        <v>1800</v>
      </c>
      <c r="Q32" s="43">
        <v>1800</v>
      </c>
      <c r="R32" s="44">
        <v>2.16</v>
      </c>
      <c r="S32" s="45"/>
      <c r="T32" s="38">
        <f t="shared" si="19"/>
        <v>12</v>
      </c>
      <c r="U32" s="46">
        <f t="shared" si="20"/>
        <v>2.2201857620720517E-3</v>
      </c>
      <c r="V32" s="47">
        <f t="shared" si="21"/>
        <v>0</v>
      </c>
      <c r="W32" s="48">
        <f t="shared" si="22"/>
        <v>1.8501548017267098E-4</v>
      </c>
      <c r="X32" s="43">
        <f t="shared" si="23"/>
        <v>434.1435347192978</v>
      </c>
      <c r="Y32" s="43">
        <f t="shared" si="24"/>
        <v>0</v>
      </c>
      <c r="Z32" s="43">
        <f t="shared" si="25"/>
        <v>2452.6205173968792</v>
      </c>
      <c r="AA32" s="49">
        <f t="shared" si="26"/>
        <v>2234.1435347192978</v>
      </c>
      <c r="AB32" s="50">
        <f t="shared" si="27"/>
        <v>2296.4611586113101</v>
      </c>
      <c r="AC32" s="43">
        <f t="shared" si="28"/>
        <v>2091.8946954300541</v>
      </c>
      <c r="AD32" s="43">
        <f t="shared" si="29"/>
        <v>346.81139924536689</v>
      </c>
      <c r="AE32" s="43">
        <f t="shared" si="30"/>
        <v>0</v>
      </c>
      <c r="AF32" s="51">
        <f>HLOOKUP(I32,ElecAvoidedCostsWOCC!$A$5:$Q$50,G32+1,FALSE)</f>
        <v>1.2241199295840157</v>
      </c>
      <c r="AG32" s="43">
        <f t="shared" si="31"/>
        <v>2497.2046563513923</v>
      </c>
      <c r="AH32" s="51">
        <f>HLOOKUP(I32,ElecAvoidedCostsWOCC!$A$5:$Q$50,T32+1,FALSE)</f>
        <v>1.2241199295840157</v>
      </c>
      <c r="AI32" s="43">
        <f t="shared" si="32"/>
        <v>0</v>
      </c>
      <c r="AJ32" s="43">
        <f t="shared" si="33"/>
        <v>2497.2046563513923</v>
      </c>
      <c r="AK32" s="43">
        <f>HLOOKUP(I32,ElecAvoidedCostsWOCC!$A$5:$Q$50,G32+1,FALSE)*J32*L32</f>
        <v>0</v>
      </c>
      <c r="AL32" s="43">
        <f t="shared" si="34"/>
        <v>2497.2046563513923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2497.2046563513923</v>
      </c>
      <c r="AN32" s="47">
        <f t="shared" si="35"/>
        <v>3093.7365212318987</v>
      </c>
      <c r="AO32" s="46">
        <f t="shared" si="36"/>
        <v>1.0874142795698201</v>
      </c>
      <c r="AP32" s="46">
        <f t="shared" si="37"/>
        <v>1.4789159932335336</v>
      </c>
    </row>
    <row r="33" spans="2:42" x14ac:dyDescent="0.25">
      <c r="B33" s="88" t="s">
        <v>38</v>
      </c>
      <c r="C33" s="60">
        <v>18230407</v>
      </c>
      <c r="D33" s="60" t="s">
        <v>39</v>
      </c>
      <c r="E33" s="37" t="s">
        <v>1287</v>
      </c>
      <c r="F33" s="38" t="s">
        <v>1288</v>
      </c>
      <c r="G33" s="38">
        <v>12</v>
      </c>
      <c r="H33" s="38">
        <v>0</v>
      </c>
      <c r="I33" s="39" t="s">
        <v>238</v>
      </c>
      <c r="J33" s="40">
        <v>10</v>
      </c>
      <c r="K33" s="40">
        <v>197</v>
      </c>
      <c r="L33" s="40">
        <v>0</v>
      </c>
      <c r="M33" s="41">
        <v>120</v>
      </c>
      <c r="N33" s="41">
        <v>120</v>
      </c>
      <c r="O33" s="42">
        <v>1970</v>
      </c>
      <c r="P33" s="43">
        <v>1200</v>
      </c>
      <c r="Q33" s="43">
        <v>1200</v>
      </c>
      <c r="R33" s="44">
        <v>6.48</v>
      </c>
      <c r="S33" s="45"/>
      <c r="T33" s="38">
        <f t="shared" si="19"/>
        <v>12</v>
      </c>
      <c r="U33" s="46">
        <f t="shared" si="20"/>
        <v>2.1440029172950697E-3</v>
      </c>
      <c r="V33" s="47">
        <f t="shared" si="21"/>
        <v>0</v>
      </c>
      <c r="W33" s="48">
        <f t="shared" si="22"/>
        <v>1.7866690977458915E-4</v>
      </c>
      <c r="X33" s="43">
        <f t="shared" si="23"/>
        <v>419.24645264559643</v>
      </c>
      <c r="Y33" s="43">
        <f t="shared" si="24"/>
        <v>0</v>
      </c>
      <c r="Z33" s="43">
        <f t="shared" si="25"/>
        <v>2368.4619702312998</v>
      </c>
      <c r="AA33" s="49">
        <f t="shared" si="26"/>
        <v>1619.2464526455965</v>
      </c>
      <c r="AB33" s="50">
        <f t="shared" si="27"/>
        <v>2217.6610208158236</v>
      </c>
      <c r="AC33" s="43">
        <f t="shared" si="28"/>
        <v>1516.1483639003711</v>
      </c>
      <c r="AD33" s="43">
        <f t="shared" si="29"/>
        <v>520.21709886805036</v>
      </c>
      <c r="AE33" s="43">
        <f t="shared" si="30"/>
        <v>0</v>
      </c>
      <c r="AF33" s="51">
        <f>HLOOKUP(I33,ElecAvoidedCostsWOCC!$A$5:$Q$50,G33+1,FALSE)</f>
        <v>1.2241199295840157</v>
      </c>
      <c r="AG33" s="43">
        <f t="shared" si="31"/>
        <v>2411.5162612805111</v>
      </c>
      <c r="AH33" s="51">
        <f>HLOOKUP(I33,ElecAvoidedCostsWOCC!$A$5:$Q$50,T33+1,FALSE)</f>
        <v>1.2241199295840157</v>
      </c>
      <c r="AI33" s="43">
        <f t="shared" si="32"/>
        <v>0</v>
      </c>
      <c r="AJ33" s="43">
        <f t="shared" si="33"/>
        <v>2411.5162612805111</v>
      </c>
      <c r="AK33" s="43">
        <f>HLOOKUP(I33,ElecAvoidedCostsWOCC!$A$5:$Q$50,G33+1,FALSE)*J33*L33</f>
        <v>0</v>
      </c>
      <c r="AL33" s="43">
        <f t="shared" si="34"/>
        <v>2411.5162612805111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2411.5162612805111</v>
      </c>
      <c r="AN33" s="47">
        <f t="shared" si="35"/>
        <v>3172.8849862766128</v>
      </c>
      <c r="AO33" s="46">
        <f t="shared" si="36"/>
        <v>1.0874142795698203</v>
      </c>
      <c r="AP33" s="46">
        <f t="shared" si="37"/>
        <v>2.0927272434698936</v>
      </c>
    </row>
    <row r="34" spans="2:42" x14ac:dyDescent="0.25">
      <c r="B34" s="88" t="s">
        <v>38</v>
      </c>
      <c r="C34" s="60">
        <v>18230407</v>
      </c>
      <c r="D34" s="60" t="s">
        <v>39</v>
      </c>
      <c r="E34" s="37" t="s">
        <v>1289</v>
      </c>
      <c r="F34" s="38" t="s">
        <v>1290</v>
      </c>
      <c r="G34" s="38">
        <v>12</v>
      </c>
      <c r="H34" s="38">
        <v>0</v>
      </c>
      <c r="I34" s="39" t="s">
        <v>238</v>
      </c>
      <c r="J34" s="40">
        <v>10</v>
      </c>
      <c r="K34" s="40">
        <v>125</v>
      </c>
      <c r="L34" s="40">
        <v>0</v>
      </c>
      <c r="M34" s="41">
        <v>120</v>
      </c>
      <c r="N34" s="41">
        <v>120</v>
      </c>
      <c r="O34" s="42">
        <v>1250</v>
      </c>
      <c r="P34" s="43">
        <v>1200</v>
      </c>
      <c r="Q34" s="43">
        <v>1200</v>
      </c>
      <c r="R34" s="44">
        <v>2.88</v>
      </c>
      <c r="S34" s="45"/>
      <c r="T34" s="38">
        <f t="shared" si="19"/>
        <v>12</v>
      </c>
      <c r="U34" s="46">
        <f t="shared" si="20"/>
        <v>1.3604079424461102E-3</v>
      </c>
      <c r="V34" s="47">
        <f t="shared" si="21"/>
        <v>0</v>
      </c>
      <c r="W34" s="48">
        <f t="shared" si="22"/>
        <v>1.1336732853717584E-4</v>
      </c>
      <c r="X34" s="43">
        <f t="shared" si="23"/>
        <v>266.01932274466776</v>
      </c>
      <c r="Y34" s="43">
        <f t="shared" si="24"/>
        <v>0</v>
      </c>
      <c r="Z34" s="43">
        <f t="shared" si="25"/>
        <v>1502.8311993853426</v>
      </c>
      <c r="AA34" s="49">
        <f t="shared" si="26"/>
        <v>1466.0193227446678</v>
      </c>
      <c r="AB34" s="50">
        <f t="shared" si="27"/>
        <v>1407.1453177765379</v>
      </c>
      <c r="AC34" s="43">
        <f t="shared" si="28"/>
        <v>1372.6772684875166</v>
      </c>
      <c r="AD34" s="43">
        <f t="shared" si="29"/>
        <v>231.20759949691123</v>
      </c>
      <c r="AE34" s="43">
        <f t="shared" si="30"/>
        <v>0</v>
      </c>
      <c r="AF34" s="51">
        <f>HLOOKUP(I34,ElecAvoidedCostsWOCC!$A$5:$Q$50,G34+1,FALSE)</f>
        <v>1.2241199295840157</v>
      </c>
      <c r="AG34" s="43">
        <f t="shared" si="31"/>
        <v>1530.1499119800196</v>
      </c>
      <c r="AH34" s="51">
        <f>HLOOKUP(I34,ElecAvoidedCostsWOCC!$A$5:$Q$50,T34+1,FALSE)</f>
        <v>1.2241199295840157</v>
      </c>
      <c r="AI34" s="43">
        <f t="shared" si="32"/>
        <v>0</v>
      </c>
      <c r="AJ34" s="43">
        <f t="shared" si="33"/>
        <v>1530.1499119800196</v>
      </c>
      <c r="AK34" s="43">
        <f>HLOOKUP(I34,ElecAvoidedCostsWOCC!$A$5:$Q$50,G34+1,FALSE)*J34*L34</f>
        <v>0</v>
      </c>
      <c r="AL34" s="43">
        <f t="shared" si="34"/>
        <v>1530.1499119800196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1530.1499119800196</v>
      </c>
      <c r="AN34" s="47">
        <f t="shared" si="35"/>
        <v>1914.3725026749328</v>
      </c>
      <c r="AO34" s="46">
        <f t="shared" si="36"/>
        <v>1.0874142795698201</v>
      </c>
      <c r="AP34" s="46">
        <f t="shared" si="37"/>
        <v>1.3946267972983064</v>
      </c>
    </row>
    <row r="35" spans="2:42" x14ac:dyDescent="0.25">
      <c r="B35" s="88" t="s">
        <v>38</v>
      </c>
      <c r="C35" s="60">
        <v>18230407</v>
      </c>
      <c r="D35" s="60" t="s">
        <v>39</v>
      </c>
      <c r="E35" s="37" t="s">
        <v>1291</v>
      </c>
      <c r="F35" s="38" t="s">
        <v>676</v>
      </c>
      <c r="G35" s="38">
        <v>15</v>
      </c>
      <c r="H35" s="38">
        <v>0</v>
      </c>
      <c r="I35" s="39" t="s">
        <v>238</v>
      </c>
      <c r="J35" s="40">
        <v>200</v>
      </c>
      <c r="K35" s="40">
        <v>90</v>
      </c>
      <c r="L35" s="40">
        <v>0</v>
      </c>
      <c r="M35" s="41">
        <v>70</v>
      </c>
      <c r="N35" s="41">
        <v>70</v>
      </c>
      <c r="O35" s="42">
        <v>18000</v>
      </c>
      <c r="P35" s="43">
        <v>14000</v>
      </c>
      <c r="Q35" s="43">
        <v>14000</v>
      </c>
      <c r="R35" s="44">
        <v>1.48</v>
      </c>
      <c r="S35" s="45"/>
      <c r="T35" s="38">
        <f t="shared" si="19"/>
        <v>15</v>
      </c>
      <c r="U35" s="46">
        <f t="shared" si="20"/>
        <v>2.4487342964029983E-2</v>
      </c>
      <c r="V35" s="47">
        <f t="shared" si="21"/>
        <v>0</v>
      </c>
      <c r="W35" s="48">
        <f t="shared" si="22"/>
        <v>1.6324895309353321E-3</v>
      </c>
      <c r="X35" s="43">
        <f t="shared" si="23"/>
        <v>3830.6782475232158</v>
      </c>
      <c r="Y35" s="43">
        <f t="shared" si="24"/>
        <v>0</v>
      </c>
      <c r="Z35" s="43">
        <f t="shared" si="25"/>
        <v>21640.769271148936</v>
      </c>
      <c r="AA35" s="49">
        <f t="shared" si="26"/>
        <v>17830.678247523218</v>
      </c>
      <c r="AB35" s="50">
        <f t="shared" si="27"/>
        <v>20262.89257598215</v>
      </c>
      <c r="AC35" s="43">
        <f t="shared" si="28"/>
        <v>16695.391617531102</v>
      </c>
      <c r="AD35" s="43">
        <f t="shared" si="29"/>
        <v>2730.3317002981516</v>
      </c>
      <c r="AE35" s="43">
        <f t="shared" si="30"/>
        <v>0</v>
      </c>
      <c r="AF35" s="51">
        <f>HLOOKUP(I35,ElecAvoidedCostsWOCC!$A$5:$Q$50,G35+1,FALSE)</f>
        <v>1.4225105163514826</v>
      </c>
      <c r="AG35" s="43">
        <f t="shared" si="31"/>
        <v>25605.189294326687</v>
      </c>
      <c r="AH35" s="51">
        <f>HLOOKUP(I35,ElecAvoidedCostsWOCC!$A$5:$Q$50,T35+1,FALSE)</f>
        <v>1.4225105163514826</v>
      </c>
      <c r="AI35" s="43">
        <f t="shared" si="32"/>
        <v>0</v>
      </c>
      <c r="AJ35" s="43">
        <f t="shared" si="33"/>
        <v>25605.189294326687</v>
      </c>
      <c r="AK35" s="43">
        <f>HLOOKUP(I35,ElecAvoidedCostsWOCC!$A$5:$Q$50,G35+1,FALSE)*J35*L35</f>
        <v>0</v>
      </c>
      <c r="AL35" s="43">
        <f t="shared" si="34"/>
        <v>25605.189294326687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25605.189294326687</v>
      </c>
      <c r="AN35" s="47">
        <f t="shared" si="35"/>
        <v>30896.03992405751</v>
      </c>
      <c r="AO35" s="46">
        <f t="shared" si="36"/>
        <v>1.2636492642060801</v>
      </c>
      <c r="AP35" s="46">
        <f t="shared" si="37"/>
        <v>1.8505729384397864</v>
      </c>
    </row>
    <row r="36" spans="2:42" x14ac:dyDescent="0.25">
      <c r="B36" s="88" t="s">
        <v>38</v>
      </c>
      <c r="C36" s="60">
        <v>18230407</v>
      </c>
      <c r="D36" s="60" t="s">
        <v>39</v>
      </c>
      <c r="E36" s="37" t="s">
        <v>1292</v>
      </c>
      <c r="F36" s="38" t="s">
        <v>677</v>
      </c>
      <c r="G36" s="38">
        <v>15</v>
      </c>
      <c r="H36" s="38">
        <v>0</v>
      </c>
      <c r="I36" s="39" t="s">
        <v>238</v>
      </c>
      <c r="J36" s="40">
        <v>2900</v>
      </c>
      <c r="K36" s="40">
        <v>61</v>
      </c>
      <c r="L36" s="40">
        <v>0</v>
      </c>
      <c r="M36" s="41">
        <v>70</v>
      </c>
      <c r="N36" s="41">
        <v>70</v>
      </c>
      <c r="O36" s="42">
        <v>176900</v>
      </c>
      <c r="P36" s="43">
        <v>203000</v>
      </c>
      <c r="Q36" s="43">
        <v>203000</v>
      </c>
      <c r="R36" s="44">
        <v>1.48</v>
      </c>
      <c r="S36" s="45"/>
      <c r="T36" s="38">
        <f t="shared" si="19"/>
        <v>15</v>
      </c>
      <c r="U36" s="46">
        <f t="shared" si="20"/>
        <v>0.24065616501871689</v>
      </c>
      <c r="V36" s="47">
        <f t="shared" si="21"/>
        <v>0</v>
      </c>
      <c r="W36" s="48">
        <f t="shared" si="22"/>
        <v>1.6043744334581125E-2</v>
      </c>
      <c r="X36" s="43">
        <f t="shared" si="23"/>
        <v>37647.054554825387</v>
      </c>
      <c r="Y36" s="43">
        <f t="shared" si="24"/>
        <v>0</v>
      </c>
      <c r="Z36" s="43">
        <f t="shared" si="25"/>
        <v>212680.67133701369</v>
      </c>
      <c r="AA36" s="49">
        <f t="shared" si="26"/>
        <v>240647.05455482539</v>
      </c>
      <c r="AB36" s="50">
        <f t="shared" si="27"/>
        <v>199139.20537173565</v>
      </c>
      <c r="AC36" s="43">
        <f t="shared" si="28"/>
        <v>225324.95744833836</v>
      </c>
      <c r="AD36" s="43">
        <f t="shared" si="29"/>
        <v>39589.809654323195</v>
      </c>
      <c r="AE36" s="43">
        <f t="shared" si="30"/>
        <v>0</v>
      </c>
      <c r="AF36" s="51">
        <f>HLOOKUP(I36,ElecAvoidedCostsWOCC!$A$5:$Q$50,G36+1,FALSE)</f>
        <v>1.4225105163514826</v>
      </c>
      <c r="AG36" s="43">
        <f t="shared" si="31"/>
        <v>251642.11034257727</v>
      </c>
      <c r="AH36" s="51">
        <f>HLOOKUP(I36,ElecAvoidedCostsWOCC!$A$5:$Q$50,T36+1,FALSE)</f>
        <v>1.4225105163514826</v>
      </c>
      <c r="AI36" s="43">
        <f t="shared" si="32"/>
        <v>0</v>
      </c>
      <c r="AJ36" s="43">
        <f t="shared" si="33"/>
        <v>251642.11034257727</v>
      </c>
      <c r="AK36" s="43">
        <f>HLOOKUP(I36,ElecAvoidedCostsWOCC!$A$5:$Q$50,G36+1,FALSE)*J36*L36</f>
        <v>0</v>
      </c>
      <c r="AL36" s="43">
        <f t="shared" si="34"/>
        <v>251642.11034257727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251642.11034257727</v>
      </c>
      <c r="AN36" s="47">
        <f t="shared" si="35"/>
        <v>316396.13103115821</v>
      </c>
      <c r="AO36" s="46">
        <f t="shared" si="36"/>
        <v>1.2636492642060804</v>
      </c>
      <c r="AP36" s="46">
        <f t="shared" si="37"/>
        <v>1.4041770366414039</v>
      </c>
    </row>
    <row r="37" spans="2:42" x14ac:dyDescent="0.25">
      <c r="B37" s="88" t="s">
        <v>38</v>
      </c>
      <c r="C37" s="60">
        <v>18230407</v>
      </c>
      <c r="D37" s="60" t="s">
        <v>39</v>
      </c>
      <c r="E37" s="37" t="s">
        <v>1293</v>
      </c>
      <c r="F37" s="38" t="s">
        <v>663</v>
      </c>
      <c r="G37" s="38">
        <v>15</v>
      </c>
      <c r="H37" s="38">
        <v>0</v>
      </c>
      <c r="I37" s="39" t="s">
        <v>271</v>
      </c>
      <c r="J37" s="40">
        <v>6000</v>
      </c>
      <c r="K37" s="40">
        <v>59</v>
      </c>
      <c r="L37" s="40">
        <v>0</v>
      </c>
      <c r="M37" s="41">
        <v>35</v>
      </c>
      <c r="N37" s="41">
        <v>57.99</v>
      </c>
      <c r="O37" s="42">
        <v>354000</v>
      </c>
      <c r="P37" s="43">
        <v>210000</v>
      </c>
      <c r="Q37" s="43">
        <v>347940</v>
      </c>
      <c r="R37" s="44">
        <v>0</v>
      </c>
      <c r="S37" s="45"/>
      <c r="T37" s="38">
        <f t="shared" si="19"/>
        <v>15</v>
      </c>
      <c r="U37" s="46">
        <f t="shared" si="20"/>
        <v>0.48158441162592303</v>
      </c>
      <c r="V37" s="47">
        <f t="shared" si="21"/>
        <v>22.990000000000002</v>
      </c>
      <c r="W37" s="48">
        <f t="shared" si="22"/>
        <v>3.21056274417282E-2</v>
      </c>
      <c r="X37" s="43">
        <f t="shared" si="23"/>
        <v>75336.672201289912</v>
      </c>
      <c r="Y37" s="43">
        <f t="shared" si="24"/>
        <v>137940</v>
      </c>
      <c r="Z37" s="43">
        <f t="shared" si="25"/>
        <v>425601.79566592904</v>
      </c>
      <c r="AA37" s="49">
        <f t="shared" si="26"/>
        <v>423276.67220128991</v>
      </c>
      <c r="AB37" s="50">
        <f t="shared" si="27"/>
        <v>398503.55399431556</v>
      </c>
      <c r="AC37" s="43">
        <f t="shared" si="28"/>
        <v>396326.47209858603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1.7462566560958237</v>
      </c>
      <c r="AG37" s="43">
        <f t="shared" si="31"/>
        <v>618174.85625792155</v>
      </c>
      <c r="AH37" s="51">
        <f>HLOOKUP(I37,ElecAvoidedCostsWOCC!$A$5:$Q$50,T37+1,FALSE)</f>
        <v>1.7462566560958237</v>
      </c>
      <c r="AI37" s="43">
        <f t="shared" si="32"/>
        <v>0</v>
      </c>
      <c r="AJ37" s="43">
        <f t="shared" si="33"/>
        <v>618174.85625792155</v>
      </c>
      <c r="AK37" s="43">
        <f>HLOOKUP(I37,ElecAvoidedCostsWOCC!$A$5:$Q$50,G37+1,FALSE)*J37*L37</f>
        <v>0</v>
      </c>
      <c r="AL37" s="43">
        <f t="shared" si="34"/>
        <v>618174.85625792155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618174.85625792155</v>
      </c>
      <c r="AN37" s="47">
        <f t="shared" si="35"/>
        <v>679992.34188371373</v>
      </c>
      <c r="AO37" s="46">
        <f t="shared" si="36"/>
        <v>1.5512405098066941</v>
      </c>
      <c r="AP37" s="46">
        <f t="shared" si="37"/>
        <v>1.7157378821633846</v>
      </c>
    </row>
    <row r="38" spans="2:42" x14ac:dyDescent="0.25">
      <c r="B38" s="88" t="s">
        <v>38</v>
      </c>
      <c r="C38" s="60">
        <v>18230407</v>
      </c>
      <c r="D38" s="60" t="s">
        <v>39</v>
      </c>
      <c r="E38" s="37" t="s">
        <v>1294</v>
      </c>
      <c r="F38" s="38" t="s">
        <v>1295</v>
      </c>
      <c r="G38" s="38">
        <v>15</v>
      </c>
      <c r="H38" s="38">
        <v>0</v>
      </c>
      <c r="I38" s="39" t="s">
        <v>271</v>
      </c>
      <c r="J38" s="40">
        <v>3000</v>
      </c>
      <c r="K38" s="40">
        <v>71</v>
      </c>
      <c r="L38" s="40">
        <v>0</v>
      </c>
      <c r="M38" s="41">
        <v>75</v>
      </c>
      <c r="N38" s="41">
        <v>100</v>
      </c>
      <c r="O38" s="42">
        <v>213000</v>
      </c>
      <c r="P38" s="43">
        <v>225000</v>
      </c>
      <c r="Q38" s="43">
        <v>300000</v>
      </c>
      <c r="R38" s="44">
        <v>0</v>
      </c>
      <c r="S38" s="45"/>
      <c r="T38" s="38">
        <f t="shared" si="19"/>
        <v>15</v>
      </c>
      <c r="U38" s="46">
        <f t="shared" si="20"/>
        <v>0.28976689174102144</v>
      </c>
      <c r="V38" s="47">
        <f t="shared" si="21"/>
        <v>25</v>
      </c>
      <c r="W38" s="48">
        <f t="shared" si="22"/>
        <v>1.9317792782734763E-2</v>
      </c>
      <c r="X38" s="43">
        <f t="shared" si="23"/>
        <v>45329.692595691384</v>
      </c>
      <c r="Y38" s="43">
        <f t="shared" si="24"/>
        <v>75000</v>
      </c>
      <c r="Z38" s="43">
        <f t="shared" si="25"/>
        <v>256082.43637526236</v>
      </c>
      <c r="AA38" s="49">
        <f t="shared" si="26"/>
        <v>345329.69259569136</v>
      </c>
      <c r="AB38" s="50">
        <f t="shared" si="27"/>
        <v>239777.56214912204</v>
      </c>
      <c r="AC38" s="43">
        <f t="shared" si="28"/>
        <v>323342.40879746381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1.7462566560958237</v>
      </c>
      <c r="AG38" s="43">
        <f t="shared" si="31"/>
        <v>371952.66774841043</v>
      </c>
      <c r="AH38" s="51">
        <f>HLOOKUP(I38,ElecAvoidedCostsWOCC!$A$5:$Q$50,T38+1,FALSE)</f>
        <v>1.7462566560958237</v>
      </c>
      <c r="AI38" s="43">
        <f t="shared" si="32"/>
        <v>0</v>
      </c>
      <c r="AJ38" s="43">
        <f t="shared" si="33"/>
        <v>371952.66774841043</v>
      </c>
      <c r="AK38" s="43">
        <f>HLOOKUP(I38,ElecAvoidedCostsWOCC!$A$5:$Q$50,G38+1,FALSE)*J38*L38</f>
        <v>0</v>
      </c>
      <c r="AL38" s="43">
        <f t="shared" si="34"/>
        <v>371952.66774841043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371952.66774841043</v>
      </c>
      <c r="AN38" s="47">
        <f t="shared" si="35"/>
        <v>409147.93452325149</v>
      </c>
      <c r="AO38" s="46">
        <f t="shared" si="36"/>
        <v>1.5512405098066944</v>
      </c>
      <c r="AP38" s="46">
        <f t="shared" si="37"/>
        <v>1.2653704660793035</v>
      </c>
    </row>
    <row r="39" spans="2:42" x14ac:dyDescent="0.25">
      <c r="B39" s="88" t="s">
        <v>38</v>
      </c>
      <c r="C39" s="60">
        <v>18230407</v>
      </c>
      <c r="D39" s="60" t="s">
        <v>39</v>
      </c>
      <c r="E39" s="37" t="s">
        <v>1296</v>
      </c>
      <c r="F39" s="38" t="s">
        <v>1297</v>
      </c>
      <c r="G39" s="38">
        <v>15</v>
      </c>
      <c r="H39" s="38">
        <v>0</v>
      </c>
      <c r="I39" s="39" t="s">
        <v>271</v>
      </c>
      <c r="J39" s="40">
        <v>10</v>
      </c>
      <c r="K39" s="40">
        <v>49</v>
      </c>
      <c r="L39" s="40">
        <v>0</v>
      </c>
      <c r="M39" s="41">
        <v>50</v>
      </c>
      <c r="N39" s="41">
        <v>100</v>
      </c>
      <c r="O39" s="42">
        <v>490</v>
      </c>
      <c r="P39" s="43">
        <v>500</v>
      </c>
      <c r="Q39" s="43">
        <v>1000</v>
      </c>
      <c r="R39" s="44">
        <v>0</v>
      </c>
      <c r="S39" s="45"/>
      <c r="T39" s="38">
        <f t="shared" si="19"/>
        <v>15</v>
      </c>
      <c r="U39" s="46">
        <f t="shared" si="20"/>
        <v>6.6659989179859399E-4</v>
      </c>
      <c r="V39" s="47">
        <f t="shared" si="21"/>
        <v>50</v>
      </c>
      <c r="W39" s="48">
        <f t="shared" si="22"/>
        <v>4.4439992786572934E-5</v>
      </c>
      <c r="X39" s="43">
        <f t="shared" si="23"/>
        <v>104.27957451590977</v>
      </c>
      <c r="Y39" s="43">
        <f t="shared" si="24"/>
        <v>500</v>
      </c>
      <c r="Z39" s="43">
        <f t="shared" si="25"/>
        <v>589.10983015905435</v>
      </c>
      <c r="AA39" s="49">
        <f t="shared" si="26"/>
        <v>1104.2795745159099</v>
      </c>
      <c r="AB39" s="50">
        <f t="shared" si="27"/>
        <v>551.6009645684029</v>
      </c>
      <c r="AC39" s="43">
        <f t="shared" si="28"/>
        <v>1033.9696390598406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1.7462566560958237</v>
      </c>
      <c r="AG39" s="43">
        <f t="shared" si="31"/>
        <v>855.66576148695367</v>
      </c>
      <c r="AH39" s="51">
        <f>HLOOKUP(I39,ElecAvoidedCostsWOCC!$A$5:$Q$50,T39+1,FALSE)</f>
        <v>1.7462566560958237</v>
      </c>
      <c r="AI39" s="43">
        <f t="shared" si="32"/>
        <v>0</v>
      </c>
      <c r="AJ39" s="43">
        <f t="shared" si="33"/>
        <v>855.66576148695367</v>
      </c>
      <c r="AK39" s="43">
        <f>HLOOKUP(I39,ElecAvoidedCostsWOCC!$A$5:$Q$50,G39+1,FALSE)*J39*L39</f>
        <v>0</v>
      </c>
      <c r="AL39" s="43">
        <f t="shared" si="34"/>
        <v>855.66576148695367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855.66576148695367</v>
      </c>
      <c r="AN39" s="47">
        <f t="shared" si="35"/>
        <v>941.23233763564906</v>
      </c>
      <c r="AO39" s="46">
        <f t="shared" si="36"/>
        <v>1.5512405098066944</v>
      </c>
      <c r="AP39" s="46">
        <f t="shared" si="37"/>
        <v>0.91030945404884911</v>
      </c>
    </row>
    <row r="40" spans="2:42" x14ac:dyDescent="0.25">
      <c r="B40" s="88" t="s">
        <v>38</v>
      </c>
      <c r="C40" s="60">
        <v>18230407</v>
      </c>
      <c r="D40" s="60" t="s">
        <v>39</v>
      </c>
      <c r="E40" s="37" t="s">
        <v>1298</v>
      </c>
      <c r="F40" s="38" t="s">
        <v>587</v>
      </c>
      <c r="G40" s="38">
        <v>11</v>
      </c>
      <c r="H40" s="38">
        <v>0</v>
      </c>
      <c r="I40" s="39" t="s">
        <v>273</v>
      </c>
      <c r="J40" s="40">
        <v>0</v>
      </c>
      <c r="K40" s="40">
        <v>508</v>
      </c>
      <c r="L40" s="40">
        <v>0</v>
      </c>
      <c r="M40" s="41">
        <v>75</v>
      </c>
      <c r="N40" s="41">
        <v>189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11</v>
      </c>
      <c r="U40" s="46">
        <f t="shared" si="20"/>
        <v>0</v>
      </c>
      <c r="V40" s="47">
        <f t="shared" si="21"/>
        <v>114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1.4141076484747321</v>
      </c>
      <c r="AG40" s="43">
        <f t="shared" si="31"/>
        <v>0</v>
      </c>
      <c r="AH40" s="51">
        <f>HLOOKUP(I40,ElecAvoidedCostsWOCC!$A$5:$Q$50,T40+1,FALSE)</f>
        <v>1.4141076484747321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38</v>
      </c>
      <c r="C41" s="60">
        <v>18230407</v>
      </c>
      <c r="D41" s="60" t="s">
        <v>39</v>
      </c>
      <c r="E41" s="37" t="s">
        <v>1299</v>
      </c>
      <c r="F41" s="38" t="s">
        <v>588</v>
      </c>
      <c r="G41" s="38">
        <v>11</v>
      </c>
      <c r="H41" s="38">
        <v>0</v>
      </c>
      <c r="I41" s="39" t="s">
        <v>273</v>
      </c>
      <c r="J41" s="40">
        <v>1000</v>
      </c>
      <c r="K41" s="40">
        <v>508</v>
      </c>
      <c r="L41" s="40">
        <v>0</v>
      </c>
      <c r="M41" s="41">
        <v>150</v>
      </c>
      <c r="N41" s="41">
        <v>189</v>
      </c>
      <c r="O41" s="42">
        <v>508000</v>
      </c>
      <c r="P41" s="43">
        <v>150000</v>
      </c>
      <c r="Q41" s="43">
        <v>189000</v>
      </c>
      <c r="R41" s="44">
        <v>0</v>
      </c>
      <c r="S41" s="45"/>
      <c r="T41" s="38">
        <f t="shared" si="19"/>
        <v>11</v>
      </c>
      <c r="U41" s="46">
        <f t="shared" si="20"/>
        <v>0.50679730549259094</v>
      </c>
      <c r="V41" s="47">
        <f t="shared" si="21"/>
        <v>39</v>
      </c>
      <c r="W41" s="48">
        <f t="shared" si="22"/>
        <v>4.6072482317508268E-2</v>
      </c>
      <c r="X41" s="43">
        <f t="shared" si="23"/>
        <v>108110.25276343299</v>
      </c>
      <c r="Y41" s="43">
        <f t="shared" si="24"/>
        <v>39000</v>
      </c>
      <c r="Z41" s="43">
        <f t="shared" si="25"/>
        <v>610750.59943020332</v>
      </c>
      <c r="AA41" s="49">
        <f t="shared" si="26"/>
        <v>297110.25276343297</v>
      </c>
      <c r="AB41" s="50">
        <f t="shared" si="27"/>
        <v>571863.85714438511</v>
      </c>
      <c r="AC41" s="43">
        <f t="shared" si="28"/>
        <v>278193.12056501216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1.4141076484747321</v>
      </c>
      <c r="AG41" s="43">
        <f t="shared" si="31"/>
        <v>718366.68542516383</v>
      </c>
      <c r="AH41" s="51">
        <f>HLOOKUP(I41,ElecAvoidedCostsWOCC!$A$5:$Q$50,T41+1,FALSE)</f>
        <v>1.4141076484747321</v>
      </c>
      <c r="AI41" s="43">
        <f t="shared" si="32"/>
        <v>0</v>
      </c>
      <c r="AJ41" s="43">
        <f t="shared" si="33"/>
        <v>718366.68542516383</v>
      </c>
      <c r="AK41" s="43">
        <f>HLOOKUP(I41,ElecAvoidedCostsWOCC!$A$5:$Q$50,G41+1,FALSE)*J41*L41</f>
        <v>0</v>
      </c>
      <c r="AL41" s="43">
        <f t="shared" si="34"/>
        <v>718366.68542516383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718366.68542516395</v>
      </c>
      <c r="AN41" s="47">
        <f t="shared" si="35"/>
        <v>790203.35396768036</v>
      </c>
      <c r="AO41" s="46">
        <f t="shared" si="36"/>
        <v>1.2561848007187304</v>
      </c>
      <c r="AP41" s="46">
        <f t="shared" si="37"/>
        <v>2.840484884610992</v>
      </c>
    </row>
    <row r="42" spans="2:42" x14ac:dyDescent="0.25">
      <c r="B42" s="88" t="s">
        <v>38</v>
      </c>
      <c r="C42" s="60">
        <v>18230407</v>
      </c>
      <c r="D42" s="60" t="s">
        <v>39</v>
      </c>
      <c r="E42" s="37" t="s">
        <v>1300</v>
      </c>
      <c r="F42" s="38" t="s">
        <v>1301</v>
      </c>
      <c r="G42" s="38">
        <v>15</v>
      </c>
      <c r="H42" s="38">
        <v>0</v>
      </c>
      <c r="I42" s="39" t="s">
        <v>271</v>
      </c>
      <c r="J42" s="40">
        <v>1100</v>
      </c>
      <c r="K42" s="40">
        <v>71</v>
      </c>
      <c r="L42" s="40">
        <v>0</v>
      </c>
      <c r="M42" s="41">
        <v>100</v>
      </c>
      <c r="N42" s="41">
        <v>100</v>
      </c>
      <c r="O42" s="42">
        <v>78100</v>
      </c>
      <c r="P42" s="43">
        <v>110000</v>
      </c>
      <c r="Q42" s="43">
        <v>110000</v>
      </c>
      <c r="R42" s="44">
        <v>0</v>
      </c>
      <c r="S42" s="45"/>
      <c r="T42" s="38">
        <f t="shared" si="19"/>
        <v>15</v>
      </c>
      <c r="U42" s="46">
        <f t="shared" si="20"/>
        <v>0.1062478603050412</v>
      </c>
      <c r="V42" s="47">
        <f t="shared" si="21"/>
        <v>0</v>
      </c>
      <c r="W42" s="48">
        <f t="shared" si="22"/>
        <v>7.0831906870027469E-3</v>
      </c>
      <c r="X42" s="43">
        <f t="shared" si="23"/>
        <v>16620.887285086843</v>
      </c>
      <c r="Y42" s="43">
        <f t="shared" si="24"/>
        <v>0</v>
      </c>
      <c r="Z42" s="43">
        <f t="shared" si="25"/>
        <v>93896.893337596208</v>
      </c>
      <c r="AA42" s="49">
        <f t="shared" si="26"/>
        <v>126620.88728508685</v>
      </c>
      <c r="AB42" s="50">
        <f t="shared" si="27"/>
        <v>87918.439454678097</v>
      </c>
      <c r="AC42" s="43">
        <f t="shared" si="28"/>
        <v>118558.88322573675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1.7462566560958237</v>
      </c>
      <c r="AG42" s="43">
        <f t="shared" si="31"/>
        <v>136382.64484108382</v>
      </c>
      <c r="AH42" s="51">
        <f>HLOOKUP(I42,ElecAvoidedCostsWOCC!$A$5:$Q$50,T42+1,FALSE)</f>
        <v>1.7462566560958237</v>
      </c>
      <c r="AI42" s="43">
        <f t="shared" si="32"/>
        <v>0</v>
      </c>
      <c r="AJ42" s="43">
        <f t="shared" si="33"/>
        <v>136382.64484108382</v>
      </c>
      <c r="AK42" s="43">
        <f>HLOOKUP(I42,ElecAvoidedCostsWOCC!$A$5:$Q$50,G42+1,FALSE)*J42*L42</f>
        <v>0</v>
      </c>
      <c r="AL42" s="43">
        <f t="shared" si="34"/>
        <v>136382.64484108382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136382.64484108382</v>
      </c>
      <c r="AN42" s="47">
        <f t="shared" si="35"/>
        <v>150020.90932519222</v>
      </c>
      <c r="AO42" s="46">
        <f t="shared" si="36"/>
        <v>1.5512405098066941</v>
      </c>
      <c r="AP42" s="46">
        <f t="shared" si="37"/>
        <v>1.2653704660793035</v>
      </c>
    </row>
    <row r="43" spans="2:42" x14ac:dyDescent="0.25">
      <c r="B43" s="88" t="s">
        <v>38</v>
      </c>
      <c r="C43" s="60">
        <v>18230407</v>
      </c>
      <c r="D43" s="60" t="s">
        <v>39</v>
      </c>
      <c r="E43" s="37" t="s">
        <v>1302</v>
      </c>
      <c r="F43" s="38" t="s">
        <v>1303</v>
      </c>
      <c r="G43" s="38">
        <v>11</v>
      </c>
      <c r="H43" s="38">
        <v>0</v>
      </c>
      <c r="I43" s="39" t="s">
        <v>273</v>
      </c>
      <c r="J43" s="40">
        <v>1100</v>
      </c>
      <c r="K43" s="40">
        <v>508</v>
      </c>
      <c r="L43" s="40">
        <v>0</v>
      </c>
      <c r="M43" s="41">
        <v>150</v>
      </c>
      <c r="N43" s="41">
        <v>189</v>
      </c>
      <c r="O43" s="42">
        <v>558800</v>
      </c>
      <c r="P43" s="43">
        <v>165000</v>
      </c>
      <c r="Q43" s="43">
        <v>207900</v>
      </c>
      <c r="R43" s="44">
        <v>0</v>
      </c>
      <c r="S43" s="45"/>
      <c r="T43" s="38">
        <f t="shared" si="19"/>
        <v>11</v>
      </c>
      <c r="U43" s="46">
        <f t="shared" si="20"/>
        <v>0.55747703604184995</v>
      </c>
      <c r="V43" s="47">
        <f t="shared" si="21"/>
        <v>39</v>
      </c>
      <c r="W43" s="48">
        <f t="shared" si="22"/>
        <v>5.0679730549259089E-2</v>
      </c>
      <c r="X43" s="43">
        <f t="shared" si="23"/>
        <v>118921.27803977628</v>
      </c>
      <c r="Y43" s="43">
        <f t="shared" si="24"/>
        <v>42900</v>
      </c>
      <c r="Z43" s="43">
        <f t="shared" si="25"/>
        <v>671825.65937322355</v>
      </c>
      <c r="AA43" s="49">
        <f t="shared" si="26"/>
        <v>326821.27803977625</v>
      </c>
      <c r="AB43" s="50">
        <f t="shared" si="27"/>
        <v>629050.24285882351</v>
      </c>
      <c r="AC43" s="43">
        <f t="shared" si="28"/>
        <v>306012.43262151332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1.4141076484747321</v>
      </c>
      <c r="AG43" s="43">
        <f t="shared" si="31"/>
        <v>790203.35396768036</v>
      </c>
      <c r="AH43" s="51">
        <f>HLOOKUP(I43,ElecAvoidedCostsWOCC!$A$5:$Q$50,T43+1,FALSE)</f>
        <v>1.4141076484747321</v>
      </c>
      <c r="AI43" s="43">
        <f t="shared" si="32"/>
        <v>0</v>
      </c>
      <c r="AJ43" s="43">
        <f t="shared" si="33"/>
        <v>790203.35396768036</v>
      </c>
      <c r="AK43" s="43">
        <f>HLOOKUP(I43,ElecAvoidedCostsWOCC!$A$5:$Q$50,G43+1,FALSE)*J43*L43</f>
        <v>0</v>
      </c>
      <c r="AL43" s="43">
        <f t="shared" si="34"/>
        <v>790203.35396768036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790203.35396768036</v>
      </c>
      <c r="AN43" s="47">
        <f t="shared" si="35"/>
        <v>869223.68936444842</v>
      </c>
      <c r="AO43" s="46">
        <f t="shared" si="36"/>
        <v>1.2561848007187306</v>
      </c>
      <c r="AP43" s="46">
        <f t="shared" si="37"/>
        <v>2.8404848846109925</v>
      </c>
    </row>
    <row r="44" spans="2:42" x14ac:dyDescent="0.25">
      <c r="B44" s="88" t="s">
        <v>38</v>
      </c>
      <c r="C44" s="60">
        <v>18230407</v>
      </c>
      <c r="D44" s="60" t="s">
        <v>39</v>
      </c>
      <c r="E44" s="37" t="s">
        <v>1304</v>
      </c>
      <c r="F44" s="38" t="s">
        <v>659</v>
      </c>
      <c r="G44" s="38">
        <v>45</v>
      </c>
      <c r="H44" s="38">
        <v>0</v>
      </c>
      <c r="I44" s="39" t="s">
        <v>271</v>
      </c>
      <c r="J44" s="40">
        <v>24000</v>
      </c>
      <c r="K44" s="40">
        <v>0</v>
      </c>
      <c r="L44" s="40">
        <v>0</v>
      </c>
      <c r="M44" s="41">
        <v>1.1299999999999999</v>
      </c>
      <c r="N44" s="41">
        <v>1.29</v>
      </c>
      <c r="O44" s="42">
        <v>24000</v>
      </c>
      <c r="P44" s="43">
        <v>27120</v>
      </c>
      <c r="Q44" s="43">
        <v>30960</v>
      </c>
      <c r="R44" s="44">
        <v>0</v>
      </c>
      <c r="S44" s="45"/>
      <c r="T44" s="38">
        <f t="shared" si="19"/>
        <v>45</v>
      </c>
      <c r="U44" s="46">
        <f t="shared" si="20"/>
        <v>9.7949371856119918E-2</v>
      </c>
      <c r="V44" s="47">
        <f t="shared" si="21"/>
        <v>0.16000000000000014</v>
      </c>
      <c r="W44" s="48">
        <f t="shared" si="22"/>
        <v>2.1766527079137761E-3</v>
      </c>
      <c r="X44" s="43">
        <f t="shared" si="23"/>
        <v>5107.570996697621</v>
      </c>
      <c r="Y44" s="43">
        <f t="shared" si="24"/>
        <v>3840</v>
      </c>
      <c r="Z44" s="43">
        <f t="shared" si="25"/>
        <v>28854.359028198574</v>
      </c>
      <c r="AA44" s="49">
        <f t="shared" si="26"/>
        <v>36067.570996697621</v>
      </c>
      <c r="AB44" s="50">
        <f t="shared" si="27"/>
        <v>27017.190101309527</v>
      </c>
      <c r="AC44" s="43">
        <f t="shared" si="28"/>
        <v>33771.133892038968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0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>
        <f t="shared" si="37"/>
        <v>0</v>
      </c>
    </row>
    <row r="45" spans="2:42" x14ac:dyDescent="0.25">
      <c r="B45" s="88" t="s">
        <v>38</v>
      </c>
      <c r="C45" s="60">
        <v>18230407</v>
      </c>
      <c r="D45" s="60" t="s">
        <v>39</v>
      </c>
      <c r="E45" s="37" t="s">
        <v>1305</v>
      </c>
      <c r="F45" s="38" t="s">
        <v>1306</v>
      </c>
      <c r="G45" s="38">
        <v>15</v>
      </c>
      <c r="H45" s="38">
        <v>0</v>
      </c>
      <c r="I45" s="39" t="s">
        <v>265</v>
      </c>
      <c r="J45" s="40">
        <v>2</v>
      </c>
      <c r="K45" s="40">
        <v>0</v>
      </c>
      <c r="L45" s="40">
        <v>0</v>
      </c>
      <c r="M45" s="41">
        <v>0.35</v>
      </c>
      <c r="N45" s="41">
        <v>0.5</v>
      </c>
      <c r="O45" s="42">
        <v>2</v>
      </c>
      <c r="P45" s="43">
        <v>0.7</v>
      </c>
      <c r="Q45" s="43">
        <v>1</v>
      </c>
      <c r="R45" s="44">
        <v>0</v>
      </c>
      <c r="S45" s="45"/>
      <c r="T45" s="38">
        <f t="shared" si="19"/>
        <v>15</v>
      </c>
      <c r="U45" s="46">
        <f t="shared" si="20"/>
        <v>2.7208158848922203E-6</v>
      </c>
      <c r="V45" s="47">
        <f t="shared" si="21"/>
        <v>0.15000000000000002</v>
      </c>
      <c r="W45" s="48">
        <f t="shared" si="22"/>
        <v>1.8138772565948137E-7</v>
      </c>
      <c r="X45" s="43">
        <f t="shared" si="23"/>
        <v>0.42563091639146849</v>
      </c>
      <c r="Y45" s="43">
        <f t="shared" si="24"/>
        <v>0.30000000000000004</v>
      </c>
      <c r="Z45" s="43">
        <f t="shared" si="25"/>
        <v>2.4045299190165483</v>
      </c>
      <c r="AA45" s="49">
        <f t="shared" si="26"/>
        <v>1.4256309163914684</v>
      </c>
      <c r="AB45" s="50">
        <f t="shared" si="27"/>
        <v>2.2514325084424609</v>
      </c>
      <c r="AC45" s="43">
        <f t="shared" si="28"/>
        <v>1.3348604086062439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>
        <f t="shared" si="37"/>
        <v>0</v>
      </c>
    </row>
    <row r="46" spans="2:42" x14ac:dyDescent="0.25">
      <c r="B46" s="88" t="s">
        <v>38</v>
      </c>
      <c r="C46" s="60">
        <v>18230407</v>
      </c>
      <c r="D46" s="60" t="s">
        <v>39</v>
      </c>
      <c r="E46" s="37" t="s">
        <v>1307</v>
      </c>
      <c r="F46" s="38" t="s">
        <v>679</v>
      </c>
      <c r="G46" s="38">
        <v>5</v>
      </c>
      <c r="H46" s="38">
        <v>0</v>
      </c>
      <c r="I46" s="39" t="s">
        <v>267</v>
      </c>
      <c r="J46" s="40">
        <v>4000</v>
      </c>
      <c r="K46" s="40">
        <v>45</v>
      </c>
      <c r="L46" s="40">
        <v>0</v>
      </c>
      <c r="M46" s="41">
        <v>14</v>
      </c>
      <c r="N46" s="41">
        <v>14</v>
      </c>
      <c r="O46" s="42">
        <v>180000</v>
      </c>
      <c r="P46" s="43">
        <v>56000</v>
      </c>
      <c r="Q46" s="43">
        <v>56000</v>
      </c>
      <c r="R46" s="44">
        <v>0</v>
      </c>
      <c r="S46" s="45"/>
      <c r="T46" s="38">
        <f t="shared" si="19"/>
        <v>5</v>
      </c>
      <c r="U46" s="46">
        <f t="shared" si="20"/>
        <v>8.1624476546766619E-2</v>
      </c>
      <c r="V46" s="47">
        <f t="shared" si="21"/>
        <v>0</v>
      </c>
      <c r="W46" s="48">
        <f t="shared" si="22"/>
        <v>1.6324895309353323E-2</v>
      </c>
      <c r="X46" s="43">
        <f t="shared" si="23"/>
        <v>38306.782475232161</v>
      </c>
      <c r="Y46" s="43">
        <f t="shared" si="24"/>
        <v>0</v>
      </c>
      <c r="Z46" s="43">
        <f t="shared" si="25"/>
        <v>216407.69271148933</v>
      </c>
      <c r="AA46" s="49">
        <f t="shared" si="26"/>
        <v>94306.782475232161</v>
      </c>
      <c r="AB46" s="50">
        <f t="shared" si="27"/>
        <v>202628.92575982146</v>
      </c>
      <c r="AC46" s="43">
        <f t="shared" si="28"/>
        <v>88302.230782052575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0.58091639417414176</v>
      </c>
      <c r="AG46" s="43">
        <f t="shared" si="31"/>
        <v>104564.95095134551</v>
      </c>
      <c r="AH46" s="51">
        <f>HLOOKUP(I46,ElecAvoidedCostsWOCC!$A$5:$Q$50,T46+1,FALSE)</f>
        <v>0.58091639417414176</v>
      </c>
      <c r="AI46" s="43">
        <f t="shared" si="32"/>
        <v>0</v>
      </c>
      <c r="AJ46" s="43">
        <f t="shared" si="33"/>
        <v>104564.95095134551</v>
      </c>
      <c r="AK46" s="43">
        <f>HLOOKUP(I46,ElecAvoidedCostsWOCC!$A$5:$Q$50,G46+1,FALSE)*J46*L46</f>
        <v>0</v>
      </c>
      <c r="AL46" s="43">
        <f t="shared" si="34"/>
        <v>104564.95095134551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104564.95095134553</v>
      </c>
      <c r="AN46" s="47">
        <f t="shared" si="35"/>
        <v>115021.44604648009</v>
      </c>
      <c r="AO46" s="46">
        <f t="shared" si="36"/>
        <v>0.51604157974606069</v>
      </c>
      <c r="AP46" s="46">
        <f t="shared" si="37"/>
        <v>1.3025882248702849</v>
      </c>
    </row>
    <row r="47" spans="2:42" x14ac:dyDescent="0.25">
      <c r="B47" s="88" t="s">
        <v>38</v>
      </c>
      <c r="C47" s="60">
        <v>18230407</v>
      </c>
      <c r="D47" s="60" t="s">
        <v>39</v>
      </c>
      <c r="E47" s="37" t="s">
        <v>1308</v>
      </c>
      <c r="F47" s="38" t="s">
        <v>678</v>
      </c>
      <c r="G47" s="38">
        <v>4</v>
      </c>
      <c r="H47" s="38">
        <v>0</v>
      </c>
      <c r="I47" s="39" t="s">
        <v>267</v>
      </c>
      <c r="J47" s="40">
        <v>600</v>
      </c>
      <c r="K47" s="40">
        <v>65</v>
      </c>
      <c r="L47" s="40">
        <v>0</v>
      </c>
      <c r="M47" s="41">
        <v>14</v>
      </c>
      <c r="N47" s="41">
        <v>14</v>
      </c>
      <c r="O47" s="42">
        <v>39000</v>
      </c>
      <c r="P47" s="43">
        <v>8400</v>
      </c>
      <c r="Q47" s="43">
        <v>8400</v>
      </c>
      <c r="R47" s="44">
        <v>0</v>
      </c>
      <c r="S47" s="45"/>
      <c r="T47" s="38">
        <f t="shared" si="19"/>
        <v>4</v>
      </c>
      <c r="U47" s="46">
        <f t="shared" si="20"/>
        <v>1.4148242601439546E-2</v>
      </c>
      <c r="V47" s="47">
        <f t="shared" si="21"/>
        <v>0</v>
      </c>
      <c r="W47" s="48">
        <f t="shared" si="22"/>
        <v>3.5370606503598865E-3</v>
      </c>
      <c r="X47" s="43">
        <f t="shared" si="23"/>
        <v>8299.8028696336351</v>
      </c>
      <c r="Y47" s="43">
        <f t="shared" si="24"/>
        <v>0</v>
      </c>
      <c r="Z47" s="43">
        <f t="shared" si="25"/>
        <v>46888.333420822688</v>
      </c>
      <c r="AA47" s="49">
        <f t="shared" si="26"/>
        <v>16699.802869633633</v>
      </c>
      <c r="AB47" s="50">
        <f t="shared" si="27"/>
        <v>43902.933914627982</v>
      </c>
      <c r="AC47" s="43">
        <f t="shared" si="28"/>
        <v>15636.519540855461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0.47893553960182678</v>
      </c>
      <c r="AG47" s="43">
        <f t="shared" si="31"/>
        <v>18678.486044471243</v>
      </c>
      <c r="AH47" s="51">
        <f>HLOOKUP(I47,ElecAvoidedCostsWOCC!$A$5:$Q$50,T47+1,FALSE)</f>
        <v>0.47893553960182678</v>
      </c>
      <c r="AI47" s="43">
        <f t="shared" si="32"/>
        <v>0</v>
      </c>
      <c r="AJ47" s="43">
        <f t="shared" si="33"/>
        <v>18678.486044471243</v>
      </c>
      <c r="AK47" s="43">
        <f>HLOOKUP(I47,ElecAvoidedCostsWOCC!$A$5:$Q$50,G47+1,FALSE)*J47*L47</f>
        <v>0</v>
      </c>
      <c r="AL47" s="43">
        <f t="shared" si="34"/>
        <v>18678.486044471243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18678.486044471247</v>
      </c>
      <c r="AN47" s="47">
        <f t="shared" si="35"/>
        <v>20546.334648918371</v>
      </c>
      <c r="AO47" s="46">
        <f t="shared" si="36"/>
        <v>0.42544960846563784</v>
      </c>
      <c r="AP47" s="46">
        <f t="shared" si="37"/>
        <v>1.3139966726760666</v>
      </c>
    </row>
    <row r="48" spans="2:42" x14ac:dyDescent="0.25">
      <c r="B48" s="88" t="s">
        <v>38</v>
      </c>
      <c r="C48" s="60">
        <v>18230407</v>
      </c>
      <c r="D48" s="60" t="s">
        <v>39</v>
      </c>
      <c r="E48" s="37" t="s">
        <v>1309</v>
      </c>
      <c r="F48" s="38" t="s">
        <v>1310</v>
      </c>
      <c r="G48" s="38">
        <v>15</v>
      </c>
      <c r="H48" s="38">
        <v>0</v>
      </c>
      <c r="I48" s="39" t="s">
        <v>271</v>
      </c>
      <c r="J48" s="40">
        <v>2</v>
      </c>
      <c r="K48" s="40">
        <v>0</v>
      </c>
      <c r="L48" s="40">
        <v>0</v>
      </c>
      <c r="M48" s="41">
        <v>0.35</v>
      </c>
      <c r="N48" s="41">
        <v>0.5</v>
      </c>
      <c r="O48" s="42">
        <v>2</v>
      </c>
      <c r="P48" s="43">
        <v>0.7</v>
      </c>
      <c r="Q48" s="43">
        <v>1</v>
      </c>
      <c r="R48" s="44">
        <v>0</v>
      </c>
      <c r="S48" s="45"/>
      <c r="T48" s="38">
        <f t="shared" si="19"/>
        <v>15</v>
      </c>
      <c r="U48" s="46">
        <f t="shared" si="20"/>
        <v>2.7208158848922203E-6</v>
      </c>
      <c r="V48" s="47">
        <f t="shared" si="21"/>
        <v>0.15000000000000002</v>
      </c>
      <c r="W48" s="48">
        <f t="shared" si="22"/>
        <v>1.8138772565948137E-7</v>
      </c>
      <c r="X48" s="43">
        <f t="shared" si="23"/>
        <v>0.42563091639146849</v>
      </c>
      <c r="Y48" s="43">
        <f t="shared" si="24"/>
        <v>0.30000000000000004</v>
      </c>
      <c r="Z48" s="43">
        <f t="shared" si="25"/>
        <v>2.4045299190165483</v>
      </c>
      <c r="AA48" s="49">
        <f t="shared" si="26"/>
        <v>1.4256309163914684</v>
      </c>
      <c r="AB48" s="50">
        <f t="shared" si="27"/>
        <v>2.2514325084424609</v>
      </c>
      <c r="AC48" s="43">
        <f t="shared" si="28"/>
        <v>1.3348604086062439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0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>
        <f t="shared" si="37"/>
        <v>0</v>
      </c>
    </row>
    <row r="49" spans="2:42" x14ac:dyDescent="0.25">
      <c r="B49" s="88" t="s">
        <v>38</v>
      </c>
      <c r="C49" s="60">
        <v>18230407</v>
      </c>
      <c r="D49" s="60" t="s">
        <v>39</v>
      </c>
      <c r="E49" s="37" t="s">
        <v>1311</v>
      </c>
      <c r="F49" s="38" t="s">
        <v>614</v>
      </c>
      <c r="G49" s="38">
        <v>10</v>
      </c>
      <c r="H49" s="38">
        <v>0</v>
      </c>
      <c r="I49" s="39" t="s">
        <v>267</v>
      </c>
      <c r="J49" s="40">
        <v>100</v>
      </c>
      <c r="K49" s="40">
        <v>129</v>
      </c>
      <c r="L49" s="40">
        <v>0</v>
      </c>
      <c r="M49" s="41">
        <v>50</v>
      </c>
      <c r="N49" s="41">
        <v>50</v>
      </c>
      <c r="O49" s="42">
        <v>12900</v>
      </c>
      <c r="P49" s="43">
        <v>5000</v>
      </c>
      <c r="Q49" s="43">
        <v>5000</v>
      </c>
      <c r="R49" s="44">
        <v>0</v>
      </c>
      <c r="S49" s="45"/>
      <c r="T49" s="38">
        <f t="shared" si="19"/>
        <v>10</v>
      </c>
      <c r="U49" s="46">
        <f t="shared" si="20"/>
        <v>1.1699508305036547E-2</v>
      </c>
      <c r="V49" s="47">
        <f t="shared" si="21"/>
        <v>0</v>
      </c>
      <c r="W49" s="48">
        <f t="shared" si="22"/>
        <v>1.1699508305036547E-3</v>
      </c>
      <c r="X49" s="43">
        <f t="shared" si="23"/>
        <v>2745.3194107249715</v>
      </c>
      <c r="Y49" s="43">
        <f t="shared" si="24"/>
        <v>0</v>
      </c>
      <c r="Z49" s="43">
        <f t="shared" si="25"/>
        <v>15509.217977656734</v>
      </c>
      <c r="AA49" s="49">
        <f t="shared" si="26"/>
        <v>7745.319410724971</v>
      </c>
      <c r="AB49" s="50">
        <f t="shared" si="27"/>
        <v>14521.739679453869</v>
      </c>
      <c r="AC49" s="43">
        <f t="shared" si="28"/>
        <v>7252.1717328885488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1.0301363581848837</v>
      </c>
      <c r="AG49" s="43">
        <f t="shared" si="31"/>
        <v>13288.759020584999</v>
      </c>
      <c r="AH49" s="51">
        <f>HLOOKUP(I49,ElecAvoidedCostsWOCC!$A$5:$Q$50,T49+1,FALSE)</f>
        <v>1.0301363581848837</v>
      </c>
      <c r="AI49" s="43">
        <f t="shared" si="32"/>
        <v>0</v>
      </c>
      <c r="AJ49" s="43">
        <f t="shared" si="33"/>
        <v>13288.759020584999</v>
      </c>
      <c r="AK49" s="43">
        <f>HLOOKUP(I49,ElecAvoidedCostsWOCC!$A$5:$Q$50,G49+1,FALSE)*J49*L49</f>
        <v>0</v>
      </c>
      <c r="AL49" s="43">
        <f t="shared" si="34"/>
        <v>13288.759020584999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13288.759020584999</v>
      </c>
      <c r="AN49" s="47">
        <f t="shared" si="35"/>
        <v>14617.6349226435</v>
      </c>
      <c r="AO49" s="46">
        <f t="shared" si="36"/>
        <v>0.91509414945556722</v>
      </c>
      <c r="AP49" s="46">
        <f t="shared" si="37"/>
        <v>2.0156217283648465</v>
      </c>
    </row>
    <row r="50" spans="2:42" x14ac:dyDescent="0.25">
      <c r="B50" s="88" t="s">
        <v>38</v>
      </c>
      <c r="C50" s="60">
        <v>18230407</v>
      </c>
      <c r="D50" s="60" t="s">
        <v>39</v>
      </c>
      <c r="E50" s="37" t="s">
        <v>1312</v>
      </c>
      <c r="F50" s="38" t="s">
        <v>666</v>
      </c>
      <c r="G50" s="38">
        <v>10</v>
      </c>
      <c r="H50" s="38">
        <v>0</v>
      </c>
      <c r="I50" s="39" t="s">
        <v>267</v>
      </c>
      <c r="J50" s="40">
        <v>4000</v>
      </c>
      <c r="K50" s="40">
        <v>129</v>
      </c>
      <c r="L50" s="40">
        <v>0</v>
      </c>
      <c r="M50" s="41">
        <v>200</v>
      </c>
      <c r="N50" s="41">
        <v>250</v>
      </c>
      <c r="O50" s="42">
        <v>516000</v>
      </c>
      <c r="P50" s="43">
        <v>800000</v>
      </c>
      <c r="Q50" s="43">
        <v>1000000</v>
      </c>
      <c r="R50" s="44">
        <v>0</v>
      </c>
      <c r="S50" s="45"/>
      <c r="T50" s="38">
        <f t="shared" si="19"/>
        <v>10</v>
      </c>
      <c r="U50" s="46">
        <f t="shared" si="20"/>
        <v>0.4679803322014619</v>
      </c>
      <c r="V50" s="47">
        <f t="shared" si="21"/>
        <v>50</v>
      </c>
      <c r="W50" s="48">
        <f t="shared" si="22"/>
        <v>4.6798033220146189E-2</v>
      </c>
      <c r="X50" s="43">
        <f t="shared" si="23"/>
        <v>109812.77642899886</v>
      </c>
      <c r="Y50" s="43">
        <f t="shared" si="24"/>
        <v>200000</v>
      </c>
      <c r="Z50" s="43">
        <f t="shared" si="25"/>
        <v>620368.71910626942</v>
      </c>
      <c r="AA50" s="49">
        <f t="shared" si="26"/>
        <v>1109812.7764289989</v>
      </c>
      <c r="AB50" s="50">
        <f t="shared" si="27"/>
        <v>580869.58717815485</v>
      </c>
      <c r="AC50" s="43">
        <f t="shared" si="28"/>
        <v>1039150.5397275271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1.0301363581848837</v>
      </c>
      <c r="AG50" s="43">
        <f t="shared" si="31"/>
        <v>531550.36082339997</v>
      </c>
      <c r="AH50" s="51">
        <f>HLOOKUP(I50,ElecAvoidedCostsWOCC!$A$5:$Q$50,T50+1,FALSE)</f>
        <v>1.0301363581848837</v>
      </c>
      <c r="AI50" s="43">
        <f t="shared" si="32"/>
        <v>0</v>
      </c>
      <c r="AJ50" s="43">
        <f t="shared" si="33"/>
        <v>531550.36082339997</v>
      </c>
      <c r="AK50" s="43">
        <f>HLOOKUP(I50,ElecAvoidedCostsWOCC!$A$5:$Q$50,G50+1,FALSE)*J50*L50</f>
        <v>0</v>
      </c>
      <c r="AL50" s="43">
        <f t="shared" si="34"/>
        <v>531550.36082339997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531550.36082339997</v>
      </c>
      <c r="AN50" s="47">
        <f t="shared" si="35"/>
        <v>584705.39690574002</v>
      </c>
      <c r="AO50" s="46">
        <f t="shared" si="36"/>
        <v>0.91509414945556711</v>
      </c>
      <c r="AP50" s="46">
        <f t="shared" si="37"/>
        <v>0.56267631546344965</v>
      </c>
    </row>
    <row r="51" spans="2:42" x14ac:dyDescent="0.25">
      <c r="B51" s="88" t="s">
        <v>38</v>
      </c>
      <c r="C51" s="60">
        <v>18230407</v>
      </c>
      <c r="D51" s="60" t="s">
        <v>39</v>
      </c>
      <c r="E51" s="37" t="s">
        <v>1313</v>
      </c>
      <c r="F51" s="38" t="s">
        <v>571</v>
      </c>
      <c r="G51" s="38">
        <v>13</v>
      </c>
      <c r="H51" s="38">
        <v>0</v>
      </c>
      <c r="I51" s="39" t="s">
        <v>269</v>
      </c>
      <c r="J51" s="40">
        <v>0</v>
      </c>
      <c r="K51" s="40">
        <v>1336.72</v>
      </c>
      <c r="L51" s="40">
        <v>0</v>
      </c>
      <c r="M51" s="41">
        <v>500</v>
      </c>
      <c r="N51" s="41">
        <v>727.16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13</v>
      </c>
      <c r="U51" s="46">
        <f t="shared" si="20"/>
        <v>0</v>
      </c>
      <c r="V51" s="47">
        <f t="shared" si="21"/>
        <v>227.15999999999997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1.262268642203892</v>
      </c>
      <c r="AG51" s="43">
        <f t="shared" si="31"/>
        <v>0</v>
      </c>
      <c r="AH51" s="51">
        <f>HLOOKUP(I51,ElecAvoidedCostsWOCC!$A$5:$Q$50,T51+1,FALSE)</f>
        <v>1.262268642203892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38</v>
      </c>
      <c r="C52" s="60">
        <v>18230407</v>
      </c>
      <c r="D52" s="60" t="s">
        <v>39</v>
      </c>
      <c r="E52" s="37" t="s">
        <v>857</v>
      </c>
      <c r="F52" s="38" t="s">
        <v>686</v>
      </c>
      <c r="G52" s="38">
        <v>20</v>
      </c>
      <c r="H52" s="38">
        <v>0</v>
      </c>
      <c r="I52" s="39" t="s">
        <v>269</v>
      </c>
      <c r="J52" s="40">
        <v>20</v>
      </c>
      <c r="K52" s="40">
        <v>-22.54</v>
      </c>
      <c r="L52" s="40">
        <v>0</v>
      </c>
      <c r="M52" s="41">
        <v>0</v>
      </c>
      <c r="N52" s="41">
        <v>0</v>
      </c>
      <c r="O52" s="42">
        <v>-450.79999999999995</v>
      </c>
      <c r="P52" s="43">
        <v>0</v>
      </c>
      <c r="Q52" s="43">
        <v>0</v>
      </c>
      <c r="R52" s="44">
        <v>0</v>
      </c>
      <c r="S52" s="45"/>
      <c r="T52" s="38">
        <f t="shared" si="19"/>
        <v>20</v>
      </c>
      <c r="U52" s="46">
        <f t="shared" si="20"/>
        <v>-8.1769586727294184E-4</v>
      </c>
      <c r="V52" s="47">
        <f t="shared" si="21"/>
        <v>0</v>
      </c>
      <c r="W52" s="48">
        <f t="shared" si="22"/>
        <v>-4.0884793363647093E-5</v>
      </c>
      <c r="X52" s="43">
        <f t="shared" si="23"/>
        <v>-95.937208554636982</v>
      </c>
      <c r="Y52" s="43">
        <f t="shared" si="24"/>
        <v>0</v>
      </c>
      <c r="Z52" s="43">
        <f t="shared" si="25"/>
        <v>-541.98104374632999</v>
      </c>
      <c r="AA52" s="49">
        <f t="shared" si="26"/>
        <v>-95.937208554636982</v>
      </c>
      <c r="AB52" s="50">
        <f t="shared" si="27"/>
        <v>-507.47288740293067</v>
      </c>
      <c r="AC52" s="43">
        <f t="shared" si="28"/>
        <v>-89.828846961270571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1.6340456947583777</v>
      </c>
      <c r="AG52" s="43">
        <f t="shared" si="31"/>
        <v>-736.62779919707668</v>
      </c>
      <c r="AH52" s="51">
        <f>HLOOKUP(I52,ElecAvoidedCostsWOCC!$A$5:$Q$50,T52+1,FALSE)</f>
        <v>1.6340456947583777</v>
      </c>
      <c r="AI52" s="43">
        <f t="shared" si="32"/>
        <v>0</v>
      </c>
      <c r="AJ52" s="43">
        <f t="shared" si="33"/>
        <v>-736.62779919707668</v>
      </c>
      <c r="AK52" s="43">
        <f>HLOOKUP(I52,ElecAvoidedCostsWOCC!$A$5:$Q$50,G52+1,FALSE)*J52*L52</f>
        <v>0</v>
      </c>
      <c r="AL52" s="43">
        <f t="shared" si="34"/>
        <v>-736.62779919707668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-736.62779919707657</v>
      </c>
      <c r="AN52" s="47">
        <f t="shared" si="35"/>
        <v>-810.29057911678433</v>
      </c>
      <c r="AO52" s="46">
        <f t="shared" si="36"/>
        <v>1.4515608961236941</v>
      </c>
      <c r="AP52" s="46">
        <f t="shared" si="37"/>
        <v>9.020382722558363</v>
      </c>
    </row>
    <row r="53" spans="2:42" x14ac:dyDescent="0.25">
      <c r="B53" s="88" t="s">
        <v>38</v>
      </c>
      <c r="C53" s="60">
        <v>18230407</v>
      </c>
      <c r="D53" s="60" t="s">
        <v>39</v>
      </c>
      <c r="E53" s="37" t="s">
        <v>1314</v>
      </c>
      <c r="F53" s="38" t="s">
        <v>573</v>
      </c>
      <c r="G53" s="38">
        <v>20</v>
      </c>
      <c r="H53" s="38">
        <v>0</v>
      </c>
      <c r="I53" s="39" t="s">
        <v>269</v>
      </c>
      <c r="J53" s="40">
        <v>20</v>
      </c>
      <c r="K53" s="40">
        <v>-22.54</v>
      </c>
      <c r="L53" s="40">
        <v>0</v>
      </c>
      <c r="M53" s="41">
        <v>0</v>
      </c>
      <c r="N53" s="41">
        <v>0</v>
      </c>
      <c r="O53" s="42">
        <v>-450.79999999999995</v>
      </c>
      <c r="P53" s="43">
        <v>0</v>
      </c>
      <c r="Q53" s="43">
        <v>0</v>
      </c>
      <c r="R53" s="44">
        <v>15.4399</v>
      </c>
      <c r="S53" s="45"/>
      <c r="T53" s="38">
        <f t="shared" si="19"/>
        <v>20</v>
      </c>
      <c r="U53" s="46">
        <f t="shared" si="20"/>
        <v>-8.1769586727294184E-4</v>
      </c>
      <c r="V53" s="47">
        <f t="shared" si="21"/>
        <v>0</v>
      </c>
      <c r="W53" s="48">
        <f t="shared" si="22"/>
        <v>-4.0884793363647093E-5</v>
      </c>
      <c r="X53" s="43">
        <f t="shared" si="23"/>
        <v>-95.937208554636982</v>
      </c>
      <c r="Y53" s="43">
        <f t="shared" si="24"/>
        <v>0</v>
      </c>
      <c r="Z53" s="43">
        <f t="shared" si="25"/>
        <v>-541.98104374632999</v>
      </c>
      <c r="AA53" s="49">
        <f t="shared" si="26"/>
        <v>-95.937208554636982</v>
      </c>
      <c r="AB53" s="50">
        <f t="shared" si="27"/>
        <v>-507.47288740293067</v>
      </c>
      <c r="AC53" s="43">
        <f t="shared" si="28"/>
        <v>-89.828846961270571</v>
      </c>
      <c r="AD53" s="43">
        <f t="shared" si="29"/>
        <v>3322.8855794822548</v>
      </c>
      <c r="AE53" s="43">
        <f t="shared" si="30"/>
        <v>0</v>
      </c>
      <c r="AF53" s="51">
        <f>HLOOKUP(I53,ElecAvoidedCostsWOCC!$A$5:$Q$50,G53+1,FALSE)</f>
        <v>1.6340456947583777</v>
      </c>
      <c r="AG53" s="43">
        <f t="shared" si="31"/>
        <v>-736.62779919707668</v>
      </c>
      <c r="AH53" s="51">
        <f>HLOOKUP(I53,ElecAvoidedCostsWOCC!$A$5:$Q$50,T53+1,FALSE)</f>
        <v>1.6340456947583777</v>
      </c>
      <c r="AI53" s="43">
        <f t="shared" si="32"/>
        <v>0</v>
      </c>
      <c r="AJ53" s="43">
        <f t="shared" si="33"/>
        <v>-736.62779919707668</v>
      </c>
      <c r="AK53" s="43">
        <f>HLOOKUP(I53,ElecAvoidedCostsWOCC!$A$5:$Q$50,G53+1,FALSE)*J53*L53</f>
        <v>0</v>
      </c>
      <c r="AL53" s="43">
        <f t="shared" si="34"/>
        <v>-736.62779919707668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-736.62779919707657</v>
      </c>
      <c r="AN53" s="47">
        <f t="shared" si="35"/>
        <v>2512.5950003654707</v>
      </c>
      <c r="AO53" s="46">
        <f t="shared" si="36"/>
        <v>1.4515608961236941</v>
      </c>
      <c r="AP53" s="46">
        <f t="shared" si="37"/>
        <v>-27.970914526474644</v>
      </c>
    </row>
    <row r="54" spans="2:42" x14ac:dyDescent="0.25">
      <c r="B54" s="88" t="s">
        <v>38</v>
      </c>
      <c r="C54" s="60">
        <v>18230407</v>
      </c>
      <c r="D54" s="60" t="s">
        <v>39</v>
      </c>
      <c r="E54" s="37" t="s">
        <v>857</v>
      </c>
      <c r="F54" s="38" t="s">
        <v>1315</v>
      </c>
      <c r="G54" s="38">
        <v>13</v>
      </c>
      <c r="H54" s="38">
        <v>0</v>
      </c>
      <c r="I54" s="39" t="s">
        <v>269</v>
      </c>
      <c r="J54" s="40">
        <v>20</v>
      </c>
      <c r="K54" s="40">
        <v>3.19</v>
      </c>
      <c r="L54" s="40">
        <v>0</v>
      </c>
      <c r="M54" s="41">
        <v>0</v>
      </c>
      <c r="N54" s="41">
        <v>0</v>
      </c>
      <c r="O54" s="42">
        <v>63.8</v>
      </c>
      <c r="P54" s="43">
        <v>0</v>
      </c>
      <c r="Q54" s="43">
        <v>0</v>
      </c>
      <c r="R54" s="44">
        <v>0</v>
      </c>
      <c r="S54" s="45"/>
      <c r="T54" s="38">
        <f t="shared" si="19"/>
        <v>13</v>
      </c>
      <c r="U54" s="46">
        <f t="shared" si="20"/>
        <v>7.5221489830986919E-5</v>
      </c>
      <c r="V54" s="47">
        <f t="shared" si="21"/>
        <v>0</v>
      </c>
      <c r="W54" s="48">
        <f t="shared" si="22"/>
        <v>5.786268448537455E-6</v>
      </c>
      <c r="X54" s="43">
        <f t="shared" si="23"/>
        <v>13.577626232887843</v>
      </c>
      <c r="Y54" s="43">
        <f t="shared" si="24"/>
        <v>0</v>
      </c>
      <c r="Z54" s="43">
        <f t="shared" si="25"/>
        <v>76.704504416627884</v>
      </c>
      <c r="AA54" s="49">
        <f t="shared" si="26"/>
        <v>13.577626232887843</v>
      </c>
      <c r="AB54" s="50">
        <f t="shared" si="27"/>
        <v>71.820697019314494</v>
      </c>
      <c r="AC54" s="43">
        <f t="shared" si="28"/>
        <v>12.713133176861275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1.262268642203892</v>
      </c>
      <c r="AG54" s="43">
        <f t="shared" si="31"/>
        <v>80.532739372608319</v>
      </c>
      <c r="AH54" s="51">
        <f>HLOOKUP(I54,ElecAvoidedCostsWOCC!$A$5:$Q$50,T54+1,FALSE)</f>
        <v>1.262268642203892</v>
      </c>
      <c r="AI54" s="43">
        <f t="shared" si="32"/>
        <v>0</v>
      </c>
      <c r="AJ54" s="43">
        <f t="shared" si="33"/>
        <v>80.532739372608319</v>
      </c>
      <c r="AK54" s="43">
        <f>HLOOKUP(I54,ElecAvoidedCostsWOCC!$A$5:$Q$50,G54+1,FALSE)*J54*L54</f>
        <v>0</v>
      </c>
      <c r="AL54" s="43">
        <f t="shared" si="34"/>
        <v>80.532739372608319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80.532739372608319</v>
      </c>
      <c r="AN54" s="47">
        <f t="shared" si="35"/>
        <v>88.586013309869159</v>
      </c>
      <c r="AO54" s="46">
        <f t="shared" si="36"/>
        <v>1.1213026706069271</v>
      </c>
      <c r="AP54" s="46">
        <f t="shared" si="37"/>
        <v>6.9680708978256778</v>
      </c>
    </row>
    <row r="55" spans="2:42" x14ac:dyDescent="0.25">
      <c r="B55" s="88" t="s">
        <v>38</v>
      </c>
      <c r="C55" s="60">
        <v>18230407</v>
      </c>
      <c r="D55" s="60" t="s">
        <v>39</v>
      </c>
      <c r="E55" s="37" t="s">
        <v>1316</v>
      </c>
      <c r="F55" s="38" t="s">
        <v>1317</v>
      </c>
      <c r="G55" s="38">
        <v>13</v>
      </c>
      <c r="H55" s="38">
        <v>0</v>
      </c>
      <c r="I55" s="39" t="s">
        <v>269</v>
      </c>
      <c r="J55" s="40">
        <v>20</v>
      </c>
      <c r="K55" s="40">
        <v>3.19</v>
      </c>
      <c r="L55" s="40">
        <v>0</v>
      </c>
      <c r="M55" s="41">
        <v>0</v>
      </c>
      <c r="N55" s="41">
        <v>0</v>
      </c>
      <c r="O55" s="42">
        <v>63.8</v>
      </c>
      <c r="P55" s="43">
        <v>0</v>
      </c>
      <c r="Q55" s="43">
        <v>0</v>
      </c>
      <c r="R55" s="44">
        <v>6.8742999999999999</v>
      </c>
      <c r="S55" s="45"/>
      <c r="T55" s="38">
        <f t="shared" si="19"/>
        <v>13</v>
      </c>
      <c r="U55" s="46">
        <f t="shared" si="20"/>
        <v>7.5221489830986919E-5</v>
      </c>
      <c r="V55" s="47">
        <f t="shared" si="21"/>
        <v>0</v>
      </c>
      <c r="W55" s="48">
        <f t="shared" si="22"/>
        <v>5.786268448537455E-6</v>
      </c>
      <c r="X55" s="43">
        <f t="shared" si="23"/>
        <v>13.577626232887843</v>
      </c>
      <c r="Y55" s="43">
        <f t="shared" si="24"/>
        <v>0</v>
      </c>
      <c r="Z55" s="43">
        <f t="shared" si="25"/>
        <v>76.704504416627884</v>
      </c>
      <c r="AA55" s="49">
        <f t="shared" si="26"/>
        <v>13.577626232887843</v>
      </c>
      <c r="AB55" s="50">
        <f t="shared" si="27"/>
        <v>71.820697019314494</v>
      </c>
      <c r="AC55" s="43">
        <f t="shared" si="28"/>
        <v>12.713133176861275</v>
      </c>
      <c r="AD55" s="43">
        <f t="shared" si="29"/>
        <v>1162.1997511064405</v>
      </c>
      <c r="AE55" s="43">
        <f t="shared" si="30"/>
        <v>0</v>
      </c>
      <c r="AF55" s="51">
        <f>HLOOKUP(I55,ElecAvoidedCostsWOCC!$A$5:$Q$50,G55+1,FALSE)</f>
        <v>1.262268642203892</v>
      </c>
      <c r="AG55" s="43">
        <f t="shared" si="31"/>
        <v>80.532739372608319</v>
      </c>
      <c r="AH55" s="51">
        <f>HLOOKUP(I55,ElecAvoidedCostsWOCC!$A$5:$Q$50,T55+1,FALSE)</f>
        <v>1.262268642203892</v>
      </c>
      <c r="AI55" s="43">
        <f t="shared" si="32"/>
        <v>0</v>
      </c>
      <c r="AJ55" s="43">
        <f t="shared" si="33"/>
        <v>80.532739372608319</v>
      </c>
      <c r="AK55" s="43">
        <f>HLOOKUP(I55,ElecAvoidedCostsWOCC!$A$5:$Q$50,G55+1,FALSE)*J55*L55</f>
        <v>0</v>
      </c>
      <c r="AL55" s="43">
        <f t="shared" si="34"/>
        <v>80.532739372608319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80.532739372608319</v>
      </c>
      <c r="AN55" s="47">
        <f t="shared" si="35"/>
        <v>1250.7857644163098</v>
      </c>
      <c r="AO55" s="46">
        <f t="shared" si="36"/>
        <v>1.1213026706069271</v>
      </c>
      <c r="AP55" s="46">
        <f t="shared" si="37"/>
        <v>98.385326969815821</v>
      </c>
    </row>
    <row r="56" spans="2:42" x14ac:dyDescent="0.25">
      <c r="B56" s="88" t="s">
        <v>38</v>
      </c>
      <c r="C56" s="60">
        <v>18230407</v>
      </c>
      <c r="D56" s="60" t="s">
        <v>39</v>
      </c>
      <c r="E56" s="37" t="s">
        <v>1318</v>
      </c>
      <c r="F56" s="38" t="s">
        <v>1319</v>
      </c>
      <c r="G56" s="38">
        <v>11</v>
      </c>
      <c r="H56" s="38">
        <v>0</v>
      </c>
      <c r="I56" s="39" t="s">
        <v>260</v>
      </c>
      <c r="J56" s="40">
        <v>20</v>
      </c>
      <c r="K56" s="40">
        <v>540.29</v>
      </c>
      <c r="L56" s="40">
        <v>0</v>
      </c>
      <c r="M56" s="41">
        <v>175</v>
      </c>
      <c r="N56" s="41">
        <v>316.92</v>
      </c>
      <c r="O56" s="42">
        <v>10805.8</v>
      </c>
      <c r="P56" s="43">
        <v>3500</v>
      </c>
      <c r="Q56" s="43">
        <v>6338.4000000000005</v>
      </c>
      <c r="R56" s="44">
        <v>308.56</v>
      </c>
      <c r="S56" s="45"/>
      <c r="T56" s="38">
        <f t="shared" si="19"/>
        <v>11</v>
      </c>
      <c r="U56" s="46">
        <f t="shared" si="20"/>
        <v>1.0780217172621729E-2</v>
      </c>
      <c r="V56" s="47">
        <f t="shared" si="21"/>
        <v>141.92000000000002</v>
      </c>
      <c r="W56" s="48">
        <f t="shared" si="22"/>
        <v>9.8001974296561172E-4</v>
      </c>
      <c r="X56" s="43">
        <f t="shared" si="23"/>
        <v>2299.6412781714648</v>
      </c>
      <c r="Y56" s="43">
        <f t="shared" si="24"/>
        <v>2838.4000000000005</v>
      </c>
      <c r="Z56" s="43">
        <f t="shared" si="25"/>
        <v>12991.434699454507</v>
      </c>
      <c r="AA56" s="49">
        <f t="shared" si="26"/>
        <v>8638.0412781714658</v>
      </c>
      <c r="AB56" s="50">
        <f t="shared" si="27"/>
        <v>12164.26469986377</v>
      </c>
      <c r="AC56" s="43">
        <f t="shared" si="28"/>
        <v>8088.0536312466902</v>
      </c>
      <c r="AD56" s="43">
        <f t="shared" si="29"/>
        <v>46740.350868068796</v>
      </c>
      <c r="AE56" s="43">
        <f t="shared" si="30"/>
        <v>0</v>
      </c>
      <c r="AF56" s="51">
        <f>HLOOKUP(I56,ElecAvoidedCostsWOCC!$A$5:$Q$50,G56+1,FALSE)</f>
        <v>1.0714922798913573</v>
      </c>
      <c r="AG56" s="43">
        <f t="shared" si="31"/>
        <v>11578.331278050027</v>
      </c>
      <c r="AH56" s="51">
        <f>HLOOKUP(I56,ElecAvoidedCostsWOCC!$A$5:$Q$50,T56+1,FALSE)</f>
        <v>1.0714922798913573</v>
      </c>
      <c r="AI56" s="43">
        <f t="shared" si="32"/>
        <v>0</v>
      </c>
      <c r="AJ56" s="43">
        <f t="shared" si="33"/>
        <v>11578.331278050027</v>
      </c>
      <c r="AK56" s="43">
        <f>HLOOKUP(I56,ElecAvoidedCostsWOCC!$A$5:$Q$50,G56+1,FALSE)*J56*L56</f>
        <v>0</v>
      </c>
      <c r="AL56" s="43">
        <f t="shared" si="34"/>
        <v>11578.331278050027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11578.331278050027</v>
      </c>
      <c r="AN56" s="47">
        <f t="shared" si="35"/>
        <v>59476.515273923826</v>
      </c>
      <c r="AO56" s="46">
        <f t="shared" si="36"/>
        <v>0.95183157911548033</v>
      </c>
      <c r="AP56" s="46">
        <f t="shared" si="37"/>
        <v>7.3536252336591064</v>
      </c>
    </row>
    <row r="57" spans="2:42" x14ac:dyDescent="0.25">
      <c r="B57" s="88" t="s">
        <v>38</v>
      </c>
      <c r="C57" s="60">
        <v>18230407</v>
      </c>
      <c r="D57" s="60" t="s">
        <v>39</v>
      </c>
      <c r="E57" s="37" t="s">
        <v>1320</v>
      </c>
      <c r="F57" s="38" t="s">
        <v>1321</v>
      </c>
      <c r="G57" s="38">
        <v>11</v>
      </c>
      <c r="H57" s="38">
        <v>0</v>
      </c>
      <c r="I57" s="39" t="s">
        <v>260</v>
      </c>
      <c r="J57" s="40">
        <v>20</v>
      </c>
      <c r="K57" s="40">
        <v>332.83</v>
      </c>
      <c r="L57" s="40">
        <v>0</v>
      </c>
      <c r="M57" s="41">
        <v>225</v>
      </c>
      <c r="N57" s="41">
        <v>252.92</v>
      </c>
      <c r="O57" s="42">
        <v>6656.5999999999995</v>
      </c>
      <c r="P57" s="43">
        <v>4500</v>
      </c>
      <c r="Q57" s="43">
        <v>5058.3999999999996</v>
      </c>
      <c r="R57" s="44">
        <v>246.24</v>
      </c>
      <c r="S57" s="45"/>
      <c r="T57" s="38">
        <f t="shared" si="19"/>
        <v>11</v>
      </c>
      <c r="U57" s="46">
        <f t="shared" si="20"/>
        <v>6.6408404404369684E-3</v>
      </c>
      <c r="V57" s="47">
        <f t="shared" si="21"/>
        <v>27.919999999999987</v>
      </c>
      <c r="W57" s="48">
        <f t="shared" si="22"/>
        <v>6.0371276731245171E-4</v>
      </c>
      <c r="X57" s="43">
        <f t="shared" si="23"/>
        <v>1416.6273790257242</v>
      </c>
      <c r="Y57" s="43">
        <f t="shared" si="24"/>
        <v>558.39999999999964</v>
      </c>
      <c r="Z57" s="43">
        <f t="shared" si="25"/>
        <v>8002.9969294627754</v>
      </c>
      <c r="AA57" s="49">
        <f t="shared" si="26"/>
        <v>6475.0273790257233</v>
      </c>
      <c r="AB57" s="50">
        <f t="shared" si="27"/>
        <v>7493.4428178490398</v>
      </c>
      <c r="AC57" s="43">
        <f t="shared" si="28"/>
        <v>6062.7597181888796</v>
      </c>
      <c r="AD57" s="43">
        <f t="shared" si="29"/>
        <v>37300.181480921899</v>
      </c>
      <c r="AE57" s="43">
        <f t="shared" si="30"/>
        <v>0</v>
      </c>
      <c r="AF57" s="51">
        <f>HLOOKUP(I57,ElecAvoidedCostsWOCC!$A$5:$Q$50,G57+1,FALSE)</f>
        <v>1.0714922798913573</v>
      </c>
      <c r="AG57" s="43">
        <f t="shared" si="31"/>
        <v>7132.4955103248085</v>
      </c>
      <c r="AH57" s="51">
        <f>HLOOKUP(I57,ElecAvoidedCostsWOCC!$A$5:$Q$50,T57+1,FALSE)</f>
        <v>1.0714922798913573</v>
      </c>
      <c r="AI57" s="43">
        <f t="shared" si="32"/>
        <v>0</v>
      </c>
      <c r="AJ57" s="43">
        <f t="shared" si="33"/>
        <v>7132.4955103248085</v>
      </c>
      <c r="AK57" s="43">
        <f>HLOOKUP(I57,ElecAvoidedCostsWOCC!$A$5:$Q$50,G57+1,FALSE)*J57*L57</f>
        <v>0</v>
      </c>
      <c r="AL57" s="43">
        <f t="shared" si="34"/>
        <v>7132.4955103248085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7132.4955103248085</v>
      </c>
      <c r="AN57" s="47">
        <f t="shared" si="35"/>
        <v>45145.926542279187</v>
      </c>
      <c r="AO57" s="46">
        <f t="shared" si="36"/>
        <v>0.95183157911548066</v>
      </c>
      <c r="AP57" s="46">
        <f t="shared" si="37"/>
        <v>7.4464317638775848</v>
      </c>
    </row>
    <row r="58" spans="2:42" x14ac:dyDescent="0.25">
      <c r="B58" s="36"/>
      <c r="C58" s="60"/>
      <c r="D58" s="60"/>
      <c r="E58" s="37" t="s">
        <v>1322</v>
      </c>
      <c r="F58" s="38" t="s">
        <v>1323</v>
      </c>
      <c r="G58" s="38">
        <v>11</v>
      </c>
      <c r="H58" s="38">
        <v>0</v>
      </c>
      <c r="I58" s="39" t="s">
        <v>260</v>
      </c>
      <c r="J58" s="40">
        <v>20</v>
      </c>
      <c r="K58" s="40">
        <v>869.48</v>
      </c>
      <c r="L58" s="40">
        <v>0</v>
      </c>
      <c r="M58" s="41">
        <v>400</v>
      </c>
      <c r="N58" s="41">
        <v>399.62</v>
      </c>
      <c r="O58" s="42">
        <v>17389.599999999999</v>
      </c>
      <c r="P58" s="43">
        <v>8000</v>
      </c>
      <c r="Q58" s="43">
        <v>7992.4</v>
      </c>
      <c r="R58" s="44">
        <v>389.08</v>
      </c>
      <c r="S58" s="45"/>
      <c r="T58" s="38">
        <f t="shared" si="19"/>
        <v>11</v>
      </c>
      <c r="U58" s="46">
        <f t="shared" si="20"/>
        <v>1.7348429967704641E-2</v>
      </c>
      <c r="V58" s="47">
        <f t="shared" si="21"/>
        <v>-0.37999999999999545</v>
      </c>
      <c r="W58" s="48">
        <f t="shared" si="22"/>
        <v>1.5771299970640583E-3</v>
      </c>
      <c r="X58" s="43">
        <f t="shared" si="23"/>
        <v>3700.7756918405394</v>
      </c>
      <c r="Y58" s="43">
        <f t="shared" si="24"/>
        <v>-7.6000000000003638</v>
      </c>
      <c r="Z58" s="43">
        <f t="shared" si="25"/>
        <v>20906.90673986508</v>
      </c>
      <c r="AA58" s="49">
        <f t="shared" si="26"/>
        <v>11693.175691840539</v>
      </c>
      <c r="AB58" s="50">
        <f t="shared" si="27"/>
        <v>19575.755374405504</v>
      </c>
      <c r="AC58" s="43">
        <f t="shared" si="28"/>
        <v>10948.666378127846</v>
      </c>
      <c r="AD58" s="43">
        <f t="shared" si="29"/>
        <v>58937.437502424844</v>
      </c>
      <c r="AE58" s="43">
        <f t="shared" si="30"/>
        <v>0</v>
      </c>
      <c r="AF58" s="51">
        <f>HLOOKUP(I58,ElecAvoidedCostsWOCC!$A$5:$Q$50,G58+1,FALSE)</f>
        <v>1.0714922798913573</v>
      </c>
      <c r="AG58" s="43">
        <f t="shared" si="31"/>
        <v>18632.822150398748</v>
      </c>
      <c r="AH58" s="51">
        <f>HLOOKUP(I58,ElecAvoidedCostsWOCC!$A$5:$Q$50,T58+1,FALSE)</f>
        <v>1.0714922798913573</v>
      </c>
      <c r="AI58" s="43">
        <f t="shared" si="32"/>
        <v>0</v>
      </c>
      <c r="AJ58" s="43">
        <f t="shared" si="33"/>
        <v>18632.822150398748</v>
      </c>
      <c r="AK58" s="43">
        <f>HLOOKUP(I58,ElecAvoidedCostsWOCC!$A$5:$Q$50,G58+1,FALSE)*J58*L58</f>
        <v>0</v>
      </c>
      <c r="AL58" s="43">
        <f t="shared" si="34"/>
        <v>18632.822150398748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18632.822150398748</v>
      </c>
      <c r="AN58" s="47">
        <f t="shared" si="35"/>
        <v>79433.541867863474</v>
      </c>
      <c r="AO58" s="46">
        <f t="shared" si="36"/>
        <v>0.95183157911548066</v>
      </c>
      <c r="AP58" s="46">
        <f t="shared" si="37"/>
        <v>7.2550883481615518</v>
      </c>
    </row>
    <row r="59" spans="2:42" x14ac:dyDescent="0.25">
      <c r="B59" s="36"/>
      <c r="C59" s="60"/>
      <c r="D59" s="60"/>
      <c r="E59" s="37" t="s">
        <v>1324</v>
      </c>
      <c r="F59" s="38" t="s">
        <v>1325</v>
      </c>
      <c r="G59" s="38">
        <v>11</v>
      </c>
      <c r="H59" s="38">
        <v>0</v>
      </c>
      <c r="I59" s="39" t="s">
        <v>260</v>
      </c>
      <c r="J59" s="40">
        <v>20</v>
      </c>
      <c r="K59" s="40">
        <v>332.83</v>
      </c>
      <c r="L59" s="40">
        <v>0</v>
      </c>
      <c r="M59" s="41">
        <v>225</v>
      </c>
      <c r="N59" s="41">
        <v>252.92</v>
      </c>
      <c r="O59" s="42">
        <v>6656.5999999999995</v>
      </c>
      <c r="P59" s="43">
        <v>4500</v>
      </c>
      <c r="Q59" s="43">
        <v>5058.3999999999996</v>
      </c>
      <c r="R59" s="44">
        <v>389.08</v>
      </c>
      <c r="S59" s="45"/>
      <c r="T59" s="38">
        <f t="shared" si="19"/>
        <v>11</v>
      </c>
      <c r="U59" s="46">
        <f t="shared" si="20"/>
        <v>6.6408404404369684E-3</v>
      </c>
      <c r="V59" s="47">
        <f t="shared" si="21"/>
        <v>27.919999999999987</v>
      </c>
      <c r="W59" s="48">
        <f t="shared" si="22"/>
        <v>6.0371276731245171E-4</v>
      </c>
      <c r="X59" s="43">
        <f t="shared" si="23"/>
        <v>1416.6273790257242</v>
      </c>
      <c r="Y59" s="43">
        <f t="shared" si="24"/>
        <v>558.39999999999964</v>
      </c>
      <c r="Z59" s="43">
        <f t="shared" si="25"/>
        <v>8002.9969294627754</v>
      </c>
      <c r="AA59" s="49">
        <f t="shared" si="26"/>
        <v>6475.0273790257233</v>
      </c>
      <c r="AB59" s="50">
        <f t="shared" si="27"/>
        <v>7493.4428178490398</v>
      </c>
      <c r="AC59" s="43">
        <f t="shared" si="28"/>
        <v>6062.7597181888796</v>
      </c>
      <c r="AD59" s="43">
        <f t="shared" si="29"/>
        <v>58937.437502424844</v>
      </c>
      <c r="AE59" s="43">
        <f t="shared" si="30"/>
        <v>0</v>
      </c>
      <c r="AF59" s="51">
        <f>HLOOKUP(I59,ElecAvoidedCostsWOCC!$A$5:$Q$50,G59+1,FALSE)</f>
        <v>1.0714922798913573</v>
      </c>
      <c r="AG59" s="43">
        <f t="shared" si="31"/>
        <v>7132.4955103248085</v>
      </c>
      <c r="AH59" s="51">
        <f>HLOOKUP(I59,ElecAvoidedCostsWOCC!$A$5:$Q$50,T59+1,FALSE)</f>
        <v>1.0714922798913573</v>
      </c>
      <c r="AI59" s="43">
        <f t="shared" si="32"/>
        <v>0</v>
      </c>
      <c r="AJ59" s="43">
        <f t="shared" si="33"/>
        <v>7132.4955103248085</v>
      </c>
      <c r="AK59" s="43">
        <f>HLOOKUP(I59,ElecAvoidedCostsWOCC!$A$5:$Q$50,G59+1,FALSE)*J59*L59</f>
        <v>0</v>
      </c>
      <c r="AL59" s="43">
        <f t="shared" si="34"/>
        <v>7132.4955103248085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7132.4955103248085</v>
      </c>
      <c r="AN59" s="47">
        <f t="shared" si="35"/>
        <v>66783.182563782131</v>
      </c>
      <c r="AO59" s="46">
        <f t="shared" si="36"/>
        <v>0.95183157911548066</v>
      </c>
      <c r="AP59" s="46">
        <f t="shared" si="37"/>
        <v>11.015310793767064</v>
      </c>
    </row>
    <row r="60" spans="2:42" x14ac:dyDescent="0.25">
      <c r="B60" s="36"/>
      <c r="C60" s="60"/>
      <c r="D60" s="60"/>
      <c r="E60" s="37" t="s">
        <v>1326</v>
      </c>
      <c r="F60" s="38" t="s">
        <v>1327</v>
      </c>
      <c r="G60" s="38">
        <v>11</v>
      </c>
      <c r="H60" s="38">
        <v>0</v>
      </c>
      <c r="I60" s="39" t="s">
        <v>260</v>
      </c>
      <c r="J60" s="40">
        <v>20</v>
      </c>
      <c r="K60" s="40">
        <v>540.29</v>
      </c>
      <c r="L60" s="40">
        <v>0</v>
      </c>
      <c r="M60" s="41">
        <v>175</v>
      </c>
      <c r="N60" s="41">
        <v>311.64</v>
      </c>
      <c r="O60" s="42">
        <v>10805.8</v>
      </c>
      <c r="P60" s="43">
        <v>3500</v>
      </c>
      <c r="Q60" s="43">
        <v>6232.7999999999993</v>
      </c>
      <c r="R60" s="44">
        <v>389.08</v>
      </c>
      <c r="S60" s="45"/>
      <c r="T60" s="38">
        <f t="shared" si="19"/>
        <v>11</v>
      </c>
      <c r="U60" s="46">
        <f t="shared" si="20"/>
        <v>1.0780217172621729E-2</v>
      </c>
      <c r="V60" s="47">
        <f t="shared" si="21"/>
        <v>136.63999999999999</v>
      </c>
      <c r="W60" s="48">
        <f t="shared" si="22"/>
        <v>9.8001974296561172E-4</v>
      </c>
      <c r="X60" s="43">
        <f t="shared" si="23"/>
        <v>2299.6412781714648</v>
      </c>
      <c r="Y60" s="43">
        <f t="shared" si="24"/>
        <v>2732.7999999999993</v>
      </c>
      <c r="Z60" s="43">
        <f t="shared" si="25"/>
        <v>12991.434699454507</v>
      </c>
      <c r="AA60" s="49">
        <f t="shared" si="26"/>
        <v>8532.4412781714636</v>
      </c>
      <c r="AB60" s="50">
        <f t="shared" si="27"/>
        <v>12164.26469986377</v>
      </c>
      <c r="AC60" s="43">
        <f t="shared" si="28"/>
        <v>7989.1772267523065</v>
      </c>
      <c r="AD60" s="43">
        <f t="shared" si="29"/>
        <v>58937.437502424844</v>
      </c>
      <c r="AE60" s="43">
        <f t="shared" si="30"/>
        <v>0</v>
      </c>
      <c r="AF60" s="51">
        <f>HLOOKUP(I60,ElecAvoidedCostsWOCC!$A$5:$Q$50,G60+1,FALSE)</f>
        <v>1.0714922798913573</v>
      </c>
      <c r="AG60" s="43">
        <f t="shared" si="31"/>
        <v>11578.331278050027</v>
      </c>
      <c r="AH60" s="51">
        <f>HLOOKUP(I60,ElecAvoidedCostsWOCC!$A$5:$Q$50,T60+1,FALSE)</f>
        <v>1.0714922798913573</v>
      </c>
      <c r="AI60" s="43">
        <f t="shared" si="32"/>
        <v>0</v>
      </c>
      <c r="AJ60" s="43">
        <f t="shared" si="33"/>
        <v>11578.331278050027</v>
      </c>
      <c r="AK60" s="43">
        <f>HLOOKUP(I60,ElecAvoidedCostsWOCC!$A$5:$Q$50,G60+1,FALSE)*J60*L60</f>
        <v>0</v>
      </c>
      <c r="AL60" s="43">
        <f t="shared" si="34"/>
        <v>11578.331278050027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11578.331278050027</v>
      </c>
      <c r="AN60" s="47">
        <f t="shared" si="35"/>
        <v>71673.601908279874</v>
      </c>
      <c r="AO60" s="46">
        <f t="shared" si="36"/>
        <v>0.95183157911548033</v>
      </c>
      <c r="AP60" s="46">
        <f t="shared" si="37"/>
        <v>8.9713370819057463</v>
      </c>
    </row>
    <row r="61" spans="2:42" x14ac:dyDescent="0.25">
      <c r="B61" s="36"/>
      <c r="C61" s="60"/>
      <c r="D61" s="60"/>
      <c r="E61" s="37" t="s">
        <v>1328</v>
      </c>
      <c r="F61" s="38" t="s">
        <v>581</v>
      </c>
      <c r="G61" s="38">
        <v>14</v>
      </c>
      <c r="H61" s="38">
        <v>0</v>
      </c>
      <c r="I61" s="39" t="s">
        <v>269</v>
      </c>
      <c r="J61" s="40">
        <v>20</v>
      </c>
      <c r="K61" s="40">
        <v>26</v>
      </c>
      <c r="L61" s="40">
        <v>0</v>
      </c>
      <c r="M61" s="41">
        <v>25</v>
      </c>
      <c r="N61" s="41">
        <v>0.01</v>
      </c>
      <c r="O61" s="42">
        <v>520</v>
      </c>
      <c r="P61" s="43">
        <v>500</v>
      </c>
      <c r="Q61" s="43">
        <v>0.2</v>
      </c>
      <c r="R61" s="44">
        <v>7.49</v>
      </c>
      <c r="S61" s="45"/>
      <c r="T61" s="38">
        <f t="shared" si="19"/>
        <v>14</v>
      </c>
      <c r="U61" s="46">
        <f t="shared" si="20"/>
        <v>6.6025132140051215E-4</v>
      </c>
      <c r="V61" s="47">
        <f t="shared" si="21"/>
        <v>-24.99</v>
      </c>
      <c r="W61" s="48">
        <f t="shared" si="22"/>
        <v>4.7160808671465155E-5</v>
      </c>
      <c r="X61" s="43">
        <f t="shared" si="23"/>
        <v>110.6640382617818</v>
      </c>
      <c r="Y61" s="43">
        <f t="shared" si="24"/>
        <v>-499.8</v>
      </c>
      <c r="Z61" s="43">
        <f t="shared" si="25"/>
        <v>625.17777894430253</v>
      </c>
      <c r="AA61" s="49">
        <f t="shared" si="26"/>
        <v>110.8640382617818</v>
      </c>
      <c r="AB61" s="50">
        <f t="shared" si="27"/>
        <v>585.37245219503984</v>
      </c>
      <c r="AC61" s="43">
        <f t="shared" si="28"/>
        <v>103.80527927133127</v>
      </c>
      <c r="AD61" s="43">
        <f t="shared" si="29"/>
        <v>1325.9295254614196</v>
      </c>
      <c r="AE61" s="43">
        <f t="shared" si="30"/>
        <v>0</v>
      </c>
      <c r="AF61" s="51">
        <f>HLOOKUP(I61,ElecAvoidedCostsWOCC!$A$5:$Q$50,G61+1,FALSE)</f>
        <v>1.3264018470259975</v>
      </c>
      <c r="AG61" s="43">
        <f t="shared" si="31"/>
        <v>689.72896045351865</v>
      </c>
      <c r="AH61" s="51">
        <f>HLOOKUP(I61,ElecAvoidedCostsWOCC!$A$5:$Q$50,T61+1,FALSE)</f>
        <v>1.3264018470259975</v>
      </c>
      <c r="AI61" s="43">
        <f t="shared" si="32"/>
        <v>0</v>
      </c>
      <c r="AJ61" s="43">
        <f t="shared" si="33"/>
        <v>689.72896045351865</v>
      </c>
      <c r="AK61" s="43">
        <f>HLOOKUP(I61,ElecAvoidedCostsWOCC!$A$5:$Q$50,G61+1,FALSE)*J61*L61</f>
        <v>0</v>
      </c>
      <c r="AL61" s="43">
        <f t="shared" si="34"/>
        <v>689.72896045351865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689.72896045351877</v>
      </c>
      <c r="AN61" s="47">
        <f t="shared" si="35"/>
        <v>2084.6313819602901</v>
      </c>
      <c r="AO61" s="46">
        <f t="shared" si="36"/>
        <v>1.1782736920180665</v>
      </c>
      <c r="AP61" s="46">
        <f t="shared" si="37"/>
        <v>20.08213259088085</v>
      </c>
    </row>
    <row r="62" spans="2:42" x14ac:dyDescent="0.25">
      <c r="B62" s="36"/>
      <c r="C62" s="60"/>
      <c r="D62" s="60"/>
      <c r="E62" s="37" t="s">
        <v>1329</v>
      </c>
      <c r="F62" s="38" t="s">
        <v>582</v>
      </c>
      <c r="G62" s="38">
        <v>14</v>
      </c>
      <c r="H62" s="38">
        <v>0</v>
      </c>
      <c r="I62" s="39" t="s">
        <v>269</v>
      </c>
      <c r="J62" s="40">
        <v>20</v>
      </c>
      <c r="K62" s="40">
        <v>26</v>
      </c>
      <c r="L62" s="40">
        <v>0</v>
      </c>
      <c r="M62" s="41">
        <v>25</v>
      </c>
      <c r="N62" s="41">
        <v>0.01</v>
      </c>
      <c r="O62" s="42">
        <v>520</v>
      </c>
      <c r="P62" s="43">
        <v>500</v>
      </c>
      <c r="Q62" s="43">
        <v>0.2</v>
      </c>
      <c r="R62" s="44">
        <v>7.49</v>
      </c>
      <c r="S62" s="45"/>
      <c r="T62" s="38">
        <f t="shared" si="19"/>
        <v>14</v>
      </c>
      <c r="U62" s="46">
        <f t="shared" si="20"/>
        <v>6.6025132140051215E-4</v>
      </c>
      <c r="V62" s="47">
        <f t="shared" si="21"/>
        <v>-24.99</v>
      </c>
      <c r="W62" s="48">
        <f t="shared" si="22"/>
        <v>4.7160808671465155E-5</v>
      </c>
      <c r="X62" s="43">
        <f t="shared" si="23"/>
        <v>110.6640382617818</v>
      </c>
      <c r="Y62" s="43">
        <f t="shared" si="24"/>
        <v>-499.8</v>
      </c>
      <c r="Z62" s="43">
        <f t="shared" si="25"/>
        <v>625.17777894430253</v>
      </c>
      <c r="AA62" s="49">
        <f t="shared" si="26"/>
        <v>110.8640382617818</v>
      </c>
      <c r="AB62" s="50">
        <f t="shared" si="27"/>
        <v>585.37245219503984</v>
      </c>
      <c r="AC62" s="43">
        <f t="shared" si="28"/>
        <v>103.80527927133127</v>
      </c>
      <c r="AD62" s="43">
        <f t="shared" si="29"/>
        <v>1325.9295254614196</v>
      </c>
      <c r="AE62" s="43">
        <f t="shared" si="30"/>
        <v>0</v>
      </c>
      <c r="AF62" s="51">
        <f>HLOOKUP(I62,ElecAvoidedCostsWOCC!$A$5:$Q$50,G62+1,FALSE)</f>
        <v>1.3264018470259975</v>
      </c>
      <c r="AG62" s="43">
        <f t="shared" si="31"/>
        <v>689.72896045351865</v>
      </c>
      <c r="AH62" s="51">
        <f>HLOOKUP(I62,ElecAvoidedCostsWOCC!$A$5:$Q$50,T62+1,FALSE)</f>
        <v>1.3264018470259975</v>
      </c>
      <c r="AI62" s="43">
        <f t="shared" si="32"/>
        <v>0</v>
      </c>
      <c r="AJ62" s="43">
        <f t="shared" si="33"/>
        <v>689.72896045351865</v>
      </c>
      <c r="AK62" s="43">
        <f>HLOOKUP(I62,ElecAvoidedCostsWOCC!$A$5:$Q$50,G62+1,FALSE)*J62*L62</f>
        <v>0</v>
      </c>
      <c r="AL62" s="43">
        <f t="shared" si="34"/>
        <v>689.72896045351865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689.72896045351877</v>
      </c>
      <c r="AN62" s="47">
        <f t="shared" si="35"/>
        <v>2084.6313819602901</v>
      </c>
      <c r="AO62" s="46">
        <f t="shared" si="36"/>
        <v>1.1782736920180665</v>
      </c>
      <c r="AP62" s="46">
        <f t="shared" si="37"/>
        <v>20.08213259088085</v>
      </c>
    </row>
    <row r="63" spans="2:42" x14ac:dyDescent="0.25">
      <c r="B63" s="36"/>
      <c r="C63" s="60"/>
      <c r="D63" s="60"/>
      <c r="E63" s="37" t="s">
        <v>1330</v>
      </c>
      <c r="F63" s="38" t="s">
        <v>994</v>
      </c>
      <c r="G63" s="38">
        <v>14</v>
      </c>
      <c r="H63" s="38">
        <v>0</v>
      </c>
      <c r="I63" s="39" t="s">
        <v>269</v>
      </c>
      <c r="J63" s="40">
        <v>20</v>
      </c>
      <c r="K63" s="40">
        <v>142</v>
      </c>
      <c r="L63" s="40">
        <v>0</v>
      </c>
      <c r="M63" s="41">
        <v>100</v>
      </c>
      <c r="N63" s="41">
        <v>65.56</v>
      </c>
      <c r="O63" s="42">
        <v>2840</v>
      </c>
      <c r="P63" s="43">
        <v>2000</v>
      </c>
      <c r="Q63" s="43">
        <v>1311.2</v>
      </c>
      <c r="R63" s="44">
        <v>17.059999999999999</v>
      </c>
      <c r="S63" s="45"/>
      <c r="T63" s="38">
        <f t="shared" si="19"/>
        <v>14</v>
      </c>
      <c r="U63" s="46">
        <f t="shared" si="20"/>
        <v>3.605987986110489E-3</v>
      </c>
      <c r="V63" s="47">
        <f t="shared" si="21"/>
        <v>-34.44</v>
      </c>
      <c r="W63" s="48">
        <f t="shared" si="22"/>
        <v>2.5757057043646352E-4</v>
      </c>
      <c r="X63" s="43">
        <f t="shared" si="23"/>
        <v>604.39590127588519</v>
      </c>
      <c r="Y63" s="43">
        <f t="shared" si="24"/>
        <v>-688.8</v>
      </c>
      <c r="Z63" s="43">
        <f t="shared" si="25"/>
        <v>3414.4324850034982</v>
      </c>
      <c r="AA63" s="49">
        <f t="shared" si="26"/>
        <v>1915.5959012758854</v>
      </c>
      <c r="AB63" s="50">
        <f t="shared" si="27"/>
        <v>3197.0341619882938</v>
      </c>
      <c r="AC63" s="43">
        <f t="shared" si="28"/>
        <v>1793.6291210448364</v>
      </c>
      <c r="AD63" s="43">
        <f t="shared" si="29"/>
        <v>3020.0744598627261</v>
      </c>
      <c r="AE63" s="43">
        <f t="shared" si="30"/>
        <v>0</v>
      </c>
      <c r="AF63" s="51">
        <f>HLOOKUP(I63,ElecAvoidedCostsWOCC!$A$5:$Q$50,G63+1,FALSE)</f>
        <v>1.3264018470259975</v>
      </c>
      <c r="AG63" s="43">
        <f t="shared" si="31"/>
        <v>3766.9812455538331</v>
      </c>
      <c r="AH63" s="51">
        <f>HLOOKUP(I63,ElecAvoidedCostsWOCC!$A$5:$Q$50,T63+1,FALSE)</f>
        <v>1.3264018470259975</v>
      </c>
      <c r="AI63" s="43">
        <f t="shared" si="32"/>
        <v>0</v>
      </c>
      <c r="AJ63" s="43">
        <f t="shared" si="33"/>
        <v>3766.9812455538331</v>
      </c>
      <c r="AK63" s="43">
        <f>HLOOKUP(I63,ElecAvoidedCostsWOCC!$A$5:$Q$50,G63+1,FALSE)*J63*L63</f>
        <v>0</v>
      </c>
      <c r="AL63" s="43">
        <f t="shared" si="34"/>
        <v>3766.9812455538331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3766.9812455538331</v>
      </c>
      <c r="AN63" s="47">
        <f t="shared" si="35"/>
        <v>7163.7538299719427</v>
      </c>
      <c r="AO63" s="46">
        <f t="shared" si="36"/>
        <v>1.1782736920180668</v>
      </c>
      <c r="AP63" s="46">
        <f t="shared" si="37"/>
        <v>3.9939995096638854</v>
      </c>
    </row>
    <row r="64" spans="2:42" x14ac:dyDescent="0.25">
      <c r="B64" s="36"/>
      <c r="C64" s="60"/>
      <c r="D64" s="60"/>
      <c r="E64" s="37" t="s">
        <v>1331</v>
      </c>
      <c r="F64" s="38" t="s">
        <v>583</v>
      </c>
      <c r="G64" s="38">
        <v>14</v>
      </c>
      <c r="H64" s="38">
        <v>0</v>
      </c>
      <c r="I64" s="39" t="s">
        <v>269</v>
      </c>
      <c r="J64" s="40">
        <v>20</v>
      </c>
      <c r="K64" s="40">
        <v>142</v>
      </c>
      <c r="L64" s="40">
        <v>0</v>
      </c>
      <c r="M64" s="41">
        <v>150</v>
      </c>
      <c r="N64" s="41">
        <v>65.56</v>
      </c>
      <c r="O64" s="42">
        <v>2840</v>
      </c>
      <c r="P64" s="43">
        <v>3000</v>
      </c>
      <c r="Q64" s="43">
        <v>1311.2</v>
      </c>
      <c r="R64" s="44">
        <v>17.059999999999999</v>
      </c>
      <c r="S64" s="45"/>
      <c r="T64" s="38">
        <f t="shared" si="19"/>
        <v>14</v>
      </c>
      <c r="U64" s="46">
        <f t="shared" si="20"/>
        <v>3.605987986110489E-3</v>
      </c>
      <c r="V64" s="47">
        <f t="shared" si="21"/>
        <v>-84.44</v>
      </c>
      <c r="W64" s="48">
        <f t="shared" si="22"/>
        <v>2.5757057043646352E-4</v>
      </c>
      <c r="X64" s="43">
        <f t="shared" si="23"/>
        <v>604.39590127588519</v>
      </c>
      <c r="Y64" s="43">
        <f t="shared" si="24"/>
        <v>-1688.8</v>
      </c>
      <c r="Z64" s="43">
        <f t="shared" si="25"/>
        <v>3414.4324850034982</v>
      </c>
      <c r="AA64" s="49">
        <f t="shared" si="26"/>
        <v>1915.5959012758854</v>
      </c>
      <c r="AB64" s="50">
        <f t="shared" si="27"/>
        <v>3197.0341619882938</v>
      </c>
      <c r="AC64" s="43">
        <f t="shared" si="28"/>
        <v>1793.6291210448364</v>
      </c>
      <c r="AD64" s="43">
        <f t="shared" si="29"/>
        <v>3020.0744598627261</v>
      </c>
      <c r="AE64" s="43">
        <f t="shared" si="30"/>
        <v>0</v>
      </c>
      <c r="AF64" s="51">
        <f>HLOOKUP(I64,ElecAvoidedCostsWOCC!$A$5:$Q$50,G64+1,FALSE)</f>
        <v>1.3264018470259975</v>
      </c>
      <c r="AG64" s="43">
        <f t="shared" si="31"/>
        <v>3766.9812455538331</v>
      </c>
      <c r="AH64" s="51">
        <f>HLOOKUP(I64,ElecAvoidedCostsWOCC!$A$5:$Q$50,T64+1,FALSE)</f>
        <v>1.3264018470259975</v>
      </c>
      <c r="AI64" s="43">
        <f t="shared" si="32"/>
        <v>0</v>
      </c>
      <c r="AJ64" s="43">
        <f t="shared" si="33"/>
        <v>3766.9812455538331</v>
      </c>
      <c r="AK64" s="43">
        <f>HLOOKUP(I64,ElecAvoidedCostsWOCC!$A$5:$Q$50,G64+1,FALSE)*J64*L64</f>
        <v>0</v>
      </c>
      <c r="AL64" s="43">
        <f t="shared" si="34"/>
        <v>3766.9812455538331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3766.9812455538331</v>
      </c>
      <c r="AN64" s="47">
        <f t="shared" si="35"/>
        <v>7163.7538299719427</v>
      </c>
      <c r="AO64" s="46">
        <f t="shared" si="36"/>
        <v>1.1782736920180668</v>
      </c>
      <c r="AP64" s="46">
        <f t="shared" si="37"/>
        <v>3.9939995096638854</v>
      </c>
    </row>
    <row r="65" spans="2:42" x14ac:dyDescent="0.25">
      <c r="B65" s="36"/>
      <c r="C65" s="60"/>
      <c r="D65" s="60"/>
      <c r="E65" s="37" t="s">
        <v>1332</v>
      </c>
      <c r="F65" s="38" t="s">
        <v>996</v>
      </c>
      <c r="G65" s="38">
        <v>14</v>
      </c>
      <c r="H65" s="38">
        <v>0</v>
      </c>
      <c r="I65" s="39" t="s">
        <v>269</v>
      </c>
      <c r="J65" s="40">
        <v>20</v>
      </c>
      <c r="K65" s="40">
        <v>142</v>
      </c>
      <c r="L65" s="40">
        <v>0</v>
      </c>
      <c r="M65" s="41">
        <v>100</v>
      </c>
      <c r="N65" s="41">
        <v>65.56</v>
      </c>
      <c r="O65" s="42">
        <v>2840</v>
      </c>
      <c r="P65" s="43">
        <v>2000</v>
      </c>
      <c r="Q65" s="43">
        <v>1311.2</v>
      </c>
      <c r="R65" s="44">
        <v>17.059999999999999</v>
      </c>
      <c r="S65" s="45"/>
      <c r="T65" s="38">
        <f t="shared" si="19"/>
        <v>14</v>
      </c>
      <c r="U65" s="46">
        <f t="shared" si="20"/>
        <v>3.605987986110489E-3</v>
      </c>
      <c r="V65" s="47">
        <f t="shared" si="21"/>
        <v>-34.44</v>
      </c>
      <c r="W65" s="48">
        <f t="shared" si="22"/>
        <v>2.5757057043646352E-4</v>
      </c>
      <c r="X65" s="43">
        <f t="shared" si="23"/>
        <v>604.39590127588519</v>
      </c>
      <c r="Y65" s="43">
        <f t="shared" si="24"/>
        <v>-688.8</v>
      </c>
      <c r="Z65" s="43">
        <f t="shared" si="25"/>
        <v>3414.4324850034982</v>
      </c>
      <c r="AA65" s="49">
        <f t="shared" si="26"/>
        <v>1915.5959012758854</v>
      </c>
      <c r="AB65" s="50">
        <f t="shared" si="27"/>
        <v>3197.0341619882938</v>
      </c>
      <c r="AC65" s="43">
        <f t="shared" si="28"/>
        <v>1793.6291210448364</v>
      </c>
      <c r="AD65" s="43">
        <f t="shared" si="29"/>
        <v>3020.0744598627261</v>
      </c>
      <c r="AE65" s="43">
        <f t="shared" si="30"/>
        <v>0</v>
      </c>
      <c r="AF65" s="51">
        <f>HLOOKUP(I65,ElecAvoidedCostsWOCC!$A$5:$Q$50,G65+1,FALSE)</f>
        <v>1.3264018470259975</v>
      </c>
      <c r="AG65" s="43">
        <f t="shared" si="31"/>
        <v>3766.9812455538331</v>
      </c>
      <c r="AH65" s="51">
        <f>HLOOKUP(I65,ElecAvoidedCostsWOCC!$A$5:$Q$50,T65+1,FALSE)</f>
        <v>1.3264018470259975</v>
      </c>
      <c r="AI65" s="43">
        <f t="shared" si="32"/>
        <v>0</v>
      </c>
      <c r="AJ65" s="43">
        <f t="shared" si="33"/>
        <v>3766.9812455538331</v>
      </c>
      <c r="AK65" s="43">
        <f>HLOOKUP(I65,ElecAvoidedCostsWOCC!$A$5:$Q$50,G65+1,FALSE)*J65*L65</f>
        <v>0</v>
      </c>
      <c r="AL65" s="43">
        <f t="shared" si="34"/>
        <v>3766.9812455538331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3766.9812455538331</v>
      </c>
      <c r="AN65" s="47">
        <f t="shared" si="35"/>
        <v>7163.7538299719427</v>
      </c>
      <c r="AO65" s="46">
        <f t="shared" si="36"/>
        <v>1.1782736920180668</v>
      </c>
      <c r="AP65" s="46">
        <f t="shared" si="37"/>
        <v>3.9939995096638854</v>
      </c>
    </row>
    <row r="66" spans="2:42" x14ac:dyDescent="0.25">
      <c r="B66" s="36"/>
      <c r="C66" s="60"/>
      <c r="D66" s="60"/>
      <c r="E66" s="37" t="s">
        <v>1333</v>
      </c>
      <c r="F66" s="38" t="s">
        <v>584</v>
      </c>
      <c r="G66" s="38">
        <v>14</v>
      </c>
      <c r="H66" s="38">
        <v>0</v>
      </c>
      <c r="I66" s="39" t="s">
        <v>269</v>
      </c>
      <c r="J66" s="40">
        <v>20</v>
      </c>
      <c r="K66" s="40">
        <v>142</v>
      </c>
      <c r="L66" s="40">
        <v>0</v>
      </c>
      <c r="M66" s="41">
        <v>150</v>
      </c>
      <c r="N66" s="41">
        <v>65.56</v>
      </c>
      <c r="O66" s="42">
        <v>2840</v>
      </c>
      <c r="P66" s="43">
        <v>3000</v>
      </c>
      <c r="Q66" s="43">
        <v>1311.2</v>
      </c>
      <c r="R66" s="44">
        <v>17.059999999999999</v>
      </c>
      <c r="S66" s="45"/>
      <c r="T66" s="38">
        <f t="shared" si="19"/>
        <v>14</v>
      </c>
      <c r="U66" s="46">
        <f t="shared" si="20"/>
        <v>3.605987986110489E-3</v>
      </c>
      <c r="V66" s="47">
        <f t="shared" si="21"/>
        <v>-84.44</v>
      </c>
      <c r="W66" s="48">
        <f t="shared" si="22"/>
        <v>2.5757057043646352E-4</v>
      </c>
      <c r="X66" s="43">
        <f t="shared" si="23"/>
        <v>604.39590127588519</v>
      </c>
      <c r="Y66" s="43">
        <f t="shared" si="24"/>
        <v>-1688.8</v>
      </c>
      <c r="Z66" s="43">
        <f t="shared" si="25"/>
        <v>3414.4324850034982</v>
      </c>
      <c r="AA66" s="49">
        <f t="shared" si="26"/>
        <v>1915.5959012758854</v>
      </c>
      <c r="AB66" s="50">
        <f t="shared" si="27"/>
        <v>3197.0341619882938</v>
      </c>
      <c r="AC66" s="43">
        <f t="shared" si="28"/>
        <v>1793.6291210448364</v>
      </c>
      <c r="AD66" s="43">
        <f t="shared" si="29"/>
        <v>3020.0744598627261</v>
      </c>
      <c r="AE66" s="43">
        <f t="shared" si="30"/>
        <v>0</v>
      </c>
      <c r="AF66" s="51">
        <f>HLOOKUP(I66,ElecAvoidedCostsWOCC!$A$5:$Q$50,G66+1,FALSE)</f>
        <v>1.3264018470259975</v>
      </c>
      <c r="AG66" s="43">
        <f t="shared" si="31"/>
        <v>3766.9812455538331</v>
      </c>
      <c r="AH66" s="51">
        <f>HLOOKUP(I66,ElecAvoidedCostsWOCC!$A$5:$Q$50,T66+1,FALSE)</f>
        <v>1.3264018470259975</v>
      </c>
      <c r="AI66" s="43">
        <f t="shared" si="32"/>
        <v>0</v>
      </c>
      <c r="AJ66" s="43">
        <f t="shared" si="33"/>
        <v>3766.9812455538331</v>
      </c>
      <c r="AK66" s="43">
        <f>HLOOKUP(I66,ElecAvoidedCostsWOCC!$A$5:$Q$50,G66+1,FALSE)*J66*L66</f>
        <v>0</v>
      </c>
      <c r="AL66" s="43">
        <f t="shared" si="34"/>
        <v>3766.9812455538331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3766.9812455538331</v>
      </c>
      <c r="AN66" s="47">
        <f t="shared" si="35"/>
        <v>7163.7538299719427</v>
      </c>
      <c r="AO66" s="46">
        <f t="shared" si="36"/>
        <v>1.1782736920180668</v>
      </c>
      <c r="AP66" s="46">
        <f t="shared" si="37"/>
        <v>3.9939995096638854</v>
      </c>
    </row>
    <row r="67" spans="2:42" x14ac:dyDescent="0.25">
      <c r="B67" s="36"/>
      <c r="C67" s="60"/>
      <c r="D67" s="60"/>
      <c r="E67" s="37" t="s">
        <v>1334</v>
      </c>
      <c r="F67" s="38" t="s">
        <v>577</v>
      </c>
      <c r="G67" s="38">
        <v>12</v>
      </c>
      <c r="H67" s="38">
        <v>0</v>
      </c>
      <c r="I67" s="39" t="s">
        <v>267</v>
      </c>
      <c r="J67" s="40">
        <v>20</v>
      </c>
      <c r="K67" s="40">
        <v>192</v>
      </c>
      <c r="L67" s="40">
        <v>0</v>
      </c>
      <c r="M67" s="41">
        <v>100</v>
      </c>
      <c r="N67" s="41">
        <v>386.45</v>
      </c>
      <c r="O67" s="42">
        <v>3840</v>
      </c>
      <c r="P67" s="43">
        <v>2000</v>
      </c>
      <c r="Q67" s="43">
        <v>7729</v>
      </c>
      <c r="R67" s="44">
        <v>-0.24</v>
      </c>
      <c r="S67" s="45"/>
      <c r="T67" s="38">
        <f t="shared" si="19"/>
        <v>12</v>
      </c>
      <c r="U67" s="46">
        <f t="shared" si="20"/>
        <v>4.1791731991944504E-3</v>
      </c>
      <c r="V67" s="47">
        <f t="shared" si="21"/>
        <v>286.45</v>
      </c>
      <c r="W67" s="48">
        <f t="shared" si="22"/>
        <v>3.482644332662042E-4</v>
      </c>
      <c r="X67" s="43">
        <f t="shared" si="23"/>
        <v>817.2113594716194</v>
      </c>
      <c r="Y67" s="43">
        <f t="shared" si="24"/>
        <v>5729</v>
      </c>
      <c r="Z67" s="43">
        <f t="shared" si="25"/>
        <v>4616.6974445117721</v>
      </c>
      <c r="AA67" s="49">
        <f t="shared" si="26"/>
        <v>8546.2113594716193</v>
      </c>
      <c r="AB67" s="50">
        <f t="shared" si="27"/>
        <v>4322.7504162095238</v>
      </c>
      <c r="AC67" s="43">
        <f t="shared" si="28"/>
        <v>8002.0705613030141</v>
      </c>
      <c r="AD67" s="43">
        <f t="shared" si="29"/>
        <v>-38.534599916151869</v>
      </c>
      <c r="AE67" s="43">
        <f t="shared" si="30"/>
        <v>0</v>
      </c>
      <c r="AF67" s="51">
        <f>HLOOKUP(I67,ElecAvoidedCostsWOCC!$A$5:$Q$50,G67+1,FALSE)</f>
        <v>1.1811812347431871</v>
      </c>
      <c r="AG67" s="43">
        <f t="shared" si="31"/>
        <v>4535.7359414138391</v>
      </c>
      <c r="AH67" s="51">
        <f>HLOOKUP(I67,ElecAvoidedCostsWOCC!$A$5:$Q$50,T67+1,FALSE)</f>
        <v>1.1811812347431871</v>
      </c>
      <c r="AI67" s="43">
        <f t="shared" si="32"/>
        <v>0</v>
      </c>
      <c r="AJ67" s="43">
        <f t="shared" si="33"/>
        <v>4535.7359414138391</v>
      </c>
      <c r="AK67" s="43">
        <f>HLOOKUP(I67,ElecAvoidedCostsWOCC!$A$5:$Q$50,G67+1,FALSE)*J67*L67</f>
        <v>0</v>
      </c>
      <c r="AL67" s="43">
        <f t="shared" si="34"/>
        <v>4535.7359414138391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4535.7359414138391</v>
      </c>
      <c r="AN67" s="47">
        <f t="shared" si="35"/>
        <v>4950.7749356390714</v>
      </c>
      <c r="AO67" s="46">
        <f t="shared" si="36"/>
        <v>1.049270835624851</v>
      </c>
      <c r="AP67" s="46">
        <f t="shared" si="37"/>
        <v>0.61868673835249388</v>
      </c>
    </row>
    <row r="68" spans="2:42" x14ac:dyDescent="0.25">
      <c r="B68" s="36"/>
      <c r="C68" s="60"/>
      <c r="D68" s="60"/>
      <c r="E68" s="37" t="s">
        <v>1335</v>
      </c>
      <c r="F68" s="38" t="s">
        <v>578</v>
      </c>
      <c r="G68" s="38">
        <v>12</v>
      </c>
      <c r="H68" s="38">
        <v>0</v>
      </c>
      <c r="I68" s="39" t="s">
        <v>267</v>
      </c>
      <c r="J68" s="40">
        <v>20</v>
      </c>
      <c r="K68" s="40">
        <v>238</v>
      </c>
      <c r="L68" s="40">
        <v>0</v>
      </c>
      <c r="M68" s="41">
        <v>100</v>
      </c>
      <c r="N68" s="41">
        <v>386.45</v>
      </c>
      <c r="O68" s="42">
        <v>4760</v>
      </c>
      <c r="P68" s="43">
        <v>2000</v>
      </c>
      <c r="Q68" s="43">
        <v>7729</v>
      </c>
      <c r="R68" s="44">
        <v>3.91</v>
      </c>
      <c r="S68" s="45"/>
      <c r="T68" s="38">
        <f t="shared" si="19"/>
        <v>12</v>
      </c>
      <c r="U68" s="46">
        <f t="shared" si="20"/>
        <v>5.180433444834787E-3</v>
      </c>
      <c r="V68" s="47">
        <f t="shared" si="21"/>
        <v>286.45</v>
      </c>
      <c r="W68" s="48">
        <f t="shared" si="22"/>
        <v>4.3170278706956562E-4</v>
      </c>
      <c r="X68" s="43">
        <f t="shared" si="23"/>
        <v>1013.001581011695</v>
      </c>
      <c r="Y68" s="43">
        <f t="shared" si="24"/>
        <v>5729</v>
      </c>
      <c r="Z68" s="43">
        <f t="shared" si="25"/>
        <v>5722.7812072593842</v>
      </c>
      <c r="AA68" s="49">
        <f t="shared" si="26"/>
        <v>8742.0015810116947</v>
      </c>
      <c r="AB68" s="50">
        <f t="shared" si="27"/>
        <v>5358.4093700930562</v>
      </c>
      <c r="AC68" s="43">
        <f t="shared" si="28"/>
        <v>8185.3947387749949</v>
      </c>
      <c r="AD68" s="43">
        <f t="shared" si="29"/>
        <v>627.79285696730756</v>
      </c>
      <c r="AE68" s="43">
        <f t="shared" si="30"/>
        <v>0</v>
      </c>
      <c r="AF68" s="51">
        <f>HLOOKUP(I68,ElecAvoidedCostsWOCC!$A$5:$Q$50,G68+1,FALSE)</f>
        <v>1.1811812347431871</v>
      </c>
      <c r="AG68" s="43">
        <f t="shared" si="31"/>
        <v>5622.4226773775708</v>
      </c>
      <c r="AH68" s="51">
        <f>HLOOKUP(I68,ElecAvoidedCostsWOCC!$A$5:$Q$50,T68+1,FALSE)</f>
        <v>1.1811812347431871</v>
      </c>
      <c r="AI68" s="43">
        <f t="shared" si="32"/>
        <v>0</v>
      </c>
      <c r="AJ68" s="43">
        <f t="shared" si="33"/>
        <v>5622.4226773775708</v>
      </c>
      <c r="AK68" s="43">
        <f>HLOOKUP(I68,ElecAvoidedCostsWOCC!$A$5:$Q$50,G68+1,FALSE)*J68*L68</f>
        <v>0</v>
      </c>
      <c r="AL68" s="43">
        <f t="shared" si="34"/>
        <v>5622.4226773775708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5622.4226773775708</v>
      </c>
      <c r="AN68" s="47">
        <f t="shared" si="35"/>
        <v>6812.4578020826357</v>
      </c>
      <c r="AO68" s="46">
        <f t="shared" si="36"/>
        <v>1.0492708356248508</v>
      </c>
      <c r="AP68" s="46">
        <f t="shared" si="37"/>
        <v>0.83226991727245281</v>
      </c>
    </row>
    <row r="69" spans="2:42" x14ac:dyDescent="0.25">
      <c r="B69" s="36"/>
      <c r="C69" s="60"/>
      <c r="D69" s="60"/>
      <c r="E69" s="37" t="s">
        <v>1336</v>
      </c>
      <c r="F69" s="38" t="s">
        <v>579</v>
      </c>
      <c r="G69" s="38">
        <v>12</v>
      </c>
      <c r="H69" s="38">
        <v>0</v>
      </c>
      <c r="I69" s="39" t="s">
        <v>267</v>
      </c>
      <c r="J69" s="40">
        <v>20</v>
      </c>
      <c r="K69" s="40">
        <v>68</v>
      </c>
      <c r="L69" s="40">
        <v>0</v>
      </c>
      <c r="M69" s="41">
        <v>50</v>
      </c>
      <c r="N69" s="41">
        <v>100</v>
      </c>
      <c r="O69" s="42">
        <v>1360</v>
      </c>
      <c r="P69" s="43">
        <v>1000</v>
      </c>
      <c r="Q69" s="43">
        <v>2000</v>
      </c>
      <c r="R69" s="44">
        <v>-0.08</v>
      </c>
      <c r="S69" s="45"/>
      <c r="T69" s="38">
        <f t="shared" si="19"/>
        <v>12</v>
      </c>
      <c r="U69" s="46">
        <f t="shared" si="20"/>
        <v>1.4801238413813681E-3</v>
      </c>
      <c r="V69" s="47">
        <f t="shared" si="21"/>
        <v>50</v>
      </c>
      <c r="W69" s="48">
        <f t="shared" si="22"/>
        <v>1.2334365344844733E-4</v>
      </c>
      <c r="X69" s="43">
        <f t="shared" si="23"/>
        <v>289.42902314619857</v>
      </c>
      <c r="Y69" s="43">
        <f t="shared" si="24"/>
        <v>1000</v>
      </c>
      <c r="Z69" s="43">
        <f t="shared" si="25"/>
        <v>1635.080344931253</v>
      </c>
      <c r="AA69" s="49">
        <f t="shared" si="26"/>
        <v>2289.4290231461987</v>
      </c>
      <c r="AB69" s="50">
        <f t="shared" si="27"/>
        <v>1530.9741057408735</v>
      </c>
      <c r="AC69" s="43">
        <f t="shared" si="28"/>
        <v>2143.6601340320212</v>
      </c>
      <c r="AD69" s="43">
        <f t="shared" si="29"/>
        <v>-12.844866638717292</v>
      </c>
      <c r="AE69" s="43">
        <f t="shared" si="30"/>
        <v>0</v>
      </c>
      <c r="AF69" s="51">
        <f>HLOOKUP(I69,ElecAvoidedCostsWOCC!$A$5:$Q$50,G69+1,FALSE)</f>
        <v>1.1811812347431871</v>
      </c>
      <c r="AG69" s="43">
        <f t="shared" si="31"/>
        <v>1606.4064792507345</v>
      </c>
      <c r="AH69" s="51">
        <f>HLOOKUP(I69,ElecAvoidedCostsWOCC!$A$5:$Q$50,T69+1,FALSE)</f>
        <v>1.1811812347431871</v>
      </c>
      <c r="AI69" s="43">
        <f t="shared" si="32"/>
        <v>0</v>
      </c>
      <c r="AJ69" s="43">
        <f t="shared" si="33"/>
        <v>1606.4064792507345</v>
      </c>
      <c r="AK69" s="43">
        <f>HLOOKUP(I69,ElecAvoidedCostsWOCC!$A$5:$Q$50,G69+1,FALSE)*J69*L69</f>
        <v>0</v>
      </c>
      <c r="AL69" s="43">
        <f t="shared" si="34"/>
        <v>1606.4064792507345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1606.4064792507343</v>
      </c>
      <c r="AN69" s="47">
        <f t="shared" si="35"/>
        <v>1754.2022605370905</v>
      </c>
      <c r="AO69" s="46">
        <f t="shared" si="36"/>
        <v>1.0492708356248504</v>
      </c>
      <c r="AP69" s="46">
        <f t="shared" si="37"/>
        <v>0.81832107277080468</v>
      </c>
    </row>
    <row r="70" spans="2:42" x14ac:dyDescent="0.25">
      <c r="B70" s="36"/>
      <c r="C70" s="60"/>
      <c r="D70" s="60"/>
      <c r="E70" s="37" t="s">
        <v>1337</v>
      </c>
      <c r="F70" s="38" t="s">
        <v>580</v>
      </c>
      <c r="G70" s="38">
        <v>12</v>
      </c>
      <c r="H70" s="38">
        <v>0</v>
      </c>
      <c r="I70" s="39" t="s">
        <v>267</v>
      </c>
      <c r="J70" s="40">
        <v>20</v>
      </c>
      <c r="K70" s="40">
        <v>118</v>
      </c>
      <c r="L70" s="40">
        <v>0</v>
      </c>
      <c r="M70" s="41">
        <v>50</v>
      </c>
      <c r="N70" s="41">
        <v>184.88</v>
      </c>
      <c r="O70" s="42">
        <v>2360</v>
      </c>
      <c r="P70" s="43">
        <v>1000</v>
      </c>
      <c r="Q70" s="43">
        <v>3697.6</v>
      </c>
      <c r="R70" s="44">
        <v>4.46</v>
      </c>
      <c r="S70" s="45"/>
      <c r="T70" s="38">
        <f t="shared" si="19"/>
        <v>12</v>
      </c>
      <c r="U70" s="46">
        <f t="shared" si="20"/>
        <v>2.5684501953382559E-3</v>
      </c>
      <c r="V70" s="47">
        <f t="shared" si="21"/>
        <v>134.88</v>
      </c>
      <c r="W70" s="48">
        <f t="shared" si="22"/>
        <v>2.1403751627818799E-4</v>
      </c>
      <c r="X70" s="43">
        <f t="shared" si="23"/>
        <v>502.24448134193273</v>
      </c>
      <c r="Y70" s="43">
        <f t="shared" si="24"/>
        <v>2697.6</v>
      </c>
      <c r="Z70" s="43">
        <f t="shared" si="25"/>
        <v>2837.3453044395269</v>
      </c>
      <c r="AA70" s="49">
        <f t="shared" si="26"/>
        <v>4199.8444813419328</v>
      </c>
      <c r="AB70" s="50">
        <f t="shared" si="27"/>
        <v>2656.6903599621037</v>
      </c>
      <c r="AC70" s="43">
        <f t="shared" si="28"/>
        <v>3932.4386529418844</v>
      </c>
      <c r="AD70" s="43">
        <f t="shared" si="29"/>
        <v>716.10131510848896</v>
      </c>
      <c r="AE70" s="43">
        <f t="shared" si="30"/>
        <v>0</v>
      </c>
      <c r="AF70" s="51">
        <f>HLOOKUP(I70,ElecAvoidedCostsWOCC!$A$5:$Q$50,G70+1,FALSE)</f>
        <v>1.1811812347431871</v>
      </c>
      <c r="AG70" s="43">
        <f t="shared" si="31"/>
        <v>2787.5877139939216</v>
      </c>
      <c r="AH70" s="51">
        <f>HLOOKUP(I70,ElecAvoidedCostsWOCC!$A$5:$Q$50,T70+1,FALSE)</f>
        <v>1.1811812347431871</v>
      </c>
      <c r="AI70" s="43">
        <f t="shared" si="32"/>
        <v>0</v>
      </c>
      <c r="AJ70" s="43">
        <f t="shared" si="33"/>
        <v>2787.5877139939216</v>
      </c>
      <c r="AK70" s="43">
        <f>HLOOKUP(I70,ElecAvoidedCostsWOCC!$A$5:$Q$50,G70+1,FALSE)*J70*L70</f>
        <v>0</v>
      </c>
      <c r="AL70" s="43">
        <f t="shared" si="34"/>
        <v>2787.5877139939216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2787.5877139939216</v>
      </c>
      <c r="AN70" s="47">
        <f t="shared" si="35"/>
        <v>3782.4478005018032</v>
      </c>
      <c r="AO70" s="46">
        <f t="shared" si="36"/>
        <v>1.0492708356248506</v>
      </c>
      <c r="AP70" s="46">
        <f t="shared" si="37"/>
        <v>0.96185805662146262</v>
      </c>
    </row>
    <row r="71" spans="2:42" x14ac:dyDescent="0.25">
      <c r="B71" s="36"/>
      <c r="C71" s="60"/>
      <c r="D71" s="60"/>
      <c r="E71" s="37" t="s">
        <v>1338</v>
      </c>
      <c r="F71" s="38" t="s">
        <v>1339</v>
      </c>
      <c r="G71" s="38">
        <v>12</v>
      </c>
      <c r="H71" s="38">
        <v>0</v>
      </c>
      <c r="I71" s="39" t="s">
        <v>267</v>
      </c>
      <c r="J71" s="40">
        <v>20</v>
      </c>
      <c r="K71" s="40">
        <v>68</v>
      </c>
      <c r="L71" s="40">
        <v>0</v>
      </c>
      <c r="M71" s="41">
        <v>75</v>
      </c>
      <c r="N71" s="41">
        <v>100</v>
      </c>
      <c r="O71" s="42">
        <v>1360</v>
      </c>
      <c r="P71" s="43">
        <v>1500</v>
      </c>
      <c r="Q71" s="43">
        <v>2000</v>
      </c>
      <c r="R71" s="44">
        <v>-0.08</v>
      </c>
      <c r="S71" s="45"/>
      <c r="T71" s="38">
        <f t="shared" si="19"/>
        <v>12</v>
      </c>
      <c r="U71" s="46">
        <f t="shared" si="20"/>
        <v>1.4801238413813681E-3</v>
      </c>
      <c r="V71" s="47">
        <f t="shared" si="21"/>
        <v>25</v>
      </c>
      <c r="W71" s="48">
        <f t="shared" si="22"/>
        <v>1.2334365344844733E-4</v>
      </c>
      <c r="X71" s="43">
        <f t="shared" si="23"/>
        <v>289.42902314619857</v>
      </c>
      <c r="Y71" s="43">
        <f t="shared" si="24"/>
        <v>500</v>
      </c>
      <c r="Z71" s="43">
        <f t="shared" si="25"/>
        <v>1635.080344931253</v>
      </c>
      <c r="AA71" s="49">
        <f t="shared" si="26"/>
        <v>2289.4290231461987</v>
      </c>
      <c r="AB71" s="50">
        <f t="shared" si="27"/>
        <v>1530.9741057408735</v>
      </c>
      <c r="AC71" s="43">
        <f t="shared" si="28"/>
        <v>2143.6601340320212</v>
      </c>
      <c r="AD71" s="43">
        <f t="shared" si="29"/>
        <v>-12.844866638717292</v>
      </c>
      <c r="AE71" s="43">
        <f t="shared" si="30"/>
        <v>0</v>
      </c>
      <c r="AF71" s="51">
        <f>HLOOKUP(I71,ElecAvoidedCostsWOCC!$A$5:$Q$50,G71+1,FALSE)</f>
        <v>1.1811812347431871</v>
      </c>
      <c r="AG71" s="43">
        <f t="shared" si="31"/>
        <v>1606.4064792507345</v>
      </c>
      <c r="AH71" s="51">
        <f>HLOOKUP(I71,ElecAvoidedCostsWOCC!$A$5:$Q$50,T71+1,FALSE)</f>
        <v>1.1811812347431871</v>
      </c>
      <c r="AI71" s="43">
        <f t="shared" si="32"/>
        <v>0</v>
      </c>
      <c r="AJ71" s="43">
        <f t="shared" si="33"/>
        <v>1606.4064792507345</v>
      </c>
      <c r="AK71" s="43">
        <f>HLOOKUP(I71,ElecAvoidedCostsWOCC!$A$5:$Q$50,G71+1,FALSE)*J71*L71</f>
        <v>0</v>
      </c>
      <c r="AL71" s="43">
        <f t="shared" si="34"/>
        <v>1606.4064792507345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1606.4064792507343</v>
      </c>
      <c r="AN71" s="47">
        <f t="shared" si="35"/>
        <v>1754.2022605370905</v>
      </c>
      <c r="AO71" s="46">
        <f t="shared" si="36"/>
        <v>1.0492708356248504</v>
      </c>
      <c r="AP71" s="46">
        <f t="shared" si="37"/>
        <v>0.81832107277080468</v>
      </c>
    </row>
    <row r="72" spans="2:42" x14ac:dyDescent="0.25">
      <c r="B72" s="36"/>
      <c r="C72" s="60"/>
      <c r="D72" s="60"/>
      <c r="E72" s="37" t="s">
        <v>1340</v>
      </c>
      <c r="F72" s="38" t="s">
        <v>1341</v>
      </c>
      <c r="G72" s="38">
        <v>12</v>
      </c>
      <c r="H72" s="38">
        <v>0</v>
      </c>
      <c r="I72" s="39" t="s">
        <v>267</v>
      </c>
      <c r="J72" s="40">
        <v>20</v>
      </c>
      <c r="K72" s="40">
        <v>118</v>
      </c>
      <c r="L72" s="40">
        <v>0</v>
      </c>
      <c r="M72" s="41">
        <v>75</v>
      </c>
      <c r="N72" s="41">
        <v>184.88</v>
      </c>
      <c r="O72" s="42">
        <v>2360</v>
      </c>
      <c r="P72" s="43">
        <v>1500</v>
      </c>
      <c r="Q72" s="43">
        <v>3697.6</v>
      </c>
      <c r="R72" s="44">
        <v>4.46</v>
      </c>
      <c r="S72" s="45"/>
      <c r="T72" s="38">
        <f t="shared" si="19"/>
        <v>12</v>
      </c>
      <c r="U72" s="46">
        <f t="shared" si="20"/>
        <v>2.5684501953382559E-3</v>
      </c>
      <c r="V72" s="47">
        <f t="shared" si="21"/>
        <v>109.88</v>
      </c>
      <c r="W72" s="48">
        <f t="shared" si="22"/>
        <v>2.1403751627818799E-4</v>
      </c>
      <c r="X72" s="43">
        <f t="shared" si="23"/>
        <v>502.24448134193273</v>
      </c>
      <c r="Y72" s="43">
        <f t="shared" si="24"/>
        <v>2197.6</v>
      </c>
      <c r="Z72" s="43">
        <f t="shared" si="25"/>
        <v>2837.3453044395269</v>
      </c>
      <c r="AA72" s="49">
        <f t="shared" si="26"/>
        <v>4199.8444813419328</v>
      </c>
      <c r="AB72" s="50">
        <f t="shared" si="27"/>
        <v>2656.6903599621037</v>
      </c>
      <c r="AC72" s="43">
        <f t="shared" si="28"/>
        <v>3932.4386529418844</v>
      </c>
      <c r="AD72" s="43">
        <f t="shared" si="29"/>
        <v>716.10131510848896</v>
      </c>
      <c r="AE72" s="43">
        <f t="shared" si="30"/>
        <v>0</v>
      </c>
      <c r="AF72" s="51">
        <f>HLOOKUP(I72,ElecAvoidedCostsWOCC!$A$5:$Q$50,G72+1,FALSE)</f>
        <v>1.1811812347431871</v>
      </c>
      <c r="AG72" s="43">
        <f t="shared" si="31"/>
        <v>2787.5877139939216</v>
      </c>
      <c r="AH72" s="51">
        <f>HLOOKUP(I72,ElecAvoidedCostsWOCC!$A$5:$Q$50,T72+1,FALSE)</f>
        <v>1.1811812347431871</v>
      </c>
      <c r="AI72" s="43">
        <f t="shared" si="32"/>
        <v>0</v>
      </c>
      <c r="AJ72" s="43">
        <f t="shared" si="33"/>
        <v>2787.5877139939216</v>
      </c>
      <c r="AK72" s="43">
        <f>HLOOKUP(I72,ElecAvoidedCostsWOCC!$A$5:$Q$50,G72+1,FALSE)*J72*L72</f>
        <v>0</v>
      </c>
      <c r="AL72" s="43">
        <f t="shared" si="34"/>
        <v>2787.5877139939216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2787.5877139939216</v>
      </c>
      <c r="AN72" s="47">
        <f t="shared" si="35"/>
        <v>3782.4478005018032</v>
      </c>
      <c r="AO72" s="46">
        <f t="shared" si="36"/>
        <v>1.0492708356248506</v>
      </c>
      <c r="AP72" s="46">
        <f t="shared" si="37"/>
        <v>0.96185805662146262</v>
      </c>
    </row>
    <row r="73" spans="2:42" x14ac:dyDescent="0.25">
      <c r="B73" s="36"/>
      <c r="C73" s="60"/>
      <c r="D73" s="60"/>
      <c r="E73" s="37" t="s">
        <v>1342</v>
      </c>
      <c r="F73" s="38" t="s">
        <v>664</v>
      </c>
      <c r="G73" s="38">
        <v>10</v>
      </c>
      <c r="H73" s="38">
        <v>0</v>
      </c>
      <c r="I73" s="39" t="s">
        <v>269</v>
      </c>
      <c r="J73" s="40">
        <v>2000</v>
      </c>
      <c r="K73" s="40">
        <v>170</v>
      </c>
      <c r="L73" s="40">
        <v>0</v>
      </c>
      <c r="M73" s="41">
        <v>95</v>
      </c>
      <c r="N73" s="41">
        <v>95</v>
      </c>
      <c r="O73" s="42">
        <v>340000</v>
      </c>
      <c r="P73" s="43">
        <v>190000</v>
      </c>
      <c r="Q73" s="43">
        <v>190000</v>
      </c>
      <c r="R73" s="44">
        <v>15.3</v>
      </c>
      <c r="S73" s="45"/>
      <c r="T73" s="38">
        <f t="shared" si="19"/>
        <v>10</v>
      </c>
      <c r="U73" s="46">
        <f t="shared" si="20"/>
        <v>0.30835913362111828</v>
      </c>
      <c r="V73" s="47">
        <f t="shared" si="21"/>
        <v>0</v>
      </c>
      <c r="W73" s="48">
        <f t="shared" si="22"/>
        <v>3.083591336211183E-2</v>
      </c>
      <c r="X73" s="43">
        <f t="shared" si="23"/>
        <v>72357.255786549635</v>
      </c>
      <c r="Y73" s="43">
        <f t="shared" si="24"/>
        <v>0</v>
      </c>
      <c r="Z73" s="43">
        <f t="shared" si="25"/>
        <v>408770.08623281319</v>
      </c>
      <c r="AA73" s="49">
        <f t="shared" si="26"/>
        <v>262357.25578654965</v>
      </c>
      <c r="AB73" s="50">
        <f t="shared" si="27"/>
        <v>382743.52643521834</v>
      </c>
      <c r="AC73" s="43">
        <f t="shared" si="28"/>
        <v>245652.86122336108</v>
      </c>
      <c r="AD73" s="43">
        <f t="shared" si="29"/>
        <v>216922.69552910017</v>
      </c>
      <c r="AE73" s="43">
        <f t="shared" si="30"/>
        <v>0</v>
      </c>
      <c r="AF73" s="51">
        <f>HLOOKUP(I73,ElecAvoidedCostsWOCC!$A$5:$Q$50,G73+1,FALSE)</f>
        <v>1.0411864604679799</v>
      </c>
      <c r="AG73" s="43">
        <f t="shared" si="31"/>
        <v>354003.39655911317</v>
      </c>
      <c r="AH73" s="51">
        <f>HLOOKUP(I73,ElecAvoidedCostsWOCC!$A$5:$Q$50,T73+1,FALSE)</f>
        <v>1.0411864604679799</v>
      </c>
      <c r="AI73" s="43">
        <f t="shared" si="32"/>
        <v>0</v>
      </c>
      <c r="AJ73" s="43">
        <f t="shared" si="33"/>
        <v>354003.39655911317</v>
      </c>
      <c r="AK73" s="43">
        <f>HLOOKUP(I73,ElecAvoidedCostsWOCC!$A$5:$Q$50,G73+1,FALSE)*J73*L73</f>
        <v>0</v>
      </c>
      <c r="AL73" s="43">
        <f t="shared" si="34"/>
        <v>354003.39655911317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354003.39655911317</v>
      </c>
      <c r="AN73" s="47">
        <f t="shared" si="35"/>
        <v>606326.43174412474</v>
      </c>
      <c r="AO73" s="46">
        <f t="shared" si="36"/>
        <v>0.92491021299880927</v>
      </c>
      <c r="AP73" s="46">
        <f t="shared" si="37"/>
        <v>2.4682245862091525</v>
      </c>
    </row>
    <row r="74" spans="2:42" x14ac:dyDescent="0.25">
      <c r="B74" s="36"/>
      <c r="C74" s="60"/>
      <c r="D74" s="60"/>
      <c r="E74" s="37" t="s">
        <v>1343</v>
      </c>
      <c r="F74" s="38" t="s">
        <v>673</v>
      </c>
      <c r="G74" s="38">
        <v>10</v>
      </c>
      <c r="H74" s="38">
        <v>0</v>
      </c>
      <c r="I74" s="39" t="s">
        <v>269</v>
      </c>
      <c r="J74" s="40">
        <v>2000</v>
      </c>
      <c r="K74" s="40">
        <v>50</v>
      </c>
      <c r="L74" s="40">
        <v>0</v>
      </c>
      <c r="M74" s="41">
        <v>33</v>
      </c>
      <c r="N74" s="41">
        <v>33</v>
      </c>
      <c r="O74" s="42">
        <v>100000</v>
      </c>
      <c r="P74" s="43">
        <v>66000</v>
      </c>
      <c r="Q74" s="43">
        <v>66000</v>
      </c>
      <c r="R74" s="44">
        <v>4.13</v>
      </c>
      <c r="S74" s="45"/>
      <c r="T74" s="38">
        <f t="shared" si="19"/>
        <v>10</v>
      </c>
      <c r="U74" s="46">
        <f t="shared" si="20"/>
        <v>9.0693862829740679E-2</v>
      </c>
      <c r="V74" s="47">
        <f t="shared" si="21"/>
        <v>0</v>
      </c>
      <c r="W74" s="48">
        <f t="shared" si="22"/>
        <v>9.0693862829740683E-3</v>
      </c>
      <c r="X74" s="43">
        <f t="shared" si="23"/>
        <v>21281.545819573425</v>
      </c>
      <c r="Y74" s="43">
        <f t="shared" si="24"/>
        <v>0</v>
      </c>
      <c r="Z74" s="43">
        <f t="shared" si="25"/>
        <v>120226.49595082742</v>
      </c>
      <c r="AA74" s="49">
        <f t="shared" si="26"/>
        <v>87281.545819573425</v>
      </c>
      <c r="AB74" s="50">
        <f t="shared" si="27"/>
        <v>112571.62542212305</v>
      </c>
      <c r="AC74" s="43">
        <f t="shared" si="28"/>
        <v>81724.293838551894</v>
      </c>
      <c r="AD74" s="43">
        <f t="shared" si="29"/>
        <v>58554.949838900888</v>
      </c>
      <c r="AE74" s="43">
        <f t="shared" si="30"/>
        <v>0</v>
      </c>
      <c r="AF74" s="51">
        <f>HLOOKUP(I74,ElecAvoidedCostsWOCC!$A$5:$Q$50,G74+1,FALSE)</f>
        <v>1.0411864604679799</v>
      </c>
      <c r="AG74" s="43">
        <f t="shared" si="31"/>
        <v>104118.64604679799</v>
      </c>
      <c r="AH74" s="51">
        <f>HLOOKUP(I74,ElecAvoidedCostsWOCC!$A$5:$Q$50,T74+1,FALSE)</f>
        <v>1.0411864604679799</v>
      </c>
      <c r="AI74" s="43">
        <f t="shared" si="32"/>
        <v>0</v>
      </c>
      <c r="AJ74" s="43">
        <f t="shared" si="33"/>
        <v>104118.64604679799</v>
      </c>
      <c r="AK74" s="43">
        <f>HLOOKUP(I74,ElecAvoidedCostsWOCC!$A$5:$Q$50,G74+1,FALSE)*J74*L74</f>
        <v>0</v>
      </c>
      <c r="AL74" s="43">
        <f t="shared" si="34"/>
        <v>104118.64604679799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104118.64604679799</v>
      </c>
      <c r="AN74" s="47">
        <f t="shared" si="35"/>
        <v>173085.4604903787</v>
      </c>
      <c r="AO74" s="46">
        <f t="shared" si="36"/>
        <v>0.92491021299880916</v>
      </c>
      <c r="AP74" s="46">
        <f t="shared" si="37"/>
        <v>2.1179193157950409</v>
      </c>
    </row>
    <row r="75" spans="2:42" x14ac:dyDescent="0.25">
      <c r="B75" s="36"/>
      <c r="C75" s="60"/>
      <c r="D75" s="60"/>
      <c r="E75" s="37" t="s">
        <v>1344</v>
      </c>
      <c r="F75" s="38" t="s">
        <v>665</v>
      </c>
      <c r="G75" s="38">
        <v>15</v>
      </c>
      <c r="H75" s="38">
        <v>0</v>
      </c>
      <c r="I75" s="39" t="s">
        <v>271</v>
      </c>
      <c r="J75" s="40">
        <v>40</v>
      </c>
      <c r="K75" s="40">
        <v>1300</v>
      </c>
      <c r="L75" s="40">
        <v>0</v>
      </c>
      <c r="M75" s="41">
        <v>800</v>
      </c>
      <c r="N75" s="41">
        <v>3758.92</v>
      </c>
      <c r="O75" s="42">
        <v>52000</v>
      </c>
      <c r="P75" s="43">
        <v>32000</v>
      </c>
      <c r="Q75" s="43">
        <v>150356.79999999999</v>
      </c>
      <c r="R75" s="44">
        <v>0</v>
      </c>
      <c r="S75" s="45"/>
      <c r="T75" s="38">
        <f t="shared" si="19"/>
        <v>15</v>
      </c>
      <c r="U75" s="46">
        <f t="shared" si="20"/>
        <v>7.0741213007197726E-2</v>
      </c>
      <c r="V75" s="47">
        <f t="shared" si="21"/>
        <v>2958.92</v>
      </c>
      <c r="W75" s="48">
        <f t="shared" si="22"/>
        <v>4.7160808671465153E-3</v>
      </c>
      <c r="X75" s="43">
        <f t="shared" si="23"/>
        <v>11066.403826178181</v>
      </c>
      <c r="Y75" s="43">
        <f t="shared" si="24"/>
        <v>118356.79999999999</v>
      </c>
      <c r="Z75" s="43">
        <f t="shared" si="25"/>
        <v>62517.777894430255</v>
      </c>
      <c r="AA75" s="49">
        <f t="shared" si="26"/>
        <v>161423.20382617816</v>
      </c>
      <c r="AB75" s="50">
        <f t="shared" si="27"/>
        <v>58537.24521950398</v>
      </c>
      <c r="AC75" s="43">
        <f t="shared" si="28"/>
        <v>151145.32193462373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1.7462566560958237</v>
      </c>
      <c r="AG75" s="43">
        <f t="shared" si="31"/>
        <v>90805.346116982837</v>
      </c>
      <c r="AH75" s="51">
        <f>HLOOKUP(I75,ElecAvoidedCostsWOCC!$A$5:$Q$50,T75+1,FALSE)</f>
        <v>1.7462566560958237</v>
      </c>
      <c r="AI75" s="43">
        <f t="shared" si="32"/>
        <v>0</v>
      </c>
      <c r="AJ75" s="43">
        <f t="shared" si="33"/>
        <v>90805.346116982837</v>
      </c>
      <c r="AK75" s="43">
        <f>HLOOKUP(I75,ElecAvoidedCostsWOCC!$A$5:$Q$50,G75+1,FALSE)*J75*L75</f>
        <v>0</v>
      </c>
      <c r="AL75" s="43">
        <f t="shared" si="34"/>
        <v>90805.346116982837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90805.346116982837</v>
      </c>
      <c r="AN75" s="47">
        <f t="shared" si="35"/>
        <v>99885.880728681135</v>
      </c>
      <c r="AO75" s="46">
        <f t="shared" si="36"/>
        <v>1.5512405098066944</v>
      </c>
      <c r="AP75" s="46">
        <f t="shared" si="37"/>
        <v>0.66085988934467776</v>
      </c>
    </row>
    <row r="76" spans="2:42" x14ac:dyDescent="0.25">
      <c r="B76" s="36"/>
      <c r="C76" s="60"/>
      <c r="D76" s="60"/>
      <c r="E76" s="37" t="s">
        <v>1345</v>
      </c>
      <c r="F76" s="38" t="s">
        <v>1346</v>
      </c>
      <c r="G76" s="38">
        <v>3</v>
      </c>
      <c r="H76" s="38">
        <v>0</v>
      </c>
      <c r="I76" s="39" t="s">
        <v>271</v>
      </c>
      <c r="J76" s="40">
        <v>40000</v>
      </c>
      <c r="K76" s="40">
        <v>1</v>
      </c>
      <c r="L76" s="40">
        <v>0</v>
      </c>
      <c r="M76" s="41">
        <v>0.05</v>
      </c>
      <c r="N76" s="41">
        <v>0.05</v>
      </c>
      <c r="O76" s="42">
        <v>40000</v>
      </c>
      <c r="P76" s="43">
        <v>2000</v>
      </c>
      <c r="Q76" s="43">
        <v>2000</v>
      </c>
      <c r="R76" s="44">
        <v>0</v>
      </c>
      <c r="S76" s="45"/>
      <c r="T76" s="38">
        <f t="shared" si="19"/>
        <v>3</v>
      </c>
      <c r="U76" s="46">
        <f t="shared" si="20"/>
        <v>1.0883263539568882E-2</v>
      </c>
      <c r="V76" s="47">
        <f t="shared" si="21"/>
        <v>0</v>
      </c>
      <c r="W76" s="48">
        <f t="shared" si="22"/>
        <v>3.627754513189627E-3</v>
      </c>
      <c r="X76" s="43">
        <f t="shared" si="23"/>
        <v>8512.6183278293684</v>
      </c>
      <c r="Y76" s="43">
        <f t="shared" si="24"/>
        <v>0</v>
      </c>
      <c r="Z76" s="43">
        <f t="shared" si="25"/>
        <v>48090.598380330965</v>
      </c>
      <c r="AA76" s="49">
        <f t="shared" si="26"/>
        <v>10512.618327829368</v>
      </c>
      <c r="AB76" s="50">
        <f t="shared" si="27"/>
        <v>45028.650168849214</v>
      </c>
      <c r="AC76" s="43">
        <f t="shared" si="28"/>
        <v>9843.2755878552125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0.47442203000927674</v>
      </c>
      <c r="AG76" s="43">
        <f t="shared" si="31"/>
        <v>18976.88120037107</v>
      </c>
      <c r="AH76" s="51">
        <f>HLOOKUP(I76,ElecAvoidedCostsWOCC!$A$5:$Q$50,T76+1,FALSE)</f>
        <v>0.47442203000927674</v>
      </c>
      <c r="AI76" s="43">
        <f t="shared" si="32"/>
        <v>0</v>
      </c>
      <c r="AJ76" s="43">
        <f t="shared" si="33"/>
        <v>18976.88120037107</v>
      </c>
      <c r="AK76" s="43">
        <f>HLOOKUP(I76,ElecAvoidedCostsWOCC!$A$5:$Q$50,G76+1,FALSE)*J76*L76</f>
        <v>0</v>
      </c>
      <c r="AL76" s="43">
        <f t="shared" si="34"/>
        <v>18976.88120037107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18976.88120037107</v>
      </c>
      <c r="AN76" s="47">
        <f t="shared" si="35"/>
        <v>20874.56932040818</v>
      </c>
      <c r="AO76" s="46">
        <f t="shared" si="36"/>
        <v>0.42144015264084606</v>
      </c>
      <c r="AP76" s="46">
        <f t="shared" si="37"/>
        <v>2.1206933742832059</v>
      </c>
    </row>
    <row r="77" spans="2:42" x14ac:dyDescent="0.25">
      <c r="B77" s="36"/>
      <c r="C77" s="60"/>
      <c r="D77" s="60"/>
      <c r="E77" s="37" t="s">
        <v>857</v>
      </c>
      <c r="F77" s="38" t="s">
        <v>1347</v>
      </c>
      <c r="G77" s="38">
        <v>1</v>
      </c>
      <c r="H77" s="38">
        <v>0</v>
      </c>
      <c r="I77" s="39" t="s">
        <v>271</v>
      </c>
      <c r="J77" s="40">
        <v>200</v>
      </c>
      <c r="K77" s="40">
        <v>0</v>
      </c>
      <c r="L77" s="40">
        <v>0</v>
      </c>
      <c r="M77" s="41">
        <v>100</v>
      </c>
      <c r="N77" s="41">
        <v>0</v>
      </c>
      <c r="O77" s="42">
        <v>0</v>
      </c>
      <c r="P77" s="43">
        <v>20000</v>
      </c>
      <c r="Q77" s="43">
        <v>0</v>
      </c>
      <c r="R77" s="44">
        <v>0</v>
      </c>
      <c r="S77" s="45"/>
      <c r="T77" s="38">
        <f t="shared" si="19"/>
        <v>1</v>
      </c>
      <c r="U77" s="46">
        <f t="shared" si="20"/>
        <v>0</v>
      </c>
      <c r="V77" s="47">
        <f t="shared" si="21"/>
        <v>-100</v>
      </c>
      <c r="W77" s="48">
        <f t="shared" si="22"/>
        <v>0</v>
      </c>
      <c r="X77" s="43">
        <f t="shared" si="23"/>
        <v>0</v>
      </c>
      <c r="Y77" s="43">
        <f t="shared" si="24"/>
        <v>-20000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0.16733299209051841</v>
      </c>
      <c r="AG77" s="43">
        <f t="shared" si="31"/>
        <v>0</v>
      </c>
      <c r="AH77" s="51">
        <f>HLOOKUP(I77,ElecAvoidedCostsWOCC!$A$5:$Q$50,T77+1,FALSE)</f>
        <v>0.16733299209051841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 t="s">
        <v>1348</v>
      </c>
      <c r="F78" s="38" t="s">
        <v>1249</v>
      </c>
      <c r="G78" s="38">
        <v>45</v>
      </c>
      <c r="H78" s="38">
        <v>0</v>
      </c>
      <c r="I78" s="39" t="s">
        <v>271</v>
      </c>
      <c r="J78" s="40">
        <v>1000</v>
      </c>
      <c r="K78" s="40">
        <v>0.9</v>
      </c>
      <c r="L78" s="40">
        <v>0</v>
      </c>
      <c r="M78" s="41">
        <v>1</v>
      </c>
      <c r="N78" s="41">
        <v>1.04</v>
      </c>
      <c r="O78" s="42">
        <v>900</v>
      </c>
      <c r="P78" s="43">
        <v>1000</v>
      </c>
      <c r="Q78" s="43">
        <v>1040</v>
      </c>
      <c r="R78" s="44">
        <v>0</v>
      </c>
      <c r="S78" s="45"/>
      <c r="T78" s="38">
        <f t="shared" si="19"/>
        <v>45</v>
      </c>
      <c r="U78" s="46">
        <f t="shared" si="20"/>
        <v>3.6731014446044975E-3</v>
      </c>
      <c r="V78" s="47">
        <f t="shared" si="21"/>
        <v>4.0000000000000036E-2</v>
      </c>
      <c r="W78" s="48">
        <f t="shared" si="22"/>
        <v>8.162447654676661E-5</v>
      </c>
      <c r="X78" s="43">
        <f t="shared" si="23"/>
        <v>191.5339123761608</v>
      </c>
      <c r="Y78" s="43">
        <f t="shared" si="24"/>
        <v>40</v>
      </c>
      <c r="Z78" s="43">
        <f t="shared" si="25"/>
        <v>1082.0384635574467</v>
      </c>
      <c r="AA78" s="49">
        <f t="shared" si="26"/>
        <v>1231.5339123761607</v>
      </c>
      <c r="AB78" s="50">
        <f t="shared" si="27"/>
        <v>1013.1446287991073</v>
      </c>
      <c r="AC78" s="43">
        <f t="shared" si="28"/>
        <v>1153.1216408016485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3.5408139669770344</v>
      </c>
      <c r="AG78" s="43">
        <f t="shared" si="31"/>
        <v>3186.732570279331</v>
      </c>
      <c r="AH78" s="51">
        <f>HLOOKUP(I78,ElecAvoidedCostsWOCC!$A$5:$Q$50,T78+1,FALSE)</f>
        <v>3.5408139669770344</v>
      </c>
      <c r="AI78" s="43">
        <f t="shared" si="32"/>
        <v>0</v>
      </c>
      <c r="AJ78" s="43">
        <f t="shared" si="33"/>
        <v>3186.732570279331</v>
      </c>
      <c r="AK78" s="43">
        <f>HLOOKUP(I78,ElecAvoidedCostsWOCC!$A$5:$Q$50,G78+1,FALSE)*J78*L78</f>
        <v>0</v>
      </c>
      <c r="AL78" s="43">
        <f t="shared" si="34"/>
        <v>3186.732570279331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3186.732570279331</v>
      </c>
      <c r="AN78" s="47">
        <f t="shared" si="35"/>
        <v>3505.4058273072642</v>
      </c>
      <c r="AO78" s="46">
        <f t="shared" si="36"/>
        <v>3.1453876176164544</v>
      </c>
      <c r="AP78" s="46">
        <f t="shared" si="37"/>
        <v>3.0399271883149388</v>
      </c>
    </row>
    <row r="79" spans="2:42" x14ac:dyDescent="0.25">
      <c r="B79" s="36"/>
      <c r="C79" s="60"/>
      <c r="D79" s="60"/>
      <c r="E79" s="37" t="s">
        <v>1349</v>
      </c>
      <c r="F79" s="38" t="s">
        <v>655</v>
      </c>
      <c r="G79" s="38">
        <v>45</v>
      </c>
      <c r="H79" s="38">
        <v>0</v>
      </c>
      <c r="I79" s="39" t="s">
        <v>271</v>
      </c>
      <c r="J79" s="40">
        <v>20000</v>
      </c>
      <c r="K79" s="40">
        <v>1.4</v>
      </c>
      <c r="L79" s="40">
        <v>0</v>
      </c>
      <c r="M79" s="41">
        <v>1</v>
      </c>
      <c r="N79" s="41">
        <v>1.35</v>
      </c>
      <c r="O79" s="42">
        <v>28000</v>
      </c>
      <c r="P79" s="43">
        <v>20000</v>
      </c>
      <c r="Q79" s="43">
        <v>27000</v>
      </c>
      <c r="R79" s="44">
        <v>0</v>
      </c>
      <c r="S79" s="45"/>
      <c r="T79" s="38">
        <f t="shared" si="19"/>
        <v>45</v>
      </c>
      <c r="U79" s="46">
        <f t="shared" si="20"/>
        <v>0.11427426716547325</v>
      </c>
      <c r="V79" s="47">
        <f t="shared" si="21"/>
        <v>0.35000000000000009</v>
      </c>
      <c r="W79" s="48">
        <f t="shared" si="22"/>
        <v>2.5394281592327388E-3</v>
      </c>
      <c r="X79" s="43">
        <f t="shared" si="23"/>
        <v>5958.8328294805578</v>
      </c>
      <c r="Y79" s="43">
        <f t="shared" si="24"/>
        <v>7000</v>
      </c>
      <c r="Z79" s="43">
        <f t="shared" si="25"/>
        <v>33663.418866231674</v>
      </c>
      <c r="AA79" s="49">
        <f t="shared" si="26"/>
        <v>32958.832829480554</v>
      </c>
      <c r="AB79" s="50">
        <f t="shared" si="27"/>
        <v>31520.05511819445</v>
      </c>
      <c r="AC79" s="43">
        <f t="shared" si="28"/>
        <v>30860.330364682166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3.5408139669770344</v>
      </c>
      <c r="AG79" s="43">
        <f t="shared" si="31"/>
        <v>99142.791075356959</v>
      </c>
      <c r="AH79" s="51">
        <f>HLOOKUP(I79,ElecAvoidedCostsWOCC!$A$5:$Q$50,T79+1,FALSE)</f>
        <v>3.5408139669770344</v>
      </c>
      <c r="AI79" s="43">
        <f t="shared" si="32"/>
        <v>0</v>
      </c>
      <c r="AJ79" s="43">
        <f t="shared" si="33"/>
        <v>99142.791075356959</v>
      </c>
      <c r="AK79" s="43">
        <f>HLOOKUP(I79,ElecAvoidedCostsWOCC!$A$5:$Q$50,G79+1,FALSE)*J79*L79</f>
        <v>0</v>
      </c>
      <c r="AL79" s="43">
        <f t="shared" si="34"/>
        <v>99142.791075356959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99142.791075356959</v>
      </c>
      <c r="AN79" s="47">
        <f t="shared" si="35"/>
        <v>109057.07018289267</v>
      </c>
      <c r="AO79" s="46">
        <f t="shared" si="36"/>
        <v>3.1453876176164539</v>
      </c>
      <c r="AP79" s="46">
        <f t="shared" si="37"/>
        <v>3.5338918570911373</v>
      </c>
    </row>
    <row r="80" spans="2:42" x14ac:dyDescent="0.25">
      <c r="B80" s="36"/>
      <c r="C80" s="60"/>
      <c r="D80" s="60"/>
      <c r="E80" s="37" t="s">
        <v>1350</v>
      </c>
      <c r="F80" s="38" t="s">
        <v>658</v>
      </c>
      <c r="G80" s="38">
        <v>45</v>
      </c>
      <c r="H80" s="38">
        <v>0</v>
      </c>
      <c r="I80" s="39" t="s">
        <v>271</v>
      </c>
      <c r="J80" s="40">
        <v>20000</v>
      </c>
      <c r="K80" s="40">
        <v>2.1</v>
      </c>
      <c r="L80" s="40">
        <v>0</v>
      </c>
      <c r="M80" s="41">
        <v>1</v>
      </c>
      <c r="N80" s="41">
        <v>1.25</v>
      </c>
      <c r="O80" s="42">
        <v>42000</v>
      </c>
      <c r="P80" s="43">
        <v>20000</v>
      </c>
      <c r="Q80" s="43">
        <v>25000</v>
      </c>
      <c r="R80" s="44">
        <v>0</v>
      </c>
      <c r="S80" s="45"/>
      <c r="T80" s="38">
        <f t="shared" si="19"/>
        <v>45</v>
      </c>
      <c r="U80" s="46">
        <f t="shared" si="20"/>
        <v>0.17141140074820987</v>
      </c>
      <c r="V80" s="47">
        <f t="shared" si="21"/>
        <v>0.25</v>
      </c>
      <c r="W80" s="48">
        <f t="shared" si="22"/>
        <v>3.8091422388491086E-3</v>
      </c>
      <c r="X80" s="43">
        <f t="shared" si="23"/>
        <v>8938.2492442208386</v>
      </c>
      <c r="Y80" s="43">
        <f t="shared" si="24"/>
        <v>5000</v>
      </c>
      <c r="Z80" s="43">
        <f t="shared" si="25"/>
        <v>50495.128299347518</v>
      </c>
      <c r="AA80" s="49">
        <f t="shared" si="26"/>
        <v>33938.249244220839</v>
      </c>
      <c r="AB80" s="50">
        <f t="shared" si="27"/>
        <v>47280.082677291684</v>
      </c>
      <c r="AC80" s="43">
        <f t="shared" si="28"/>
        <v>31777.386932791047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3.5408139669770344</v>
      </c>
      <c r="AG80" s="43">
        <f t="shared" si="31"/>
        <v>148714.18661303545</v>
      </c>
      <c r="AH80" s="51">
        <f>HLOOKUP(I80,ElecAvoidedCostsWOCC!$A$5:$Q$50,T80+1,FALSE)</f>
        <v>3.5408139669770344</v>
      </c>
      <c r="AI80" s="43">
        <f t="shared" si="32"/>
        <v>0</v>
      </c>
      <c r="AJ80" s="43">
        <f t="shared" si="33"/>
        <v>148714.18661303545</v>
      </c>
      <c r="AK80" s="43">
        <f>HLOOKUP(I80,ElecAvoidedCostsWOCC!$A$5:$Q$50,G80+1,FALSE)*J80*L80</f>
        <v>0</v>
      </c>
      <c r="AL80" s="43">
        <f t="shared" si="34"/>
        <v>148714.18661303545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148714.18661303545</v>
      </c>
      <c r="AN80" s="47">
        <f t="shared" si="35"/>
        <v>163585.605274339</v>
      </c>
      <c r="AO80" s="46">
        <f t="shared" si="36"/>
        <v>3.1453876176164535</v>
      </c>
      <c r="AP80" s="46">
        <f t="shared" si="37"/>
        <v>5.1478620825658643</v>
      </c>
    </row>
    <row r="81" spans="5:18" x14ac:dyDescent="0.25">
      <c r="E81" t="s">
        <v>1351</v>
      </c>
      <c r="F81" t="s">
        <v>680</v>
      </c>
      <c r="G81">
        <v>45</v>
      </c>
      <c r="H81">
        <v>0</v>
      </c>
      <c r="I81" t="s">
        <v>271</v>
      </c>
      <c r="J81">
        <v>2000</v>
      </c>
      <c r="K81">
        <v>1</v>
      </c>
      <c r="L81">
        <v>0</v>
      </c>
      <c r="M81">
        <v>1</v>
      </c>
      <c r="N81">
        <v>1.34</v>
      </c>
      <c r="O81">
        <v>2000</v>
      </c>
      <c r="P81">
        <v>2000</v>
      </c>
      <c r="Q81">
        <v>2680</v>
      </c>
      <c r="R81">
        <v>0</v>
      </c>
    </row>
    <row r="82" spans="5:18" x14ac:dyDescent="0.25">
      <c r="E82" t="s">
        <v>1007</v>
      </c>
      <c r="F82" t="s">
        <v>1257</v>
      </c>
      <c r="G82">
        <v>45</v>
      </c>
      <c r="H82">
        <v>0</v>
      </c>
      <c r="I82" t="s">
        <v>271</v>
      </c>
      <c r="J82">
        <v>20000</v>
      </c>
      <c r="K82">
        <v>0.3</v>
      </c>
      <c r="L82">
        <v>0</v>
      </c>
      <c r="M82">
        <v>0.5</v>
      </c>
      <c r="N82">
        <v>0.83</v>
      </c>
      <c r="O82">
        <v>6000</v>
      </c>
      <c r="P82">
        <v>10000</v>
      </c>
      <c r="Q82">
        <v>16600</v>
      </c>
      <c r="R82">
        <v>0</v>
      </c>
    </row>
    <row r="83" spans="5:18" x14ac:dyDescent="0.25">
      <c r="E83" t="s">
        <v>1352</v>
      </c>
      <c r="F83" t="s">
        <v>667</v>
      </c>
      <c r="G83">
        <v>45</v>
      </c>
      <c r="H83">
        <v>0</v>
      </c>
      <c r="I83" t="s">
        <v>271</v>
      </c>
      <c r="J83">
        <v>400</v>
      </c>
      <c r="K83">
        <v>13</v>
      </c>
      <c r="L83">
        <v>0</v>
      </c>
      <c r="M83">
        <v>10</v>
      </c>
      <c r="N83">
        <v>24.7</v>
      </c>
      <c r="O83">
        <v>5200</v>
      </c>
      <c r="P83">
        <v>4000</v>
      </c>
      <c r="Q83">
        <v>9880</v>
      </c>
      <c r="R83">
        <v>2.5999999999999999E-3</v>
      </c>
    </row>
    <row r="84" spans="5:18" x14ac:dyDescent="0.25">
      <c r="E84" t="s">
        <v>1353</v>
      </c>
      <c r="F84" t="s">
        <v>668</v>
      </c>
      <c r="G84">
        <v>45</v>
      </c>
      <c r="H84">
        <v>0</v>
      </c>
      <c r="I84" t="s">
        <v>271</v>
      </c>
      <c r="J84">
        <v>400</v>
      </c>
      <c r="K84">
        <v>24</v>
      </c>
      <c r="L84">
        <v>0</v>
      </c>
      <c r="M84">
        <v>20</v>
      </c>
      <c r="N84">
        <v>24.7</v>
      </c>
      <c r="O84">
        <v>9600</v>
      </c>
      <c r="P84">
        <v>8000</v>
      </c>
      <c r="Q84">
        <v>9880</v>
      </c>
      <c r="R84">
        <v>4.8999999999999998E-3</v>
      </c>
    </row>
    <row r="85" spans="5:18" x14ac:dyDescent="0.25">
      <c r="E85" t="s">
        <v>1354</v>
      </c>
      <c r="F85" t="s">
        <v>1261</v>
      </c>
      <c r="G85">
        <v>45</v>
      </c>
      <c r="H85">
        <v>0</v>
      </c>
      <c r="I85" t="s">
        <v>271</v>
      </c>
      <c r="J85">
        <v>400</v>
      </c>
      <c r="K85">
        <v>15</v>
      </c>
      <c r="L85">
        <v>0</v>
      </c>
      <c r="M85">
        <v>15</v>
      </c>
      <c r="N85">
        <v>28.6</v>
      </c>
      <c r="O85">
        <v>6000</v>
      </c>
      <c r="P85">
        <v>6000</v>
      </c>
      <c r="Q85">
        <v>11440</v>
      </c>
      <c r="R85">
        <v>3.0000000000000001E-3</v>
      </c>
    </row>
    <row r="86" spans="5:18" x14ac:dyDescent="0.25">
      <c r="E86" t="s">
        <v>1355</v>
      </c>
      <c r="F86" t="s">
        <v>670</v>
      </c>
      <c r="G86">
        <v>45</v>
      </c>
      <c r="H86">
        <v>0</v>
      </c>
      <c r="I86" t="s">
        <v>271</v>
      </c>
      <c r="J86">
        <v>400</v>
      </c>
      <c r="K86">
        <v>27</v>
      </c>
      <c r="L86">
        <v>0</v>
      </c>
      <c r="M86">
        <v>30</v>
      </c>
      <c r="N86">
        <v>28.6</v>
      </c>
      <c r="O86">
        <v>10800</v>
      </c>
      <c r="P86">
        <v>12000</v>
      </c>
      <c r="Q86">
        <v>11440</v>
      </c>
      <c r="R86">
        <v>5.4999999999999997E-3</v>
      </c>
    </row>
    <row r="87" spans="5:18" x14ac:dyDescent="0.25">
      <c r="E87" t="s">
        <v>1356</v>
      </c>
      <c r="F87" t="s">
        <v>1264</v>
      </c>
      <c r="G87">
        <v>45</v>
      </c>
      <c r="H87">
        <v>0</v>
      </c>
      <c r="I87" t="s">
        <v>271</v>
      </c>
      <c r="J87">
        <v>2000</v>
      </c>
      <c r="K87">
        <v>3</v>
      </c>
      <c r="L87">
        <v>0</v>
      </c>
      <c r="M87">
        <v>3</v>
      </c>
      <c r="N87">
        <v>3.9</v>
      </c>
      <c r="O87">
        <v>6000</v>
      </c>
      <c r="P87">
        <v>6000</v>
      </c>
      <c r="Q87">
        <v>7800</v>
      </c>
      <c r="R87">
        <v>5.9999999999999995E-4</v>
      </c>
    </row>
    <row r="88" spans="5:18" x14ac:dyDescent="0.25">
      <c r="E88" t="s">
        <v>1357</v>
      </c>
      <c r="F88" t="s">
        <v>683</v>
      </c>
      <c r="G88">
        <v>45</v>
      </c>
      <c r="H88">
        <v>0</v>
      </c>
      <c r="I88" t="s">
        <v>271</v>
      </c>
      <c r="J88">
        <v>2000</v>
      </c>
      <c r="K88">
        <v>13</v>
      </c>
      <c r="L88">
        <v>0</v>
      </c>
      <c r="M88">
        <v>15</v>
      </c>
      <c r="N88">
        <v>24.7</v>
      </c>
      <c r="O88">
        <v>26000</v>
      </c>
      <c r="P88">
        <v>30000</v>
      </c>
      <c r="Q88">
        <v>49400</v>
      </c>
      <c r="R88">
        <v>2.5999999999999999E-3</v>
      </c>
    </row>
    <row r="89" spans="5:18" x14ac:dyDescent="0.25">
      <c r="E89" t="s">
        <v>1358</v>
      </c>
      <c r="F89" t="s">
        <v>1265</v>
      </c>
      <c r="G89">
        <v>45</v>
      </c>
      <c r="H89">
        <v>0</v>
      </c>
      <c r="I89" t="s">
        <v>271</v>
      </c>
      <c r="J89">
        <v>2000</v>
      </c>
      <c r="K89">
        <v>24</v>
      </c>
      <c r="L89">
        <v>0</v>
      </c>
      <c r="M89">
        <v>25</v>
      </c>
      <c r="N89">
        <v>24.7</v>
      </c>
      <c r="O89">
        <v>48000</v>
      </c>
      <c r="P89">
        <v>50000</v>
      </c>
      <c r="Q89">
        <v>49400</v>
      </c>
      <c r="R89">
        <v>4.8999999999999998E-3</v>
      </c>
    </row>
    <row r="90" spans="5:18" x14ac:dyDescent="0.25">
      <c r="E90" t="s">
        <v>1359</v>
      </c>
      <c r="F90" t="s">
        <v>1266</v>
      </c>
      <c r="G90">
        <v>45</v>
      </c>
      <c r="H90">
        <v>0</v>
      </c>
      <c r="I90" t="s">
        <v>271</v>
      </c>
      <c r="J90">
        <v>2000</v>
      </c>
      <c r="K90">
        <v>15</v>
      </c>
      <c r="L90">
        <v>0</v>
      </c>
      <c r="M90">
        <v>20</v>
      </c>
      <c r="N90">
        <v>28.6</v>
      </c>
      <c r="O90">
        <v>30000</v>
      </c>
      <c r="P90">
        <v>40000</v>
      </c>
      <c r="Q90">
        <v>57200</v>
      </c>
      <c r="R90">
        <v>3.0000000000000001E-3</v>
      </c>
    </row>
    <row r="91" spans="5:18" x14ac:dyDescent="0.25">
      <c r="E91" t="s">
        <v>1360</v>
      </c>
      <c r="F91" t="s">
        <v>1267</v>
      </c>
      <c r="G91">
        <v>45</v>
      </c>
      <c r="H91">
        <v>0</v>
      </c>
      <c r="I91" t="s">
        <v>271</v>
      </c>
      <c r="J91">
        <v>2000</v>
      </c>
      <c r="K91">
        <v>27</v>
      </c>
      <c r="L91">
        <v>0</v>
      </c>
      <c r="M91">
        <v>35</v>
      </c>
      <c r="N91">
        <v>28.6</v>
      </c>
      <c r="O91">
        <v>54000</v>
      </c>
      <c r="P91">
        <v>70000</v>
      </c>
      <c r="Q91">
        <v>57200</v>
      </c>
      <c r="R91">
        <v>5.4999999999999997E-3</v>
      </c>
    </row>
    <row r="92" spans="5:18" x14ac:dyDescent="0.25">
      <c r="E92" t="s">
        <v>1361</v>
      </c>
      <c r="F92" t="s">
        <v>1268</v>
      </c>
      <c r="G92">
        <v>45</v>
      </c>
      <c r="H92">
        <v>0</v>
      </c>
      <c r="I92" t="s">
        <v>271</v>
      </c>
      <c r="J92">
        <v>20000</v>
      </c>
      <c r="K92">
        <v>3</v>
      </c>
      <c r="L92">
        <v>0</v>
      </c>
      <c r="M92">
        <v>6</v>
      </c>
      <c r="N92">
        <v>3.9</v>
      </c>
      <c r="O92">
        <v>60000</v>
      </c>
      <c r="P92">
        <v>120000</v>
      </c>
      <c r="Q92">
        <v>78000</v>
      </c>
      <c r="R92">
        <v>5.9999999999999995E-4</v>
      </c>
    </row>
    <row r="93" spans="5:18" x14ac:dyDescent="0.25">
      <c r="E93" t="s">
        <v>1362</v>
      </c>
      <c r="F93" t="s">
        <v>614</v>
      </c>
      <c r="G93">
        <v>10</v>
      </c>
      <c r="H93">
        <v>0</v>
      </c>
      <c r="I93" t="s">
        <v>267</v>
      </c>
      <c r="J93">
        <v>100</v>
      </c>
      <c r="K93">
        <v>127</v>
      </c>
      <c r="L93">
        <v>0</v>
      </c>
      <c r="M93">
        <v>100</v>
      </c>
      <c r="N93">
        <v>50</v>
      </c>
      <c r="O93">
        <v>12700</v>
      </c>
      <c r="P93">
        <v>10000</v>
      </c>
      <c r="Q93">
        <v>5000</v>
      </c>
      <c r="R93">
        <v>10.2753</v>
      </c>
    </row>
    <row r="94" spans="5:18" x14ac:dyDescent="0.25">
      <c r="E94" t="s">
        <v>1363</v>
      </c>
      <c r="F94" t="s">
        <v>666</v>
      </c>
      <c r="G94">
        <v>10</v>
      </c>
      <c r="H94">
        <v>0</v>
      </c>
      <c r="I94" t="s">
        <v>267</v>
      </c>
      <c r="J94">
        <v>100</v>
      </c>
      <c r="K94">
        <v>127</v>
      </c>
      <c r="L94">
        <v>0</v>
      </c>
      <c r="M94">
        <v>200</v>
      </c>
      <c r="N94">
        <v>100</v>
      </c>
      <c r="O94">
        <v>12700</v>
      </c>
      <c r="P94">
        <v>20000</v>
      </c>
      <c r="Q94">
        <v>10000</v>
      </c>
      <c r="R94">
        <v>10.2753</v>
      </c>
    </row>
    <row r="95" spans="5:18" x14ac:dyDescent="0.25">
      <c r="E95" t="s">
        <v>1364</v>
      </c>
      <c r="F95" t="s">
        <v>1346</v>
      </c>
      <c r="G95">
        <v>3</v>
      </c>
      <c r="H95">
        <v>0</v>
      </c>
      <c r="I95" t="s">
        <v>271</v>
      </c>
      <c r="J95">
        <v>10000</v>
      </c>
      <c r="K95">
        <v>1</v>
      </c>
      <c r="L95">
        <v>0</v>
      </c>
      <c r="M95">
        <v>9.6250000000000002E-2</v>
      </c>
      <c r="N95">
        <v>9.6250000000000002E-2</v>
      </c>
      <c r="O95">
        <v>10000</v>
      </c>
      <c r="P95">
        <v>962.5</v>
      </c>
      <c r="Q95">
        <v>962.5</v>
      </c>
      <c r="R95">
        <v>0</v>
      </c>
    </row>
    <row r="96" spans="5:18" x14ac:dyDescent="0.25">
      <c r="E96" t="s">
        <v>1256</v>
      </c>
      <c r="F96" t="s">
        <v>1365</v>
      </c>
      <c r="G96">
        <v>5</v>
      </c>
      <c r="H96">
        <v>0</v>
      </c>
      <c r="I96" t="s">
        <v>271</v>
      </c>
      <c r="J96">
        <v>200</v>
      </c>
      <c r="K96">
        <v>26</v>
      </c>
      <c r="L96">
        <v>0</v>
      </c>
      <c r="M96">
        <v>100</v>
      </c>
      <c r="N96">
        <v>16.739999999999998</v>
      </c>
      <c r="O96">
        <v>5200</v>
      </c>
      <c r="P96">
        <v>20000</v>
      </c>
      <c r="Q96">
        <v>3347.9999999999995</v>
      </c>
      <c r="R96">
        <v>0</v>
      </c>
    </row>
    <row r="97" spans="5:18" x14ac:dyDescent="0.25">
      <c r="E97" t="s">
        <v>1256</v>
      </c>
      <c r="F97" t="s">
        <v>1366</v>
      </c>
      <c r="G97">
        <v>15</v>
      </c>
      <c r="H97">
        <v>0</v>
      </c>
      <c r="I97" t="s">
        <v>270</v>
      </c>
      <c r="J97">
        <v>42</v>
      </c>
      <c r="K97">
        <v>879</v>
      </c>
      <c r="L97">
        <v>0</v>
      </c>
      <c r="M97">
        <v>2400</v>
      </c>
      <c r="N97">
        <v>827</v>
      </c>
      <c r="O97">
        <v>36918</v>
      </c>
      <c r="P97">
        <v>100800</v>
      </c>
      <c r="Q97">
        <v>34734</v>
      </c>
      <c r="R97">
        <v>17.721800000000002</v>
      </c>
    </row>
    <row r="98" spans="5:18" x14ac:dyDescent="0.25">
      <c r="E98" t="s">
        <v>1256</v>
      </c>
      <c r="F98" t="s">
        <v>1367</v>
      </c>
      <c r="G98">
        <v>15</v>
      </c>
      <c r="H98">
        <v>0</v>
      </c>
      <c r="I98" t="s">
        <v>270</v>
      </c>
      <c r="J98">
        <v>200</v>
      </c>
      <c r="K98">
        <v>1300</v>
      </c>
      <c r="L98">
        <v>0</v>
      </c>
      <c r="M98">
        <v>2400</v>
      </c>
      <c r="N98">
        <v>4000</v>
      </c>
      <c r="O98">
        <v>260000</v>
      </c>
      <c r="P98">
        <v>480000</v>
      </c>
      <c r="Q98">
        <v>800000</v>
      </c>
      <c r="R98">
        <v>26.209800000000001</v>
      </c>
    </row>
    <row r="99" spans="5:18" x14ac:dyDescent="0.25">
      <c r="E99" t="s">
        <v>1368</v>
      </c>
      <c r="F99" t="s">
        <v>665</v>
      </c>
      <c r="G99">
        <v>15</v>
      </c>
      <c r="H99">
        <v>0</v>
      </c>
      <c r="I99" t="s">
        <v>270</v>
      </c>
      <c r="J99">
        <v>50</v>
      </c>
      <c r="K99">
        <v>1300</v>
      </c>
      <c r="L99">
        <v>0</v>
      </c>
      <c r="M99">
        <v>800</v>
      </c>
      <c r="N99">
        <v>4000</v>
      </c>
      <c r="O99">
        <v>65000</v>
      </c>
      <c r="P99">
        <v>40000</v>
      </c>
      <c r="Q99">
        <v>200000</v>
      </c>
      <c r="R99">
        <v>26.209800000000001</v>
      </c>
    </row>
    <row r="100" spans="5:18" x14ac:dyDescent="0.25">
      <c r="E100" t="s">
        <v>1369</v>
      </c>
      <c r="F100" t="s">
        <v>659</v>
      </c>
      <c r="G100">
        <v>45</v>
      </c>
      <c r="H100">
        <v>0</v>
      </c>
      <c r="I100" t="s">
        <v>271</v>
      </c>
      <c r="J100">
        <v>20000</v>
      </c>
      <c r="K100">
        <v>0</v>
      </c>
      <c r="L100">
        <v>0</v>
      </c>
      <c r="M100">
        <v>1.7</v>
      </c>
      <c r="N100">
        <v>1.7</v>
      </c>
      <c r="O100">
        <v>20000</v>
      </c>
      <c r="P100">
        <v>34000</v>
      </c>
      <c r="Q100">
        <v>34000</v>
      </c>
      <c r="R100">
        <v>0</v>
      </c>
    </row>
    <row r="101" spans="5:18" x14ac:dyDescent="0.25">
      <c r="E101" t="s">
        <v>1370</v>
      </c>
      <c r="F101" t="s">
        <v>1306</v>
      </c>
      <c r="G101">
        <v>15</v>
      </c>
      <c r="H101">
        <v>0</v>
      </c>
      <c r="I101" t="s">
        <v>265</v>
      </c>
      <c r="J101">
        <v>4000</v>
      </c>
      <c r="K101">
        <v>0</v>
      </c>
      <c r="L101">
        <v>0</v>
      </c>
      <c r="M101">
        <v>0.35</v>
      </c>
      <c r="N101">
        <v>0.5</v>
      </c>
      <c r="O101">
        <v>4000</v>
      </c>
      <c r="P101">
        <v>1400</v>
      </c>
      <c r="Q101">
        <v>2000</v>
      </c>
      <c r="R101">
        <v>0</v>
      </c>
    </row>
    <row r="102" spans="5:18" x14ac:dyDescent="0.25">
      <c r="E102" t="s">
        <v>1371</v>
      </c>
      <c r="F102" t="s">
        <v>684</v>
      </c>
      <c r="G102">
        <v>5</v>
      </c>
      <c r="H102">
        <v>10</v>
      </c>
      <c r="I102" t="s">
        <v>271</v>
      </c>
      <c r="J102">
        <v>2000</v>
      </c>
      <c r="K102">
        <v>66</v>
      </c>
      <c r="L102">
        <v>59</v>
      </c>
      <c r="M102">
        <v>50</v>
      </c>
      <c r="N102">
        <v>60.4</v>
      </c>
      <c r="O102">
        <v>132000</v>
      </c>
      <c r="P102">
        <v>100000</v>
      </c>
      <c r="Q102">
        <v>120800</v>
      </c>
      <c r="R102">
        <v>2.8631000000000002</v>
      </c>
    </row>
    <row r="103" spans="5:18" x14ac:dyDescent="0.25">
      <c r="E103" t="s">
        <v>1372</v>
      </c>
      <c r="F103" t="s">
        <v>685</v>
      </c>
      <c r="G103">
        <v>5</v>
      </c>
      <c r="H103">
        <v>10</v>
      </c>
      <c r="I103" t="s">
        <v>271</v>
      </c>
      <c r="J103">
        <v>20000</v>
      </c>
      <c r="K103">
        <v>66</v>
      </c>
      <c r="L103">
        <v>59</v>
      </c>
      <c r="M103">
        <v>70</v>
      </c>
      <c r="N103">
        <v>70</v>
      </c>
      <c r="O103">
        <v>1320000</v>
      </c>
      <c r="P103">
        <v>1400000</v>
      </c>
      <c r="Q103">
        <v>1400000</v>
      </c>
      <c r="R103">
        <v>2.8631000000000002</v>
      </c>
    </row>
    <row r="104" spans="5:18" x14ac:dyDescent="0.25">
      <c r="E104" t="s">
        <v>1256</v>
      </c>
      <c r="F104" t="s">
        <v>1373</v>
      </c>
      <c r="G104">
        <v>15</v>
      </c>
      <c r="H104">
        <v>0</v>
      </c>
      <c r="I104" t="s">
        <v>265</v>
      </c>
      <c r="J104">
        <v>200</v>
      </c>
      <c r="K104">
        <v>58</v>
      </c>
      <c r="L104">
        <v>0</v>
      </c>
      <c r="M104">
        <v>50</v>
      </c>
      <c r="N104">
        <v>60.4</v>
      </c>
      <c r="O104">
        <v>11600</v>
      </c>
      <c r="P104">
        <v>10000</v>
      </c>
      <c r="Q104">
        <v>12080</v>
      </c>
      <c r="R104">
        <v>0</v>
      </c>
    </row>
    <row r="105" spans="5:18" x14ac:dyDescent="0.25">
      <c r="E105" t="s">
        <v>1374</v>
      </c>
      <c r="F105" t="s">
        <v>1295</v>
      </c>
      <c r="G105">
        <v>5</v>
      </c>
      <c r="H105">
        <v>10</v>
      </c>
      <c r="I105" t="s">
        <v>271</v>
      </c>
      <c r="J105">
        <v>2000</v>
      </c>
      <c r="K105">
        <v>66</v>
      </c>
      <c r="L105">
        <v>59</v>
      </c>
      <c r="M105">
        <v>100</v>
      </c>
      <c r="N105">
        <v>91.85</v>
      </c>
      <c r="O105">
        <v>132000</v>
      </c>
      <c r="P105">
        <v>200000</v>
      </c>
      <c r="Q105">
        <v>183700</v>
      </c>
      <c r="R105">
        <v>2.8631000000000002</v>
      </c>
    </row>
    <row r="106" spans="5:18" x14ac:dyDescent="0.25">
      <c r="E106" t="s">
        <v>1375</v>
      </c>
      <c r="F106" t="s">
        <v>675</v>
      </c>
      <c r="G106">
        <v>5</v>
      </c>
      <c r="H106">
        <v>10</v>
      </c>
      <c r="I106" t="s">
        <v>271</v>
      </c>
      <c r="J106">
        <v>2000</v>
      </c>
      <c r="K106">
        <v>66</v>
      </c>
      <c r="L106">
        <v>59</v>
      </c>
      <c r="M106">
        <v>140</v>
      </c>
      <c r="N106">
        <v>140</v>
      </c>
      <c r="O106">
        <v>132000</v>
      </c>
      <c r="P106">
        <v>280000</v>
      </c>
      <c r="Q106">
        <v>280000</v>
      </c>
      <c r="R106">
        <v>0</v>
      </c>
    </row>
    <row r="107" spans="5:18" x14ac:dyDescent="0.25">
      <c r="E107" t="s">
        <v>1376</v>
      </c>
      <c r="F107" t="s">
        <v>1297</v>
      </c>
      <c r="G107">
        <v>5</v>
      </c>
      <c r="H107">
        <v>10</v>
      </c>
      <c r="I107" t="s">
        <v>270</v>
      </c>
      <c r="J107">
        <v>100</v>
      </c>
      <c r="K107">
        <v>45</v>
      </c>
      <c r="L107">
        <v>41</v>
      </c>
      <c r="M107">
        <v>75</v>
      </c>
      <c r="N107">
        <v>91.85</v>
      </c>
      <c r="O107">
        <v>4500</v>
      </c>
      <c r="P107">
        <v>7500</v>
      </c>
      <c r="Q107">
        <v>9185</v>
      </c>
      <c r="R107">
        <v>0</v>
      </c>
    </row>
    <row r="108" spans="5:18" x14ac:dyDescent="0.25">
      <c r="E108" t="s">
        <v>1256</v>
      </c>
      <c r="F108" t="s">
        <v>1377</v>
      </c>
      <c r="G108">
        <v>7</v>
      </c>
      <c r="H108">
        <v>0</v>
      </c>
      <c r="I108" t="s">
        <v>270</v>
      </c>
      <c r="J108">
        <v>100</v>
      </c>
      <c r="K108">
        <v>416</v>
      </c>
      <c r="L108">
        <v>0</v>
      </c>
      <c r="M108">
        <v>300</v>
      </c>
      <c r="N108">
        <v>165.03</v>
      </c>
      <c r="O108">
        <v>41600</v>
      </c>
      <c r="P108">
        <v>30000</v>
      </c>
      <c r="Q108">
        <v>16503</v>
      </c>
      <c r="R108">
        <v>0</v>
      </c>
    </row>
    <row r="109" spans="5:18" x14ac:dyDescent="0.25">
      <c r="E109" t="s">
        <v>1256</v>
      </c>
      <c r="F109" t="s">
        <v>1378</v>
      </c>
      <c r="G109">
        <v>7</v>
      </c>
      <c r="H109">
        <v>0</v>
      </c>
      <c r="I109" t="s">
        <v>271</v>
      </c>
      <c r="J109">
        <v>300</v>
      </c>
      <c r="K109">
        <v>95</v>
      </c>
      <c r="L109">
        <v>0</v>
      </c>
      <c r="M109">
        <v>75</v>
      </c>
      <c r="N109">
        <v>165.03</v>
      </c>
      <c r="O109">
        <v>28500</v>
      </c>
      <c r="P109">
        <v>22500</v>
      </c>
      <c r="Q109">
        <v>49509</v>
      </c>
      <c r="R109">
        <v>0</v>
      </c>
    </row>
    <row r="110" spans="5:18" x14ac:dyDescent="0.25">
      <c r="E110" t="s">
        <v>1256</v>
      </c>
      <c r="F110" t="s">
        <v>1379</v>
      </c>
      <c r="G110">
        <v>7</v>
      </c>
      <c r="H110">
        <v>0</v>
      </c>
      <c r="I110" t="s">
        <v>271</v>
      </c>
      <c r="J110">
        <v>1000</v>
      </c>
      <c r="K110">
        <v>95</v>
      </c>
      <c r="L110">
        <v>0</v>
      </c>
      <c r="M110">
        <v>175</v>
      </c>
      <c r="N110">
        <v>152</v>
      </c>
      <c r="O110">
        <v>95000</v>
      </c>
      <c r="P110">
        <v>175000</v>
      </c>
      <c r="Q110">
        <v>152000</v>
      </c>
      <c r="R110">
        <v>0</v>
      </c>
    </row>
    <row r="111" spans="5:18" x14ac:dyDescent="0.25">
      <c r="E111" t="s">
        <v>1256</v>
      </c>
      <c r="F111" t="s">
        <v>1380</v>
      </c>
      <c r="G111">
        <v>7</v>
      </c>
      <c r="H111">
        <v>0</v>
      </c>
      <c r="I111" t="s">
        <v>271</v>
      </c>
      <c r="J111">
        <v>200</v>
      </c>
      <c r="K111">
        <v>95</v>
      </c>
      <c r="L111">
        <v>0</v>
      </c>
      <c r="M111">
        <v>150</v>
      </c>
      <c r="N111">
        <v>165.03</v>
      </c>
      <c r="O111">
        <v>19000</v>
      </c>
      <c r="P111">
        <v>30000</v>
      </c>
      <c r="Q111">
        <v>33006</v>
      </c>
      <c r="R111">
        <v>0</v>
      </c>
    </row>
  </sheetData>
  <conditionalFormatting sqref="J5:L80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80 R5:S80">
    <cfRule type="expression" dxfId="272" priority="2">
      <formula>ISTEXT(M5)</formula>
    </cfRule>
  </conditionalFormatting>
  <conditionalFormatting sqref="M5:N80 R5:S80">
    <cfRule type="notContainsBlanks" dxfId="271" priority="3">
      <formula>LEN(TRIM(M5))&gt;0</formula>
    </cfRule>
  </conditionalFormatting>
  <conditionalFormatting sqref="R5:S80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7"/>
  <sheetViews>
    <sheetView zoomScale="70" zoomScaleNormal="70" workbookViewId="0">
      <selection activeCell="D49" sqref="D1:E1048576"/>
    </sheetView>
  </sheetViews>
  <sheetFormatPr defaultColWidth="9.140625" defaultRowHeight="15" x14ac:dyDescent="0.25"/>
  <cols>
    <col min="1" max="1" width="15.42578125" style="93" customWidth="1"/>
    <col min="2" max="2" width="14.42578125" style="239" customWidth="1"/>
    <col min="3" max="3" width="66.42578125" style="239" customWidth="1"/>
    <col min="4" max="4" width="41.140625" style="239" hidden="1" customWidth="1"/>
    <col min="5" max="5" width="13.5703125" style="239" hidden="1" customWidth="1"/>
    <col min="6" max="6" width="13.85546875" style="239" customWidth="1"/>
    <col min="7" max="7" width="20" style="239" customWidth="1"/>
    <col min="8" max="8" width="17" style="244" customWidth="1"/>
    <col min="9" max="9" width="18" style="242" customWidth="1"/>
    <col min="10" max="10" width="17.85546875" style="93" customWidth="1"/>
    <col min="11" max="11" width="18.42578125" style="239" customWidth="1"/>
    <col min="12" max="12" width="17.42578125" style="239" customWidth="1"/>
    <col min="13" max="13" width="17.85546875" style="239" hidden="1" customWidth="1"/>
    <col min="14" max="14" width="19.85546875" style="239" customWidth="1"/>
    <col min="15" max="15" width="20.42578125" style="239" customWidth="1"/>
    <col min="16" max="16" width="18.28515625" style="239" hidden="1" customWidth="1"/>
    <col min="17" max="17" width="26" style="93" customWidth="1"/>
    <col min="18" max="18" width="22.42578125" style="93" customWidth="1"/>
    <col min="19" max="19" width="20.140625" style="93" customWidth="1"/>
    <col min="20" max="20" width="22.42578125" style="93" customWidth="1"/>
    <col min="21" max="21" width="17.42578125" style="93" customWidth="1"/>
    <col min="22" max="22" width="17.5703125" style="95" customWidth="1"/>
    <col min="23" max="23" width="9.140625" style="93"/>
    <col min="24" max="24" width="13.5703125" style="93" hidden="1" customWidth="1"/>
    <col min="25" max="25" width="11.5703125" style="93" hidden="1" customWidth="1"/>
    <col min="26" max="27" width="9.140625" style="93" hidden="1" customWidth="1"/>
    <col min="28" max="28" width="9.140625" style="93"/>
    <col min="29" max="29" width="10.5703125" style="93" customWidth="1"/>
    <col min="30" max="148" width="9.140625" style="93"/>
    <col min="149" max="16384" width="9.140625" style="239"/>
  </cols>
  <sheetData>
    <row r="1" spans="1:148" s="93" customFormat="1" x14ac:dyDescent="0.25">
      <c r="B1" s="94" t="s">
        <v>2020</v>
      </c>
      <c r="C1" s="95"/>
      <c r="D1" s="95"/>
      <c r="E1" s="95"/>
      <c r="F1" s="96"/>
      <c r="G1" s="541"/>
      <c r="H1" s="542"/>
      <c r="I1" s="542"/>
      <c r="J1" s="542"/>
      <c r="K1" s="541"/>
      <c r="L1" s="542"/>
      <c r="M1" s="542"/>
      <c r="N1" s="97"/>
      <c r="O1" s="97"/>
      <c r="P1" s="97"/>
      <c r="Q1" s="98"/>
      <c r="R1" s="99"/>
      <c r="S1" s="97"/>
      <c r="T1" s="97"/>
      <c r="U1" s="97"/>
      <c r="V1" s="97"/>
    </row>
    <row r="2" spans="1:148" s="93" customFormat="1" x14ac:dyDescent="0.25">
      <c r="B2" s="100" t="s">
        <v>330</v>
      </c>
      <c r="C2" s="101">
        <f>ElecDiscountRate</f>
        <v>6.8000000000000005E-2</v>
      </c>
      <c r="D2" s="101"/>
      <c r="E2" s="102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4" t="s">
        <v>333</v>
      </c>
      <c r="V2" s="104" t="s">
        <v>333</v>
      </c>
    </row>
    <row r="3" spans="1:148" s="110" customFormat="1" ht="70.5" customHeight="1" x14ac:dyDescent="0.25">
      <c r="A3" s="107"/>
      <c r="B3" s="108" t="s">
        <v>335</v>
      </c>
      <c r="C3" s="108" t="s">
        <v>336</v>
      </c>
      <c r="D3" s="108" t="s">
        <v>337</v>
      </c>
      <c r="E3" s="108" t="s">
        <v>215</v>
      </c>
      <c r="F3" s="108" t="s">
        <v>338</v>
      </c>
      <c r="G3" s="108" t="s">
        <v>339</v>
      </c>
      <c r="H3" s="108" t="s">
        <v>340</v>
      </c>
      <c r="I3" s="108" t="s">
        <v>341</v>
      </c>
      <c r="J3" s="109" t="s">
        <v>342</v>
      </c>
      <c r="K3" s="108" t="s">
        <v>343</v>
      </c>
      <c r="L3" s="108" t="s">
        <v>344</v>
      </c>
      <c r="M3" s="108" t="s">
        <v>345</v>
      </c>
      <c r="N3" s="108" t="s">
        <v>346</v>
      </c>
      <c r="O3" s="108" t="s">
        <v>347</v>
      </c>
      <c r="P3" s="108" t="s">
        <v>537</v>
      </c>
      <c r="Q3" s="109" t="s">
        <v>348</v>
      </c>
      <c r="R3" s="108" t="s">
        <v>349</v>
      </c>
      <c r="S3" s="108" t="s">
        <v>350</v>
      </c>
      <c r="T3" s="108" t="s">
        <v>536</v>
      </c>
      <c r="U3" s="108" t="s">
        <v>351</v>
      </c>
      <c r="V3" s="109" t="s">
        <v>352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</row>
    <row r="4" spans="1:148" s="110" customFormat="1" ht="32.25" customHeight="1" x14ac:dyDescent="0.25">
      <c r="A4" s="491" t="s">
        <v>355</v>
      </c>
      <c r="B4" s="111"/>
      <c r="C4" s="112" t="s">
        <v>353</v>
      </c>
      <c r="D4" s="113"/>
      <c r="E4" s="114"/>
      <c r="F4" s="114" t="s">
        <v>354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107"/>
      <c r="X4" s="107" t="s">
        <v>527</v>
      </c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</row>
    <row r="5" spans="1:148" s="120" customFormat="1" ht="27" customHeight="1" x14ac:dyDescent="0.25">
      <c r="B5" s="115" t="s">
        <v>356</v>
      </c>
      <c r="C5" s="283" t="s">
        <v>357</v>
      </c>
      <c r="D5" s="116"/>
      <c r="E5" s="117"/>
      <c r="F5" s="246"/>
      <c r="G5" s="246"/>
      <c r="H5" s="247" t="s">
        <v>358</v>
      </c>
      <c r="I5" s="247" t="s">
        <v>359</v>
      </c>
      <c r="J5" s="118" t="s">
        <v>360</v>
      </c>
      <c r="K5" s="248" t="s">
        <v>361</v>
      </c>
      <c r="L5" s="248" t="s">
        <v>362</v>
      </c>
      <c r="M5" s="248"/>
      <c r="N5" s="248" t="s">
        <v>529</v>
      </c>
      <c r="O5" s="248" t="s">
        <v>528</v>
      </c>
      <c r="P5" s="248"/>
      <c r="Q5" s="248"/>
      <c r="R5" s="248"/>
      <c r="S5" s="248" t="s">
        <v>363</v>
      </c>
      <c r="T5" s="248" t="s">
        <v>364</v>
      </c>
      <c r="U5" s="248"/>
      <c r="V5" s="24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</row>
    <row r="6" spans="1:148" s="125" customFormat="1" ht="14.25" x14ac:dyDescent="0.2">
      <c r="A6" s="491"/>
      <c r="B6" s="121" t="s">
        <v>71</v>
      </c>
      <c r="C6" s="122" t="s">
        <v>365</v>
      </c>
      <c r="D6" s="122"/>
      <c r="E6" s="123">
        <f>F67*(H67/$H$75)</f>
        <v>0</v>
      </c>
      <c r="F6" s="135">
        <f>'E201 LIW {E}'!A16</f>
        <v>23.651104904794913</v>
      </c>
      <c r="G6" s="136" t="s">
        <v>366</v>
      </c>
      <c r="H6" s="249">
        <f>'E201 LIW {E}'!A$10</f>
        <v>4307511.4000000004</v>
      </c>
      <c r="I6" s="250">
        <f>'E201 LIW {E}'!A$8</f>
        <v>904252.39999999851</v>
      </c>
      <c r="J6" s="250">
        <f>'E201 LIW {E}'!A$12</f>
        <v>15867604</v>
      </c>
      <c r="K6" s="250">
        <f>'E201 LIW {E}'!A$14</f>
        <v>0</v>
      </c>
      <c r="L6" s="250">
        <f>SUM('E201 LIW {E}'!Q$6:Q$961)</f>
        <v>15867604</v>
      </c>
      <c r="M6" s="250"/>
      <c r="N6" s="251">
        <f>'E201 LIW {E}'!A$18</f>
        <v>21532137.599999998</v>
      </c>
      <c r="O6" s="250">
        <f>'E201 LIW {E}'!A$20</f>
        <v>16771856.399999999</v>
      </c>
      <c r="P6" s="250">
        <f>SUM('E201 LIW {E}'!R$6:R$961)</f>
        <v>2647533.7850000011</v>
      </c>
      <c r="Q6" s="252">
        <f t="shared" ref="Q6:R8" si="0">N6/(1+ElecDiscountRate)^1</f>
        <v>20161177.528089885</v>
      </c>
      <c r="R6" s="252">
        <f t="shared" si="0"/>
        <v>15703985.393258424</v>
      </c>
      <c r="S6" s="250">
        <f>SUM('E201 LIW {E}'!AM$6:AM$961)</f>
        <v>9696650.7826333065</v>
      </c>
      <c r="T6" s="250">
        <f>SUM('E201 LIW {E}'!AD$6:AD$961)</f>
        <v>9074061.9487562105</v>
      </c>
      <c r="U6" s="124">
        <f>IFERROR(S6/Q6,0)</f>
        <v>0.48095656958147864</v>
      </c>
      <c r="V6" s="124">
        <f>IFERROR(((S6*1.1)+(T6))/R6,0)</f>
        <v>1.2570298121983234</v>
      </c>
    </row>
    <row r="7" spans="1:148" s="125" customFormat="1" x14ac:dyDescent="0.25">
      <c r="A7" s="126"/>
      <c r="B7" s="127" t="s">
        <v>15</v>
      </c>
      <c r="C7" s="500" t="s">
        <v>367</v>
      </c>
      <c r="D7" s="129"/>
      <c r="E7" s="130"/>
      <c r="F7" s="131"/>
      <c r="G7" s="132"/>
      <c r="H7" s="253">
        <f>SUM(H8:H18)</f>
        <v>133749484.83137999</v>
      </c>
      <c r="I7" s="253">
        <f>SUM(I8:I18)</f>
        <v>13340444.35</v>
      </c>
      <c r="J7" s="253">
        <f>SUM(J8:J18)</f>
        <v>31967123.829999998</v>
      </c>
      <c r="K7" s="253">
        <f>SUM(K8:K19)</f>
        <v>24016166.618124917</v>
      </c>
      <c r="L7" s="253">
        <f>SUM(L8:L18)</f>
        <v>55983290.448124923</v>
      </c>
      <c r="M7" s="253">
        <f>SUM(M8:M18)</f>
        <v>0</v>
      </c>
      <c r="N7" s="253">
        <f>SUM(N8:N18)</f>
        <v>45307568.18</v>
      </c>
      <c r="O7" s="253">
        <f>SUM(O8:O18)</f>
        <v>69323734.798124909</v>
      </c>
      <c r="P7" s="253">
        <f>SUM(P8:P18)</f>
        <v>3192.9105800000011</v>
      </c>
      <c r="Q7" s="254">
        <f t="shared" si="0"/>
        <v>42422816.647940069</v>
      </c>
      <c r="R7" s="254">
        <f t="shared" si="0"/>
        <v>64909864.043188117</v>
      </c>
      <c r="S7" s="253">
        <f>SUM(S8:S18)</f>
        <v>107588618.28022866</v>
      </c>
      <c r="T7" s="253">
        <f>SUM(T8:T18)</f>
        <v>7475154.42255715</v>
      </c>
      <c r="U7" s="133">
        <f>S7/Q7</f>
        <v>2.5361026631750736</v>
      </c>
      <c r="V7" s="133">
        <f>((S7*1.1)+(T8))/R7</f>
        <v>1.8232587889801837</v>
      </c>
    </row>
    <row r="8" spans="1:148" s="125" customFormat="1" ht="14.25" x14ac:dyDescent="0.2">
      <c r="B8" s="121" t="s">
        <v>15</v>
      </c>
      <c r="C8" s="134" t="s">
        <v>368</v>
      </c>
      <c r="D8" s="134"/>
      <c r="E8" s="123"/>
      <c r="F8" s="135">
        <f>'Residential Lighting {E}'!A$16</f>
        <v>1</v>
      </c>
      <c r="G8" s="136" t="s">
        <v>369</v>
      </c>
      <c r="H8" s="249">
        <f>'Residential Lighting {E}'!A$10</f>
        <v>140173</v>
      </c>
      <c r="I8" s="250">
        <f>'Residential Lighting {E}'!A$8</f>
        <v>32389.299999999988</v>
      </c>
      <c r="J8" s="250">
        <f>'Residential Lighting {E}'!A$12</f>
        <v>133883</v>
      </c>
      <c r="K8" s="255">
        <f>'Residential Lighting {E}'!A$14</f>
        <v>-133883</v>
      </c>
      <c r="L8" s="250">
        <f>SUM('Residential Lighting {E}'!Q$5:Q$1000)</f>
        <v>0</v>
      </c>
      <c r="M8" s="250"/>
      <c r="N8" s="251">
        <f>'Residential Lighting {E}'!A$18</f>
        <v>166272.29999999999</v>
      </c>
      <c r="O8" s="250">
        <f>'Residential Lighting {E}'!A$20</f>
        <v>32389.299999999988</v>
      </c>
      <c r="P8" s="250">
        <f>SUM('Residential Lighting {E}'!R$5:R$1000)</f>
        <v>0</v>
      </c>
      <c r="Q8" s="252">
        <f t="shared" si="0"/>
        <v>155685.67415730335</v>
      </c>
      <c r="R8" s="252">
        <f t="shared" si="0"/>
        <v>30327.059925093621</v>
      </c>
      <c r="S8" s="250">
        <f>SUM('Residential Lighting {E}'!AM$5:AM$1000)</f>
        <v>18911.482820766039</v>
      </c>
      <c r="T8" s="250">
        <f>SUM('Residential Lighting {E}'!AD$5:AD$1000)</f>
        <v>0</v>
      </c>
      <c r="U8" s="124">
        <f t="shared" ref="U8:U22" si="1">IFERROR(S8/Q8,0)</f>
        <v>0.1214722094574871</v>
      </c>
      <c r="V8" s="124">
        <f t="shared" ref="V8:V22" si="2">IFERROR(((S8*1.1)+(T8))/R8,0)</f>
        <v>0.68594288909720047</v>
      </c>
    </row>
    <row r="9" spans="1:148" s="125" customFormat="1" ht="14.25" x14ac:dyDescent="0.2">
      <c r="B9" s="121" t="s">
        <v>15</v>
      </c>
      <c r="C9" s="134" t="s">
        <v>370</v>
      </c>
      <c r="D9" s="134"/>
      <c r="E9" s="123">
        <f>F9*(H9/$H$75)</f>
        <v>0.70678906442552492</v>
      </c>
      <c r="F9" s="135">
        <f>'SF Existing Space Heat {E}'!A$16</f>
        <v>16.57664225311359</v>
      </c>
      <c r="G9" s="136" t="s">
        <v>366</v>
      </c>
      <c r="H9" s="249">
        <f>'SF Existing Space Heat {E}'!A$10</f>
        <v>17215268.046</v>
      </c>
      <c r="I9" s="250">
        <f>'SF Existing Space Heat {E}'!A$8</f>
        <v>1067937.1999999993</v>
      </c>
      <c r="J9" s="250">
        <f>'SF Existing Space Heat {E}'!A$12</f>
        <v>12114588.699999999</v>
      </c>
      <c r="K9" s="255">
        <f>'SF Existing Space Heat {E}'!A$14</f>
        <v>14074401.800949996</v>
      </c>
      <c r="L9" s="250">
        <f>SUM('SF Existing Space Heat {E}'!Q$5:Q$1000)</f>
        <v>26188990.500950001</v>
      </c>
      <c r="M9" s="250"/>
      <c r="N9" s="251">
        <f>'SF Existing Space Heat {E}'!A$18</f>
        <v>13182525.899999999</v>
      </c>
      <c r="O9" s="250">
        <f>'SF Existing Space Heat {E}'!A$20</f>
        <v>27256927.70095</v>
      </c>
      <c r="P9" s="250">
        <f>SUM('SF Existing Space Heat {E}'!R$5:R$1000)</f>
        <v>2477.0786000000007</v>
      </c>
      <c r="Q9" s="252">
        <f t="shared" ref="Q9:Q22" si="3">N9/(1+ElecDiscountRate)^1</f>
        <v>12343189.044943819</v>
      </c>
      <c r="R9" s="252">
        <f t="shared" ref="R9:R22" si="4">O9/(1+ElecDiscountRate)^1</f>
        <v>25521467.884784643</v>
      </c>
      <c r="S9" s="250">
        <f>SUM('SF Existing Space Heat {E}'!AM$5:AM$1000)</f>
        <v>30224775.875378519</v>
      </c>
      <c r="T9" s="250">
        <f>SUM('SF Existing Space Heat {E}'!AD$5:AD$1000)</f>
        <v>2589939.0611218987</v>
      </c>
      <c r="U9" s="124">
        <f t="shared" si="1"/>
        <v>2.4487007178877809</v>
      </c>
      <c r="V9" s="124">
        <f t="shared" si="2"/>
        <v>1.4041979358641687</v>
      </c>
    </row>
    <row r="10" spans="1:148" s="125" customFormat="1" ht="14.25" x14ac:dyDescent="0.2">
      <c r="B10" s="121" t="s">
        <v>15</v>
      </c>
      <c r="C10" s="134" t="s">
        <v>371</v>
      </c>
      <c r="D10" s="134"/>
      <c r="E10" s="123">
        <f>F10*(H10/$H$75)</f>
        <v>4.5374599029374178E-2</v>
      </c>
      <c r="F10" s="135">
        <f>'SF Existing Water Heat {E}'!A$16</f>
        <v>12.77122192290182</v>
      </c>
      <c r="G10" s="136" t="s">
        <v>366</v>
      </c>
      <c r="H10" s="249">
        <f>'SF Existing Water Heat {E}'!A$10</f>
        <v>1434501.0857800003</v>
      </c>
      <c r="I10" s="250">
        <f>'SF Existing Water Heat {E}'!A$8</f>
        <v>1077110</v>
      </c>
      <c r="J10" s="250">
        <f>'SF Existing Water Heat {E}'!A$12</f>
        <v>608947</v>
      </c>
      <c r="K10" s="255">
        <f>'SF Existing Water Heat {E}'!A$14</f>
        <v>230458.77028491875</v>
      </c>
      <c r="L10" s="250">
        <f>SUM('SF Existing Water Heat {E}'!Q$5:Q$1000)</f>
        <v>839405.77028491884</v>
      </c>
      <c r="M10" s="250"/>
      <c r="N10" s="251">
        <f>'SF Existing Water Heat {E}'!A$18</f>
        <v>1686057</v>
      </c>
      <c r="O10" s="250">
        <f>'SF Existing Water Heat {E}'!A$20</f>
        <v>1916515.7702849188</v>
      </c>
      <c r="P10" s="250">
        <f>SUM('SF Existing Water Heat {E}'!R$5:R$1000)</f>
        <v>97.448580000000021</v>
      </c>
      <c r="Q10" s="252">
        <f t="shared" si="3"/>
        <v>1578705.0561797752</v>
      </c>
      <c r="R10" s="252">
        <f t="shared" si="4"/>
        <v>1794490.4216150925</v>
      </c>
      <c r="S10" s="250">
        <f>SUM('SF Existing Water Heat {E}'!AM$5:AM$1000)</f>
        <v>1793295.6398772069</v>
      </c>
      <c r="T10" s="250">
        <f>SUM('SF Existing Water Heat {E}'!AD$5:AD$1000)</f>
        <v>396800.47387074807</v>
      </c>
      <c r="U10" s="124">
        <f t="shared" si="1"/>
        <v>1.13592822982192</v>
      </c>
      <c r="V10" s="124">
        <f t="shared" si="2"/>
        <v>1.320389147356454</v>
      </c>
    </row>
    <row r="11" spans="1:148" s="125" customFormat="1" ht="14.25" x14ac:dyDescent="0.2">
      <c r="B11" s="121" t="s">
        <v>15</v>
      </c>
      <c r="C11" s="137" t="s">
        <v>373</v>
      </c>
      <c r="D11" s="137"/>
      <c r="E11" s="123">
        <f>F11*(H11/$H$75)</f>
        <v>4.5828111631293481E-2</v>
      </c>
      <c r="F11" s="135">
        <f>'Home Appliances {E}'!A$16</f>
        <v>13.436005604023485</v>
      </c>
      <c r="G11" s="136" t="s">
        <v>366</v>
      </c>
      <c r="H11" s="249">
        <f>'Home Appliances {E}'!A$10</f>
        <v>1377153.4000000001</v>
      </c>
      <c r="I11" s="250">
        <f>'Home Appliances {E}'!A$8</f>
        <v>873911</v>
      </c>
      <c r="J11" s="250">
        <f>'Home Appliances {E}'!A$12</f>
        <v>888000</v>
      </c>
      <c r="K11" s="255">
        <f>'Home Appliances {E}'!A$14</f>
        <v>814969.79999999993</v>
      </c>
      <c r="L11" s="250">
        <f>SUM('Home Appliances {E}'!Q$5:Q$999)</f>
        <v>1702969.8</v>
      </c>
      <c r="M11" s="250"/>
      <c r="N11" s="251">
        <f>'Home Appliances {E}'!A$18</f>
        <v>1761911</v>
      </c>
      <c r="O11" s="250">
        <f>'Home Appliances {E}'!A$20</f>
        <v>2576880.7999999998</v>
      </c>
      <c r="P11" s="250">
        <f>SUM('Home Appliances {E}'!R$5:R$999)</f>
        <v>89.573800000000006</v>
      </c>
      <c r="Q11" s="252">
        <f t="shared" si="3"/>
        <v>1649729.4007490636</v>
      </c>
      <c r="R11" s="252">
        <f t="shared" si="4"/>
        <v>2412809.737827715</v>
      </c>
      <c r="S11" s="250">
        <f>SUM('Home Appliances {E}'!AM$5:AM$999)</f>
        <v>1770261.8948680209</v>
      </c>
      <c r="T11" s="250">
        <f>SUM('Home Appliances {E}'!AD$5:AD$999)</f>
        <v>1387087.554672583</v>
      </c>
      <c r="U11" s="124">
        <f t="shared" si="1"/>
        <v>1.0730619785670481</v>
      </c>
      <c r="V11" s="124">
        <f t="shared" si="2"/>
        <v>1.3819471907591809</v>
      </c>
    </row>
    <row r="12" spans="1:148" s="125" customFormat="1" ht="14.25" x14ac:dyDescent="0.2">
      <c r="B12" s="121" t="s">
        <v>374</v>
      </c>
      <c r="C12" s="134" t="s">
        <v>375</v>
      </c>
      <c r="D12" s="134"/>
      <c r="E12" s="123">
        <f>F12*(H12/$H$75)</f>
        <v>3.9397721673418776E-2</v>
      </c>
      <c r="F12" s="135">
        <f>'Web-Enabled Thermostats {E}'!A$16</f>
        <v>8.7019251967519367</v>
      </c>
      <c r="G12" s="136" t="s">
        <v>366</v>
      </c>
      <c r="H12" s="249">
        <f>'Web-Enabled Thermostats {E}'!A$10</f>
        <v>1828000.4350000001</v>
      </c>
      <c r="I12" s="250">
        <f>'Web-Enabled Thermostats {E}'!A$8</f>
        <v>529294.80000000005</v>
      </c>
      <c r="J12" s="250">
        <f>'Web-Enabled Thermostats {E}'!A$12</f>
        <v>1287904.73</v>
      </c>
      <c r="K12" s="255">
        <f>'Web-Enabled Thermostats {E}'!A$14</f>
        <v>243202.12688999993</v>
      </c>
      <c r="L12" s="250">
        <f>SUM('Web-Enabled Thermostats {E}'!Q$5:Q$1000)</f>
        <v>1531106.8568899999</v>
      </c>
      <c r="M12" s="250"/>
      <c r="N12" s="251">
        <f>'Web-Enabled Thermostats {E}'!A$18</f>
        <v>1817199.53</v>
      </c>
      <c r="O12" s="250">
        <f>'Web-Enabled Thermostats {E}'!A$20</f>
        <v>2060401.65689</v>
      </c>
      <c r="P12" s="250">
        <f>SUM('Web-Enabled Thermostats {E}'!R$5:R$1000)</f>
        <v>288.24299999999999</v>
      </c>
      <c r="Q12" s="252">
        <f t="shared" si="3"/>
        <v>1701497.6872659174</v>
      </c>
      <c r="R12" s="252">
        <f t="shared" si="4"/>
        <v>1929215.0345411983</v>
      </c>
      <c r="S12" s="250">
        <f>SUM('Web-Enabled Thermostats {E}'!AM$5:AM$1000)</f>
        <v>2091486.375185211</v>
      </c>
      <c r="T12" s="250">
        <f>SUM('Web-Enabled Thermostats {E}'!AD$5:AD$1000)</f>
        <v>463033.70525136671</v>
      </c>
      <c r="U12" s="124">
        <f t="shared" si="1"/>
        <v>1.2292031842523123</v>
      </c>
      <c r="V12" s="124">
        <f t="shared" si="2"/>
        <v>1.4325353413039044</v>
      </c>
    </row>
    <row r="13" spans="1:148" s="125" customFormat="1" ht="14.25" x14ac:dyDescent="0.2">
      <c r="B13" s="121" t="s">
        <v>15</v>
      </c>
      <c r="C13" s="134" t="s">
        <v>376</v>
      </c>
      <c r="D13" s="134"/>
      <c r="E13" s="123" t="e">
        <f>F13*(H13/$H$75)</f>
        <v>#DIV/0!</v>
      </c>
      <c r="F13" s="135" t="e">
        <f>'Residential Showerheads {E}'!A$16</f>
        <v>#DIV/0!</v>
      </c>
      <c r="G13" s="136" t="s">
        <v>366</v>
      </c>
      <c r="H13" s="249">
        <f>'Residential Showerheads {E}'!A$10</f>
        <v>0</v>
      </c>
      <c r="I13" s="250">
        <f>'Residential Showerheads {E}'!A$8</f>
        <v>0</v>
      </c>
      <c r="J13" s="250">
        <f>'Residential Showerheads {E}'!A$12</f>
        <v>0</v>
      </c>
      <c r="K13" s="255">
        <f>'Residential Showerheads {E}'!A$14</f>
        <v>0</v>
      </c>
      <c r="L13" s="250">
        <f>SUM('Residential Showerheads {E}'!Q$5:Q$1000)</f>
        <v>0</v>
      </c>
      <c r="M13" s="250"/>
      <c r="N13" s="251">
        <f>'Residential Showerheads {E}'!A$18</f>
        <v>0</v>
      </c>
      <c r="O13" s="250">
        <f>'Residential Showerheads {E}'!A$20</f>
        <v>0</v>
      </c>
      <c r="P13" s="250">
        <f>SUM('Residential Showerheads {E}'!R$5:R$1000)</f>
        <v>0</v>
      </c>
      <c r="Q13" s="252">
        <f t="shared" si="3"/>
        <v>0</v>
      </c>
      <c r="R13" s="252">
        <f t="shared" si="4"/>
        <v>0</v>
      </c>
      <c r="S13" s="250">
        <f>SUM('Residential Showerheads {E}'!AM$5:AM$1000)</f>
        <v>0</v>
      </c>
      <c r="T13" s="250">
        <f>SUM('Residential Showerheads {E}'!AD$5:AD$1000)</f>
        <v>0</v>
      </c>
      <c r="U13" s="124">
        <f t="shared" si="1"/>
        <v>0</v>
      </c>
      <c r="V13" s="124">
        <f t="shared" si="2"/>
        <v>0</v>
      </c>
    </row>
    <row r="14" spans="1:148" s="125" customFormat="1" ht="14.25" x14ac:dyDescent="0.2">
      <c r="B14" s="121" t="s">
        <v>15</v>
      </c>
      <c r="C14" s="134" t="s">
        <v>377</v>
      </c>
      <c r="D14" s="134"/>
      <c r="E14" s="123">
        <f>F14*(H14/$H$75)</f>
        <v>0.29804080436426295</v>
      </c>
      <c r="F14" s="135">
        <f>'SF Existing Weatherization {E}'!A$16</f>
        <v>35.999117957612377</v>
      </c>
      <c r="G14" s="136" t="s">
        <v>366</v>
      </c>
      <c r="H14" s="249">
        <f>'SF Existing Weatherization {E}'!A$10</f>
        <v>3342753.8646000014</v>
      </c>
      <c r="I14" s="250">
        <f>'SF Existing Weatherization {E}'!A$8</f>
        <v>1006420.7999999998</v>
      </c>
      <c r="J14" s="250">
        <f>'SF Existing Weatherization {E}'!A$12</f>
        <v>6130866.4000000004</v>
      </c>
      <c r="K14" s="255">
        <f>'SF Existing Weatherization {E}'!A$14</f>
        <v>4196457.1199999992</v>
      </c>
      <c r="L14" s="250">
        <f>SUM('SF Existing Weatherization {E}'!Q$5:Q$1000)</f>
        <v>10327323.520000001</v>
      </c>
      <c r="M14" s="250"/>
      <c r="N14" s="251">
        <f>'SF Existing Weatherization {E}'!A$18</f>
        <v>7137287.2000000002</v>
      </c>
      <c r="O14" s="250">
        <f>'SF Existing Weatherization {E}'!A$20</f>
        <v>11333744.32</v>
      </c>
      <c r="P14" s="250">
        <f>SUM('SF Existing Weatherization {E}'!R$5:R$1000)</f>
        <v>240.56660000000002</v>
      </c>
      <c r="Q14" s="252">
        <f t="shared" si="3"/>
        <v>6682853.1835205993</v>
      </c>
      <c r="R14" s="252">
        <f t="shared" si="4"/>
        <v>10612120.149812734</v>
      </c>
      <c r="S14" s="250">
        <f>SUM('SF Existing Weatherization {E}'!AM$5:AM$1000)</f>
        <v>10443071.286929289</v>
      </c>
      <c r="T14" s="250">
        <f>SUM('SF Existing Weatherization {E}'!AD$5:AD$1000)</f>
        <v>2638293.6276405528</v>
      </c>
      <c r="U14" s="124">
        <f t="shared" si="1"/>
        <v>1.5626665737145173</v>
      </c>
      <c r="V14" s="124">
        <f t="shared" si="2"/>
        <v>1.331088589636072</v>
      </c>
    </row>
    <row r="15" spans="1:148" s="125" customFormat="1" ht="14.25" x14ac:dyDescent="0.2">
      <c r="B15" s="121" t="s">
        <v>15</v>
      </c>
      <c r="C15" s="134" t="s">
        <v>378</v>
      </c>
      <c r="D15" s="134"/>
      <c r="E15" s="123">
        <f>F15*(H15/$H$75)</f>
        <v>0.19716788624221782</v>
      </c>
      <c r="F15" s="135">
        <f>'Home Energy Reports {E}'!A$16</f>
        <v>1</v>
      </c>
      <c r="G15" s="136" t="s">
        <v>366</v>
      </c>
      <c r="H15" s="249">
        <f>'Home Energy Reports {E}'!A$10</f>
        <v>79608000</v>
      </c>
      <c r="I15" s="250">
        <f>'Home Energy Reports {E}'!A$8</f>
        <v>2457929.4000000004</v>
      </c>
      <c r="J15" s="250">
        <f>'Home Energy Reports {E}'!A$12</f>
        <v>2229024</v>
      </c>
      <c r="K15" s="255">
        <f>'Home Energy Reports {E}'!A$14</f>
        <v>0</v>
      </c>
      <c r="L15" s="250">
        <f>SUM('Home Energy Reports {E}'!Q$5:Q$999)</f>
        <v>2229024</v>
      </c>
      <c r="M15" s="250"/>
      <c r="N15" s="251">
        <f>'Home Energy Reports {E}'!A$18</f>
        <v>4686953.4000000004</v>
      </c>
      <c r="O15" s="250">
        <f>'Home Energy Reports {E}'!A$20</f>
        <v>4686953.4000000004</v>
      </c>
      <c r="P15" s="250">
        <f>SUM('Home Energy Reports {E}'!R$5:R$999)</f>
        <v>0</v>
      </c>
      <c r="Q15" s="252">
        <f t="shared" si="3"/>
        <v>4388533.1460674163</v>
      </c>
      <c r="R15" s="252">
        <f t="shared" si="4"/>
        <v>4388533.1460674163</v>
      </c>
      <c r="S15" s="250">
        <f>SUM('Home Energy Reports {E}'!AM$5:AM$999)</f>
        <v>10740337.471521212</v>
      </c>
      <c r="T15" s="250">
        <f>SUM('Home Energy Reports {E}'!AD$5:AD$999)</f>
        <v>0</v>
      </c>
      <c r="U15" s="124">
        <f t="shared" si="1"/>
        <v>2.4473638717177457</v>
      </c>
      <c r="V15" s="124">
        <f t="shared" si="2"/>
        <v>2.6921002588895204</v>
      </c>
    </row>
    <row r="16" spans="1:148" s="125" customFormat="1" ht="14.25" x14ac:dyDescent="0.2">
      <c r="B16" s="121" t="s">
        <v>15</v>
      </c>
      <c r="C16" s="134" t="s">
        <v>542</v>
      </c>
      <c r="D16" s="134"/>
      <c r="E16" s="123">
        <f>F16*(H16/$H$75)</f>
        <v>0</v>
      </c>
      <c r="F16" s="135">
        <f>IFERROR('Efficiency Boost {E}'!A$16,0)</f>
        <v>0</v>
      </c>
      <c r="G16" s="136" t="s">
        <v>366</v>
      </c>
      <c r="H16" s="249">
        <f>'Efficiency Boost {E}'!A$10</f>
        <v>0</v>
      </c>
      <c r="I16" s="250">
        <f>'Efficiency Boost {E}'!A$8</f>
        <v>175991.2</v>
      </c>
      <c r="J16" s="250">
        <f>'Efficiency Boost {E}'!A$12</f>
        <v>0</v>
      </c>
      <c r="K16" s="255">
        <f>'Efficiency Boost {E}'!A$14</f>
        <v>0</v>
      </c>
      <c r="L16" s="250">
        <f>SUM('Efficiency Boost {E}'!Q$5:Q$999)</f>
        <v>0</v>
      </c>
      <c r="M16" s="250"/>
      <c r="N16" s="251">
        <f>'Efficiency Boost {E}'!A$18</f>
        <v>175991.2</v>
      </c>
      <c r="O16" s="250">
        <f>'Efficiency Boost {E}'!A$20</f>
        <v>175991.2</v>
      </c>
      <c r="P16" s="250">
        <f>SUM('Efficiency Boost {E}'!R$5:R$999)</f>
        <v>0</v>
      </c>
      <c r="Q16" s="252">
        <f t="shared" ref="Q16:R18" si="5">N16/(1+ElecDiscountRate)^1</f>
        <v>164785.76779026218</v>
      </c>
      <c r="R16" s="252">
        <f t="shared" si="5"/>
        <v>164785.76779026218</v>
      </c>
      <c r="S16" s="250">
        <f>SUM('Efficiency Boost {E}'!AM$5:AM$999)</f>
        <v>0</v>
      </c>
      <c r="T16" s="250">
        <f>SUM('Efficiency Boost {E}'!AD$5:AD$999)</f>
        <v>0</v>
      </c>
      <c r="U16" s="124">
        <f>IFERROR(S16/Q16,0)</f>
        <v>0</v>
      </c>
      <c r="V16" s="124">
        <f>IFERROR(((S16*1.1)+(T16))/R16,0)</f>
        <v>0</v>
      </c>
    </row>
    <row r="17" spans="1:425" s="125" customFormat="1" ht="14.25" x14ac:dyDescent="0.2">
      <c r="B17" s="121" t="s">
        <v>15</v>
      </c>
      <c r="C17" s="134" t="s">
        <v>782</v>
      </c>
      <c r="D17" s="134"/>
      <c r="E17" s="123"/>
      <c r="F17" s="135">
        <f>IFERROR('Res Midstream HVAC &amp; WH {E}'!A$16,0)</f>
        <v>15</v>
      </c>
      <c r="G17" s="136" t="s">
        <v>366</v>
      </c>
      <c r="H17" s="249">
        <f>'Res Midstream HVAC &amp; WH {E}'!A$10</f>
        <v>28513235</v>
      </c>
      <c r="I17" s="250">
        <f>'Res Midstream HVAC &amp; WH {E}'!A$8</f>
        <v>6078192.6500000004</v>
      </c>
      <c r="J17" s="250">
        <f>'Res Midstream HVAC &amp; WH {E}'!A$12</f>
        <v>8573910</v>
      </c>
      <c r="K17" s="255">
        <f>'Res Midstream HVAC &amp; WH {E}'!A$14</f>
        <v>4286960</v>
      </c>
      <c r="L17" s="250">
        <f>SUM('Res Midstream HVAC &amp; WH {E}'!Q$5:Q$999)</f>
        <v>12860870</v>
      </c>
      <c r="M17" s="250"/>
      <c r="N17" s="251">
        <f>'Res Midstream HVAC &amp; WH {E}'!A$18</f>
        <v>14652102.65</v>
      </c>
      <c r="O17" s="250">
        <f>'Res Midstream HVAC &amp; WH {E}'!A$20</f>
        <v>18939062.649999999</v>
      </c>
      <c r="P17" s="250">
        <f>SUM('Res Midstream HVAC &amp; WH {E}'!R$5:R$999)</f>
        <v>0</v>
      </c>
      <c r="Q17" s="252">
        <f t="shared" si="5"/>
        <v>13719197.237827715</v>
      </c>
      <c r="R17" s="252">
        <f t="shared" si="5"/>
        <v>17733204.728464417</v>
      </c>
      <c r="S17" s="250">
        <f>SUM('Res Midstream HVAC &amp; WH {E}'!AM$5:AM$999)</f>
        <v>50337780.132780254</v>
      </c>
      <c r="T17" s="250">
        <f>SUM('Res Midstream HVAC &amp; WH {E}'!AD$5:AD$999)</f>
        <v>0</v>
      </c>
      <c r="U17" s="124">
        <f>IFERROR(S17/Q17,0)</f>
        <v>3.6691490952535277</v>
      </c>
      <c r="V17" s="124">
        <f>IFERROR(((S17*1.1)+(T17))/R17,0)</f>
        <v>3.1224789311307473</v>
      </c>
    </row>
    <row r="18" spans="1:425" s="125" customFormat="1" ht="14.25" x14ac:dyDescent="0.2">
      <c r="B18" s="121" t="s">
        <v>15</v>
      </c>
      <c r="C18" s="134" t="s">
        <v>803</v>
      </c>
      <c r="D18" s="134"/>
      <c r="E18" s="123"/>
      <c r="F18" s="135"/>
      <c r="G18" s="136" t="s">
        <v>366</v>
      </c>
      <c r="H18" s="249">
        <f>'EV Chargers {E}'!A$10</f>
        <v>290400</v>
      </c>
      <c r="I18" s="250">
        <f>'EV Chargers {E}'!A$8</f>
        <v>41268</v>
      </c>
      <c r="J18" s="250">
        <f>'EV Chargers {E}'!A$12</f>
        <v>0</v>
      </c>
      <c r="K18" s="255">
        <f>'EV Chargers {E}'!A$14</f>
        <v>303600</v>
      </c>
      <c r="L18" s="250">
        <f>SUM('EV Chargers {E}'!Q$5:Q$999)</f>
        <v>303600</v>
      </c>
      <c r="M18" s="250"/>
      <c r="N18" s="251">
        <f>'EV Chargers {E}'!A$18</f>
        <v>41268</v>
      </c>
      <c r="O18" s="250">
        <f>'EV Chargers {E}'!A$20</f>
        <v>344868</v>
      </c>
      <c r="P18" s="250">
        <f>SUM('EV Chargers {E}'!R$5:R$999)</f>
        <v>0</v>
      </c>
      <c r="Q18" s="252">
        <f t="shared" si="5"/>
        <v>38640.449438202246</v>
      </c>
      <c r="R18" s="252">
        <f t="shared" si="5"/>
        <v>322910.11235955055</v>
      </c>
      <c r="S18" s="250">
        <f>SUM('EV Chargers {E}'!AM$5:AM$999)</f>
        <v>168698.12086817078</v>
      </c>
      <c r="T18" s="250">
        <f>SUM('EV Chargers {E}'!AD$5:AD$999)</f>
        <v>0</v>
      </c>
      <c r="U18" s="124">
        <f>IFERROR(S18/Q18,0)</f>
        <v>4.3658426162451871</v>
      </c>
      <c r="V18" s="124">
        <f>IFERROR(((S18*1.1)+(T18))/R18,0)</f>
        <v>0.57467365019638539</v>
      </c>
    </row>
    <row r="19" spans="1:425" s="125" customFormat="1" ht="14.25" x14ac:dyDescent="0.2">
      <c r="B19" s="121" t="s">
        <v>17</v>
      </c>
      <c r="C19" s="122" t="s">
        <v>379</v>
      </c>
      <c r="D19" s="122"/>
      <c r="E19" s="123"/>
      <c r="F19" s="135">
        <f>'SF New Construction {E}'!A$16</f>
        <v>28</v>
      </c>
      <c r="G19" s="136" t="s">
        <v>366</v>
      </c>
      <c r="H19" s="249">
        <f>'SF New Construction {E}'!A$10</f>
        <v>630000</v>
      </c>
      <c r="I19" s="250">
        <f>'SF New Construction {E}'!A$8</f>
        <v>1041664</v>
      </c>
      <c r="J19" s="250">
        <f>'SF New Construction {E}'!A$12</f>
        <v>525000</v>
      </c>
      <c r="K19" s="255">
        <f>'SF New Construction {E}'!A$14</f>
        <v>0</v>
      </c>
      <c r="L19" s="250">
        <f>SUM('SF New Construction {E}'!Q$5:Q$1000)</f>
        <v>525000</v>
      </c>
      <c r="M19" s="250"/>
      <c r="N19" s="251">
        <f>'SF New Construction {E}'!A$18</f>
        <v>1566664</v>
      </c>
      <c r="O19" s="250">
        <f>'SF New Construction {E}'!A$20</f>
        <v>1566664</v>
      </c>
      <c r="P19" s="250">
        <f>SUM('SF New Construction {E}'!R$5:R$1000)</f>
        <v>0</v>
      </c>
      <c r="Q19" s="252">
        <f t="shared" si="3"/>
        <v>1466913.8576779026</v>
      </c>
      <c r="R19" s="252">
        <f t="shared" si="4"/>
        <v>1466913.8576779026</v>
      </c>
      <c r="S19" s="250">
        <f>SUM('SF New Construction {E}'!AM$5:AM$1000)</f>
        <v>1512390.239537396</v>
      </c>
      <c r="T19" s="250">
        <f>SUM('SF New Construction {E}'!AD$5:AD$1000)</f>
        <v>0</v>
      </c>
      <c r="U19" s="124">
        <f t="shared" si="1"/>
        <v>1.0310013990402147</v>
      </c>
      <c r="V19" s="124">
        <f t="shared" si="2"/>
        <v>1.1341015389442364</v>
      </c>
    </row>
    <row r="20" spans="1:425" s="125" customFormat="1" ht="14.25" x14ac:dyDescent="0.2">
      <c r="B20" s="121" t="s">
        <v>17</v>
      </c>
      <c r="C20" s="122" t="s">
        <v>380</v>
      </c>
      <c r="D20" s="122"/>
      <c r="E20" s="123"/>
      <c r="F20" s="135">
        <f>'MH New Construction {E}'!A$16</f>
        <v>44.775982119831511</v>
      </c>
      <c r="G20" s="136" t="s">
        <v>366</v>
      </c>
      <c r="H20" s="249">
        <f>'MH New Construction {E}'!A$10</f>
        <v>372256</v>
      </c>
      <c r="I20" s="250">
        <f>'MH New Construction {E}'!A$8</f>
        <v>191177.40000000002</v>
      </c>
      <c r="J20" s="250">
        <f>'MH New Construction {E}'!A$12</f>
        <v>467200</v>
      </c>
      <c r="K20" s="255">
        <f>'MH New Construction {E}'!A$14</f>
        <v>31803.51999999999</v>
      </c>
      <c r="L20" s="250">
        <f>SUM('MH New Construction {E}'!Q$5:Q$1000)</f>
        <v>499003.52</v>
      </c>
      <c r="M20" s="250"/>
      <c r="N20" s="251">
        <f>'MH New Construction {E}'!A$18</f>
        <v>658377.4</v>
      </c>
      <c r="O20" s="250">
        <f>'MH New Construction {E}'!A$20</f>
        <v>690180.92</v>
      </c>
      <c r="P20" s="250">
        <f>SUM('MH New Construction {E}'!R$5:R$1000)</f>
        <v>150.274</v>
      </c>
      <c r="Q20" s="252">
        <f t="shared" si="3"/>
        <v>616458.23970037454</v>
      </c>
      <c r="R20" s="252">
        <f t="shared" si="4"/>
        <v>646236.81647940073</v>
      </c>
      <c r="S20" s="250">
        <f>SUM('MH New Construction {E}'!AM$5:AM$1000)</f>
        <v>1385338.4692279098</v>
      </c>
      <c r="T20" s="250">
        <f>SUM('MH New Construction {E}'!AD$5:AD$1000)</f>
        <v>179087.68646427689</v>
      </c>
      <c r="U20" s="124">
        <f t="shared" si="1"/>
        <v>2.2472543637363733</v>
      </c>
      <c r="V20" s="124">
        <f t="shared" si="2"/>
        <v>2.6351949613339012</v>
      </c>
    </row>
    <row r="21" spans="1:425" s="125" customFormat="1" ht="14.25" x14ac:dyDescent="0.2">
      <c r="B21" s="121" t="s">
        <v>38</v>
      </c>
      <c r="C21" s="138" t="s">
        <v>381</v>
      </c>
      <c r="D21" s="138"/>
      <c r="E21" s="123"/>
      <c r="F21" s="135">
        <f>'Multi Family Retrofit {E}'!A$16</f>
        <v>22.689755703746101</v>
      </c>
      <c r="G21" s="136" t="s">
        <v>366</v>
      </c>
      <c r="H21" s="249">
        <f>'Multi Family Retrofit {E}'!A$10</f>
        <v>11026104.399999999</v>
      </c>
      <c r="I21" s="250">
        <f>'Multi Family Retrofit {E}'!A$8</f>
        <v>2346525.4600000009</v>
      </c>
      <c r="J21" s="250">
        <f>'Multi Family Retrofit {E}'!A$12</f>
        <v>10909763.5</v>
      </c>
      <c r="K21" s="250">
        <f>'Multi Family Retrofit {E}'!A$14</f>
        <v>1506956.0799999996</v>
      </c>
      <c r="L21" s="250">
        <f>SUM('Multi Family Retrofit {E}'!Q$5:Q$1000)</f>
        <v>12804304.579999998</v>
      </c>
      <c r="M21" s="250"/>
      <c r="N21" s="251">
        <f>'Multi Family Retrofit {E}'!A$18</f>
        <v>13256298.960000001</v>
      </c>
      <c r="O21" s="250">
        <f>'Multi Family Retrofit {E}'!A$20</f>
        <v>15150830.039999999</v>
      </c>
      <c r="P21" s="250">
        <f>SUM('Multi Family Retrofit {E}'!R$5:R$1000)</f>
        <v>1989.7987000000001</v>
      </c>
      <c r="Q21" s="252">
        <f t="shared" si="3"/>
        <v>12412264.943820225</v>
      </c>
      <c r="R21" s="252">
        <f t="shared" si="4"/>
        <v>14186170.449438201</v>
      </c>
      <c r="S21" s="250">
        <f>SUM('Multi Family Retrofit {E}'!AM$5:AM$1000)</f>
        <v>20773764.660628758</v>
      </c>
      <c r="T21" s="250">
        <f>SUM('Multi Family Retrofit {E}'!AD$5:AD$1000)</f>
        <v>705864.88301144424</v>
      </c>
      <c r="U21" s="124">
        <f t="shared" si="1"/>
        <v>1.6736481822337774</v>
      </c>
      <c r="V21" s="124">
        <f t="shared" si="2"/>
        <v>1.6605613258112222</v>
      </c>
    </row>
    <row r="22" spans="1:425" s="125" customFormat="1" ht="14.25" x14ac:dyDescent="0.2">
      <c r="A22" s="139"/>
      <c r="B22" s="121" t="s">
        <v>56</v>
      </c>
      <c r="C22" s="138" t="s">
        <v>382</v>
      </c>
      <c r="D22" s="138"/>
      <c r="E22" s="123"/>
      <c r="F22" s="135">
        <f>'MF New Construction {E}'!A$16</f>
        <v>15</v>
      </c>
      <c r="G22" s="136" t="s">
        <v>366</v>
      </c>
      <c r="H22" s="249">
        <f>'MF New Construction {E}'!A$10</f>
        <v>8015000</v>
      </c>
      <c r="I22" s="250">
        <f>'MF New Construction {E}'!A$8</f>
        <v>1471081.5999999996</v>
      </c>
      <c r="J22" s="250">
        <f>'MF New Construction {E}'!A$12</f>
        <v>3679200</v>
      </c>
      <c r="K22" s="250">
        <f>'MF New Construction {E}'!A$14</f>
        <v>0</v>
      </c>
      <c r="L22" s="250">
        <f>SUM('MF New Construction {E}'!Q$5:Q$1000)</f>
        <v>3679200</v>
      </c>
      <c r="M22" s="250"/>
      <c r="N22" s="251">
        <f>'MF New Construction {E}'!A$18</f>
        <v>5150281.5999999996</v>
      </c>
      <c r="O22" s="250">
        <f>'MF New Construction {E}'!A$20</f>
        <v>5150281.5999999996</v>
      </c>
      <c r="P22" s="250">
        <f>SUM('MF New Construction {E}'!R$5:R$1000)</f>
        <v>0</v>
      </c>
      <c r="Q22" s="252">
        <f t="shared" si="3"/>
        <v>4822361.0486891381</v>
      </c>
      <c r="R22" s="252">
        <f t="shared" si="4"/>
        <v>4822361.0486891381</v>
      </c>
      <c r="S22" s="250">
        <f>SUM('MF New Construction {E}'!AM$5:AM$1000)</f>
        <v>10637326.672467971</v>
      </c>
      <c r="T22" s="250">
        <f>SUM('MF New Construction {E}'!AD$5:AD$1000)</f>
        <v>0</v>
      </c>
      <c r="U22" s="124">
        <f t="shared" si="1"/>
        <v>2.2058337327022652</v>
      </c>
      <c r="V22" s="124">
        <f t="shared" si="2"/>
        <v>2.4264171059724919</v>
      </c>
    </row>
    <row r="23" spans="1:425" s="147" customFormat="1" x14ac:dyDescent="0.25">
      <c r="A23" s="125"/>
      <c r="B23" s="140" t="s">
        <v>383</v>
      </c>
      <c r="C23" s="140"/>
      <c r="D23" s="140"/>
      <c r="E23" s="141"/>
      <c r="F23" s="142"/>
      <c r="G23" s="143"/>
      <c r="H23" s="144">
        <f t="shared" ref="H23:T23" si="6">SUM(H8:H22,H6)</f>
        <v>158100356.63138002</v>
      </c>
      <c r="I23" s="144">
        <f t="shared" si="6"/>
        <v>19295145.210000001</v>
      </c>
      <c r="J23" s="144">
        <f t="shared" si="6"/>
        <v>63415891.329999998</v>
      </c>
      <c r="K23" s="144">
        <f t="shared" si="6"/>
        <v>25554926.218124915</v>
      </c>
      <c r="L23" s="144">
        <f t="shared" si="6"/>
        <v>89358402.548124924</v>
      </c>
      <c r="M23" s="144">
        <f t="shared" si="6"/>
        <v>0</v>
      </c>
      <c r="N23" s="144">
        <f t="shared" si="6"/>
        <v>87471327.739999995</v>
      </c>
      <c r="O23" s="144">
        <f t="shared" si="6"/>
        <v>108653547.75812492</v>
      </c>
      <c r="P23" s="144">
        <f t="shared" si="6"/>
        <v>2652866.7682800009</v>
      </c>
      <c r="Q23" s="144">
        <f t="shared" si="6"/>
        <v>81901992.265917584</v>
      </c>
      <c r="R23" s="144">
        <f t="shared" si="6"/>
        <v>101735531.6087312</v>
      </c>
      <c r="S23" s="144">
        <f t="shared" si="6"/>
        <v>151594089.10472402</v>
      </c>
      <c r="T23" s="144">
        <f t="shared" si="6"/>
        <v>17434168.940789081</v>
      </c>
      <c r="U23" s="145">
        <f>S23/Q23</f>
        <v>1.8509206541952199</v>
      </c>
      <c r="V23" s="145">
        <f>((S23*1.1)+(T23))/R23</f>
        <v>1.8104556396713032</v>
      </c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</row>
    <row r="24" spans="1:425" s="147" customFormat="1" x14ac:dyDescent="0.25">
      <c r="A24" s="125"/>
      <c r="B24" s="148" t="s">
        <v>384</v>
      </c>
      <c r="C24" s="148"/>
      <c r="D24" s="148"/>
      <c r="E24" s="149"/>
      <c r="F24" s="142"/>
      <c r="G24" s="143"/>
      <c r="H24" s="144">
        <f t="shared" ref="H24:T24" si="7">H23-H6</f>
        <v>153792845.23138002</v>
      </c>
      <c r="I24" s="144">
        <f t="shared" si="7"/>
        <v>18390892.810000002</v>
      </c>
      <c r="J24" s="144">
        <f t="shared" si="7"/>
        <v>47548287.329999998</v>
      </c>
      <c r="K24" s="144">
        <f t="shared" si="7"/>
        <v>25554926.218124915</v>
      </c>
      <c r="L24" s="144">
        <f t="shared" si="7"/>
        <v>73490798.548124924</v>
      </c>
      <c r="M24" s="144">
        <f t="shared" si="7"/>
        <v>0</v>
      </c>
      <c r="N24" s="144">
        <f t="shared" si="7"/>
        <v>65939190.140000001</v>
      </c>
      <c r="O24" s="144">
        <f t="shared" si="7"/>
        <v>91881691.358124912</v>
      </c>
      <c r="P24" s="144">
        <f t="shared" si="7"/>
        <v>5332.9832799998112</v>
      </c>
      <c r="Q24" s="144">
        <f t="shared" si="7"/>
        <v>61740814.737827703</v>
      </c>
      <c r="R24" s="144">
        <f t="shared" si="7"/>
        <v>86031546.215472773</v>
      </c>
      <c r="S24" s="144">
        <f t="shared" si="7"/>
        <v>141897438.32209072</v>
      </c>
      <c r="T24" s="144">
        <f t="shared" si="7"/>
        <v>8360106.9920328707</v>
      </c>
      <c r="U24" s="145">
        <f>S24/Q24</f>
        <v>2.2982760905348436</v>
      </c>
      <c r="V24" s="145">
        <f>((S24*1.1)+(T24))/R24</f>
        <v>1.9114766196862429</v>
      </c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  <c r="PF24" s="146"/>
      <c r="PG24" s="146"/>
      <c r="PH24" s="146"/>
      <c r="PI24" s="146"/>
    </row>
    <row r="25" spans="1:425" s="20" customFormat="1" ht="14.25" x14ac:dyDescent="0.2">
      <c r="A25" s="125"/>
      <c r="B25" s="121" t="s">
        <v>62</v>
      </c>
      <c r="C25" s="493" t="s">
        <v>532</v>
      </c>
      <c r="D25" s="138"/>
      <c r="E25" s="150"/>
      <c r="F25" s="135"/>
      <c r="G25" s="151"/>
      <c r="H25" s="249">
        <f>SUM(H26:H32)</f>
        <v>86600000</v>
      </c>
      <c r="I25" s="249">
        <f>SUM(I26:I32)</f>
        <v>14446980.100000001</v>
      </c>
      <c r="J25" s="249">
        <f>SUM(J26:J32)</f>
        <v>28885000</v>
      </c>
      <c r="K25" s="249">
        <f>SUM(K26:K32)</f>
        <v>39440600</v>
      </c>
      <c r="L25" s="249">
        <f>SUM(L26:L32)</f>
        <v>68325600</v>
      </c>
      <c r="M25" s="250"/>
      <c r="N25" s="251">
        <f t="shared" ref="N25:T25" si="8">SUM(N26:N32)</f>
        <v>43331980.099999994</v>
      </c>
      <c r="O25" s="249">
        <f t="shared" si="8"/>
        <v>82772580.099999994</v>
      </c>
      <c r="P25" s="249">
        <f t="shared" si="8"/>
        <v>0</v>
      </c>
      <c r="Q25" s="249">
        <f t="shared" si="8"/>
        <v>40573015.074906364</v>
      </c>
      <c r="R25" s="249">
        <f t="shared" si="8"/>
        <v>77502415.823970035</v>
      </c>
      <c r="S25" s="249">
        <f t="shared" si="8"/>
        <v>96633958.350001633</v>
      </c>
      <c r="T25" s="249">
        <f t="shared" si="8"/>
        <v>0</v>
      </c>
      <c r="U25" s="124">
        <f>IFERROR(S25/Q25,0)</f>
        <v>2.3817297820138563</v>
      </c>
      <c r="V25" s="124">
        <f>IFERROR(((S25*1.1)+(T25))/R25,0)</f>
        <v>1.3715360102636445</v>
      </c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</row>
    <row r="26" spans="1:425" s="20" customFormat="1" ht="14.25" x14ac:dyDescent="0.2">
      <c r="A26" s="125"/>
      <c r="B26" s="121" t="s">
        <v>62</v>
      </c>
      <c r="C26" s="134" t="s">
        <v>385</v>
      </c>
      <c r="D26" s="138"/>
      <c r="E26" s="150">
        <f>F26*(H26/$H$75)</f>
        <v>0.44779361160427322</v>
      </c>
      <c r="F26" s="135">
        <f>'CI Retrofit {E}'!A$16</f>
        <v>11.3</v>
      </c>
      <c r="G26" s="151" t="s">
        <v>366</v>
      </c>
      <c r="H26" s="249">
        <f>'CI Retrofit {E}'!A$10</f>
        <v>16000000</v>
      </c>
      <c r="I26" s="250">
        <f>'CI Retrofit {E}'!A$8</f>
        <v>4311750.8000000007</v>
      </c>
      <c r="J26" s="250">
        <f>'CI Retrofit {E}'!A$12</f>
        <v>6800000</v>
      </c>
      <c r="K26" s="250">
        <f>'CI Retrofit {E}'!A$14</f>
        <v>10880000</v>
      </c>
      <c r="L26" s="250">
        <f>SUM('CI Retrofit {E}'!Q$5:Q$1000)</f>
        <v>17680000</v>
      </c>
      <c r="M26" s="250"/>
      <c r="N26" s="251">
        <f>'CI Retrofit {E}'!A$18</f>
        <v>11111750.800000001</v>
      </c>
      <c r="O26" s="250">
        <f>'CI Retrofit {E}'!A$20</f>
        <v>21991750.800000001</v>
      </c>
      <c r="P26" s="250">
        <f>SUM('CI Retrofit {E}'!R$5:R$1000)</f>
        <v>0</v>
      </c>
      <c r="Q26" s="252">
        <f t="shared" ref="Q26:Q46" si="9">N26/(1+ElecDiscountRate)^1</f>
        <v>10404261.048689138</v>
      </c>
      <c r="R26" s="252">
        <f t="shared" ref="R26:R46" si="10">O26/(1+ElecDiscountRate)^1</f>
        <v>20591526.966292135</v>
      </c>
      <c r="S26" s="250">
        <f>SUM('CI Retrofit {E}'!AM$5:AM$1000)</f>
        <v>22272371.353942342</v>
      </c>
      <c r="T26" s="250">
        <f>SUM('CI Retrofit {E}'!AD$5:AD$1000)</f>
        <v>0</v>
      </c>
      <c r="U26" s="124">
        <f t="shared" ref="U26:U37" si="11">IFERROR(S26/Q26,0)</f>
        <v>2.1406970903280538</v>
      </c>
      <c r="V26" s="124">
        <f t="shared" ref="V26:V37" si="12">IFERROR(((S26*1.1)+(T26))/R26,0)</f>
        <v>1.1897907585698664</v>
      </c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</row>
    <row r="27" spans="1:425" s="20" customFormat="1" ht="14.25" x14ac:dyDescent="0.2">
      <c r="A27" s="125"/>
      <c r="B27" s="121" t="s">
        <v>62</v>
      </c>
      <c r="C27" s="134" t="s">
        <v>530</v>
      </c>
      <c r="D27" s="138"/>
      <c r="E27" s="150">
        <f>F27*(H27/$H$75)</f>
        <v>1.2705648382355761</v>
      </c>
      <c r="F27" s="135">
        <f>'Bus Lighting Grants {E}'!A$16</f>
        <v>15</v>
      </c>
      <c r="G27" s="151" t="s">
        <v>366</v>
      </c>
      <c r="H27" s="249">
        <f>'Bus Lighting Grants {E}'!A$10</f>
        <v>34200000</v>
      </c>
      <c r="I27" s="250">
        <f>'Bus Lighting Grants {E}'!A$8</f>
        <v>3636900</v>
      </c>
      <c r="J27" s="250">
        <f>'Bus Lighting Grants {E}'!A$12</f>
        <v>11970000</v>
      </c>
      <c r="K27" s="250">
        <f>'Bus Lighting Grants {E}'!A$14</f>
        <v>16518600</v>
      </c>
      <c r="L27" s="250">
        <f>SUM('Bus Lighting Grants {E}'!Q$5:Q$1000)</f>
        <v>28488600</v>
      </c>
      <c r="M27" s="250"/>
      <c r="N27" s="251">
        <f>'Bus Lighting Grants {E}'!A$18</f>
        <v>15606900</v>
      </c>
      <c r="O27" s="250">
        <f>'Bus Lighting Grants {E}'!A$20</f>
        <v>32125500</v>
      </c>
      <c r="P27" s="250">
        <f>SUM('Bus Lighting Grants {E}'!R$5:R$1000)</f>
        <v>0</v>
      </c>
      <c r="Q27" s="252">
        <f t="shared" ref="Q27:R30" si="13">N27/(1+ElecDiscountRate)^1</f>
        <v>14613202.24719101</v>
      </c>
      <c r="R27" s="252">
        <f t="shared" si="13"/>
        <v>30080056.179775279</v>
      </c>
      <c r="S27" s="250">
        <f>SUM('Bus Lighting Grants {E}'!AM$5:AM$1000)</f>
        <v>46534350.983202793</v>
      </c>
      <c r="T27" s="250">
        <f>SUM('Bus Lighting Grants {E}'!AD$5:AD$1000)</f>
        <v>0</v>
      </c>
      <c r="U27" s="124">
        <f t="shared" ref="U27:U32" si="14">IFERROR(S27/Q27,0)</f>
        <v>3.1844047728927967</v>
      </c>
      <c r="V27" s="124">
        <f t="shared" ref="V27:V32" si="15">IFERROR(((S27*1.1)+(T27))/R27,0)</f>
        <v>1.7017184334894913</v>
      </c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</row>
    <row r="28" spans="1:425" s="20" customFormat="1" ht="14.25" x14ac:dyDescent="0.2">
      <c r="A28" s="125"/>
      <c r="B28" s="121" t="s">
        <v>62</v>
      </c>
      <c r="C28" s="134" t="s">
        <v>531</v>
      </c>
      <c r="D28" s="138"/>
      <c r="E28" s="150">
        <f>F28*(H28/$H$75)</f>
        <v>0.22984096878803403</v>
      </c>
      <c r="F28" s="135">
        <f>'Industrial EM {E}'!A$16</f>
        <v>5.8</v>
      </c>
      <c r="G28" s="151" t="s">
        <v>366</v>
      </c>
      <c r="H28" s="249">
        <f>'Industrial EM {E}'!A$10</f>
        <v>16000000</v>
      </c>
      <c r="I28" s="250">
        <f>'Industrial EM {E}'!A$8</f>
        <v>2653759.5999999996</v>
      </c>
      <c r="J28" s="250">
        <f>'Industrial EM {E}'!A$12</f>
        <v>4670000</v>
      </c>
      <c r="K28" s="250">
        <f>'Industrial EM {E}'!A$14</f>
        <v>3330000</v>
      </c>
      <c r="L28" s="250">
        <f>SUM('Industrial EM {E}'!Q$5:Q$1000)</f>
        <v>8000000</v>
      </c>
      <c r="M28" s="250"/>
      <c r="N28" s="251">
        <f>'Industrial EM {E}'!A$18</f>
        <v>7323759.5999999996</v>
      </c>
      <c r="O28" s="250">
        <f>'Industrial EM {E}'!A$20</f>
        <v>10653759.6</v>
      </c>
      <c r="P28" s="250">
        <f>SUM('Industrial EM {E}'!R$5:R$1000)</f>
        <v>0</v>
      </c>
      <c r="Q28" s="252">
        <f t="shared" si="13"/>
        <v>6857452.808988763</v>
      </c>
      <c r="R28" s="252">
        <f t="shared" si="13"/>
        <v>9975430.3370786514</v>
      </c>
      <c r="S28" s="250">
        <f>SUM('Industrial EM {E}'!AM$5:AM$1000)</f>
        <v>8988742.2450849507</v>
      </c>
      <c r="T28" s="250">
        <f>SUM('Industrial EM {E}'!AD$5:AD$1000)</f>
        <v>0</v>
      </c>
      <c r="U28" s="124">
        <f t="shared" si="14"/>
        <v>1.3107989942420732</v>
      </c>
      <c r="V28" s="124">
        <f t="shared" si="15"/>
        <v>0.99119698453922322</v>
      </c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</row>
    <row r="29" spans="1:425" s="20" customFormat="1" ht="14.25" x14ac:dyDescent="0.2">
      <c r="A29" s="125"/>
      <c r="B29" s="121" t="s">
        <v>62</v>
      </c>
      <c r="C29" s="134" t="s">
        <v>789</v>
      </c>
      <c r="D29" s="138"/>
      <c r="E29" s="150"/>
      <c r="F29" s="135" t="e">
        <f>'Indust Opt {E}'!A$16</f>
        <v>#DIV/0!</v>
      </c>
      <c r="G29" s="151" t="s">
        <v>366</v>
      </c>
      <c r="H29" s="249">
        <f>'Indust Opt {E}'!A$10</f>
        <v>0</v>
      </c>
      <c r="I29" s="250">
        <f>'Indust Opt {E}'!A$8</f>
        <v>0</v>
      </c>
      <c r="J29" s="250">
        <f>'Indust Opt {E}'!A$12</f>
        <v>0</v>
      </c>
      <c r="K29" s="250">
        <f>'Indust Opt {E}'!A$14</f>
        <v>0</v>
      </c>
      <c r="L29" s="250">
        <f>SUM('Indust Opt {E}'!Q$5:Q$1000)</f>
        <v>0</v>
      </c>
      <c r="M29" s="250"/>
      <c r="N29" s="251">
        <f>'Indust Opt {E}'!A$18</f>
        <v>0</v>
      </c>
      <c r="O29" s="250">
        <f>'Indust Opt {E}'!A$20</f>
        <v>0</v>
      </c>
      <c r="P29" s="250">
        <f>SUM('Indust Opt {E}'!R$5:R$1000)</f>
        <v>0</v>
      </c>
      <c r="Q29" s="252">
        <f t="shared" ref="Q29" si="16">N29/(1+ElecDiscountRate)^1</f>
        <v>0</v>
      </c>
      <c r="R29" s="252">
        <f t="shared" ref="R29" si="17">O29/(1+ElecDiscountRate)^1</f>
        <v>0</v>
      </c>
      <c r="S29" s="250">
        <f>SUM('Indust Opt {E}'!AM$5:AM$1000)</f>
        <v>0</v>
      </c>
      <c r="T29" s="250">
        <f>SUM('Indust Opt {E}'!AD$5:AD$1000)</f>
        <v>0</v>
      </c>
      <c r="U29" s="124">
        <f t="shared" si="14"/>
        <v>0</v>
      </c>
      <c r="V29" s="124">
        <f t="shared" si="15"/>
        <v>0</v>
      </c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</row>
    <row r="30" spans="1:425" s="20" customFormat="1" ht="14.25" x14ac:dyDescent="0.2">
      <c r="A30" s="125"/>
      <c r="B30" s="121" t="s">
        <v>62</v>
      </c>
      <c r="C30" s="134" t="s">
        <v>320</v>
      </c>
      <c r="D30" s="138"/>
      <c r="E30" s="150">
        <f>F30*(H30/$H$75)</f>
        <v>2.8482447640758527E-2</v>
      </c>
      <c r="F30" s="135">
        <f>'CBA {E}'!A$16</f>
        <v>5</v>
      </c>
      <c r="G30" s="151" t="s">
        <v>366</v>
      </c>
      <c r="H30" s="249">
        <f>'CBA {E}'!A$10</f>
        <v>2300000</v>
      </c>
      <c r="I30" s="250">
        <f>'CBA {E}'!A$8</f>
        <v>1145337.3999999999</v>
      </c>
      <c r="J30" s="250">
        <f>'CBA {E}'!A$12</f>
        <v>0</v>
      </c>
      <c r="K30" s="250">
        <f>'CBA {E}'!A$14</f>
        <v>0</v>
      </c>
      <c r="L30" s="250">
        <f>SUM('CBA {E}'!Q$5:Q$1000)</f>
        <v>0</v>
      </c>
      <c r="M30" s="250"/>
      <c r="N30" s="251">
        <f>'CBA {E}'!A$18</f>
        <v>1145337.3999999999</v>
      </c>
      <c r="O30" s="250">
        <f>'CBA {E}'!A$20</f>
        <v>1145337.3999999999</v>
      </c>
      <c r="P30" s="250">
        <f>SUM('CBA {E}'!R$5:R$1000)</f>
        <v>0</v>
      </c>
      <c r="Q30" s="252">
        <f t="shared" si="13"/>
        <v>1072413.2958801496</v>
      </c>
      <c r="R30" s="252">
        <f t="shared" si="13"/>
        <v>1072413.2958801496</v>
      </c>
      <c r="S30" s="250">
        <f>SUM('CBA {E}'!AM$5:AM$1000)</f>
        <v>1692576.1511003326</v>
      </c>
      <c r="T30" s="250">
        <f>SUM('CBA {E}'!AD$5:AD$1000)</f>
        <v>0</v>
      </c>
      <c r="U30" s="124">
        <f t="shared" si="14"/>
        <v>1.5782871749190723</v>
      </c>
      <c r="V30" s="124">
        <f t="shared" si="15"/>
        <v>1.7361158924109799</v>
      </c>
      <c r="W30" s="152"/>
      <c r="X30" s="152"/>
      <c r="Y30" s="152"/>
      <c r="Z30" s="152"/>
      <c r="AA30" s="152"/>
      <c r="AB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</row>
    <row r="31" spans="1:425" s="20" customFormat="1" ht="14.25" x14ac:dyDescent="0.2">
      <c r="A31" s="125"/>
      <c r="B31" s="121" t="s">
        <v>62</v>
      </c>
      <c r="C31" s="134" t="s">
        <v>787</v>
      </c>
      <c r="D31" s="138"/>
      <c r="E31" s="150"/>
      <c r="F31" s="135">
        <f>'SMB Virtual Cx {E}'!A$16</f>
        <v>7</v>
      </c>
      <c r="G31" s="151" t="s">
        <v>366</v>
      </c>
      <c r="H31" s="249">
        <f>'SMB Virtual Cx {E}'!A$10</f>
        <v>6000000</v>
      </c>
      <c r="I31" s="250">
        <f>'SMB Virtual Cx {E}'!A$8</f>
        <v>1863157.5</v>
      </c>
      <c r="J31" s="250">
        <f>'SMB Virtual Cx {E}'!A$12</f>
        <v>0</v>
      </c>
      <c r="K31" s="250">
        <f>'SMB Virtual Cx {E}'!A$14</f>
        <v>0</v>
      </c>
      <c r="L31" s="250">
        <f>SUM('SMB Virtual Cx {E}'!Q$5:Q$1000)</f>
        <v>0</v>
      </c>
      <c r="M31" s="250"/>
      <c r="N31" s="251">
        <f>'SMB Virtual Cx {E}'!A$18</f>
        <v>1863157.5</v>
      </c>
      <c r="O31" s="250">
        <f>'SMB Virtual Cx {E}'!A$20</f>
        <v>1863157.5</v>
      </c>
      <c r="P31" s="250">
        <f>SUM('SMB Virtual Cx {E}'!R$5:R$1000)</f>
        <v>0</v>
      </c>
      <c r="Q31" s="252">
        <f t="shared" ref="Q31" si="18">N31/(1+ElecDiscountRate)^1</f>
        <v>1744529.4943820224</v>
      </c>
      <c r="R31" s="252">
        <f t="shared" ref="R31" si="19">O31/(1+ElecDiscountRate)^1</f>
        <v>1744529.4943820224</v>
      </c>
      <c r="S31" s="250">
        <f>SUM('SMB Virtual Cx {E}'!AM$5:AM$1000)</f>
        <v>4426170.8985065036</v>
      </c>
      <c r="T31" s="250">
        <f>SUM('SMB Virtual Cx {E}'!AD$5:AD$1000)</f>
        <v>0</v>
      </c>
      <c r="U31" s="124">
        <f t="shared" si="14"/>
        <v>2.5371717203751945</v>
      </c>
      <c r="V31" s="124">
        <f t="shared" si="15"/>
        <v>2.7908888924127142</v>
      </c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</row>
    <row r="32" spans="1:425" s="20" customFormat="1" ht="14.25" x14ac:dyDescent="0.2">
      <c r="A32" s="125"/>
      <c r="B32" s="121" t="s">
        <v>62</v>
      </c>
      <c r="C32" s="134" t="s">
        <v>790</v>
      </c>
      <c r="D32" s="138"/>
      <c r="E32" s="150"/>
      <c r="F32" s="135">
        <f>'Telecom Efficiency {E}'!A$16</f>
        <v>11.3</v>
      </c>
      <c r="G32" s="151" t="s">
        <v>366</v>
      </c>
      <c r="H32" s="249">
        <f>'Telecom Efficiency {E}'!A$10</f>
        <v>12100000</v>
      </c>
      <c r="I32" s="250">
        <f>'Telecom Efficiency {E}'!A$8</f>
        <v>836074.79999999981</v>
      </c>
      <c r="J32" s="250">
        <f>'Telecom Efficiency {E}'!A$12</f>
        <v>5445000</v>
      </c>
      <c r="K32" s="250">
        <f>'Telecom Efficiency {E}'!A$14</f>
        <v>8712000</v>
      </c>
      <c r="L32" s="250">
        <f>SUM('Telecom Efficiency {E}'!Q$5:Q$1000)</f>
        <v>14157000</v>
      </c>
      <c r="M32" s="250"/>
      <c r="N32" s="251">
        <f>'Telecom Efficiency {E}'!A$18</f>
        <v>6281074.7999999998</v>
      </c>
      <c r="O32" s="250">
        <f>'Telecom Efficiency {E}'!A$20</f>
        <v>14993074.800000001</v>
      </c>
      <c r="P32" s="250">
        <f>SUM('Telecom Efficiency {E}'!R$5:R$1000)</f>
        <v>0</v>
      </c>
      <c r="Q32" s="252">
        <f t="shared" ref="Q32" si="20">N32/(1+ElecDiscountRate)^1</f>
        <v>5881156.1797752799</v>
      </c>
      <c r="R32" s="252">
        <f t="shared" ref="R32" si="21">O32/(1+ElecDiscountRate)^1</f>
        <v>14038459.550561797</v>
      </c>
      <c r="S32" s="250">
        <f>SUM('Telecom Efficiency {E}'!AM$5:AM$1000)</f>
        <v>12719746.71816469</v>
      </c>
      <c r="T32" s="250">
        <f>SUM('Telecom Efficiency {E}'!AD$5:AD$1000)</f>
        <v>0</v>
      </c>
      <c r="U32" s="124">
        <f t="shared" si="14"/>
        <v>2.1627969619148448</v>
      </c>
      <c r="V32" s="124">
        <f t="shared" si="15"/>
        <v>0.99667070589815776</v>
      </c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</row>
    <row r="33" spans="1:425" s="20" customFormat="1" ht="14.25" x14ac:dyDescent="0.2">
      <c r="A33" s="125"/>
      <c r="B33" s="121" t="s">
        <v>123</v>
      </c>
      <c r="C33" s="138" t="s">
        <v>386</v>
      </c>
      <c r="D33" s="138"/>
      <c r="E33" s="150">
        <f>F33*(H33/$H$75)</f>
        <v>0.17238072659102552</v>
      </c>
      <c r="F33" s="135">
        <f>'CI New Construction {E}'!A$16</f>
        <v>11.6</v>
      </c>
      <c r="G33" s="151" t="s">
        <v>366</v>
      </c>
      <c r="H33" s="249">
        <f>'CI New Construction {E}'!A$10</f>
        <v>6000000</v>
      </c>
      <c r="I33" s="250">
        <f>'CI New Construction {E}'!A$8</f>
        <v>1136419.7999999998</v>
      </c>
      <c r="J33" s="250">
        <f>'CI New Construction {E}'!A$12</f>
        <v>2790000</v>
      </c>
      <c r="K33" s="250">
        <f>'CI New Construction {E}'!A$14</f>
        <v>3264300</v>
      </c>
      <c r="L33" s="250">
        <f>SUM('CI New Construction {E}'!Q$5:Q$1000)</f>
        <v>6054300</v>
      </c>
      <c r="M33" s="250"/>
      <c r="N33" s="251">
        <f>'CI New Construction {E}'!A$18</f>
        <v>3926419.8</v>
      </c>
      <c r="O33" s="250">
        <f>'CI New Construction {E}'!A$20</f>
        <v>7190719.7999999998</v>
      </c>
      <c r="P33" s="250">
        <f>SUM('CI New Construction {E}'!R$5:R$1000)</f>
        <v>0</v>
      </c>
      <c r="Q33" s="252">
        <f t="shared" si="9"/>
        <v>3676423.0337078646</v>
      </c>
      <c r="R33" s="252">
        <f t="shared" si="10"/>
        <v>6732883.7078651683</v>
      </c>
      <c r="S33" s="250">
        <f>SUM('CI New Construction {E}'!AM$5:AM$1000)</f>
        <v>8352139.2577283792</v>
      </c>
      <c r="T33" s="250">
        <f>SUM('CI New Construction {E}'!AD$5:AD$1000)</f>
        <v>0</v>
      </c>
      <c r="U33" s="124">
        <f t="shared" si="11"/>
        <v>2.2718112635979244</v>
      </c>
      <c r="V33" s="124">
        <f t="shared" si="12"/>
        <v>1.3645495128289244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</row>
    <row r="34" spans="1:425" s="20" customFormat="1" ht="14.25" x14ac:dyDescent="0.2">
      <c r="A34" s="125"/>
      <c r="B34" s="121" t="s">
        <v>129</v>
      </c>
      <c r="C34" s="153" t="s">
        <v>387</v>
      </c>
      <c r="D34" s="153"/>
      <c r="E34" s="150"/>
      <c r="F34" s="135">
        <f>'Com SEM {E}'!A$16</f>
        <v>3</v>
      </c>
      <c r="G34" s="151" t="s">
        <v>366</v>
      </c>
      <c r="H34" s="249">
        <f>'Com SEM {E}'!A$10</f>
        <v>27489000</v>
      </c>
      <c r="I34" s="250">
        <f>'Com SEM {E}'!A$8</f>
        <v>3027299.0999999996</v>
      </c>
      <c r="J34" s="250">
        <f>'Com SEM {E}'!A$12</f>
        <v>1280000</v>
      </c>
      <c r="K34" s="250">
        <f>'Com SEM {E}'!A$14</f>
        <v>460800.00000000023</v>
      </c>
      <c r="L34" s="250">
        <f>SUM('Com SEM {E}'!Q$5:Q$995)</f>
        <v>1740800.0000000002</v>
      </c>
      <c r="M34" s="250"/>
      <c r="N34" s="251">
        <f>'Com SEM {E}'!A$18</f>
        <v>4307299.0999999996</v>
      </c>
      <c r="O34" s="250">
        <f>'Com SEM {E}'!A$20</f>
        <v>4768099.0999999996</v>
      </c>
      <c r="P34" s="250">
        <f>SUM('Com SEM {E}'!R$5:R$995)</f>
        <v>0</v>
      </c>
      <c r="Q34" s="252">
        <f>N34/(1+ElecDiscountRate)^1</f>
        <v>4033051.5917602992</v>
      </c>
      <c r="R34" s="252">
        <f>O34/(1+ElecDiscountRate)^1</f>
        <v>4464512.265917602</v>
      </c>
      <c r="S34" s="250">
        <f>SUM('Com SEM {E}'!AM$5:AM$995)</f>
        <v>9820132.5669740271</v>
      </c>
      <c r="T34" s="250">
        <f>SUM('Com SEM {E}'!AD$5:AD$995)</f>
        <v>0</v>
      </c>
      <c r="U34" s="124">
        <f t="shared" si="11"/>
        <v>2.4349136983610591</v>
      </c>
      <c r="V34" s="124">
        <f t="shared" si="12"/>
        <v>2.4195578778304103</v>
      </c>
      <c r="W34" s="152"/>
      <c r="X34" s="152"/>
      <c r="Y34" s="152"/>
      <c r="Z34" s="152"/>
      <c r="AA34" s="152"/>
      <c r="AB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</row>
    <row r="35" spans="1:425" s="20" customFormat="1" ht="14.25" x14ac:dyDescent="0.2">
      <c r="A35" s="125"/>
      <c r="B35" s="121" t="s">
        <v>129</v>
      </c>
      <c r="C35" s="153" t="s">
        <v>388</v>
      </c>
      <c r="D35" s="153"/>
      <c r="E35" s="150"/>
      <c r="F35" s="135">
        <f>'P4P {E}'!A$16</f>
        <v>13.5</v>
      </c>
      <c r="G35" s="151" t="s">
        <v>366</v>
      </c>
      <c r="H35" s="249">
        <f>'P4P {E}'!A$10</f>
        <v>2000000</v>
      </c>
      <c r="I35" s="250">
        <f>'P4P {E}'!A$8</f>
        <v>654951.5</v>
      </c>
      <c r="J35" s="250">
        <f>'P4P {E}'!A$12</f>
        <v>700000</v>
      </c>
      <c r="K35" s="250">
        <f>'P4P {E}'!A$14</f>
        <v>700000</v>
      </c>
      <c r="L35" s="250">
        <f>SUM('P4P {E}'!Q$5:Q$1000)</f>
        <v>1400000</v>
      </c>
      <c r="M35" s="250"/>
      <c r="N35" s="251">
        <f>'P4P {E}'!A$18</f>
        <v>1354951.5</v>
      </c>
      <c r="O35" s="250">
        <f>'P4P {E}'!A$20</f>
        <v>2054951.5</v>
      </c>
      <c r="P35" s="250">
        <f>SUM('P4P {E}'!R$5:R$1000)</f>
        <v>0</v>
      </c>
      <c r="Q35" s="252">
        <f>N35/(1+ElecDiscountRate)^1</f>
        <v>1268681.1797752809</v>
      </c>
      <c r="R35" s="252">
        <f>O35/(1+ElecDiscountRate)^1</f>
        <v>1924111.8913857676</v>
      </c>
      <c r="S35" s="250">
        <f>SUM('P4P {E}'!AM$5:AM$1000)</f>
        <v>2415942.7082992783</v>
      </c>
      <c r="T35" s="250">
        <f>SUM('P4P {E}'!AD$5:AD$1000)</f>
        <v>0</v>
      </c>
      <c r="U35" s="124">
        <f t="shared" si="11"/>
        <v>1.9042945909603621</v>
      </c>
      <c r="V35" s="124">
        <f t="shared" si="12"/>
        <v>1.381175903037124</v>
      </c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</row>
    <row r="36" spans="1:425" s="20" customFormat="1" ht="14.25" x14ac:dyDescent="0.2">
      <c r="A36" s="125"/>
      <c r="B36" s="121" t="s">
        <v>126</v>
      </c>
      <c r="C36" s="154" t="s">
        <v>389</v>
      </c>
      <c r="D36" s="154"/>
      <c r="E36" s="150">
        <f>F36*(H36/$H$75)</f>
        <v>0.3407986778581194</v>
      </c>
      <c r="F36" s="135">
        <f>'LPU 449 {E}'!A$16</f>
        <v>17.2</v>
      </c>
      <c r="G36" s="151" t="s">
        <v>366</v>
      </c>
      <c r="H36" s="249">
        <f>'LPU 449 {E}'!A$10</f>
        <v>8000000</v>
      </c>
      <c r="I36" s="250">
        <f>'LPU 449 {E}'!A$8</f>
        <v>486618.5</v>
      </c>
      <c r="J36" s="250">
        <f>'LPU 449 {E}'!A$12</f>
        <v>4996742</v>
      </c>
      <c r="K36" s="250">
        <f>'LPU 449 {E}'!A$14</f>
        <v>2748208.1000000006</v>
      </c>
      <c r="L36" s="250">
        <f>SUM('LPU 449 {E}'!Q$5:Q$1000)</f>
        <v>7744950.1000000006</v>
      </c>
      <c r="M36" s="250"/>
      <c r="N36" s="251">
        <f>'LPU 449 {E}'!A$18</f>
        <v>5733360.5</v>
      </c>
      <c r="O36" s="250">
        <f>'LPU 449 {E}'!A$20</f>
        <v>8231568.6000000006</v>
      </c>
      <c r="P36" s="250">
        <f>SUM('LPU 449 {E}'!R$5:R$1000)</f>
        <v>0</v>
      </c>
      <c r="Q36" s="252">
        <f t="shared" si="9"/>
        <v>5368315.0749063669</v>
      </c>
      <c r="R36" s="252">
        <f t="shared" si="10"/>
        <v>7707461.2359550558</v>
      </c>
      <c r="S36" s="250">
        <f>SUM('LPU 449 {E}'!AM$5:AM$1000)</f>
        <v>11452698.606906295</v>
      </c>
      <c r="T36" s="250">
        <f>SUM('LPU 449 {E}'!AD$5:AD$1000)</f>
        <v>0</v>
      </c>
      <c r="U36" s="124">
        <f t="shared" si="11"/>
        <v>2.133387934035532</v>
      </c>
      <c r="V36" s="124">
        <f t="shared" si="12"/>
        <v>1.6345159686081603</v>
      </c>
      <c r="W36" s="152"/>
      <c r="X36" s="152"/>
      <c r="Y36" s="152"/>
      <c r="Z36" s="152"/>
      <c r="AA36" s="152"/>
      <c r="AB36" s="152"/>
      <c r="AC36" s="505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</row>
    <row r="37" spans="1:425" s="20" customFormat="1" ht="14.25" x14ac:dyDescent="0.2">
      <c r="A37" s="125"/>
      <c r="B37" s="121" t="s">
        <v>126</v>
      </c>
      <c r="C37" s="154" t="s">
        <v>390</v>
      </c>
      <c r="D37" s="154"/>
      <c r="E37" s="150"/>
      <c r="F37" s="135">
        <f>'LPU Non-449 {E}'!A$16</f>
        <v>14.18</v>
      </c>
      <c r="G37" s="151" t="s">
        <v>366</v>
      </c>
      <c r="H37" s="249">
        <f>'LPU Non-449 {E}'!A$10</f>
        <v>3964901</v>
      </c>
      <c r="I37" s="250">
        <f>'LPU Non-449 {E}'!A$8</f>
        <v>362109.60000000009</v>
      </c>
      <c r="J37" s="250">
        <f>'LPU Non-449 {E}'!A$12</f>
        <v>2381502</v>
      </c>
      <c r="K37" s="250">
        <f>'LPU Non-449 {E}'!A$14</f>
        <v>1309826.1000000001</v>
      </c>
      <c r="L37" s="250">
        <f>SUM('LPU Non-449 {E}'!Q$5:Q$1000)</f>
        <v>3691328.1</v>
      </c>
      <c r="M37" s="250"/>
      <c r="N37" s="251">
        <f>'LPU Non-449 {E}'!A$18</f>
        <v>2993611.6</v>
      </c>
      <c r="O37" s="250">
        <f>'LPU Non-449 {E}'!A$20</f>
        <v>4053437.7</v>
      </c>
      <c r="P37" s="250">
        <f>SUM('LPU Non-449 {E}'!R$5:R$1000)</f>
        <v>0</v>
      </c>
      <c r="Q37" s="252">
        <f t="shared" si="9"/>
        <v>2803007.1161048687</v>
      </c>
      <c r="R37" s="252">
        <f t="shared" si="10"/>
        <v>3795353.6516853934</v>
      </c>
      <c r="S37" s="250">
        <f>SUM('LPU Non-449 {E}'!AM$5:AM$1000)</f>
        <v>5033649.2911100928</v>
      </c>
      <c r="T37" s="250">
        <f>SUM('LPU Non-449 {E}'!AD$5:AD$1000)</f>
        <v>0</v>
      </c>
      <c r="U37" s="124">
        <f t="shared" si="11"/>
        <v>1.7958032507976585</v>
      </c>
      <c r="V37" s="124">
        <f t="shared" si="12"/>
        <v>1.4588928274871813</v>
      </c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</row>
    <row r="38" spans="1:425" s="20" customFormat="1" x14ac:dyDescent="0.25">
      <c r="A38" s="125"/>
      <c r="B38" s="121" t="s">
        <v>67</v>
      </c>
      <c r="C38" s="500" t="s">
        <v>391</v>
      </c>
      <c r="D38" s="155"/>
      <c r="E38" s="156">
        <f>F38*(H38/$H$75)</f>
        <v>0</v>
      </c>
      <c r="F38" s="131"/>
      <c r="G38" s="132"/>
      <c r="H38" s="253">
        <f t="shared" ref="H38:O38" si="22">SUM(H39:H43)</f>
        <v>58456266.700000003</v>
      </c>
      <c r="I38" s="253">
        <f t="shared" si="22"/>
        <v>7585245.8900000006</v>
      </c>
      <c r="J38" s="253">
        <f t="shared" si="22"/>
        <v>19074665.84</v>
      </c>
      <c r="K38" s="253">
        <f t="shared" si="22"/>
        <v>1457380.8900000001</v>
      </c>
      <c r="L38" s="253">
        <f t="shared" si="22"/>
        <v>20532046.73</v>
      </c>
      <c r="M38" s="253">
        <f t="shared" si="22"/>
        <v>0</v>
      </c>
      <c r="N38" s="253">
        <f t="shared" si="22"/>
        <v>26659911.73</v>
      </c>
      <c r="O38" s="253">
        <f t="shared" si="22"/>
        <v>28117292.620000001</v>
      </c>
      <c r="P38" s="253">
        <f>SUM(P39:P43)</f>
        <v>61162.835399999996</v>
      </c>
      <c r="Q38" s="254">
        <f t="shared" si="9"/>
        <v>24962464.166666664</v>
      </c>
      <c r="R38" s="254">
        <f t="shared" si="10"/>
        <v>26327053.014981274</v>
      </c>
      <c r="S38" s="253">
        <f>SUM(S39:S43)</f>
        <v>80041525.741599873</v>
      </c>
      <c r="T38" s="253">
        <f>SUM(T39:T43)</f>
        <v>603331.10864754906</v>
      </c>
      <c r="U38" s="133">
        <f>S38/Q38</f>
        <v>3.2064753386199105</v>
      </c>
      <c r="V38" s="133">
        <f>((S38*1.1)+(T38))/R38</f>
        <v>3.3672211384222215</v>
      </c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</row>
    <row r="39" spans="1:425" s="20" customFormat="1" ht="14.25" x14ac:dyDescent="0.2">
      <c r="A39" s="125"/>
      <c r="B39" s="121" t="s">
        <v>67</v>
      </c>
      <c r="C39" s="134" t="s">
        <v>392</v>
      </c>
      <c r="D39" s="134"/>
      <c r="E39" s="157"/>
      <c r="F39" s="135">
        <f>'Lighting to Go {E}'!A$16</f>
        <v>15</v>
      </c>
      <c r="G39" s="136"/>
      <c r="H39" s="249">
        <f>'Lighting to Go {E}'!A$10</f>
        <v>27000000</v>
      </c>
      <c r="I39" s="250">
        <f>'Lighting to Go {E}'!A$8</f>
        <v>2418354.84</v>
      </c>
      <c r="J39" s="250">
        <f>'Lighting to Go {E}'!A$12</f>
        <v>4063470.84</v>
      </c>
      <c r="K39" s="250">
        <f>'Lighting to Go {E}'!A$14</f>
        <v>0</v>
      </c>
      <c r="L39" s="250">
        <f>SUM('Lighting to Go {E}'!Q$5:Q$999)</f>
        <v>4063470.84</v>
      </c>
      <c r="M39" s="250"/>
      <c r="N39" s="251">
        <f>'Lighting to Go {E}'!A$18</f>
        <v>6481825.6799999997</v>
      </c>
      <c r="O39" s="250">
        <f>'Lighting to Go {E}'!A$20</f>
        <v>6481825.6799999997</v>
      </c>
      <c r="P39" s="250">
        <f>SUM('Lighting to Go {E}'!R$5:R$999)</f>
        <v>0</v>
      </c>
      <c r="Q39" s="252">
        <f t="shared" si="9"/>
        <v>6069125.1685393248</v>
      </c>
      <c r="R39" s="252">
        <f t="shared" si="10"/>
        <v>6069125.1685393248</v>
      </c>
      <c r="S39" s="250">
        <f>SUM('Lighting to Go {E}'!AM$5:AM$999)</f>
        <v>36737645.51305484</v>
      </c>
      <c r="T39" s="250">
        <f>SUM('Lighting to Go {E}'!AD$5:AD$999)</f>
        <v>0</v>
      </c>
      <c r="U39" s="124">
        <f t="shared" ref="U39:U44" si="23">IFERROR(S39/Q39,0)</f>
        <v>6.0532028081234319</v>
      </c>
      <c r="V39" s="124">
        <f t="shared" ref="V39:V44" si="24">IFERROR(((S39*1.1)+(T39))/R39,0)</f>
        <v>6.6585230889357758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</row>
    <row r="40" spans="1:425" s="20" customFormat="1" ht="14.25" x14ac:dyDescent="0.2">
      <c r="A40" s="125"/>
      <c r="B40" s="121" t="s">
        <v>67</v>
      </c>
      <c r="C40" s="134" t="s">
        <v>788</v>
      </c>
      <c r="D40" s="134"/>
      <c r="E40" s="150"/>
      <c r="F40" s="135">
        <f>'Commercial Foodservice {E}'!A$16</f>
        <v>12</v>
      </c>
      <c r="G40" s="151" t="s">
        <v>366</v>
      </c>
      <c r="H40" s="249">
        <f>'Commercial Foodservice {E}'!A$10</f>
        <v>2303750</v>
      </c>
      <c r="I40" s="250">
        <f>'Commercial Foodservice {E}'!A$8</f>
        <v>749029.55</v>
      </c>
      <c r="J40" s="250">
        <f>'Commercial Foodservice {E}'!A$12</f>
        <v>1115119</v>
      </c>
      <c r="K40" s="250">
        <f>'Commercial Foodservice {E}'!A$14</f>
        <v>-19477</v>
      </c>
      <c r="L40" s="250">
        <f>SUM('Commercial Foodservice {E}'!Q$5:Q$935)</f>
        <v>1095642</v>
      </c>
      <c r="M40" s="250"/>
      <c r="N40" s="251">
        <f>'Commercial Foodservice {E}'!A$18</f>
        <v>1864148.55</v>
      </c>
      <c r="O40" s="250">
        <f>'Commercial Foodservice {E}'!A$20</f>
        <v>1844671.55</v>
      </c>
      <c r="P40" s="250">
        <f>SUM('Commercial Foodservice {E}'!R$5:R$935)</f>
        <v>56637</v>
      </c>
      <c r="Q40" s="252">
        <f t="shared" si="9"/>
        <v>1745457.4438202246</v>
      </c>
      <c r="R40" s="252">
        <f t="shared" si="10"/>
        <v>1727220.5524344568</v>
      </c>
      <c r="S40" s="250">
        <f>SUM('Commercial Foodservice {E}'!AM$5:AM$935)</f>
        <v>2595509.3005498932</v>
      </c>
      <c r="T40" s="250">
        <f>SUM('Commercial Foodservice {E}'!AD$5:AD$935)</f>
        <v>454684.19488564454</v>
      </c>
      <c r="U40" s="124">
        <f t="shared" si="23"/>
        <v>1.4870080675637605</v>
      </c>
      <c r="V40" s="124">
        <f t="shared" si="24"/>
        <v>1.9162257077276894</v>
      </c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</row>
    <row r="41" spans="1:425" s="20" customFormat="1" ht="14.25" x14ac:dyDescent="0.2">
      <c r="A41" s="125"/>
      <c r="B41" s="121" t="s">
        <v>67</v>
      </c>
      <c r="C41" s="134" t="s">
        <v>393</v>
      </c>
      <c r="D41" s="134"/>
      <c r="E41" s="150"/>
      <c r="F41" s="135">
        <f>'Commercial HVAC {E}'!A$16</f>
        <v>18.730439695206055</v>
      </c>
      <c r="G41" s="151" t="s">
        <v>366</v>
      </c>
      <c r="H41" s="249">
        <f>'Commercial HVAC {E}'!A$10</f>
        <v>1904066.7</v>
      </c>
      <c r="I41" s="250">
        <f>'Commercial HVAC {E}'!A$8</f>
        <v>485155.19999999995</v>
      </c>
      <c r="J41" s="250">
        <f>'Commercial HVAC {E}'!A$12</f>
        <v>876800</v>
      </c>
      <c r="K41" s="250">
        <f>'Commercial HVAC {E}'!A$14</f>
        <v>877232.89000000013</v>
      </c>
      <c r="L41" s="250">
        <f>SUM('Commercial HVAC {E}'!Q$5:Q$996)</f>
        <v>1754032.8900000001</v>
      </c>
      <c r="M41" s="250"/>
      <c r="N41" s="251">
        <f>'Commercial HVAC {E}'!A$18</f>
        <v>1361955.2</v>
      </c>
      <c r="O41" s="250">
        <f>'Commercial HVAC {E}'!A$20</f>
        <v>2239188.09</v>
      </c>
      <c r="P41" s="250">
        <f>SUM('Commercial HVAC {E}'!R$5:R$996)</f>
        <v>117.64000000000001</v>
      </c>
      <c r="Q41" s="252">
        <f t="shared" si="9"/>
        <v>1275238.9513108614</v>
      </c>
      <c r="R41" s="252">
        <f t="shared" si="10"/>
        <v>2096618.0617977525</v>
      </c>
      <c r="S41" s="250">
        <f>SUM('Commercial HVAC {E}'!AM$5:AM$996)</f>
        <v>3187458.4826093637</v>
      </c>
      <c r="T41" s="250">
        <f>SUM('Commercial HVAC {E}'!AD$5:AD$996)</f>
        <v>148646.91376190452</v>
      </c>
      <c r="U41" s="124">
        <f t="shared" si="23"/>
        <v>2.4994989992525456</v>
      </c>
      <c r="V41" s="124">
        <f t="shared" si="24"/>
        <v>1.7432127058460709</v>
      </c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</row>
    <row r="42" spans="1:425" s="20" customFormat="1" ht="14.25" x14ac:dyDescent="0.2">
      <c r="A42" s="125"/>
      <c r="B42" s="121" t="s">
        <v>67</v>
      </c>
      <c r="C42" s="134" t="s">
        <v>394</v>
      </c>
      <c r="D42" s="134"/>
      <c r="E42" s="150"/>
      <c r="F42" s="135">
        <f>'Commercial Midstream {E}'!A$16</f>
        <v>15</v>
      </c>
      <c r="G42" s="151" t="s">
        <v>366</v>
      </c>
      <c r="H42" s="249">
        <f>'Commercial Midstream {E}'!A$10</f>
        <v>1248450</v>
      </c>
      <c r="I42" s="250">
        <f>'Commercial Midstream {E}'!A$8</f>
        <v>488097</v>
      </c>
      <c r="J42" s="250">
        <f>'Commercial Midstream {E}'!A$12</f>
        <v>799500</v>
      </c>
      <c r="K42" s="250">
        <f>'Commercial Midstream {E}'!A$14</f>
        <v>599625</v>
      </c>
      <c r="L42" s="250">
        <f>SUM('Commercial Midstream {E}'!Q$5:Q$1000)</f>
        <v>1399125</v>
      </c>
      <c r="M42" s="250"/>
      <c r="N42" s="251">
        <f>'Commercial Midstream {E}'!A$18</f>
        <v>1287597</v>
      </c>
      <c r="O42" s="250">
        <f>'Commercial Midstream {E}'!A$20</f>
        <v>1887222</v>
      </c>
      <c r="P42" s="250">
        <f>SUM('Commercial Midstream {E}'!R$5:R$1000)</f>
        <v>0</v>
      </c>
      <c r="Q42" s="252">
        <f t="shared" si="9"/>
        <v>1205615.1685393257</v>
      </c>
      <c r="R42" s="252">
        <f t="shared" si="10"/>
        <v>1767061.7977528088</v>
      </c>
      <c r="S42" s="250">
        <f>SUM('Commercial Midstream {E}'!AM$5:AM$1000)</f>
        <v>2143920.4698514882</v>
      </c>
      <c r="T42" s="250">
        <f>SUM('Commercial Midstream {E}'!AD$5:AD$1000)</f>
        <v>0</v>
      </c>
      <c r="U42" s="124">
        <f t="shared" si="23"/>
        <v>1.7782792766691673</v>
      </c>
      <c r="V42" s="124">
        <f t="shared" si="24"/>
        <v>1.3345953830453061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</row>
    <row r="43" spans="1:425" s="20" customFormat="1" ht="14.25" x14ac:dyDescent="0.2">
      <c r="A43" s="125"/>
      <c r="B43" s="121" t="s">
        <v>67</v>
      </c>
      <c r="C43" s="134" t="s">
        <v>395</v>
      </c>
      <c r="D43" s="134"/>
      <c r="E43" s="150"/>
      <c r="F43" s="135">
        <f>'SBDI {E}'!A$16</f>
        <v>15</v>
      </c>
      <c r="G43" s="151" t="s">
        <v>366</v>
      </c>
      <c r="H43" s="249">
        <f>'SBDI {E}'!A$10</f>
        <v>26000000</v>
      </c>
      <c r="I43" s="250">
        <f>'SBDI {E}'!A$8</f>
        <v>3444609.3000000007</v>
      </c>
      <c r="J43" s="250">
        <f>'SBDI {E}'!A$12</f>
        <v>12219776</v>
      </c>
      <c r="K43" s="250">
        <f>'SBDI {E}'!A$14</f>
        <v>0</v>
      </c>
      <c r="L43" s="250">
        <f>SUM('SBDI {E}'!Q$5:Q$996)</f>
        <v>12219776</v>
      </c>
      <c r="M43" s="250"/>
      <c r="N43" s="251">
        <f>'SBDI {E}'!A$18</f>
        <v>15664385.300000001</v>
      </c>
      <c r="O43" s="250">
        <f>'SBDI {E}'!A$20</f>
        <v>15664385.300000001</v>
      </c>
      <c r="P43" s="250">
        <f>SUM('SBDI {E}'!R$5:R$996)</f>
        <v>4408.1953999999996</v>
      </c>
      <c r="Q43" s="252">
        <f t="shared" si="9"/>
        <v>14667027.43445693</v>
      </c>
      <c r="R43" s="252">
        <f t="shared" si="10"/>
        <v>14667027.43445693</v>
      </c>
      <c r="S43" s="250">
        <f>SUM('SBDI {E}'!AM$5:AM$996)</f>
        <v>35376991.97553429</v>
      </c>
      <c r="T43" s="250">
        <f>SUM('SBDI {E}'!AD$5:AD$996)</f>
        <v>0</v>
      </c>
      <c r="U43" s="124">
        <f t="shared" si="23"/>
        <v>2.4120083045882827</v>
      </c>
      <c r="V43" s="124">
        <f t="shared" si="24"/>
        <v>2.6532091350471112</v>
      </c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</row>
    <row r="44" spans="1:425" s="20" customFormat="1" ht="14.25" x14ac:dyDescent="0.2">
      <c r="A44" s="125"/>
      <c r="B44" s="121" t="s">
        <v>67</v>
      </c>
      <c r="C44" s="134" t="s">
        <v>396</v>
      </c>
      <c r="D44" s="134"/>
      <c r="E44" s="150"/>
      <c r="F44" s="135">
        <f>'Lodging Rebates {E}'!A$16</f>
        <v>13</v>
      </c>
      <c r="G44" s="151" t="s">
        <v>366</v>
      </c>
      <c r="H44" s="249">
        <f>'Lodging Rebates {E}'!A$10</f>
        <v>4000000</v>
      </c>
      <c r="I44" s="250">
        <f>'Lodging Rebates {E}'!A$8</f>
        <v>543763.79999999981</v>
      </c>
      <c r="J44" s="250">
        <f>'Lodging Rebates {E}'!A$12</f>
        <v>4820420</v>
      </c>
      <c r="K44" s="250">
        <f>'Lodging Rebates {E}'!A$14</f>
        <v>549527.87999999989</v>
      </c>
      <c r="L44" s="250">
        <f>SUM('Lodging Rebates {E}'!Q$5:Q$998)</f>
        <v>5369947.8799999999</v>
      </c>
      <c r="M44" s="250"/>
      <c r="N44" s="251">
        <f>'Lodging Rebates {E}'!A$18</f>
        <v>5364183.8</v>
      </c>
      <c r="O44" s="250">
        <f>'Lodging Rebates {E}'!A$20</f>
        <v>5913711.6799999997</v>
      </c>
      <c r="P44" s="250">
        <f>SUM('Lodging Rebates {E}'!R$5:R$998)</f>
        <v>0</v>
      </c>
      <c r="Q44" s="252">
        <f>N44/(1+ElecDiscountRate)^1</f>
        <v>5022644.0074906358</v>
      </c>
      <c r="R44" s="252">
        <f>O44/(1+ElecDiscountRate)^1</f>
        <v>5537183.2209737822</v>
      </c>
      <c r="S44" s="250">
        <f>SUM('Lodging Rebates {E}'!AM$5:AM$998)</f>
        <v>6195575.5658843666</v>
      </c>
      <c r="T44" s="250">
        <f>SUM('Lodging Rebates {E}'!AD$5:AD$998)</f>
        <v>0</v>
      </c>
      <c r="U44" s="124">
        <f t="shared" si="23"/>
        <v>1.23352870652279</v>
      </c>
      <c r="V44" s="124">
        <f t="shared" si="24"/>
        <v>1.23079422343447</v>
      </c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</row>
    <row r="45" spans="1:425" s="147" customFormat="1" x14ac:dyDescent="0.25">
      <c r="A45" s="139"/>
      <c r="B45" s="140" t="s">
        <v>397</v>
      </c>
      <c r="C45" s="140"/>
      <c r="D45" s="140"/>
      <c r="E45" s="141"/>
      <c r="F45" s="142"/>
      <c r="G45" s="143"/>
      <c r="H45" s="144">
        <f t="shared" ref="H45:P45" si="25">SUM(H26:H37,H39:H44)</f>
        <v>196510167.69999999</v>
      </c>
      <c r="I45" s="144">
        <f t="shared" si="25"/>
        <v>28243388.290000003</v>
      </c>
      <c r="J45" s="144">
        <f t="shared" si="25"/>
        <v>64928329.840000004</v>
      </c>
      <c r="K45" s="144">
        <f t="shared" si="25"/>
        <v>49930642.970000006</v>
      </c>
      <c r="L45" s="144">
        <f t="shared" si="25"/>
        <v>114858972.80999999</v>
      </c>
      <c r="M45" s="144">
        <f t="shared" si="25"/>
        <v>0</v>
      </c>
      <c r="N45" s="144">
        <f t="shared" si="25"/>
        <v>93671718.129999995</v>
      </c>
      <c r="O45" s="144">
        <f t="shared" si="25"/>
        <v>143102361.09999999</v>
      </c>
      <c r="P45" s="144">
        <f t="shared" si="25"/>
        <v>61162.835399999996</v>
      </c>
      <c r="Q45" s="158">
        <f t="shared" si="9"/>
        <v>87707601.245318338</v>
      </c>
      <c r="R45" s="158">
        <f t="shared" si="10"/>
        <v>133990974.81273407</v>
      </c>
      <c r="S45" s="144">
        <f>SUM(S26:S37,S39:S44)</f>
        <v>219945622.08850396</v>
      </c>
      <c r="T45" s="144">
        <f>SUM(T26:T37,T39:T44)</f>
        <v>603331.10864754906</v>
      </c>
      <c r="U45" s="159">
        <f>S45/Q45</f>
        <v>2.507714485011574</v>
      </c>
      <c r="V45" s="159">
        <f>((S45*1.1)+(T45))/R45</f>
        <v>1.8101481517317193</v>
      </c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  <c r="PF45" s="146"/>
      <c r="PG45" s="146"/>
      <c r="PH45" s="146"/>
      <c r="PI45" s="146"/>
    </row>
    <row r="46" spans="1:425" s="147" customFormat="1" x14ac:dyDescent="0.25">
      <c r="A46" s="139"/>
      <c r="B46" s="121" t="s">
        <v>398</v>
      </c>
      <c r="C46" s="138" t="s">
        <v>399</v>
      </c>
      <c r="D46" s="97"/>
      <c r="E46" s="160">
        <f>F46*(H46/$H$75)</f>
        <v>0</v>
      </c>
      <c r="F46" s="161">
        <v>0</v>
      </c>
      <c r="G46" s="151" t="s">
        <v>366</v>
      </c>
      <c r="H46" s="256">
        <f>'Residential Pilots {E}'!A10</f>
        <v>0</v>
      </c>
      <c r="I46" s="256">
        <f>'Residential Pilots {E}'!A$8</f>
        <v>10920.4</v>
      </c>
      <c r="J46" s="256">
        <f>'Residential Pilots {E}'!A$12</f>
        <v>0</v>
      </c>
      <c r="K46" s="256">
        <f>'Residential Pilots {E}'!A$14</f>
        <v>69.989999999999995</v>
      </c>
      <c r="L46" s="256">
        <f>SUM('Residential Pilots {E}'!Q$5:Q$997)</f>
        <v>69.989999999999995</v>
      </c>
      <c r="M46" s="162"/>
      <c r="N46" s="251">
        <f>'Residential Pilots {E}'!A$18</f>
        <v>10920.4</v>
      </c>
      <c r="O46" s="250">
        <f>'Residential Pilots {E}'!A$20</f>
        <v>10990.39</v>
      </c>
      <c r="P46" s="250">
        <f>SUM('Residential Pilots {E}'!R$5:R$999)</f>
        <v>0</v>
      </c>
      <c r="Q46" s="257">
        <f t="shared" si="9"/>
        <v>10225.0936329588</v>
      </c>
      <c r="R46" s="257">
        <f t="shared" si="10"/>
        <v>10290.627340823969</v>
      </c>
      <c r="S46" s="250">
        <f>SUM('Residential Pilots {E}'!AM$5:AM$999)</f>
        <v>0</v>
      </c>
      <c r="T46" s="250">
        <f>SUM('Residential Pilots {E}'!AD$5:AD$999)</f>
        <v>0</v>
      </c>
      <c r="U46" s="124">
        <f>IFERROR(S46/Q46,0)</f>
        <v>0</v>
      </c>
      <c r="V46" s="124">
        <f>IFERROR(((S46*1.1)+(T46))/R46,0)</f>
        <v>0</v>
      </c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  <c r="PF46" s="146"/>
      <c r="PG46" s="146"/>
      <c r="PH46" s="146"/>
      <c r="PI46" s="146"/>
    </row>
    <row r="47" spans="1:425" s="93" customFormat="1" x14ac:dyDescent="0.25">
      <c r="A47" s="125"/>
      <c r="B47" s="163" t="s">
        <v>301</v>
      </c>
      <c r="C47" s="138" t="s">
        <v>400</v>
      </c>
      <c r="D47" s="97"/>
      <c r="E47" s="160"/>
      <c r="F47" s="161">
        <v>0</v>
      </c>
      <c r="G47" s="151" t="s">
        <v>366</v>
      </c>
      <c r="H47" s="256">
        <f>'Commercial Pilots {E}'!A10</f>
        <v>0</v>
      </c>
      <c r="I47" s="256">
        <f>'Commercial Pilots {E}'!A$8</f>
        <v>0</v>
      </c>
      <c r="J47" s="256">
        <f>'Commercial Pilots {E}'!A$12</f>
        <v>0</v>
      </c>
      <c r="K47" s="256">
        <f>'Commercial Pilots {E}'!A$14</f>
        <v>0</v>
      </c>
      <c r="L47" s="256">
        <f>SUM('Commercial Pilots {E}'!Q$5:Q$998)</f>
        <v>0</v>
      </c>
      <c r="M47" s="164"/>
      <c r="N47" s="251">
        <f>'Commercial Pilots {E}'!A$18</f>
        <v>0</v>
      </c>
      <c r="O47" s="250">
        <f>'Commercial Pilots {E}'!A$20</f>
        <v>0</v>
      </c>
      <c r="P47" s="250">
        <f>SUM('Commercial Pilots {E}'!R$5:R$1000)</f>
        <v>0</v>
      </c>
      <c r="Q47" s="260">
        <f>N47/(1+ElecDiscountRate)^1</f>
        <v>0</v>
      </c>
      <c r="R47" s="260">
        <f>O47/(1+ElecDiscountRate)^1</f>
        <v>0</v>
      </c>
      <c r="S47" s="250">
        <f>SUM('Commercial Pilots {E}'!AM$5:AM$1000)</f>
        <v>0</v>
      </c>
      <c r="T47" s="250">
        <f>SUM('Commercial Pilots {E}'!AD$5:AD$1000)</f>
        <v>0</v>
      </c>
      <c r="U47" s="124">
        <f>IFERROR(S47/Q47,0)</f>
        <v>0</v>
      </c>
      <c r="V47" s="124">
        <f>IFERROR(((S47*1.1)+(T47))/R47,0)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425" s="93" customFormat="1" x14ac:dyDescent="0.25">
      <c r="A48" s="125"/>
      <c r="B48" s="140" t="s">
        <v>401</v>
      </c>
      <c r="C48" s="140"/>
      <c r="D48" s="140"/>
      <c r="E48" s="141"/>
      <c r="F48" s="142"/>
      <c r="G48" s="143"/>
      <c r="H48" s="144">
        <f t="shared" ref="H48:T48" si="26">SUM(H46:H47)</f>
        <v>0</v>
      </c>
      <c r="I48" s="144">
        <f t="shared" si="26"/>
        <v>10920.4</v>
      </c>
      <c r="J48" s="144">
        <f t="shared" si="26"/>
        <v>0</v>
      </c>
      <c r="K48" s="144">
        <f t="shared" si="26"/>
        <v>69.989999999999995</v>
      </c>
      <c r="L48" s="144">
        <f t="shared" si="26"/>
        <v>69.989999999999995</v>
      </c>
      <c r="M48" s="144">
        <f t="shared" si="26"/>
        <v>0</v>
      </c>
      <c r="N48" s="144">
        <f t="shared" si="26"/>
        <v>10920.4</v>
      </c>
      <c r="O48" s="144">
        <f t="shared" si="26"/>
        <v>10990.39</v>
      </c>
      <c r="P48" s="144">
        <f t="shared" si="26"/>
        <v>0</v>
      </c>
      <c r="Q48" s="144">
        <f t="shared" si="26"/>
        <v>10225.0936329588</v>
      </c>
      <c r="R48" s="144">
        <f t="shared" si="26"/>
        <v>10290.627340823969</v>
      </c>
      <c r="S48" s="144">
        <f t="shared" si="26"/>
        <v>0</v>
      </c>
      <c r="T48" s="144">
        <f t="shared" si="26"/>
        <v>0</v>
      </c>
      <c r="U48" s="159">
        <f>S48/Q48</f>
        <v>0</v>
      </c>
      <c r="V48" s="159">
        <f>((S48*1.1)+(T48))/R48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</row>
    <row r="49" spans="1:425" s="167" customFormat="1" x14ac:dyDescent="0.25">
      <c r="A49" s="93"/>
      <c r="B49" s="121" t="s">
        <v>402</v>
      </c>
      <c r="C49" s="165" t="s">
        <v>403</v>
      </c>
      <c r="D49" s="165"/>
      <c r="E49" s="160">
        <f>F49*(H49/$H$75)</f>
        <v>8.8415516128061075E-2</v>
      </c>
      <c r="F49" s="135">
        <f>'Residential Lighting {E}'!A$16</f>
        <v>1</v>
      </c>
      <c r="G49" s="151" t="s">
        <v>404</v>
      </c>
      <c r="H49" s="249">
        <f>'NEEA {E}'!A10</f>
        <v>35698422</v>
      </c>
      <c r="I49" s="250">
        <f>'NEEA {E}'!A$8</f>
        <v>9715288</v>
      </c>
      <c r="J49" s="250">
        <f>'NEEA {E}'!A$12</f>
        <v>0</v>
      </c>
      <c r="K49" s="250">
        <f>'NEEA {E}'!A$14</f>
        <v>0</v>
      </c>
      <c r="L49" s="250">
        <f>SUM('NEEA {E}'!Q$5:Q$1000)</f>
        <v>0</v>
      </c>
      <c r="M49" s="250"/>
      <c r="N49" s="251">
        <f>'NEEA {E}'!A$18</f>
        <v>9715288</v>
      </c>
      <c r="O49" s="250">
        <f>SUM(I49:K49)</f>
        <v>9715288</v>
      </c>
      <c r="P49" s="250">
        <f>SUM('NEEA {E}'!R$5:R$1000)</f>
        <v>0</v>
      </c>
      <c r="Q49" s="252">
        <f>N49/(1+ElecDiscountRate)^1</f>
        <v>9096711.6104868911</v>
      </c>
      <c r="R49" s="252">
        <f>O49/(1+ElecDiscountRate)^1</f>
        <v>9096711.6104868911</v>
      </c>
      <c r="S49" s="250">
        <f>SUM('NEEA {E}'!AM$5:AM$1000)</f>
        <v>20055244.619641874</v>
      </c>
      <c r="T49" s="250">
        <f>SUM('NEEA {E}'!AD$5:AD$1000)</f>
        <v>0</v>
      </c>
      <c r="U49" s="124">
        <f>IFERROR(S49/Q49,0)</f>
        <v>2.2046697178485624</v>
      </c>
      <c r="V49" s="124">
        <f>IFERROR(((S49*1.1)+(T49))/R49,0)</f>
        <v>2.4251366896334186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425" s="167" customFormat="1" x14ac:dyDescent="0.25">
      <c r="A50" s="93"/>
      <c r="B50" s="121" t="s">
        <v>92</v>
      </c>
      <c r="C50" s="166" t="s">
        <v>405</v>
      </c>
      <c r="D50" s="166"/>
      <c r="E50" s="160">
        <f>F50*(H50/$H$75)</f>
        <v>0.65965348735996754</v>
      </c>
      <c r="F50" s="135">
        <f>'T&amp;D {E}'!A$16</f>
        <v>15</v>
      </c>
      <c r="G50" s="151" t="s">
        <v>404</v>
      </c>
      <c r="H50" s="249">
        <f>'T&amp;D {E}'!A$10</f>
        <v>17756000</v>
      </c>
      <c r="I50" s="250">
        <f>'T&amp;D {E}'!A$8</f>
        <v>0</v>
      </c>
      <c r="J50" s="250">
        <f>'T&amp;D {E}'!A$12</f>
        <v>0</v>
      </c>
      <c r="K50" s="250">
        <f>'T&amp;D {E}'!A$14</f>
        <v>0</v>
      </c>
      <c r="L50" s="250">
        <f>SUM('T&amp;D {E}'!Q$5:Q$1000)</f>
        <v>0</v>
      </c>
      <c r="M50" s="250"/>
      <c r="N50" s="251">
        <f>'T&amp;D {E}'!A$18</f>
        <v>0</v>
      </c>
      <c r="O50" s="250">
        <f>SUM(I50:K50)</f>
        <v>0</v>
      </c>
      <c r="P50" s="250">
        <f>SUM('T&amp;D {E}'!R$5:R$1000)</f>
        <v>0</v>
      </c>
      <c r="Q50" s="252">
        <f>N50/(1+ElecDiscountRate)^1</f>
        <v>0</v>
      </c>
      <c r="R50" s="252">
        <f>O50/(1+ElecDiscountRate)^1</f>
        <v>0</v>
      </c>
      <c r="S50" s="250">
        <f>SUM('T&amp;D {E}'!AM$5:AM$1000)</f>
        <v>23565361.496736281</v>
      </c>
      <c r="T50" s="250">
        <f>SUM('T&amp;D {E}'!AD$5:AD$1000)</f>
        <v>0</v>
      </c>
      <c r="U50" s="124">
        <f>IFERROR(S50/Q50,0)</f>
        <v>0</v>
      </c>
      <c r="V50" s="124">
        <f>IFERROR(((S50*1.1)+(T50))/R50,0)</f>
        <v>0</v>
      </c>
      <c r="W50" s="97"/>
      <c r="X50" s="97">
        <v>18230134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425" s="93" customFormat="1" x14ac:dyDescent="0.25">
      <c r="B51" s="163" t="s">
        <v>163</v>
      </c>
      <c r="C51" s="166" t="s">
        <v>406</v>
      </c>
      <c r="D51" s="166"/>
      <c r="E51" s="160"/>
      <c r="F51" s="135" t="e">
        <f>'TDSM {E}'!A$16</f>
        <v>#DIV/0!</v>
      </c>
      <c r="G51" s="151" t="s">
        <v>404</v>
      </c>
      <c r="H51" s="249">
        <f>'TDSM {E}'!A$10</f>
        <v>0</v>
      </c>
      <c r="I51" s="250">
        <f>'TDSM {E}'!A$8</f>
        <v>1047084</v>
      </c>
      <c r="J51" s="250">
        <f>'TDSM {E}'!A$12</f>
        <v>120000</v>
      </c>
      <c r="K51" s="250">
        <v>0</v>
      </c>
      <c r="L51" s="250">
        <v>0</v>
      </c>
      <c r="M51" s="250"/>
      <c r="N51" s="251">
        <f>'TDSM {E}'!A$18</f>
        <v>1167084</v>
      </c>
      <c r="O51" s="250">
        <f>SUM(I51:K51)</f>
        <v>1167084</v>
      </c>
      <c r="P51" s="250">
        <v>0</v>
      </c>
      <c r="Q51" s="257">
        <v>0</v>
      </c>
      <c r="R51" s="252">
        <f>O51/(1+ElecDiscountRate)^1</f>
        <v>1092775.2808988763</v>
      </c>
      <c r="S51" s="250">
        <f>SUM('TDSM {E}'!AM$5:AM$1000)</f>
        <v>0</v>
      </c>
      <c r="T51" s="250">
        <v>0</v>
      </c>
      <c r="U51" s="124">
        <f>IFERROR(S51/Q51,0)</f>
        <v>0</v>
      </c>
      <c r="V51" s="124">
        <f>IFERROR(((S51*1.1)+(T51))/R51,0)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425" s="93" customFormat="1" x14ac:dyDescent="0.25">
      <c r="B52" s="168" t="s">
        <v>407</v>
      </c>
      <c r="C52" s="168"/>
      <c r="D52" s="168"/>
      <c r="E52" s="168"/>
      <c r="F52" s="169"/>
      <c r="G52" s="170"/>
      <c r="H52" s="171">
        <f t="shared" ref="H52:T52" si="27">SUM(H49:H51)</f>
        <v>53454422</v>
      </c>
      <c r="I52" s="171">
        <f t="shared" si="27"/>
        <v>10762372</v>
      </c>
      <c r="J52" s="171">
        <f t="shared" si="27"/>
        <v>120000</v>
      </c>
      <c r="K52" s="171">
        <f t="shared" si="27"/>
        <v>0</v>
      </c>
      <c r="L52" s="171">
        <f t="shared" si="27"/>
        <v>0</v>
      </c>
      <c r="M52" s="171">
        <f t="shared" si="27"/>
        <v>0</v>
      </c>
      <c r="N52" s="171">
        <f t="shared" si="27"/>
        <v>10882372</v>
      </c>
      <c r="O52" s="171">
        <f t="shared" si="27"/>
        <v>10882372</v>
      </c>
      <c r="P52" s="171">
        <f t="shared" si="27"/>
        <v>0</v>
      </c>
      <c r="Q52" s="171">
        <f t="shared" si="27"/>
        <v>9096711.6104868911</v>
      </c>
      <c r="R52" s="171">
        <f t="shared" si="27"/>
        <v>10189486.891385768</v>
      </c>
      <c r="S52" s="171">
        <f t="shared" si="27"/>
        <v>43620606.116378158</v>
      </c>
      <c r="T52" s="171">
        <f t="shared" si="27"/>
        <v>0</v>
      </c>
      <c r="U52" s="172">
        <f>S52/Q52</f>
        <v>4.7952060023636847</v>
      </c>
      <c r="V52" s="172">
        <f>((S52*1.1)+(T52))/R52</f>
        <v>4.7090366020864813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425" s="93" customFormat="1" x14ac:dyDescent="0.25">
      <c r="B53" s="173"/>
      <c r="C53" s="174" t="s">
        <v>408</v>
      </c>
      <c r="D53" s="174"/>
      <c r="E53" s="175"/>
      <c r="F53" s="175"/>
      <c r="G53" s="176"/>
      <c r="H53" s="232"/>
      <c r="I53" s="233"/>
      <c r="J53" s="234"/>
      <c r="K53" s="177"/>
      <c r="L53" s="177"/>
      <c r="M53" s="177"/>
      <c r="N53" s="178"/>
      <c r="O53" s="178"/>
      <c r="P53" s="178"/>
      <c r="Q53" s="178"/>
      <c r="R53" s="178"/>
      <c r="S53" s="179"/>
      <c r="T53" s="180"/>
      <c r="U53" s="181"/>
      <c r="V53" s="181"/>
      <c r="W53" s="97"/>
      <c r="X53" s="97">
        <v>18230745</v>
      </c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425" s="93" customFormat="1" x14ac:dyDescent="0.25">
      <c r="B54" s="182"/>
      <c r="C54" s="183" t="s">
        <v>409</v>
      </c>
      <c r="D54" s="182">
        <v>18230745</v>
      </c>
      <c r="E54" s="182"/>
      <c r="F54" s="182"/>
      <c r="G54" s="184"/>
      <c r="H54" s="182"/>
      <c r="I54" s="185">
        <f>SUMIF('Program Costs'!D:D,D54,'Program Costs'!N:N)</f>
        <v>2195253.6</v>
      </c>
      <c r="J54" s="185"/>
      <c r="K54" s="182"/>
      <c r="L54" s="182"/>
      <c r="M54" s="182"/>
      <c r="N54" s="185">
        <f>I54</f>
        <v>2195253.6</v>
      </c>
      <c r="O54" s="185">
        <f>I54</f>
        <v>2195253.6</v>
      </c>
      <c r="P54" s="186"/>
      <c r="Q54" s="187">
        <f t="shared" ref="Q54:R56" si="28">N54/(1+ElecDiscountRate)^1</f>
        <v>2055480.8988764044</v>
      </c>
      <c r="R54" s="187">
        <f t="shared" si="28"/>
        <v>2055480.8988764044</v>
      </c>
      <c r="S54" s="182"/>
      <c r="T54" s="188"/>
      <c r="U54" s="182"/>
      <c r="V54" s="189"/>
      <c r="W54" s="97"/>
      <c r="X54" s="97">
        <v>18230507</v>
      </c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</row>
    <row r="55" spans="1:425" s="93" customFormat="1" x14ac:dyDescent="0.25">
      <c r="B55" s="182"/>
      <c r="C55" s="190" t="s">
        <v>410</v>
      </c>
      <c r="D55" s="191">
        <v>18230507</v>
      </c>
      <c r="E55" s="192"/>
      <c r="F55" s="192"/>
      <c r="G55" s="193"/>
      <c r="H55" s="194"/>
      <c r="I55" s="185">
        <f>SUMIF('Program Costs'!D:D,D55,'Program Costs'!N:N)</f>
        <v>2300747</v>
      </c>
      <c r="J55" s="185"/>
      <c r="K55" s="195"/>
      <c r="L55" s="195"/>
      <c r="M55" s="195"/>
      <c r="N55" s="185">
        <f t="shared" ref="N55:N66" si="29">I55</f>
        <v>2300747</v>
      </c>
      <c r="O55" s="185">
        <f t="shared" ref="O55:O66" si="30">I55</f>
        <v>2300747</v>
      </c>
      <c r="P55" s="196"/>
      <c r="Q55" s="187">
        <f t="shared" si="28"/>
        <v>2154257.490636704</v>
      </c>
      <c r="R55" s="187">
        <f t="shared" si="28"/>
        <v>2154257.490636704</v>
      </c>
      <c r="S55" s="197"/>
      <c r="T55" s="197"/>
      <c r="U55" s="198"/>
      <c r="V55" s="198"/>
      <c r="W55" s="97"/>
      <c r="X55" s="97">
        <v>18230418</v>
      </c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425" s="93" customFormat="1" x14ac:dyDescent="0.25">
      <c r="B56" s="182"/>
      <c r="C56" s="199" t="s">
        <v>411</v>
      </c>
      <c r="D56" s="200">
        <v>18230418</v>
      </c>
      <c r="E56" s="192"/>
      <c r="F56" s="192"/>
      <c r="G56" s="193"/>
      <c r="H56" s="194"/>
      <c r="I56" s="185">
        <f>SUMIF('Program Costs'!D:D,D56,'Program Costs'!N:N)</f>
        <v>2285133.2999999998</v>
      </c>
      <c r="J56" s="185"/>
      <c r="K56" s="195"/>
      <c r="L56" s="195"/>
      <c r="M56" s="195"/>
      <c r="N56" s="185">
        <f t="shared" si="29"/>
        <v>2285133.2999999998</v>
      </c>
      <c r="O56" s="185">
        <f t="shared" si="30"/>
        <v>2285133.2999999998</v>
      </c>
      <c r="P56" s="187"/>
      <c r="Q56" s="187">
        <f t="shared" si="28"/>
        <v>2139637.9213483143</v>
      </c>
      <c r="R56" s="187">
        <f t="shared" si="28"/>
        <v>2139637.9213483143</v>
      </c>
      <c r="S56" s="197"/>
      <c r="T56" s="197"/>
      <c r="U56" s="198"/>
      <c r="V56" s="198"/>
      <c r="W56" s="97"/>
      <c r="X56" s="97">
        <v>18230810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425" s="205" customFormat="1" x14ac:dyDescent="0.25">
      <c r="A57" s="201"/>
      <c r="B57" s="182"/>
      <c r="C57" s="183" t="s">
        <v>412</v>
      </c>
      <c r="D57" s="182">
        <v>18230810</v>
      </c>
      <c r="E57" s="182"/>
      <c r="F57" s="182"/>
      <c r="G57" s="182"/>
      <c r="H57" s="182"/>
      <c r="I57" s="185">
        <f>SUMIF('Program Costs'!D:D,D57,'Program Costs'!N:N)</f>
        <v>2582821.2000000002</v>
      </c>
      <c r="J57" s="185"/>
      <c r="K57" s="182"/>
      <c r="L57" s="182"/>
      <c r="M57" s="182"/>
      <c r="N57" s="185">
        <f t="shared" si="29"/>
        <v>2582821.2000000002</v>
      </c>
      <c r="O57" s="185">
        <f t="shared" si="30"/>
        <v>2582821.2000000002</v>
      </c>
      <c r="P57" s="186"/>
      <c r="Q57" s="187">
        <f t="shared" ref="Q57:R59" si="31">N57/(1+ElecDiscountRate)^1</f>
        <v>2418371.9101123596</v>
      </c>
      <c r="R57" s="187">
        <f t="shared" si="31"/>
        <v>2418371.9101123596</v>
      </c>
      <c r="S57" s="182"/>
      <c r="T57" s="188"/>
      <c r="U57" s="182"/>
      <c r="V57" s="189"/>
      <c r="W57" s="97"/>
      <c r="X57" s="97">
        <v>18230730</v>
      </c>
      <c r="Y57" s="97"/>
      <c r="Z57" s="97"/>
      <c r="AA57" s="97"/>
      <c r="AB57" s="97"/>
      <c r="AC57" s="97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</row>
    <row r="58" spans="1:425" s="93" customFormat="1" x14ac:dyDescent="0.25">
      <c r="B58" s="182"/>
      <c r="C58" s="202" t="s">
        <v>413</v>
      </c>
      <c r="D58" s="203">
        <v>18230730</v>
      </c>
      <c r="E58" s="182"/>
      <c r="F58" s="182"/>
      <c r="G58" s="182"/>
      <c r="H58" s="182"/>
      <c r="I58" s="185">
        <f>SUMIF('Program Costs'!D:D,D58,'Program Costs'!N:N)</f>
        <v>348000</v>
      </c>
      <c r="J58" s="185"/>
      <c r="K58" s="182"/>
      <c r="L58" s="182"/>
      <c r="M58" s="182"/>
      <c r="N58" s="185">
        <f t="shared" si="29"/>
        <v>348000</v>
      </c>
      <c r="O58" s="185">
        <f t="shared" si="30"/>
        <v>348000</v>
      </c>
      <c r="P58" s="186"/>
      <c r="Q58" s="187">
        <f t="shared" si="31"/>
        <v>325842.69662921346</v>
      </c>
      <c r="R58" s="187">
        <f t="shared" si="31"/>
        <v>325842.69662921346</v>
      </c>
      <c r="S58" s="182"/>
      <c r="T58" s="188"/>
      <c r="U58" s="182"/>
      <c r="V58" s="189"/>
      <c r="W58" s="97"/>
      <c r="X58" s="97">
        <v>18230746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425" s="93" customFormat="1" x14ac:dyDescent="0.25">
      <c r="B59" s="182"/>
      <c r="C59" s="202" t="s">
        <v>414</v>
      </c>
      <c r="D59" s="203">
        <v>18230746</v>
      </c>
      <c r="E59" s="182"/>
      <c r="F59" s="182"/>
      <c r="G59" s="182"/>
      <c r="H59" s="182"/>
      <c r="I59" s="185">
        <f>SUMIF('Program Costs'!D:D,D59,'Program Costs'!N:N)</f>
        <v>-21220</v>
      </c>
      <c r="J59" s="185"/>
      <c r="K59" s="182"/>
      <c r="L59" s="182"/>
      <c r="M59" s="182"/>
      <c r="N59" s="185">
        <f t="shared" si="29"/>
        <v>-21220</v>
      </c>
      <c r="O59" s="185">
        <f t="shared" si="30"/>
        <v>-21220</v>
      </c>
      <c r="P59" s="186"/>
      <c r="Q59" s="187">
        <f t="shared" si="31"/>
        <v>-19868.913857677901</v>
      </c>
      <c r="R59" s="187">
        <f t="shared" si="31"/>
        <v>-19868.913857677901</v>
      </c>
      <c r="S59" s="182"/>
      <c r="T59" s="188"/>
      <c r="U59" s="182"/>
      <c r="V59" s="189"/>
      <c r="W59" s="97"/>
      <c r="X59" s="97">
        <v>18230411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425" s="93" customFormat="1" x14ac:dyDescent="0.25">
      <c r="B60" s="182"/>
      <c r="C60" s="202" t="s">
        <v>415</v>
      </c>
      <c r="D60" s="203">
        <v>18230411</v>
      </c>
      <c r="E60" s="182"/>
      <c r="F60" s="182"/>
      <c r="G60" s="182"/>
      <c r="H60" s="182"/>
      <c r="I60" s="185">
        <f>SUMIF('Program Costs'!D:D,D60,'Program Costs'!N:N)</f>
        <v>3044692</v>
      </c>
      <c r="J60" s="185"/>
      <c r="K60" s="182"/>
      <c r="L60" s="182"/>
      <c r="M60" s="182"/>
      <c r="N60" s="185">
        <f t="shared" si="29"/>
        <v>3044692</v>
      </c>
      <c r="O60" s="185">
        <f t="shared" si="30"/>
        <v>3044692</v>
      </c>
      <c r="P60" s="186"/>
      <c r="Q60" s="187">
        <f t="shared" ref="Q60:Q66" si="32">N60/(1+ElecDiscountRate)^1</f>
        <v>2850835.2059925091</v>
      </c>
      <c r="R60" s="187">
        <f t="shared" ref="R60:R66" si="33">O60/(1+ElecDiscountRate)^1</f>
        <v>2850835.2059925091</v>
      </c>
      <c r="S60" s="182"/>
      <c r="T60" s="188"/>
      <c r="U60" s="182"/>
      <c r="V60" s="189"/>
      <c r="W60" s="97"/>
      <c r="X60" s="97">
        <v>18230610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425" s="93" customFormat="1" x14ac:dyDescent="0.25">
      <c r="A61" s="125"/>
      <c r="B61" s="182"/>
      <c r="C61" s="206" t="s">
        <v>416</v>
      </c>
      <c r="D61" s="207">
        <v>18230610</v>
      </c>
      <c r="E61" s="192"/>
      <c r="F61" s="192"/>
      <c r="G61" s="193"/>
      <c r="H61" s="194"/>
      <c r="I61" s="185">
        <f>SUMIF('Program Costs'!D:D,D61,'Program Costs'!N:N)</f>
        <v>3192601.6</v>
      </c>
      <c r="J61" s="185"/>
      <c r="K61" s="195"/>
      <c r="L61" s="195"/>
      <c r="M61" s="195"/>
      <c r="N61" s="185">
        <f t="shared" si="29"/>
        <v>3192601.6</v>
      </c>
      <c r="O61" s="185">
        <f t="shared" si="30"/>
        <v>3192601.6</v>
      </c>
      <c r="P61" s="187"/>
      <c r="Q61" s="187">
        <f t="shared" si="32"/>
        <v>2989327.3408239698</v>
      </c>
      <c r="R61" s="187">
        <f t="shared" si="33"/>
        <v>2989327.3408239698</v>
      </c>
      <c r="S61" s="197"/>
      <c r="T61" s="197"/>
      <c r="U61" s="198"/>
      <c r="V61" s="198"/>
      <c r="W61" s="97"/>
      <c r="X61" s="97">
        <v>18230811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425" s="93" customFormat="1" x14ac:dyDescent="0.25">
      <c r="A62" s="125"/>
      <c r="B62" s="182"/>
      <c r="C62" s="206" t="s">
        <v>794</v>
      </c>
      <c r="D62" s="207">
        <v>18239999</v>
      </c>
      <c r="E62" s="192"/>
      <c r="F62" s="192"/>
      <c r="G62" s="193"/>
      <c r="H62" s="194"/>
      <c r="I62" s="185">
        <f>SUMIF('Program Costs'!D:D,D62,'Program Costs'!N:N)</f>
        <v>87270</v>
      </c>
      <c r="J62" s="185"/>
      <c r="K62" s="195"/>
      <c r="L62" s="195"/>
      <c r="M62" s="195"/>
      <c r="N62" s="185">
        <f t="shared" ref="N62" si="34">I62</f>
        <v>87270</v>
      </c>
      <c r="O62" s="185">
        <f t="shared" ref="O62" si="35">I62</f>
        <v>87270</v>
      </c>
      <c r="P62" s="187"/>
      <c r="Q62" s="187">
        <f t="shared" ref="Q62" si="36">N62/(1+ElecDiscountRate)^1</f>
        <v>81713.483146067418</v>
      </c>
      <c r="R62" s="187">
        <f t="shared" ref="R62" si="37">O62/(1+ElecDiscountRate)^1</f>
        <v>81713.483146067418</v>
      </c>
      <c r="S62" s="197"/>
      <c r="T62" s="197"/>
      <c r="U62" s="198"/>
      <c r="V62" s="198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425" s="93" customFormat="1" x14ac:dyDescent="0.25">
      <c r="B63" s="182"/>
      <c r="C63" s="183" t="s">
        <v>417</v>
      </c>
      <c r="D63" s="182">
        <v>18230811</v>
      </c>
      <c r="E63" s="182"/>
      <c r="F63" s="182"/>
      <c r="G63" s="182"/>
      <c r="H63" s="182"/>
      <c r="I63" s="185">
        <f>SUMIF('Program Costs'!D:D,D63,'Program Costs'!N:N)</f>
        <v>2626817</v>
      </c>
      <c r="J63" s="185"/>
      <c r="K63" s="182"/>
      <c r="L63" s="182"/>
      <c r="M63" s="182"/>
      <c r="N63" s="185">
        <f t="shared" si="29"/>
        <v>2626817</v>
      </c>
      <c r="O63" s="185">
        <f t="shared" si="30"/>
        <v>2626817</v>
      </c>
      <c r="P63" s="186"/>
      <c r="Q63" s="187">
        <f t="shared" si="32"/>
        <v>2459566.4794007489</v>
      </c>
      <c r="R63" s="187">
        <f t="shared" si="33"/>
        <v>2459566.4794007489</v>
      </c>
      <c r="S63" s="182"/>
      <c r="T63" s="188"/>
      <c r="U63" s="182"/>
      <c r="V63" s="189"/>
      <c r="W63" s="97"/>
      <c r="X63" s="97">
        <v>18230508</v>
      </c>
      <c r="Y63" s="97">
        <v>18230408</v>
      </c>
      <c r="Z63" s="97">
        <v>18230400</v>
      </c>
      <c r="AA63" s="97">
        <v>18230509</v>
      </c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425" s="93" customFormat="1" x14ac:dyDescent="0.25">
      <c r="B64" s="182"/>
      <c r="C64" s="206" t="s">
        <v>418</v>
      </c>
      <c r="D64" s="208"/>
      <c r="E64" s="192"/>
      <c r="F64" s="192"/>
      <c r="G64" s="193"/>
      <c r="H64" s="194"/>
      <c r="I64" s="185">
        <f>SUMIF('Program Costs'!D:D,X63,'Program Costs'!N:N)+SUMIF('Program Costs'!D:D,Y63,'Program Costs'!N:N)+SUMIF('Program Costs'!D:D,Z63,'Program Costs'!N:N)+SUMIF('Program Costs'!D:D,AA63,'Program Costs'!N:N)</f>
        <v>3380658.0200000005</v>
      </c>
      <c r="J64" s="185"/>
      <c r="K64" s="195"/>
      <c r="L64" s="195"/>
      <c r="M64" s="195"/>
      <c r="N64" s="185">
        <f t="shared" si="29"/>
        <v>3380658.0200000005</v>
      </c>
      <c r="O64" s="185">
        <f t="shared" si="30"/>
        <v>3380658.0200000005</v>
      </c>
      <c r="P64" s="187"/>
      <c r="Q64" s="187">
        <f t="shared" si="32"/>
        <v>3165410.1310861427</v>
      </c>
      <c r="R64" s="187">
        <f t="shared" si="33"/>
        <v>3165410.1310861427</v>
      </c>
      <c r="S64" s="197"/>
      <c r="T64" s="197"/>
      <c r="U64" s="198"/>
      <c r="V64" s="198"/>
      <c r="W64" s="97"/>
      <c r="X64" s="97">
        <v>18230466</v>
      </c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</row>
    <row r="65" spans="1:425" s="93" customFormat="1" x14ac:dyDescent="0.25">
      <c r="B65" s="182"/>
      <c r="C65" s="183" t="s">
        <v>419</v>
      </c>
      <c r="D65" s="182">
        <v>18230466</v>
      </c>
      <c r="E65" s="192"/>
      <c r="F65" s="192"/>
      <c r="G65" s="193"/>
      <c r="H65" s="194"/>
      <c r="I65" s="185">
        <f>SUMIF('Program Costs'!D:D,D65,'Program Costs'!N:N)</f>
        <v>4370753.5</v>
      </c>
      <c r="J65" s="185"/>
      <c r="K65" s="209"/>
      <c r="L65" s="209"/>
      <c r="M65" s="209"/>
      <c r="N65" s="185">
        <f t="shared" si="29"/>
        <v>4370753.5</v>
      </c>
      <c r="O65" s="185">
        <f t="shared" si="30"/>
        <v>4370753.5</v>
      </c>
      <c r="P65" s="210"/>
      <c r="Q65" s="187">
        <f t="shared" si="32"/>
        <v>4092465.823970037</v>
      </c>
      <c r="R65" s="187">
        <f t="shared" si="33"/>
        <v>4092465.823970037</v>
      </c>
      <c r="S65" s="210"/>
      <c r="T65" s="185"/>
      <c r="U65" s="198"/>
      <c r="V65" s="198"/>
      <c r="W65" s="97"/>
      <c r="X65" s="97">
        <v>18230487</v>
      </c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</row>
    <row r="66" spans="1:425" s="93" customFormat="1" x14ac:dyDescent="0.25">
      <c r="B66" s="182"/>
      <c r="C66" s="206" t="s">
        <v>420</v>
      </c>
      <c r="D66" s="207">
        <v>18230487</v>
      </c>
      <c r="E66" s="192"/>
      <c r="F66" s="192"/>
      <c r="G66" s="193"/>
      <c r="H66" s="194"/>
      <c r="I66" s="185">
        <f>SUMIF('Program Costs'!D:D,D66,'Program Costs'!N:N)</f>
        <v>1059424.8</v>
      </c>
      <c r="J66" s="185"/>
      <c r="K66" s="195"/>
      <c r="L66" s="195"/>
      <c r="M66" s="195"/>
      <c r="N66" s="185">
        <f t="shared" si="29"/>
        <v>1059424.8</v>
      </c>
      <c r="O66" s="185">
        <f t="shared" si="30"/>
        <v>1059424.8</v>
      </c>
      <c r="P66" s="187"/>
      <c r="Q66" s="187">
        <f t="shared" si="32"/>
        <v>991970.78651685396</v>
      </c>
      <c r="R66" s="187">
        <f t="shared" si="33"/>
        <v>991970.78651685396</v>
      </c>
      <c r="S66" s="197"/>
      <c r="T66" s="197"/>
      <c r="U66" s="198"/>
      <c r="V66" s="198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425" s="93" customFormat="1" x14ac:dyDescent="0.25">
      <c r="B67" s="128"/>
      <c r="C67" s="128" t="s">
        <v>421</v>
      </c>
      <c r="D67" s="128"/>
      <c r="E67" s="128"/>
      <c r="F67" s="128"/>
      <c r="G67" s="128"/>
      <c r="H67" s="128">
        <f>SUM(H61:H66)</f>
        <v>0</v>
      </c>
      <c r="I67" s="211">
        <f>SUM(I54:I66)</f>
        <v>27452952.02</v>
      </c>
      <c r="J67" s="128">
        <f>SUM(J54:J66)</f>
        <v>0</v>
      </c>
      <c r="K67" s="128">
        <f>SUM(K61:K66)</f>
        <v>0</v>
      </c>
      <c r="L67" s="128">
        <f>SUM(L61:L66)</f>
        <v>0</v>
      </c>
      <c r="M67" s="128">
        <f>SUM(M61:M66)</f>
        <v>0</v>
      </c>
      <c r="N67" s="212">
        <f>SUM(N54:N66)</f>
        <v>27452952.02</v>
      </c>
      <c r="O67" s="212">
        <f>SUM(O54:O66)</f>
        <v>27452952.02</v>
      </c>
      <c r="P67" s="212">
        <f>SUM(P54:P66)</f>
        <v>0</v>
      </c>
      <c r="Q67" s="212">
        <f>SUM(Q54:Q66)</f>
        <v>25705011.254681651</v>
      </c>
      <c r="R67" s="212">
        <f>SUM(R54:R66)</f>
        <v>25705011.254681651</v>
      </c>
      <c r="S67" s="128">
        <f>SUM(S61:S66)</f>
        <v>0</v>
      </c>
      <c r="T67" s="128">
        <f>SUM(T61:T66)</f>
        <v>0</v>
      </c>
      <c r="U67" s="128"/>
      <c r="V67" s="128"/>
      <c r="W67" s="97"/>
      <c r="X67" s="97">
        <v>18230809</v>
      </c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425" s="93" customFormat="1" x14ac:dyDescent="0.25">
      <c r="A68" s="125"/>
      <c r="B68" s="182"/>
      <c r="C68" s="199" t="s">
        <v>422</v>
      </c>
      <c r="D68" s="200">
        <v>18230809</v>
      </c>
      <c r="E68" s="192"/>
      <c r="F68" s="192"/>
      <c r="G68" s="193"/>
      <c r="H68" s="194"/>
      <c r="I68" s="185">
        <f>SUMIF('Program Costs'!D:D,D68,'Program Costs'!N:N)</f>
        <v>1160742.6000000001</v>
      </c>
      <c r="J68" s="185"/>
      <c r="K68" s="195"/>
      <c r="L68" s="195"/>
      <c r="M68" s="195"/>
      <c r="N68" s="213">
        <f>I68</f>
        <v>1160742.6000000001</v>
      </c>
      <c r="O68" s="213">
        <f>I68</f>
        <v>1160742.6000000001</v>
      </c>
      <c r="P68" s="187"/>
      <c r="Q68" s="187">
        <f t="shared" ref="Q68:R74" si="38">N68/(1+ElecDiscountRate)^1</f>
        <v>1086837.6404494382</v>
      </c>
      <c r="R68" s="187">
        <f t="shared" si="38"/>
        <v>1086837.6404494382</v>
      </c>
      <c r="S68" s="197"/>
      <c r="T68" s="197"/>
      <c r="U68" s="198"/>
      <c r="V68" s="198"/>
      <c r="W68" s="97"/>
      <c r="X68" s="97">
        <v>18230469</v>
      </c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</row>
    <row r="69" spans="1:425" s="167" customFormat="1" x14ac:dyDescent="0.25">
      <c r="A69" s="93"/>
      <c r="B69" s="182"/>
      <c r="C69" s="199" t="s">
        <v>423</v>
      </c>
      <c r="D69" s="200">
        <v>18230469</v>
      </c>
      <c r="E69" s="192"/>
      <c r="F69" s="192"/>
      <c r="G69" s="193"/>
      <c r="H69" s="194"/>
      <c r="I69" s="185">
        <f>SUMIF('Program Costs'!D:D,D69,'Program Costs'!N:N)</f>
        <v>1319970.7</v>
      </c>
      <c r="J69" s="185"/>
      <c r="K69" s="195"/>
      <c r="L69" s="195"/>
      <c r="M69" s="195"/>
      <c r="N69" s="213">
        <f>I69</f>
        <v>1319970.7</v>
      </c>
      <c r="O69" s="213">
        <f>I69</f>
        <v>1319970.7</v>
      </c>
      <c r="P69" s="187"/>
      <c r="Q69" s="187">
        <f t="shared" si="38"/>
        <v>1235927.6217228463</v>
      </c>
      <c r="R69" s="187">
        <f t="shared" si="38"/>
        <v>1235927.6217228463</v>
      </c>
      <c r="S69" s="197"/>
      <c r="T69" s="197"/>
      <c r="U69" s="198"/>
      <c r="V69" s="198"/>
      <c r="W69" s="97"/>
      <c r="X69" s="97">
        <v>18230413</v>
      </c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</row>
    <row r="70" spans="1:425" s="215" customFormat="1" ht="14.1" customHeight="1" x14ac:dyDescent="0.25">
      <c r="A70" s="93"/>
      <c r="B70" s="182"/>
      <c r="C70" s="199" t="s">
        <v>424</v>
      </c>
      <c r="D70" s="200">
        <v>18230413</v>
      </c>
      <c r="E70" s="192"/>
      <c r="F70" s="192"/>
      <c r="G70" s="193"/>
      <c r="H70" s="194"/>
      <c r="I70" s="185">
        <f>SUMIF('Program Costs'!D:D,D70,'Program Costs'!N:N)</f>
        <v>341050</v>
      </c>
      <c r="J70" s="185"/>
      <c r="K70" s="195"/>
      <c r="L70" s="195"/>
      <c r="M70" s="195"/>
      <c r="N70" s="213">
        <f>I70</f>
        <v>341050</v>
      </c>
      <c r="O70" s="213">
        <f>I70</f>
        <v>341050</v>
      </c>
      <c r="P70" s="187"/>
      <c r="Q70" s="187">
        <f t="shared" si="38"/>
        <v>319335.20599250932</v>
      </c>
      <c r="R70" s="187">
        <f t="shared" si="38"/>
        <v>319335.20599250932</v>
      </c>
      <c r="S70" s="197"/>
      <c r="T70" s="197"/>
      <c r="U70" s="198"/>
      <c r="V70" s="198"/>
      <c r="W70" s="97"/>
      <c r="X70" s="97">
        <v>18230802</v>
      </c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</row>
    <row r="71" spans="1:425" s="215" customFormat="1" ht="14.1" customHeight="1" x14ac:dyDescent="0.25">
      <c r="A71" s="93"/>
      <c r="B71" s="182"/>
      <c r="C71" s="199" t="s">
        <v>425</v>
      </c>
      <c r="D71" s="200">
        <v>18230802</v>
      </c>
      <c r="E71" s="192"/>
      <c r="F71" s="192"/>
      <c r="G71" s="193"/>
      <c r="H71" s="194"/>
      <c r="I71" s="185">
        <f>SUMIF('Program Costs'!D:D,D71,'Program Costs'!N:N)</f>
        <v>4128485.6</v>
      </c>
      <c r="J71" s="185"/>
      <c r="K71" s="195"/>
      <c r="L71" s="195"/>
      <c r="M71" s="195"/>
      <c r="N71" s="213">
        <f>I71</f>
        <v>4128485.6</v>
      </c>
      <c r="O71" s="213">
        <f>I71</f>
        <v>4128485.6</v>
      </c>
      <c r="P71" s="187"/>
      <c r="Q71" s="187">
        <f t="shared" si="38"/>
        <v>3865623.2209737827</v>
      </c>
      <c r="R71" s="187">
        <f t="shared" si="38"/>
        <v>3865623.2209737827</v>
      </c>
      <c r="S71" s="197"/>
      <c r="T71" s="197"/>
      <c r="U71" s="198"/>
      <c r="V71" s="198"/>
      <c r="W71" s="97"/>
      <c r="X71" s="97">
        <v>18230624</v>
      </c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</row>
    <row r="72" spans="1:425" s="220" customFormat="1" x14ac:dyDescent="0.25">
      <c r="A72" s="216"/>
      <c r="B72" s="182"/>
      <c r="C72" s="199" t="s">
        <v>426</v>
      </c>
      <c r="D72" s="200">
        <v>18230559</v>
      </c>
      <c r="E72" s="192"/>
      <c r="F72" s="192"/>
      <c r="G72" s="193"/>
      <c r="H72" s="194"/>
      <c r="I72" s="185">
        <f>SUMIF('Program Costs'!D:D,D72,'Program Costs'!N:N)</f>
        <v>286000</v>
      </c>
      <c r="J72" s="185"/>
      <c r="K72" s="195"/>
      <c r="L72" s="195"/>
      <c r="M72" s="195"/>
      <c r="N72" s="213">
        <f>I72</f>
        <v>286000</v>
      </c>
      <c r="O72" s="213">
        <f>I72</f>
        <v>286000</v>
      </c>
      <c r="P72" s="187"/>
      <c r="Q72" s="187">
        <f t="shared" si="38"/>
        <v>267790.26217228465</v>
      </c>
      <c r="R72" s="187">
        <f t="shared" si="38"/>
        <v>267790.26217228465</v>
      </c>
      <c r="S72" s="197"/>
      <c r="T72" s="197"/>
      <c r="U72" s="198"/>
      <c r="V72" s="198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</row>
    <row r="73" spans="1:425" s="220" customFormat="1" x14ac:dyDescent="0.25">
      <c r="A73" s="216"/>
      <c r="B73" s="182"/>
      <c r="C73" s="199" t="s">
        <v>2023</v>
      </c>
      <c r="D73" s="200">
        <v>18230511</v>
      </c>
      <c r="E73" s="192"/>
      <c r="F73" s="192"/>
      <c r="G73" s="193"/>
      <c r="H73" s="194"/>
      <c r="I73" s="185">
        <f>SUMIF('Program Costs'!D:D,D73,'Program Costs'!N:N)</f>
        <v>150000</v>
      </c>
      <c r="J73" s="185"/>
      <c r="K73" s="195"/>
      <c r="L73" s="195"/>
      <c r="M73" s="195"/>
      <c r="N73" s="213">
        <f>I73</f>
        <v>150000</v>
      </c>
      <c r="O73" s="213">
        <f>I73</f>
        <v>150000</v>
      </c>
      <c r="P73" s="187"/>
      <c r="Q73" s="187">
        <f t="shared" ref="Q73" si="39">N73/(1+ElecDiscountRate)^1</f>
        <v>140449.43820224717</v>
      </c>
      <c r="R73" s="187">
        <f t="shared" ref="R73" si="40">O73/(1+ElecDiscountRate)^1</f>
        <v>140449.43820224717</v>
      </c>
      <c r="S73" s="197"/>
      <c r="T73" s="197"/>
      <c r="U73" s="198"/>
      <c r="V73" s="198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</row>
    <row r="74" spans="1:425" s="231" customFormat="1" x14ac:dyDescent="0.25">
      <c r="A74" s="221"/>
      <c r="B74" s="217"/>
      <c r="C74" s="217" t="s">
        <v>427</v>
      </c>
      <c r="D74" s="217"/>
      <c r="E74" s="217"/>
      <c r="F74" s="217"/>
      <c r="G74" s="217"/>
      <c r="H74" s="217">
        <f t="shared" ref="H74:P74" si="41">SUM(H68:H72)</f>
        <v>0</v>
      </c>
      <c r="I74" s="218">
        <f>SUM(I68:I73)</f>
        <v>7386248.9000000004</v>
      </c>
      <c r="J74" s="218">
        <f t="shared" ref="J74:V74" si="42">SUM(J68:J73)</f>
        <v>0</v>
      </c>
      <c r="K74" s="218">
        <f t="shared" si="42"/>
        <v>0</v>
      </c>
      <c r="L74" s="218">
        <f t="shared" si="42"/>
        <v>0</v>
      </c>
      <c r="M74" s="218">
        <f t="shared" si="42"/>
        <v>0</v>
      </c>
      <c r="N74" s="218">
        <f t="shared" si="42"/>
        <v>7386248.9000000004</v>
      </c>
      <c r="O74" s="218">
        <f t="shared" si="42"/>
        <v>7386248.9000000004</v>
      </c>
      <c r="P74" s="218">
        <f t="shared" si="42"/>
        <v>0</v>
      </c>
      <c r="Q74" s="218">
        <f t="shared" si="42"/>
        <v>6915963.3895131079</v>
      </c>
      <c r="R74" s="218">
        <f t="shared" si="42"/>
        <v>6915963.3895131079</v>
      </c>
      <c r="S74" s="218"/>
      <c r="T74" s="218"/>
      <c r="U74" s="218"/>
      <c r="V74" s="218"/>
      <c r="W74" s="97"/>
      <c r="X74" s="97"/>
      <c r="Y74" s="97"/>
      <c r="Z74" s="97"/>
      <c r="AA74" s="97"/>
      <c r="AB74" s="97"/>
      <c r="AC74" s="97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  <c r="HX74" s="230"/>
      <c r="HY74" s="230"/>
      <c r="HZ74" s="230"/>
      <c r="IA74" s="230"/>
      <c r="IB74" s="230"/>
      <c r="IC74" s="230"/>
      <c r="ID74" s="230"/>
      <c r="IE74" s="230"/>
      <c r="IF74" s="230"/>
      <c r="IG74" s="230"/>
      <c r="IH74" s="230"/>
      <c r="II74" s="230"/>
      <c r="IJ74" s="230"/>
      <c r="IK74" s="230"/>
      <c r="IL74" s="230"/>
      <c r="IM74" s="230"/>
      <c r="IN74" s="230"/>
      <c r="IO74" s="230"/>
      <c r="IP74" s="230"/>
      <c r="IQ74" s="230"/>
      <c r="IR74" s="230"/>
      <c r="IS74" s="230"/>
      <c r="IT74" s="230"/>
      <c r="IU74" s="230"/>
      <c r="IV74" s="230"/>
      <c r="IW74" s="230"/>
      <c r="IX74" s="230"/>
      <c r="IY74" s="230"/>
      <c r="IZ74" s="230"/>
      <c r="JA74" s="230"/>
      <c r="JB74" s="230"/>
      <c r="JC74" s="230"/>
      <c r="JD74" s="230"/>
      <c r="JE74" s="230"/>
      <c r="JF74" s="230"/>
      <c r="JG74" s="230"/>
      <c r="JH74" s="230"/>
      <c r="JI74" s="230"/>
      <c r="JJ74" s="230"/>
      <c r="JK74" s="230"/>
      <c r="JL74" s="230"/>
      <c r="JM74" s="230"/>
      <c r="JN74" s="230"/>
      <c r="JO74" s="230"/>
      <c r="JP74" s="230"/>
      <c r="JQ74" s="230"/>
      <c r="JR74" s="230"/>
      <c r="JS74" s="230"/>
      <c r="JT74" s="230"/>
      <c r="JU74" s="230"/>
      <c r="JV74" s="230"/>
      <c r="JW74" s="230"/>
      <c r="JX74" s="230"/>
      <c r="JY74" s="230"/>
      <c r="JZ74" s="230"/>
      <c r="KA74" s="230"/>
      <c r="KB74" s="230"/>
      <c r="KC74" s="230"/>
      <c r="KD74" s="230"/>
      <c r="KE74" s="230"/>
      <c r="KF74" s="230"/>
      <c r="KG74" s="230"/>
      <c r="KH74" s="230"/>
      <c r="KI74" s="230"/>
      <c r="KJ74" s="230"/>
      <c r="KK74" s="230"/>
      <c r="KL74" s="230"/>
      <c r="KM74" s="230"/>
      <c r="KN74" s="230"/>
      <c r="KO74" s="230"/>
      <c r="KP74" s="230"/>
      <c r="KQ74" s="230"/>
      <c r="KR74" s="230"/>
      <c r="KS74" s="230"/>
      <c r="KT74" s="230"/>
      <c r="KU74" s="230"/>
      <c r="KV74" s="230"/>
      <c r="KW74" s="230"/>
      <c r="KX74" s="230"/>
      <c r="KY74" s="230"/>
      <c r="KZ74" s="230"/>
      <c r="LA74" s="230"/>
      <c r="LB74" s="230"/>
      <c r="LC74" s="230"/>
      <c r="LD74" s="230"/>
      <c r="LE74" s="230"/>
      <c r="LF74" s="230"/>
      <c r="LG74" s="230"/>
      <c r="LH74" s="230"/>
      <c r="LI74" s="230"/>
      <c r="LJ74" s="230"/>
      <c r="LK74" s="230"/>
      <c r="LL74" s="230"/>
      <c r="LM74" s="230"/>
      <c r="LN74" s="230"/>
      <c r="LO74" s="230"/>
      <c r="LP74" s="230"/>
      <c r="LQ74" s="230"/>
      <c r="LR74" s="230"/>
      <c r="LS74" s="230"/>
      <c r="LT74" s="230"/>
      <c r="LU74" s="230"/>
      <c r="LV74" s="230"/>
      <c r="LW74" s="230"/>
      <c r="LX74" s="230"/>
      <c r="LY74" s="230"/>
      <c r="LZ74" s="230"/>
      <c r="MA74" s="230"/>
      <c r="MB74" s="230"/>
      <c r="MC74" s="230"/>
      <c r="MD74" s="230"/>
      <c r="ME74" s="230"/>
      <c r="MF74" s="230"/>
      <c r="MG74" s="230"/>
      <c r="MH74" s="230"/>
      <c r="MI74" s="230"/>
      <c r="MJ74" s="230"/>
      <c r="MK74" s="230"/>
      <c r="ML74" s="230"/>
      <c r="MM74" s="230"/>
      <c r="MN74" s="230"/>
      <c r="MO74" s="230"/>
      <c r="MP74" s="230"/>
      <c r="MQ74" s="230"/>
      <c r="MR74" s="230"/>
      <c r="MS74" s="230"/>
      <c r="MT74" s="230"/>
      <c r="MU74" s="230"/>
      <c r="MV74" s="230"/>
      <c r="MW74" s="230"/>
      <c r="MX74" s="230"/>
      <c r="MY74" s="230"/>
      <c r="MZ74" s="230"/>
      <c r="NA74" s="230"/>
      <c r="NB74" s="230"/>
      <c r="NC74" s="230"/>
      <c r="ND74" s="230"/>
      <c r="NE74" s="230"/>
      <c r="NF74" s="230"/>
      <c r="NG74" s="230"/>
      <c r="NH74" s="230"/>
      <c r="NI74" s="230"/>
      <c r="NJ74" s="230"/>
      <c r="NK74" s="230"/>
      <c r="NL74" s="230"/>
      <c r="NM74" s="230"/>
      <c r="NN74" s="230"/>
      <c r="NO74" s="230"/>
      <c r="NP74" s="230"/>
      <c r="NQ74" s="230"/>
      <c r="NR74" s="230"/>
      <c r="NS74" s="230"/>
      <c r="NT74" s="230"/>
      <c r="NU74" s="230"/>
      <c r="NV74" s="230"/>
      <c r="NW74" s="230"/>
      <c r="NX74" s="230"/>
      <c r="NY74" s="230"/>
      <c r="NZ74" s="230"/>
      <c r="OA74" s="230"/>
      <c r="OB74" s="230"/>
      <c r="OC74" s="230"/>
      <c r="OD74" s="230"/>
      <c r="OE74" s="230"/>
      <c r="OF74" s="230"/>
      <c r="OG74" s="230"/>
      <c r="OH74" s="230"/>
      <c r="OI74" s="230"/>
      <c r="OJ74" s="230"/>
      <c r="OK74" s="230"/>
      <c r="OL74" s="230"/>
      <c r="OM74" s="230"/>
      <c r="ON74" s="230"/>
      <c r="OO74" s="230"/>
      <c r="OP74" s="230"/>
      <c r="OQ74" s="230"/>
      <c r="OR74" s="230"/>
      <c r="OS74" s="230"/>
      <c r="OT74" s="230"/>
      <c r="OU74" s="230"/>
      <c r="OV74" s="230"/>
      <c r="OW74" s="230"/>
      <c r="OX74" s="230"/>
      <c r="OY74" s="230"/>
      <c r="OZ74" s="230"/>
      <c r="PA74" s="230"/>
      <c r="PB74" s="230"/>
      <c r="PC74" s="230"/>
      <c r="PD74" s="230"/>
      <c r="PE74" s="230"/>
      <c r="PF74" s="230"/>
      <c r="PG74" s="230"/>
      <c r="PH74" s="230"/>
      <c r="PI74" s="230"/>
    </row>
    <row r="75" spans="1:425" s="93" customFormat="1" x14ac:dyDescent="0.25">
      <c r="B75" s="222" t="s">
        <v>428</v>
      </c>
      <c r="C75" s="223"/>
      <c r="D75" s="223"/>
      <c r="E75" s="223"/>
      <c r="F75" s="224"/>
      <c r="G75" s="225"/>
      <c r="H75" s="226">
        <f>SUM(H24,H45,H48,H52,H67,H74)</f>
        <v>403757434.93138003</v>
      </c>
      <c r="I75" s="226">
        <f t="shared" ref="I75:O75" si="43">I74+I67+I52+I45+I24+I48</f>
        <v>92246774.420000017</v>
      </c>
      <c r="J75" s="227">
        <f t="shared" si="43"/>
        <v>112596617.17</v>
      </c>
      <c r="K75" s="227">
        <f t="shared" si="43"/>
        <v>75485639.17812492</v>
      </c>
      <c r="L75" s="227">
        <f t="shared" si="43"/>
        <v>188349841.34812492</v>
      </c>
      <c r="M75" s="227">
        <f t="shared" si="43"/>
        <v>0</v>
      </c>
      <c r="N75" s="227">
        <f t="shared" si="43"/>
        <v>205343401.59</v>
      </c>
      <c r="O75" s="227">
        <f t="shared" si="43"/>
        <v>280716615.76812488</v>
      </c>
      <c r="P75" s="227"/>
      <c r="Q75" s="227">
        <f>Q74+Q67+Q52+Q45+Q24+Q48</f>
        <v>191176327.33146065</v>
      </c>
      <c r="R75" s="227">
        <f>R74+R67+R52+R45+R24+R48</f>
        <v>262843273.19112816</v>
      </c>
      <c r="S75" s="226">
        <f>S74+S67+S52+S45+S24+S48</f>
        <v>405463666.52697283</v>
      </c>
      <c r="T75" s="228">
        <f>T74+T67+T52+T45+T24+T48</f>
        <v>8963438.1006804202</v>
      </c>
      <c r="U75" s="229">
        <f>S75/Q75</f>
        <v>2.1208884603373606</v>
      </c>
      <c r="V75" s="229">
        <f>((S75*1.1)+(T75))/R75</f>
        <v>1.7309686710129868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</row>
    <row r="76" spans="1:425" s="238" customFormat="1" x14ac:dyDescent="0.25">
      <c r="A76" s="93"/>
      <c r="B76" s="173"/>
      <c r="C76" s="174" t="s">
        <v>429</v>
      </c>
      <c r="D76" s="174"/>
      <c r="E76" s="175"/>
      <c r="F76" s="175"/>
      <c r="G76" s="176"/>
      <c r="H76" s="232"/>
      <c r="I76" s="233"/>
      <c r="J76" s="234"/>
      <c r="K76" s="177"/>
      <c r="L76" s="177"/>
      <c r="M76" s="177"/>
      <c r="N76" s="235"/>
      <c r="O76" s="178"/>
      <c r="P76" s="178"/>
      <c r="Q76" s="178"/>
      <c r="R76" s="178"/>
      <c r="S76" s="179"/>
      <c r="T76" s="180"/>
      <c r="U76" s="181"/>
      <c r="V76" s="181"/>
      <c r="W76" s="97"/>
      <c r="X76" s="97">
        <v>18230128</v>
      </c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</row>
    <row r="77" spans="1:425" x14ac:dyDescent="0.25">
      <c r="B77" s="182"/>
      <c r="C77" s="236" t="s">
        <v>430</v>
      </c>
      <c r="D77" s="97">
        <v>18230128</v>
      </c>
      <c r="E77" s="236"/>
      <c r="F77" s="192"/>
      <c r="G77" s="193"/>
      <c r="H77" s="194"/>
      <c r="I77" s="185">
        <f>SUMIF('Program Costs'!D:D,D77,'Program Costs'!N:N)</f>
        <v>8440235</v>
      </c>
      <c r="J77" s="195"/>
      <c r="K77" s="195"/>
      <c r="L77" s="195" t="s">
        <v>298</v>
      </c>
      <c r="M77" s="195"/>
      <c r="N77" s="214">
        <f>I77</f>
        <v>8440235</v>
      </c>
      <c r="O77" s="214">
        <f>I77</f>
        <v>8440235</v>
      </c>
      <c r="P77" s="187">
        <v>0</v>
      </c>
      <c r="Q77" s="187">
        <f t="shared" ref="Q77:R79" si="44">N77/(1+ElecDiscountRate)^1</f>
        <v>7902841.7602996249</v>
      </c>
      <c r="R77" s="187">
        <f t="shared" si="44"/>
        <v>7902841.7602996249</v>
      </c>
      <c r="S77" s="237"/>
      <c r="T77" s="197"/>
      <c r="U77" s="198"/>
      <c r="V77" s="198"/>
      <c r="W77" s="97"/>
      <c r="X77" s="97">
        <v>18230133</v>
      </c>
      <c r="Y77" s="97"/>
      <c r="Z77" s="97"/>
      <c r="AA77" s="97"/>
      <c r="AB77" s="97"/>
      <c r="AC77" s="97"/>
    </row>
    <row r="78" spans="1:425" ht="15.75" x14ac:dyDescent="0.25">
      <c r="A78" s="240"/>
      <c r="B78" s="182"/>
      <c r="C78" s="236" t="s">
        <v>431</v>
      </c>
      <c r="D78" s="97">
        <v>18230566</v>
      </c>
      <c r="E78" s="236"/>
      <c r="F78" s="192"/>
      <c r="G78" s="193"/>
      <c r="H78" s="194"/>
      <c r="I78" s="185">
        <f>SUMIF('Program Costs'!D:D,D78,'Program Costs'!N:N)</f>
        <v>740000</v>
      </c>
      <c r="J78" s="195"/>
      <c r="K78" s="195"/>
      <c r="L78" s="195"/>
      <c r="M78" s="195"/>
      <c r="N78" s="214">
        <f>I78</f>
        <v>740000</v>
      </c>
      <c r="O78" s="214">
        <f>I78</f>
        <v>740000</v>
      </c>
      <c r="P78" s="187"/>
      <c r="Q78" s="187">
        <f t="shared" si="44"/>
        <v>692883.89513108612</v>
      </c>
      <c r="R78" s="187">
        <f t="shared" si="44"/>
        <v>692883.89513108612</v>
      </c>
      <c r="S78" s="237"/>
      <c r="T78" s="197"/>
      <c r="U78" s="198"/>
      <c r="V78" s="198"/>
      <c r="W78" s="97"/>
      <c r="X78" s="97"/>
      <c r="Y78" s="97"/>
      <c r="Z78" s="97"/>
      <c r="AA78" s="97"/>
      <c r="AB78" s="97"/>
      <c r="AC78" s="97"/>
    </row>
    <row r="79" spans="1:425" ht="15.75" x14ac:dyDescent="0.25">
      <c r="A79" s="509"/>
      <c r="B79" s="510"/>
      <c r="C79" s="511" t="s">
        <v>791</v>
      </c>
      <c r="D79" s="97">
        <v>18230753</v>
      </c>
      <c r="E79" s="511"/>
      <c r="F79" s="512"/>
      <c r="G79" s="513"/>
      <c r="H79" s="514"/>
      <c r="I79" s="185">
        <f>SUMIF('Program Costs'!D:D,D79,'Program Costs'!N:N)</f>
        <v>10231690</v>
      </c>
      <c r="J79" s="515"/>
      <c r="K79" s="515"/>
      <c r="L79" s="515"/>
      <c r="M79" s="515"/>
      <c r="N79" s="214">
        <f>I79</f>
        <v>10231690</v>
      </c>
      <c r="O79" s="214">
        <f>I79</f>
        <v>10231690</v>
      </c>
      <c r="P79" s="187"/>
      <c r="Q79" s="187">
        <f t="shared" si="44"/>
        <v>9580234.0823970027</v>
      </c>
      <c r="R79" s="187">
        <f t="shared" si="44"/>
        <v>9580234.0823970027</v>
      </c>
      <c r="S79" s="516"/>
      <c r="T79" s="517"/>
      <c r="U79" s="518"/>
      <c r="V79" s="518"/>
      <c r="W79" s="97"/>
      <c r="X79" s="97"/>
      <c r="Y79" s="97"/>
      <c r="Z79" s="97"/>
      <c r="AA79" s="97"/>
      <c r="AB79" s="97"/>
      <c r="AC79" s="97"/>
    </row>
    <row r="80" spans="1:425" x14ac:dyDescent="0.25">
      <c r="B80" s="217"/>
      <c r="C80" s="217" t="s">
        <v>432</v>
      </c>
      <c r="D80" s="217"/>
      <c r="E80" s="217"/>
      <c r="F80" s="217"/>
      <c r="G80" s="217"/>
      <c r="H80" s="217"/>
      <c r="I80" s="218">
        <f>SUM(I77:I79)</f>
        <v>19411925</v>
      </c>
      <c r="J80" s="519">
        <f>SUM(J77:J79)</f>
        <v>0</v>
      </c>
      <c r="K80" s="217">
        <f>SUM(K77)</f>
        <v>0</v>
      </c>
      <c r="L80" s="217">
        <f>SUM(L77)</f>
        <v>0</v>
      </c>
      <c r="M80" s="217">
        <f>SUM(M77)</f>
        <v>0</v>
      </c>
      <c r="N80" s="219">
        <f>SUM(N77:N79)</f>
        <v>19411925</v>
      </c>
      <c r="O80" s="219">
        <f>SUM(O77:O79)</f>
        <v>19411925</v>
      </c>
      <c r="P80" s="219">
        <f>SUM(P77:P77)</f>
        <v>0</v>
      </c>
      <c r="Q80" s="219">
        <f>SUM(Q77:Q79)</f>
        <v>18175959.737827715</v>
      </c>
      <c r="R80" s="219">
        <f>SUM(R77:R79)</f>
        <v>18175959.737827715</v>
      </c>
      <c r="S80" s="217">
        <f>SUM(S77)</f>
        <v>0</v>
      </c>
      <c r="T80" s="217">
        <f>SUM(T77)</f>
        <v>0</v>
      </c>
      <c r="U80" s="217"/>
      <c r="V80" s="217"/>
      <c r="W80" s="97"/>
      <c r="X80" s="97"/>
      <c r="Y80" s="97"/>
      <c r="Z80" s="97"/>
      <c r="AA80" s="97"/>
      <c r="AB80" s="97"/>
      <c r="AC80" s="97"/>
    </row>
    <row r="81" spans="6:148" x14ac:dyDescent="0.25">
      <c r="H81" s="241"/>
      <c r="N81" s="243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6:148" x14ac:dyDescent="0.25">
      <c r="J82" s="245"/>
      <c r="T82" s="97"/>
      <c r="U82" s="97"/>
      <c r="V82" s="97"/>
    </row>
    <row r="83" spans="6:148" x14ac:dyDescent="0.25">
      <c r="T83" s="97"/>
      <c r="U83" s="97"/>
      <c r="V83" s="97"/>
    </row>
    <row r="84" spans="6:148" ht="24" customHeight="1" x14ac:dyDescent="0.25">
      <c r="T84" s="97"/>
      <c r="U84" s="97"/>
      <c r="V84" s="97"/>
    </row>
    <row r="85" spans="6:148" x14ac:dyDescent="0.25">
      <c r="T85" s="97"/>
      <c r="U85" s="97"/>
      <c r="V85" s="97"/>
    </row>
    <row r="86" spans="6:148" x14ac:dyDescent="0.25">
      <c r="T86" s="97"/>
      <c r="U86" s="97"/>
      <c r="V86" s="97"/>
    </row>
    <row r="87" spans="6:148" x14ac:dyDescent="0.25">
      <c r="T87" s="97"/>
      <c r="U87" s="97"/>
      <c r="V87" s="97"/>
      <c r="DQ87" s="239"/>
      <c r="DR87" s="239"/>
      <c r="DS87" s="239"/>
      <c r="DT87" s="239"/>
      <c r="DU87" s="239"/>
      <c r="DV87" s="239"/>
      <c r="DW87" s="239"/>
      <c r="DX87" s="239"/>
      <c r="DY87" s="239"/>
      <c r="DZ87" s="239"/>
      <c r="EA87" s="239"/>
      <c r="EB87" s="239"/>
      <c r="EC87" s="239"/>
      <c r="ED87" s="239"/>
      <c r="EE87" s="239"/>
      <c r="EF87" s="239"/>
      <c r="EG87" s="239"/>
      <c r="EH87" s="239"/>
      <c r="EI87" s="239"/>
      <c r="EJ87" s="239"/>
      <c r="EK87" s="239"/>
      <c r="EL87" s="239"/>
      <c r="EM87" s="239"/>
      <c r="EN87" s="239"/>
      <c r="EO87" s="239"/>
      <c r="EP87" s="239"/>
      <c r="EQ87" s="239"/>
      <c r="ER87" s="239"/>
    </row>
    <row r="88" spans="6:148" x14ac:dyDescent="0.25">
      <c r="T88" s="97"/>
      <c r="U88" s="97"/>
      <c r="V88" s="97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39"/>
      <c r="EB88" s="239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</row>
    <row r="89" spans="6:148" x14ac:dyDescent="0.25">
      <c r="F89" s="93"/>
      <c r="G89" s="93"/>
      <c r="H89" s="93"/>
      <c r="I89" s="93"/>
      <c r="K89" s="93"/>
      <c r="L89" s="93"/>
      <c r="M89" s="93"/>
      <c r="N89" s="93"/>
      <c r="O89" s="93"/>
      <c r="P89" s="93"/>
      <c r="V89" s="93"/>
      <c r="DQ89" s="239"/>
      <c r="DR89" s="239"/>
      <c r="DS89" s="239"/>
      <c r="DT89" s="239"/>
      <c r="DU89" s="239"/>
      <c r="DV89" s="239"/>
      <c r="DW89" s="239"/>
      <c r="DX89" s="239"/>
      <c r="DY89" s="239"/>
      <c r="DZ89" s="239"/>
      <c r="EA89" s="239"/>
      <c r="EB89" s="239"/>
      <c r="EC89" s="239"/>
      <c r="ED89" s="239"/>
      <c r="EE89" s="239"/>
      <c r="EF89" s="239"/>
      <c r="EG89" s="239"/>
      <c r="EH89" s="239"/>
      <c r="EI89" s="239"/>
      <c r="EJ89" s="239"/>
      <c r="EK89" s="239"/>
      <c r="EL89" s="239"/>
      <c r="EM89" s="239"/>
      <c r="EN89" s="239"/>
      <c r="EO89" s="239"/>
      <c r="EP89" s="239"/>
      <c r="EQ89" s="239"/>
      <c r="ER89" s="239"/>
    </row>
    <row r="90" spans="6:148" x14ac:dyDescent="0.25">
      <c r="F90" s="93"/>
      <c r="G90" s="93"/>
      <c r="H90" s="93"/>
      <c r="I90" s="93"/>
      <c r="K90" s="93"/>
      <c r="L90" s="93"/>
      <c r="M90" s="93"/>
      <c r="N90" s="93"/>
      <c r="O90" s="93"/>
      <c r="P90" s="93"/>
      <c r="V90" s="93"/>
      <c r="DQ90" s="239"/>
      <c r="DR90" s="239"/>
      <c r="DS90" s="239"/>
      <c r="DT90" s="239"/>
      <c r="DU90" s="239"/>
      <c r="DV90" s="239"/>
      <c r="DW90" s="239"/>
      <c r="DX90" s="239"/>
      <c r="DY90" s="239"/>
      <c r="DZ90" s="239"/>
      <c r="EA90" s="239"/>
      <c r="EB90" s="239"/>
      <c r="EC90" s="239"/>
      <c r="ED90" s="239"/>
      <c r="EE90" s="239"/>
      <c r="EF90" s="239"/>
      <c r="EG90" s="239"/>
      <c r="EH90" s="239"/>
      <c r="EI90" s="239"/>
      <c r="EJ90" s="239"/>
      <c r="EK90" s="239"/>
      <c r="EL90" s="239"/>
      <c r="EM90" s="239"/>
      <c r="EN90" s="239"/>
      <c r="EO90" s="239"/>
      <c r="EP90" s="239"/>
      <c r="EQ90" s="239"/>
      <c r="ER90" s="239"/>
    </row>
    <row r="91" spans="6:148" x14ac:dyDescent="0.25">
      <c r="F91" s="93"/>
      <c r="G91" s="93"/>
      <c r="H91" s="93"/>
      <c r="I91" s="93"/>
      <c r="K91" s="93"/>
      <c r="L91" s="93"/>
      <c r="M91" s="93"/>
      <c r="N91" s="93"/>
      <c r="O91" s="93"/>
      <c r="P91" s="93"/>
      <c r="V91" s="93"/>
      <c r="DQ91" s="239"/>
      <c r="DR91" s="239"/>
      <c r="DS91" s="239"/>
      <c r="DT91" s="239"/>
      <c r="DU91" s="239"/>
      <c r="DV91" s="239"/>
      <c r="DW91" s="239"/>
      <c r="DX91" s="239"/>
      <c r="DY91" s="239"/>
      <c r="DZ91" s="239"/>
      <c r="EA91" s="239"/>
      <c r="EB91" s="239"/>
      <c r="EC91" s="239"/>
      <c r="ED91" s="239"/>
      <c r="EE91" s="239"/>
      <c r="EF91" s="239"/>
      <c r="EG91" s="239"/>
      <c r="EH91" s="239"/>
      <c r="EI91" s="239"/>
      <c r="EJ91" s="239"/>
      <c r="EK91" s="239"/>
      <c r="EL91" s="239"/>
      <c r="EM91" s="239"/>
      <c r="EN91" s="239"/>
      <c r="EO91" s="239"/>
      <c r="EP91" s="239"/>
      <c r="EQ91" s="239"/>
      <c r="ER91" s="239"/>
    </row>
    <row r="92" spans="6:148" x14ac:dyDescent="0.25">
      <c r="F92" s="93"/>
      <c r="G92" s="93"/>
      <c r="H92" s="93"/>
      <c r="I92" s="93"/>
      <c r="K92" s="93"/>
      <c r="L92" s="93"/>
      <c r="M92" s="93"/>
      <c r="N92" s="93"/>
      <c r="O92" s="93"/>
      <c r="P92" s="93"/>
      <c r="V92" s="93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39"/>
      <c r="EB92" s="239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</row>
    <row r="93" spans="6:148" x14ac:dyDescent="0.25">
      <c r="F93" s="93"/>
      <c r="G93" s="93"/>
      <c r="H93" s="93"/>
      <c r="I93" s="93"/>
      <c r="K93" s="93"/>
      <c r="L93" s="93"/>
      <c r="M93" s="93"/>
      <c r="N93" s="93"/>
      <c r="O93" s="93"/>
      <c r="P93" s="93"/>
      <c r="V93" s="93"/>
      <c r="DQ93" s="239"/>
      <c r="DR93" s="239"/>
      <c r="DS93" s="239"/>
      <c r="DT93" s="239"/>
      <c r="DU93" s="239"/>
      <c r="DV93" s="239"/>
      <c r="DW93" s="239"/>
      <c r="DX93" s="239"/>
      <c r="DY93" s="239"/>
      <c r="DZ93" s="239"/>
      <c r="EA93" s="239"/>
      <c r="EB93" s="239"/>
      <c r="EC93" s="239"/>
      <c r="ED93" s="239"/>
      <c r="EE93" s="239"/>
      <c r="EF93" s="239"/>
      <c r="EG93" s="239"/>
      <c r="EH93" s="239"/>
      <c r="EI93" s="239"/>
      <c r="EJ93" s="239"/>
      <c r="EK93" s="239"/>
      <c r="EL93" s="239"/>
      <c r="EM93" s="239"/>
      <c r="EN93" s="239"/>
      <c r="EO93" s="239"/>
      <c r="EP93" s="239"/>
      <c r="EQ93" s="239"/>
      <c r="ER93" s="239"/>
    </row>
    <row r="94" spans="6:148" x14ac:dyDescent="0.25">
      <c r="F94" s="93"/>
      <c r="G94" s="93"/>
      <c r="H94" s="93"/>
      <c r="I94" s="93"/>
      <c r="K94" s="93"/>
      <c r="L94" s="93"/>
      <c r="M94" s="93"/>
      <c r="N94" s="93"/>
      <c r="O94" s="93"/>
      <c r="P94" s="93"/>
      <c r="V94" s="93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</row>
    <row r="95" spans="6:148" ht="24" customHeight="1" x14ac:dyDescent="0.25">
      <c r="F95" s="93"/>
      <c r="G95" s="93"/>
      <c r="H95" s="93"/>
      <c r="I95" s="93"/>
      <c r="K95" s="93"/>
      <c r="L95" s="93"/>
      <c r="M95" s="93"/>
      <c r="N95" s="93"/>
      <c r="O95" s="93"/>
      <c r="P95" s="93"/>
      <c r="V95" s="93"/>
      <c r="DQ95" s="239"/>
      <c r="DR95" s="239"/>
      <c r="DS95" s="239"/>
      <c r="DT95" s="239"/>
      <c r="DU95" s="239"/>
      <c r="DV95" s="239"/>
      <c r="DW95" s="239"/>
      <c r="DX95" s="239"/>
      <c r="DY95" s="239"/>
      <c r="DZ95" s="239"/>
      <c r="EA95" s="239"/>
      <c r="EB95" s="239"/>
      <c r="EC95" s="239"/>
      <c r="ED95" s="239"/>
      <c r="EE95" s="239"/>
      <c r="EF95" s="239"/>
      <c r="EG95" s="239"/>
      <c r="EH95" s="239"/>
      <c r="EI95" s="239"/>
      <c r="EJ95" s="239"/>
      <c r="EK95" s="239"/>
      <c r="EL95" s="239"/>
      <c r="EM95" s="239"/>
      <c r="EN95" s="239"/>
      <c r="EO95" s="239"/>
      <c r="EP95" s="239"/>
      <c r="EQ95" s="239"/>
      <c r="ER95" s="239"/>
    </row>
    <row r="96" spans="6:148" x14ac:dyDescent="0.25">
      <c r="F96" s="93"/>
      <c r="G96" s="93"/>
      <c r="H96" s="93"/>
      <c r="I96" s="93"/>
      <c r="K96" s="93"/>
      <c r="L96" s="93"/>
      <c r="M96" s="93"/>
      <c r="N96" s="93"/>
      <c r="O96" s="93"/>
      <c r="P96" s="93"/>
      <c r="V96" s="93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39"/>
      <c r="EB96" s="239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</row>
    <row r="97" spans="6:148" x14ac:dyDescent="0.25">
      <c r="F97" s="93"/>
      <c r="G97" s="93"/>
      <c r="H97" s="93"/>
      <c r="I97" s="93"/>
      <c r="K97" s="93"/>
      <c r="L97" s="93"/>
      <c r="M97" s="93"/>
      <c r="N97" s="93"/>
      <c r="O97" s="93"/>
      <c r="P97" s="93"/>
      <c r="V97" s="93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</row>
    <row r="98" spans="6:148" x14ac:dyDescent="0.25">
      <c r="F98" s="93"/>
      <c r="G98" s="93"/>
      <c r="H98" s="93"/>
      <c r="I98" s="93"/>
      <c r="K98" s="93"/>
      <c r="L98" s="93"/>
      <c r="M98" s="93"/>
      <c r="N98" s="93"/>
      <c r="O98" s="93"/>
      <c r="P98" s="93"/>
      <c r="V98" s="93"/>
    </row>
    <row r="99" spans="6:148" x14ac:dyDescent="0.25">
      <c r="F99" s="93"/>
      <c r="G99" s="93"/>
      <c r="H99" s="93"/>
      <c r="I99" s="93"/>
      <c r="K99" s="93"/>
      <c r="L99" s="93"/>
      <c r="M99" s="93"/>
      <c r="N99" s="93"/>
      <c r="O99" s="93"/>
      <c r="P99" s="93"/>
      <c r="V99" s="93"/>
    </row>
    <row r="100" spans="6:148" x14ac:dyDescent="0.25">
      <c r="T100" s="97"/>
      <c r="U100" s="97"/>
      <c r="V100" s="97"/>
    </row>
    <row r="101" spans="6:148" x14ac:dyDescent="0.25">
      <c r="T101" s="97"/>
      <c r="U101" s="97"/>
      <c r="V101" s="97"/>
    </row>
    <row r="102" spans="6:148" x14ac:dyDescent="0.25">
      <c r="T102" s="97"/>
      <c r="U102" s="97"/>
      <c r="V102" s="97"/>
    </row>
    <row r="103" spans="6:148" x14ac:dyDescent="0.25">
      <c r="T103" s="97"/>
      <c r="U103" s="97"/>
      <c r="V103" s="97"/>
    </row>
    <row r="104" spans="6:148" x14ac:dyDescent="0.25">
      <c r="T104" s="97"/>
      <c r="U104" s="97"/>
      <c r="V104" s="97"/>
    </row>
    <row r="105" spans="6:148" x14ac:dyDescent="0.25">
      <c r="T105" s="97"/>
      <c r="U105" s="97"/>
      <c r="V105" s="97"/>
    </row>
    <row r="106" spans="6:148" ht="24" customHeight="1" x14ac:dyDescent="0.25">
      <c r="T106" s="97"/>
      <c r="U106" s="97"/>
      <c r="V106" s="97"/>
    </row>
    <row r="107" spans="6:148" x14ac:dyDescent="0.25">
      <c r="T107" s="97"/>
      <c r="U107" s="97"/>
      <c r="V107" s="97"/>
    </row>
    <row r="108" spans="6:148" x14ac:dyDescent="0.25">
      <c r="T108" s="97"/>
      <c r="U108" s="97"/>
      <c r="V108" s="97"/>
    </row>
    <row r="109" spans="6:148" x14ac:dyDescent="0.25">
      <c r="T109" s="97"/>
      <c r="U109" s="97"/>
      <c r="V109" s="97"/>
    </row>
    <row r="110" spans="6:148" x14ac:dyDescent="0.25">
      <c r="T110" s="97"/>
      <c r="U110" s="97"/>
      <c r="V110" s="97"/>
    </row>
    <row r="111" spans="6:148" x14ac:dyDescent="0.25">
      <c r="T111" s="97"/>
      <c r="U111" s="97"/>
      <c r="V111" s="97"/>
    </row>
    <row r="112" spans="6:148" x14ac:dyDescent="0.25">
      <c r="T112" s="97"/>
      <c r="U112" s="97"/>
      <c r="V112" s="97"/>
    </row>
    <row r="113" spans="20:22" x14ac:dyDescent="0.25">
      <c r="T113" s="97"/>
      <c r="U113" s="97"/>
      <c r="V113" s="97"/>
    </row>
    <row r="114" spans="20:22" x14ac:dyDescent="0.25">
      <c r="T114" s="97"/>
      <c r="U114" s="97"/>
      <c r="V114" s="97"/>
    </row>
    <row r="115" spans="20:22" x14ac:dyDescent="0.25">
      <c r="T115" s="97"/>
      <c r="U115" s="97"/>
      <c r="V115" s="97"/>
    </row>
    <row r="116" spans="20:22" x14ac:dyDescent="0.25">
      <c r="T116" s="97"/>
      <c r="U116" s="97"/>
      <c r="V116" s="97"/>
    </row>
    <row r="117" spans="20:22" ht="24" customHeight="1" x14ac:dyDescent="0.25">
      <c r="T117" s="97"/>
      <c r="U117" s="97"/>
      <c r="V117" s="97"/>
    </row>
    <row r="118" spans="20:22" x14ac:dyDescent="0.25">
      <c r="T118" s="97"/>
      <c r="U118" s="97"/>
      <c r="V118" s="97"/>
    </row>
    <row r="119" spans="20:22" x14ac:dyDescent="0.25">
      <c r="T119" s="97"/>
      <c r="U119" s="97"/>
      <c r="V119" s="97"/>
    </row>
    <row r="120" spans="20:22" x14ac:dyDescent="0.25">
      <c r="T120" s="97"/>
      <c r="U120" s="97"/>
      <c r="V120" s="97"/>
    </row>
    <row r="121" spans="20:22" x14ac:dyDescent="0.25">
      <c r="T121" s="97"/>
      <c r="U121" s="97"/>
      <c r="V121" s="97"/>
    </row>
    <row r="122" spans="20:22" x14ac:dyDescent="0.25">
      <c r="T122" s="97"/>
      <c r="U122" s="97"/>
      <c r="V122" s="97"/>
    </row>
    <row r="123" spans="20:22" x14ac:dyDescent="0.25">
      <c r="T123" s="97"/>
      <c r="U123" s="97"/>
      <c r="V123" s="97"/>
    </row>
    <row r="124" spans="20:22" x14ac:dyDescent="0.25">
      <c r="T124" s="97"/>
      <c r="U124" s="97"/>
      <c r="V124" s="97"/>
    </row>
    <row r="125" spans="20:22" x14ac:dyDescent="0.25">
      <c r="T125" s="97"/>
      <c r="U125" s="97"/>
      <c r="V125" s="97"/>
    </row>
    <row r="126" spans="20:22" x14ac:dyDescent="0.25">
      <c r="T126" s="97"/>
      <c r="U126" s="97"/>
      <c r="V126" s="97"/>
    </row>
    <row r="127" spans="20:22" x14ac:dyDescent="0.25">
      <c r="T127" s="97"/>
      <c r="U127" s="97"/>
      <c r="V127" s="97"/>
    </row>
    <row r="128" spans="20:22" ht="24" customHeight="1" x14ac:dyDescent="0.25">
      <c r="T128" s="97"/>
      <c r="U128" s="97"/>
      <c r="V128" s="97"/>
    </row>
    <row r="129" spans="20:22" x14ac:dyDescent="0.25">
      <c r="T129" s="97"/>
      <c r="U129" s="97"/>
      <c r="V129" s="97"/>
    </row>
    <row r="130" spans="20:22" x14ac:dyDescent="0.25">
      <c r="T130" s="97"/>
      <c r="U130" s="97"/>
      <c r="V130" s="97"/>
    </row>
    <row r="131" spans="20:22" x14ac:dyDescent="0.25">
      <c r="T131" s="97"/>
      <c r="U131" s="97"/>
      <c r="V131" s="97"/>
    </row>
    <row r="132" spans="20:22" x14ac:dyDescent="0.25">
      <c r="T132" s="97"/>
      <c r="U132" s="97"/>
      <c r="V132" s="97"/>
    </row>
    <row r="133" spans="20:22" x14ac:dyDescent="0.25">
      <c r="T133" s="97"/>
      <c r="U133" s="97"/>
      <c r="V133" s="97"/>
    </row>
    <row r="134" spans="20:22" x14ac:dyDescent="0.25">
      <c r="T134" s="97"/>
      <c r="U134" s="97"/>
      <c r="V134" s="97"/>
    </row>
    <row r="135" spans="20:22" x14ac:dyDescent="0.25">
      <c r="T135" s="97"/>
      <c r="U135" s="97"/>
      <c r="V135" s="97"/>
    </row>
    <row r="136" spans="20:22" x14ac:dyDescent="0.25">
      <c r="T136" s="97"/>
      <c r="U136" s="97"/>
      <c r="V136" s="97"/>
    </row>
    <row r="137" spans="20:22" x14ac:dyDescent="0.25">
      <c r="T137" s="97"/>
      <c r="U137" s="97"/>
      <c r="V137" s="97"/>
    </row>
    <row r="138" spans="20:22" x14ac:dyDescent="0.25">
      <c r="T138" s="97"/>
      <c r="U138" s="97"/>
      <c r="V138" s="97"/>
    </row>
    <row r="139" spans="20:22" ht="24" customHeight="1" x14ac:dyDescent="0.25">
      <c r="T139" s="97"/>
      <c r="U139" s="97"/>
      <c r="V139" s="97"/>
    </row>
    <row r="140" spans="20:22" x14ac:dyDescent="0.25">
      <c r="T140" s="97"/>
      <c r="U140" s="97"/>
      <c r="V140" s="97"/>
    </row>
    <row r="141" spans="20:22" x14ac:dyDescent="0.25">
      <c r="T141" s="97"/>
      <c r="U141" s="97"/>
      <c r="V141" s="97"/>
    </row>
    <row r="142" spans="20:22" x14ac:dyDescent="0.25">
      <c r="T142" s="97"/>
      <c r="U142" s="97"/>
      <c r="V142" s="97"/>
    </row>
    <row r="143" spans="20:22" x14ac:dyDescent="0.25">
      <c r="T143" s="97"/>
      <c r="U143" s="97"/>
      <c r="V143" s="97"/>
    </row>
    <row r="144" spans="20:22" x14ac:dyDescent="0.25">
      <c r="T144" s="97"/>
      <c r="U144" s="97"/>
      <c r="V144" s="97"/>
    </row>
    <row r="145" spans="20:22" x14ac:dyDescent="0.25">
      <c r="T145" s="97"/>
      <c r="U145" s="97"/>
      <c r="V145" s="97"/>
    </row>
    <row r="146" spans="20:22" x14ac:dyDescent="0.25">
      <c r="T146" s="97"/>
      <c r="U146" s="97"/>
      <c r="V146" s="97"/>
    </row>
    <row r="147" spans="20:22" x14ac:dyDescent="0.25">
      <c r="T147" s="97"/>
      <c r="U147" s="97"/>
      <c r="V147" s="97"/>
    </row>
    <row r="148" spans="20:22" x14ac:dyDescent="0.25">
      <c r="T148" s="97"/>
      <c r="U148" s="97"/>
      <c r="V148" s="97"/>
    </row>
    <row r="149" spans="20:22" x14ac:dyDescent="0.25">
      <c r="T149" s="97"/>
      <c r="U149" s="97"/>
      <c r="V149" s="97"/>
    </row>
    <row r="150" spans="20:22" ht="24" customHeight="1" x14ac:dyDescent="0.25">
      <c r="T150" s="97"/>
      <c r="U150" s="97"/>
      <c r="V150" s="97"/>
    </row>
    <row r="151" spans="20:22" x14ac:dyDescent="0.25">
      <c r="T151" s="97"/>
      <c r="U151" s="97"/>
      <c r="V151" s="97"/>
    </row>
    <row r="152" spans="20:22" x14ac:dyDescent="0.25">
      <c r="T152" s="97"/>
      <c r="U152" s="97"/>
      <c r="V152" s="97"/>
    </row>
    <row r="153" spans="20:22" x14ac:dyDescent="0.25">
      <c r="T153" s="97"/>
      <c r="U153" s="97"/>
      <c r="V153" s="97"/>
    </row>
    <row r="154" spans="20:22" x14ac:dyDescent="0.25">
      <c r="T154" s="97"/>
      <c r="U154" s="97"/>
      <c r="V154" s="97"/>
    </row>
    <row r="155" spans="20:22" x14ac:dyDescent="0.25">
      <c r="T155" s="97"/>
      <c r="U155" s="97"/>
      <c r="V155" s="97"/>
    </row>
    <row r="156" spans="20:22" x14ac:dyDescent="0.25">
      <c r="T156" s="97"/>
      <c r="U156" s="97"/>
      <c r="V156" s="97"/>
    </row>
    <row r="157" spans="20:22" x14ac:dyDescent="0.25">
      <c r="T157" s="97"/>
      <c r="U157" s="97"/>
      <c r="V157" s="97"/>
    </row>
    <row r="158" spans="20:22" x14ac:dyDescent="0.25">
      <c r="T158" s="97"/>
      <c r="U158" s="97"/>
      <c r="V158" s="97"/>
    </row>
    <row r="159" spans="20:22" x14ac:dyDescent="0.25">
      <c r="T159" s="97"/>
      <c r="U159" s="97"/>
      <c r="V159" s="97"/>
    </row>
    <row r="160" spans="20:22" x14ac:dyDescent="0.25">
      <c r="T160" s="97"/>
      <c r="U160" s="97"/>
      <c r="V160" s="97"/>
    </row>
    <row r="161" spans="20:22" ht="24" customHeight="1" x14ac:dyDescent="0.25">
      <c r="T161" s="97"/>
      <c r="U161" s="97"/>
      <c r="V161" s="97"/>
    </row>
    <row r="162" spans="20:22" x14ac:dyDescent="0.25">
      <c r="T162" s="97"/>
      <c r="U162" s="97"/>
      <c r="V162" s="97"/>
    </row>
    <row r="163" spans="20:22" x14ac:dyDescent="0.25">
      <c r="T163" s="97"/>
      <c r="U163" s="97"/>
      <c r="V163" s="97"/>
    </row>
    <row r="164" spans="20:22" x14ac:dyDescent="0.25">
      <c r="T164" s="97"/>
      <c r="U164" s="97"/>
      <c r="V164" s="97"/>
    </row>
    <row r="165" spans="20:22" x14ac:dyDescent="0.25">
      <c r="T165" s="97"/>
      <c r="U165" s="97"/>
      <c r="V165" s="97"/>
    </row>
    <row r="166" spans="20:22" x14ac:dyDescent="0.25">
      <c r="T166" s="97"/>
      <c r="U166" s="97"/>
      <c r="V166" s="97"/>
    </row>
    <row r="167" spans="20:22" x14ac:dyDescent="0.25">
      <c r="T167" s="97"/>
      <c r="U167" s="97"/>
      <c r="V167" s="97"/>
    </row>
    <row r="168" spans="20:22" x14ac:dyDescent="0.25">
      <c r="T168" s="97"/>
      <c r="U168" s="97"/>
      <c r="V168" s="97"/>
    </row>
    <row r="169" spans="20:22" x14ac:dyDescent="0.25">
      <c r="T169" s="97"/>
      <c r="U169" s="97"/>
      <c r="V169" s="97"/>
    </row>
    <row r="170" spans="20:22" x14ac:dyDescent="0.25">
      <c r="T170" s="97"/>
      <c r="U170" s="97"/>
      <c r="V170" s="97"/>
    </row>
    <row r="171" spans="20:22" x14ac:dyDescent="0.25">
      <c r="T171" s="97"/>
      <c r="U171" s="97"/>
      <c r="V171" s="97"/>
    </row>
    <row r="172" spans="20:22" ht="24" customHeight="1" x14ac:dyDescent="0.25">
      <c r="T172" s="97"/>
      <c r="U172" s="97"/>
      <c r="V172" s="97"/>
    </row>
    <row r="173" spans="20:22" x14ac:dyDescent="0.25">
      <c r="T173" s="97"/>
      <c r="U173" s="97"/>
      <c r="V173" s="97"/>
    </row>
    <row r="174" spans="20:22" x14ac:dyDescent="0.25">
      <c r="T174" s="97"/>
      <c r="U174" s="97"/>
      <c r="V174" s="97"/>
    </row>
    <row r="175" spans="20:22" x14ac:dyDescent="0.25">
      <c r="T175" s="97"/>
      <c r="U175" s="97"/>
      <c r="V175" s="97"/>
    </row>
    <row r="176" spans="20:22" x14ac:dyDescent="0.25">
      <c r="T176" s="97"/>
      <c r="U176" s="97"/>
      <c r="V176" s="97"/>
    </row>
    <row r="177" spans="20:22" x14ac:dyDescent="0.25">
      <c r="T177" s="97"/>
      <c r="U177" s="97"/>
      <c r="V177" s="97"/>
    </row>
    <row r="178" spans="20:22" x14ac:dyDescent="0.25">
      <c r="T178" s="97"/>
      <c r="U178" s="97"/>
      <c r="V178" s="97"/>
    </row>
    <row r="179" spans="20:22" x14ac:dyDescent="0.25">
      <c r="T179" s="97"/>
      <c r="U179" s="97"/>
      <c r="V179" s="97"/>
    </row>
    <row r="180" spans="20:22" x14ac:dyDescent="0.25">
      <c r="T180" s="97"/>
      <c r="U180" s="97"/>
      <c r="V180" s="97"/>
    </row>
    <row r="181" spans="20:22" x14ac:dyDescent="0.25">
      <c r="T181" s="97"/>
      <c r="U181" s="97"/>
      <c r="V181" s="97"/>
    </row>
    <row r="182" spans="20:22" x14ac:dyDescent="0.25">
      <c r="T182" s="97"/>
      <c r="U182" s="97"/>
      <c r="V182" s="97"/>
    </row>
    <row r="183" spans="20:22" ht="24" customHeight="1" x14ac:dyDescent="0.25">
      <c r="T183" s="97"/>
      <c r="U183" s="97"/>
      <c r="V183" s="97"/>
    </row>
    <row r="184" spans="20:22" x14ac:dyDescent="0.25">
      <c r="T184" s="97"/>
      <c r="U184" s="97"/>
      <c r="V184" s="97"/>
    </row>
    <row r="185" spans="20:22" x14ac:dyDescent="0.25">
      <c r="T185" s="97"/>
      <c r="U185" s="97"/>
      <c r="V185" s="97"/>
    </row>
    <row r="186" spans="20:22" x14ac:dyDescent="0.25">
      <c r="T186" s="97"/>
      <c r="U186" s="97"/>
      <c r="V186" s="97"/>
    </row>
    <row r="187" spans="20:22" x14ac:dyDescent="0.25">
      <c r="T187" s="97"/>
      <c r="U187" s="97"/>
      <c r="V187" s="97"/>
    </row>
    <row r="188" spans="20:22" x14ac:dyDescent="0.25">
      <c r="T188" s="97"/>
      <c r="U188" s="97"/>
      <c r="V188" s="97"/>
    </row>
    <row r="189" spans="20:22" x14ac:dyDescent="0.25">
      <c r="T189" s="97"/>
      <c r="U189" s="97"/>
      <c r="V189" s="97"/>
    </row>
    <row r="190" spans="20:22" x14ac:dyDescent="0.25">
      <c r="T190" s="97"/>
      <c r="U190" s="97"/>
      <c r="V190" s="97"/>
    </row>
    <row r="191" spans="20:22" x14ac:dyDescent="0.25">
      <c r="T191" s="97"/>
      <c r="U191" s="97"/>
      <c r="V191" s="97"/>
    </row>
    <row r="192" spans="20:22" x14ac:dyDescent="0.25">
      <c r="T192" s="97"/>
      <c r="U192" s="97"/>
      <c r="V192" s="97"/>
    </row>
    <row r="193" spans="20:22" x14ac:dyDescent="0.25">
      <c r="T193" s="97"/>
      <c r="U193" s="97"/>
      <c r="V193" s="97"/>
    </row>
    <row r="194" spans="20:22" ht="24" customHeight="1" x14ac:dyDescent="0.25">
      <c r="T194" s="97"/>
      <c r="U194" s="97"/>
      <c r="V194" s="97"/>
    </row>
    <row r="195" spans="20:22" x14ac:dyDescent="0.25">
      <c r="T195" s="97"/>
      <c r="U195" s="97"/>
      <c r="V195" s="97"/>
    </row>
    <row r="196" spans="20:22" x14ac:dyDescent="0.25">
      <c r="T196" s="97"/>
      <c r="U196" s="97"/>
      <c r="V196" s="97"/>
    </row>
    <row r="197" spans="20:22" x14ac:dyDescent="0.25">
      <c r="T197" s="97"/>
      <c r="U197" s="97"/>
      <c r="V197" s="97"/>
    </row>
    <row r="198" spans="20:22" x14ac:dyDescent="0.25">
      <c r="T198" s="97"/>
      <c r="U198" s="97"/>
      <c r="V198" s="97"/>
    </row>
    <row r="199" spans="20:22" x14ac:dyDescent="0.25">
      <c r="T199" s="97"/>
      <c r="U199" s="97"/>
      <c r="V199" s="97"/>
    </row>
    <row r="200" spans="20:22" x14ac:dyDescent="0.25">
      <c r="T200" s="97"/>
      <c r="U200" s="97"/>
      <c r="V200" s="97"/>
    </row>
    <row r="201" spans="20:22" x14ac:dyDescent="0.25">
      <c r="T201" s="97"/>
      <c r="U201" s="97"/>
      <c r="V201" s="97"/>
    </row>
    <row r="202" spans="20:22" x14ac:dyDescent="0.25">
      <c r="T202" s="97"/>
      <c r="U202" s="97"/>
      <c r="V202" s="97"/>
    </row>
    <row r="203" spans="20:22" x14ac:dyDescent="0.25">
      <c r="T203" s="97"/>
      <c r="U203" s="97"/>
      <c r="V203" s="97"/>
    </row>
    <row r="204" spans="20:22" x14ac:dyDescent="0.25">
      <c r="T204" s="97"/>
      <c r="U204" s="97"/>
      <c r="V204" s="97"/>
    </row>
    <row r="205" spans="20:22" ht="24" customHeight="1" x14ac:dyDescent="0.25">
      <c r="T205" s="97"/>
      <c r="U205" s="97"/>
      <c r="V205" s="97"/>
    </row>
    <row r="206" spans="20:22" x14ac:dyDescent="0.25">
      <c r="T206" s="97"/>
      <c r="U206" s="97"/>
      <c r="V206" s="97"/>
    </row>
    <row r="207" spans="20:22" x14ac:dyDescent="0.25">
      <c r="T207" s="97"/>
      <c r="U207" s="97"/>
      <c r="V207" s="97"/>
    </row>
    <row r="208" spans="20:22" x14ac:dyDescent="0.25">
      <c r="T208" s="97"/>
      <c r="U208" s="97"/>
      <c r="V208" s="97"/>
    </row>
    <row r="209" spans="20:22" x14ac:dyDescent="0.25">
      <c r="T209" s="97"/>
      <c r="U209" s="97"/>
      <c r="V209" s="97"/>
    </row>
    <row r="210" spans="20:22" x14ac:dyDescent="0.25">
      <c r="T210" s="97"/>
      <c r="U210" s="97"/>
      <c r="V210" s="97"/>
    </row>
    <row r="211" spans="20:22" x14ac:dyDescent="0.25">
      <c r="T211" s="97"/>
      <c r="U211" s="97"/>
      <c r="V211" s="97"/>
    </row>
    <row r="212" spans="20:22" x14ac:dyDescent="0.25">
      <c r="T212" s="97"/>
      <c r="U212" s="97"/>
      <c r="V212" s="97"/>
    </row>
    <row r="213" spans="20:22" x14ac:dyDescent="0.25">
      <c r="T213" s="97"/>
      <c r="U213" s="97"/>
      <c r="V213" s="97"/>
    </row>
    <row r="214" spans="20:22" x14ac:dyDescent="0.25">
      <c r="T214" s="97"/>
      <c r="U214" s="97"/>
      <c r="V214" s="97"/>
    </row>
    <row r="215" spans="20:22" x14ac:dyDescent="0.25">
      <c r="T215" s="97"/>
      <c r="U215" s="97"/>
      <c r="V215" s="97"/>
    </row>
    <row r="216" spans="20:22" ht="24" customHeight="1" x14ac:dyDescent="0.25">
      <c r="T216" s="97"/>
      <c r="U216" s="97"/>
      <c r="V216" s="97"/>
    </row>
    <row r="217" spans="20:22" x14ac:dyDescent="0.25">
      <c r="T217" s="97"/>
      <c r="U217" s="97"/>
      <c r="V217" s="97"/>
    </row>
    <row r="218" spans="20:22" x14ac:dyDescent="0.25">
      <c r="T218" s="97"/>
      <c r="U218" s="97"/>
      <c r="V218" s="97"/>
    </row>
    <row r="219" spans="20:22" x14ac:dyDescent="0.25">
      <c r="T219" s="97"/>
      <c r="U219" s="97"/>
      <c r="V219" s="97"/>
    </row>
    <row r="220" spans="20:22" x14ac:dyDescent="0.25">
      <c r="T220" s="97"/>
      <c r="U220" s="97"/>
      <c r="V220" s="97"/>
    </row>
    <row r="221" spans="20:22" x14ac:dyDescent="0.25">
      <c r="T221" s="97"/>
      <c r="U221" s="97"/>
      <c r="V221" s="97"/>
    </row>
    <row r="222" spans="20:22" x14ac:dyDescent="0.25">
      <c r="T222" s="97"/>
      <c r="U222" s="97"/>
      <c r="V222" s="97"/>
    </row>
    <row r="223" spans="20:22" x14ac:dyDescent="0.25">
      <c r="T223" s="97"/>
      <c r="U223" s="97"/>
      <c r="V223" s="97"/>
    </row>
    <row r="224" spans="20:22" x14ac:dyDescent="0.25">
      <c r="T224" s="97"/>
      <c r="U224" s="97"/>
      <c r="V224" s="97"/>
    </row>
    <row r="225" spans="20:22" x14ac:dyDescent="0.25">
      <c r="T225" s="97"/>
      <c r="U225" s="97"/>
      <c r="V225" s="97"/>
    </row>
    <row r="226" spans="20:22" x14ac:dyDescent="0.25">
      <c r="T226" s="97"/>
      <c r="U226" s="97"/>
      <c r="V226" s="97"/>
    </row>
    <row r="227" spans="20:22" ht="24" customHeight="1" x14ac:dyDescent="0.25">
      <c r="T227" s="97"/>
      <c r="U227" s="97"/>
      <c r="V227" s="97"/>
    </row>
    <row r="228" spans="20:22" x14ac:dyDescent="0.25">
      <c r="T228" s="97"/>
      <c r="U228" s="97"/>
      <c r="V228" s="97"/>
    </row>
    <row r="229" spans="20:22" x14ac:dyDescent="0.25">
      <c r="T229" s="97"/>
      <c r="U229" s="97"/>
      <c r="V229" s="97"/>
    </row>
    <row r="230" spans="20:22" x14ac:dyDescent="0.25">
      <c r="T230" s="97"/>
      <c r="U230" s="97"/>
      <c r="V230" s="97"/>
    </row>
    <row r="231" spans="20:22" x14ac:dyDescent="0.25">
      <c r="T231" s="97"/>
      <c r="U231" s="97"/>
      <c r="V231" s="97"/>
    </row>
    <row r="232" spans="20:22" x14ac:dyDescent="0.25">
      <c r="T232" s="97"/>
      <c r="U232" s="97"/>
      <c r="V232" s="97"/>
    </row>
    <row r="233" spans="20:22" x14ac:dyDescent="0.25">
      <c r="T233" s="97"/>
      <c r="U233" s="97"/>
      <c r="V233" s="97"/>
    </row>
    <row r="234" spans="20:22" x14ac:dyDescent="0.25">
      <c r="T234" s="97"/>
      <c r="U234" s="97"/>
      <c r="V234" s="97"/>
    </row>
    <row r="235" spans="20:22" x14ac:dyDescent="0.25">
      <c r="T235" s="97"/>
      <c r="U235" s="97"/>
      <c r="V235" s="97"/>
    </row>
    <row r="236" spans="20:22" x14ac:dyDescent="0.25">
      <c r="T236" s="97"/>
      <c r="U236" s="97"/>
      <c r="V236" s="97"/>
    </row>
    <row r="237" spans="20:22" x14ac:dyDescent="0.25">
      <c r="T237" s="97"/>
      <c r="U237" s="97"/>
      <c r="V237" s="97"/>
    </row>
    <row r="238" spans="20:22" ht="24" customHeight="1" x14ac:dyDescent="0.25">
      <c r="T238" s="97"/>
      <c r="U238" s="97"/>
      <c r="V238" s="97"/>
    </row>
    <row r="239" spans="20:22" x14ac:dyDescent="0.25">
      <c r="T239" s="97"/>
      <c r="U239" s="97"/>
      <c r="V239" s="97"/>
    </row>
    <row r="240" spans="20:22" x14ac:dyDescent="0.25">
      <c r="T240" s="97"/>
      <c r="U240" s="97"/>
      <c r="V240" s="97"/>
    </row>
    <row r="241" spans="20:22" x14ac:dyDescent="0.25">
      <c r="T241" s="97"/>
      <c r="U241" s="97"/>
      <c r="V241" s="97"/>
    </row>
    <row r="242" spans="20:22" x14ac:dyDescent="0.25">
      <c r="T242" s="97"/>
      <c r="U242" s="97"/>
      <c r="V242" s="97"/>
    </row>
    <row r="243" spans="20:22" x14ac:dyDescent="0.25">
      <c r="T243" s="97"/>
      <c r="U243" s="97"/>
      <c r="V243" s="97"/>
    </row>
    <row r="244" spans="20:22" x14ac:dyDescent="0.25">
      <c r="T244" s="97"/>
      <c r="U244" s="97"/>
      <c r="V244" s="97"/>
    </row>
    <row r="245" spans="20:22" x14ac:dyDescent="0.25">
      <c r="T245" s="97"/>
      <c r="U245" s="97"/>
      <c r="V245" s="97"/>
    </row>
    <row r="246" spans="20:22" x14ac:dyDescent="0.25">
      <c r="T246" s="97"/>
      <c r="U246" s="97"/>
      <c r="V246" s="97"/>
    </row>
    <row r="247" spans="20:22" x14ac:dyDescent="0.25">
      <c r="T247" s="97"/>
      <c r="U247" s="97"/>
      <c r="V247" s="97"/>
    </row>
    <row r="248" spans="20:22" x14ac:dyDescent="0.25">
      <c r="T248" s="97"/>
      <c r="U248" s="97"/>
      <c r="V248" s="97"/>
    </row>
    <row r="249" spans="20:22" ht="24" customHeight="1" x14ac:dyDescent="0.25">
      <c r="T249" s="97"/>
      <c r="U249" s="97"/>
      <c r="V249" s="97"/>
    </row>
    <row r="250" spans="20:22" x14ac:dyDescent="0.25">
      <c r="T250" s="97"/>
      <c r="U250" s="97"/>
      <c r="V250" s="97"/>
    </row>
    <row r="251" spans="20:22" x14ac:dyDescent="0.25">
      <c r="T251" s="97"/>
      <c r="U251" s="97"/>
      <c r="V251" s="97"/>
    </row>
    <row r="252" spans="20:22" x14ac:dyDescent="0.25">
      <c r="T252" s="97"/>
      <c r="U252" s="97"/>
      <c r="V252" s="97"/>
    </row>
    <row r="253" spans="20:22" x14ac:dyDescent="0.25">
      <c r="T253" s="97"/>
      <c r="U253" s="97"/>
      <c r="V253" s="97"/>
    </row>
    <row r="254" spans="20:22" x14ac:dyDescent="0.25">
      <c r="T254" s="97"/>
      <c r="U254" s="97"/>
      <c r="V254" s="97"/>
    </row>
    <row r="255" spans="20:22" x14ac:dyDescent="0.25">
      <c r="T255" s="97"/>
      <c r="U255" s="97"/>
      <c r="V255" s="97"/>
    </row>
    <row r="256" spans="20:22" x14ac:dyDescent="0.25">
      <c r="T256" s="97"/>
      <c r="U256" s="97"/>
      <c r="V256" s="97"/>
    </row>
    <row r="257" spans="20:22" x14ac:dyDescent="0.25">
      <c r="T257" s="97"/>
      <c r="U257" s="97"/>
      <c r="V257" s="97"/>
    </row>
    <row r="258" spans="20:22" x14ac:dyDescent="0.25">
      <c r="T258" s="97"/>
      <c r="U258" s="97"/>
      <c r="V258" s="97"/>
    </row>
    <row r="259" spans="20:22" x14ac:dyDescent="0.25">
      <c r="T259" s="97"/>
      <c r="U259" s="97"/>
      <c r="V259" s="97"/>
    </row>
    <row r="260" spans="20:22" ht="24" customHeight="1" x14ac:dyDescent="0.25">
      <c r="T260" s="97"/>
      <c r="U260" s="97"/>
      <c r="V260" s="97"/>
    </row>
    <row r="261" spans="20:22" x14ac:dyDescent="0.25">
      <c r="T261" s="97"/>
      <c r="U261" s="97"/>
      <c r="V261" s="97"/>
    </row>
    <row r="262" spans="20:22" x14ac:dyDescent="0.25">
      <c r="T262" s="97"/>
      <c r="U262" s="97"/>
      <c r="V262" s="97"/>
    </row>
    <row r="263" spans="20:22" x14ac:dyDescent="0.25">
      <c r="T263" s="97"/>
      <c r="U263" s="97"/>
      <c r="V263" s="97"/>
    </row>
    <row r="264" spans="20:22" x14ac:dyDescent="0.25">
      <c r="T264" s="97"/>
      <c r="U264" s="97"/>
      <c r="V264" s="97"/>
    </row>
    <row r="265" spans="20:22" x14ac:dyDescent="0.25">
      <c r="T265" s="97"/>
      <c r="U265" s="97"/>
      <c r="V265" s="97"/>
    </row>
    <row r="266" spans="20:22" x14ac:dyDescent="0.25">
      <c r="T266" s="97"/>
      <c r="U266" s="97"/>
      <c r="V266" s="97"/>
    </row>
    <row r="267" spans="20:22" x14ac:dyDescent="0.25">
      <c r="T267" s="97"/>
      <c r="U267" s="97"/>
      <c r="V267" s="97"/>
    </row>
    <row r="268" spans="20:22" x14ac:dyDescent="0.25">
      <c r="T268" s="97"/>
      <c r="U268" s="97"/>
      <c r="V268" s="97"/>
    </row>
    <row r="269" spans="20:22" x14ac:dyDescent="0.25">
      <c r="T269" s="97"/>
      <c r="U269" s="97"/>
      <c r="V269" s="97"/>
    </row>
    <row r="270" spans="20:22" x14ac:dyDescent="0.25">
      <c r="T270" s="97"/>
      <c r="U270" s="97"/>
      <c r="V270" s="97"/>
    </row>
    <row r="271" spans="20:22" x14ac:dyDescent="0.25">
      <c r="T271" s="97"/>
      <c r="U271" s="97"/>
      <c r="V271" s="97"/>
    </row>
    <row r="272" spans="20:22" x14ac:dyDescent="0.25">
      <c r="T272" s="97"/>
      <c r="U272" s="97"/>
      <c r="V272" s="97"/>
    </row>
    <row r="273" spans="20:22" x14ac:dyDescent="0.25">
      <c r="T273" s="97"/>
      <c r="U273" s="97"/>
      <c r="V273" s="97"/>
    </row>
    <row r="274" spans="20:22" x14ac:dyDescent="0.25">
      <c r="T274" s="97"/>
      <c r="U274" s="97"/>
      <c r="V274" s="97"/>
    </row>
    <row r="275" spans="20:22" x14ac:dyDescent="0.25">
      <c r="T275" s="97"/>
      <c r="U275" s="97"/>
      <c r="V275" s="97"/>
    </row>
    <row r="276" spans="20:22" x14ac:dyDescent="0.25">
      <c r="T276" s="97"/>
      <c r="U276" s="97"/>
      <c r="V276" s="97"/>
    </row>
    <row r="277" spans="20:22" x14ac:dyDescent="0.25">
      <c r="T277" s="97"/>
      <c r="U277" s="97"/>
      <c r="V277" s="97"/>
    </row>
  </sheetData>
  <mergeCells count="2">
    <mergeCell ref="G1:J1"/>
    <mergeCell ref="K1:M1"/>
  </mergeCells>
  <conditionalFormatting sqref="X77">
    <cfRule type="duplicateValues" dxfId="350" priority="3"/>
  </conditionalFormatting>
  <conditionalFormatting sqref="X63:AA63">
    <cfRule type="duplicateValues" dxfId="349" priority="2"/>
  </conditionalFormatting>
  <conditionalFormatting sqref="D78:D79">
    <cfRule type="duplicateValues" dxfId="34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9" location="'SF New Construction {E}'!A1" display="Single Family New Construction"/>
    <hyperlink ref="C20" location="'MH New Construction {E}'!A1" display="Energy Star Manufactured Home"/>
    <hyperlink ref="C21" location="'Multi Family Retrofit {E}'!A1" display="Multifamily Retrofit"/>
    <hyperlink ref="C22" location="'MF New Construction {E}'!A1" display="Multi-Family New Construction"/>
    <hyperlink ref="C26" location="'CI Retrofit {E}'!A1" display="Commercial/Industrial Retrofit"/>
    <hyperlink ref="C27" location="'Bus Lighting Grants {E}'!A1" display="Business Lighting Grants"/>
    <hyperlink ref="C28" location="'Industrial EM {E}'!A1" display="Industrial Energy Management"/>
    <hyperlink ref="C30" location="'CBA {E}'!A1" display="Clean Buildings Accelerator"/>
    <hyperlink ref="C33" location="'CI New Construction {E}'!A1" display="Commercial/Industrial New Construction"/>
    <hyperlink ref="C34" location="'Com SEM {E}'!A1" display="Commercial Strategic Energy Management"/>
    <hyperlink ref="C35" location="'P4P {E}'!A1" display="Pay for Performance"/>
    <hyperlink ref="C36" location="'LPU 449 {E}'!A1" display="Large Power User, Self-Directed 449"/>
    <hyperlink ref="C37" location="'LPU Non-449 {E}'!A1" display="Large Power User, Self Directed non-449"/>
    <hyperlink ref="C39" location="'Lighting to Go {E}'!A1" display="Lighting to Go--AKA Business Lighting Markdowns"/>
    <hyperlink ref="C40" location="'Commercial Kitchen Laundry {E}'!A1" display="Commercial Kitchen and Laundry"/>
    <hyperlink ref="C41" location="'Commercial HVAC {E}'!A1" display="Commercial HVAC Rebates"/>
    <hyperlink ref="C42" location="'Commercial Midstream {E}'!A1" display="Commercial Midstream"/>
    <hyperlink ref="C43" location="'SBDI {E}'!A1" display="Small Business Direct Install"/>
    <hyperlink ref="C44" location="'Lodging Rebates {E}'!A1" display="Lodging Rebates"/>
    <hyperlink ref="C46" location="'Residential Pilots {E}'!A1" display="Residential Pilots"/>
    <hyperlink ref="C47" location="'Commercial Pilots {E}'!A1" display="Commercial Pilots"/>
    <hyperlink ref="C49" location="'NEEA {E}'!A1" display="Northwest Energy Efficiency Alliance"/>
    <hyperlink ref="C50" location="'T&amp;D {E}'!A1" display="Transmission &amp; Distribution"/>
    <hyperlink ref="C51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B1" zoomScale="85" zoomScaleNormal="85" workbookViewId="0">
      <selection activeCell="F7" sqref="F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18230486</v>
      </c>
      <c r="D2" s="19" t="s">
        <v>57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56</v>
      </c>
      <c r="C5" s="60">
        <v>18230486</v>
      </c>
      <c r="D5" s="60" t="s">
        <v>57</v>
      </c>
      <c r="E5" s="37" t="s">
        <v>492</v>
      </c>
      <c r="F5" s="38" t="s">
        <v>2017</v>
      </c>
      <c r="G5" s="38">
        <v>15</v>
      </c>
      <c r="H5" s="38"/>
      <c r="I5" s="39" t="s">
        <v>260</v>
      </c>
      <c r="J5" s="40">
        <v>1</v>
      </c>
      <c r="K5" s="42">
        <v>8015000</v>
      </c>
      <c r="L5" s="40"/>
      <c r="M5" s="41"/>
      <c r="N5" s="41"/>
      <c r="O5" s="42">
        <v>8015000</v>
      </c>
      <c r="P5" s="43">
        <v>3679200</v>
      </c>
      <c r="Q5" s="43">
        <v>3679200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1471081.5999999996</v>
      </c>
      <c r="Y5" s="43">
        <f t="shared" ref="Y5:Y24" si="5">Q5-P5</f>
        <v>0</v>
      </c>
      <c r="Z5" s="43">
        <f t="shared" ref="Z5:Z24" si="6">X5+(A$6*W5)</f>
        <v>5150281.5999999996</v>
      </c>
      <c r="AA5" s="49">
        <f t="shared" ref="AA5:AA24" si="7">Q5+X5</f>
        <v>5150281.5999999996</v>
      </c>
      <c r="AB5" s="50">
        <f t="shared" ref="AB5:AC20" si="8">Z5/(1+ElecDiscountRate)^1</f>
        <v>4822361.0486891381</v>
      </c>
      <c r="AC5" s="43">
        <f t="shared" si="8"/>
        <v>4822361.0486891381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10637326.672467971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10637326.672467971</v>
      </c>
      <c r="AK5" s="43">
        <f>HLOOKUP(I5,ElecAvoidedCostsWOCC!$A$5:$Q$50,G5+1,FALSE)*J5*L5</f>
        <v>0</v>
      </c>
      <c r="AL5" s="43">
        <f>AG5+AI5-AK5</f>
        <v>10637326.672467971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10637326.672467971</v>
      </c>
      <c r="AN5" s="47">
        <f>AM5*1.1+AD5+AE5</f>
        <v>11701059.339714769</v>
      </c>
      <c r="AO5" s="46">
        <f>IFERROR(AM5/AB5,0)</f>
        <v>2.2058337327022652</v>
      </c>
      <c r="AP5" s="46">
        <f>AN5/AC5</f>
        <v>2.4264171059724919</v>
      </c>
    </row>
    <row r="6" spans="1:42" ht="13.5" customHeight="1" x14ac:dyDescent="0.25">
      <c r="A6" s="52">
        <f>SUMIF('Program Costs'!D:D,C2,'Program Costs'!L:L)</f>
        <v>3679200</v>
      </c>
      <c r="B6" s="88" t="s">
        <v>56</v>
      </c>
      <c r="C6" s="60">
        <v>18230486</v>
      </c>
      <c r="D6" s="60" t="s">
        <v>57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56</v>
      </c>
      <c r="C7" s="60">
        <v>18230486</v>
      </c>
      <c r="D7" s="60" t="s">
        <v>57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1471081.5999999996</v>
      </c>
      <c r="B8" s="88" t="s">
        <v>56</v>
      </c>
      <c r="C8" s="60">
        <v>18230486</v>
      </c>
      <c r="D8" s="60" t="s">
        <v>57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60">
        <v>18230486</v>
      </c>
      <c r="D9" s="60" t="s">
        <v>57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8015000</v>
      </c>
      <c r="B10" s="88" t="s">
        <v>56</v>
      </c>
      <c r="C10" s="60">
        <v>18230486</v>
      </c>
      <c r="D10" s="60" t="s">
        <v>57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3679200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5150281.5999999996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5150281.5999999996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2.2058337327022652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2.4264171059724919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18230711</v>
      </c>
      <c r="D2" s="19" t="s">
        <v>119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18230711</v>
      </c>
      <c r="D5" s="60" t="s">
        <v>119</v>
      </c>
      <c r="E5" s="37" t="s">
        <v>492</v>
      </c>
      <c r="F5" s="38" t="s">
        <v>2018</v>
      </c>
      <c r="G5" s="38">
        <v>11.3</v>
      </c>
      <c r="H5" s="38"/>
      <c r="I5" s="39" t="s">
        <v>265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6800000</v>
      </c>
      <c r="Q5" s="43">
        <f>P5*2.6</f>
        <v>17680000</v>
      </c>
      <c r="R5" s="44"/>
      <c r="S5" s="45"/>
      <c r="T5" s="38">
        <f t="shared" ref="T5:T24" si="0">G5+H5</f>
        <v>11.3</v>
      </c>
      <c r="U5" s="46">
        <f t="shared" ref="U5:U24" si="1">(O5/$A$10)*T5</f>
        <v>11.3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4311750.8000000007</v>
      </c>
      <c r="Y5" s="43">
        <f t="shared" ref="Y5:Y24" si="5">Q5-P5</f>
        <v>10880000</v>
      </c>
      <c r="Z5" s="43">
        <f t="shared" ref="Z5:Z24" si="6">X5+(A$6*W5)</f>
        <v>11111750.800000001</v>
      </c>
      <c r="AA5" s="49">
        <f t="shared" ref="AA5:AA24" si="7">Q5+X5</f>
        <v>21991750.800000001</v>
      </c>
      <c r="AB5" s="50">
        <f t="shared" ref="AB5:AC20" si="8">Z5/(1+ElecDiscountRate)^1</f>
        <v>10404261.048689138</v>
      </c>
      <c r="AC5" s="43">
        <f t="shared" si="8"/>
        <v>20591526.966292135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22272371.353942342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22272371.353942342</v>
      </c>
      <c r="AK5" s="43">
        <f>HLOOKUP(I5,ElecAvoidedCostsWOCC!$A$5:$Q$50,G5+1,FALSE)*J5*L5</f>
        <v>0</v>
      </c>
      <c r="AL5" s="43">
        <f>AG5+AI5-AK5</f>
        <v>22272371.353942342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22272371.353942342</v>
      </c>
      <c r="AN5" s="47">
        <f>AM5*1.1+AD5+AE5</f>
        <v>24499608.48933658</v>
      </c>
      <c r="AO5" s="46">
        <f>IFERROR(AM5/AB5,0)</f>
        <v>2.1406970903280538</v>
      </c>
      <c r="AP5" s="46">
        <f>AN5/AC5</f>
        <v>1.1897907585698664</v>
      </c>
    </row>
    <row r="6" spans="1:42" ht="13.5" customHeight="1" x14ac:dyDescent="0.25">
      <c r="A6" s="52">
        <f>SUMIF('Program Costs'!D:D,C2,'Program Costs'!L:L)</f>
        <v>6800000</v>
      </c>
      <c r="B6" s="88" t="s">
        <v>62</v>
      </c>
      <c r="C6" s="89">
        <v>18230711</v>
      </c>
      <c r="D6" s="60" t="s">
        <v>119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18230711</v>
      </c>
      <c r="D7" s="60" t="s">
        <v>119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4311750.8000000007</v>
      </c>
      <c r="B8" s="88" t="s">
        <v>62</v>
      </c>
      <c r="C8" s="89">
        <v>18230711</v>
      </c>
      <c r="D8" s="60" t="s">
        <v>119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18230711</v>
      </c>
      <c r="D9" s="60" t="s">
        <v>119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89">
        <v>18230711</v>
      </c>
      <c r="D10" s="60" t="s">
        <v>119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18230711</v>
      </c>
      <c r="D11" s="60" t="s">
        <v>119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6800000</v>
      </c>
      <c r="B12" s="88" t="s">
        <v>62</v>
      </c>
      <c r="C12" s="89">
        <v>18230711</v>
      </c>
      <c r="D12" s="60" t="s">
        <v>119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18230711</v>
      </c>
      <c r="D13" s="60" t="s">
        <v>119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10880000</v>
      </c>
      <c r="B14" s="88" t="s">
        <v>62</v>
      </c>
      <c r="C14" s="89">
        <v>18230711</v>
      </c>
      <c r="D14" s="60" t="s">
        <v>119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18230711</v>
      </c>
      <c r="D15" s="60" t="s">
        <v>119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 t="s">
        <v>62</v>
      </c>
      <c r="C16" s="89">
        <v>18230711</v>
      </c>
      <c r="D16" s="60" t="s">
        <v>119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18230711</v>
      </c>
      <c r="D17" s="60" t="s">
        <v>119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11111750.800000001</v>
      </c>
      <c r="B18" s="88" t="s">
        <v>62</v>
      </c>
      <c r="C18" s="89">
        <v>18230711</v>
      </c>
      <c r="D18" s="60" t="s">
        <v>119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18230711</v>
      </c>
      <c r="D19" s="60" t="s">
        <v>119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21991750.800000001</v>
      </c>
      <c r="B20" s="88" t="s">
        <v>62</v>
      </c>
      <c r="C20" s="89">
        <v>18230711</v>
      </c>
      <c r="D20" s="60" t="s">
        <v>119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18230711</v>
      </c>
      <c r="D21" s="60" t="s">
        <v>119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2.1406970903280538</v>
      </c>
      <c r="B22" s="88" t="s">
        <v>62</v>
      </c>
      <c r="C22" s="89">
        <v>18230711</v>
      </c>
      <c r="D22" s="60" t="s">
        <v>119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18230711</v>
      </c>
      <c r="D23" s="60" t="s">
        <v>119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1.1897907585698664</v>
      </c>
      <c r="B24" s="88" t="s">
        <v>62</v>
      </c>
      <c r="C24" s="89">
        <v>18230711</v>
      </c>
      <c r="D24" s="60" t="s">
        <v>119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18230711</v>
      </c>
      <c r="D25" s="60" t="s">
        <v>119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Z25/(1+ElecDiscountRate)^1</f>
        <v>0</v>
      </c>
      <c r="AC25" s="43">
        <f t="shared" ref="AC25:AC88" si="28">AA25/(1+ElecDiscountRate)^1</f>
        <v>0</v>
      </c>
      <c r="AD25" s="43">
        <f t="shared" ref="AD25:AD88" si="29">-PV(ElecDiscountRate,T25,R25)*J25</f>
        <v>0</v>
      </c>
      <c r="AE25" s="43">
        <f t="shared" ref="AE25:AE88" si="30">-PV(ElecDiscountRate,T25,S25)*J25</f>
        <v>0</v>
      </c>
      <c r="AF25" s="51" t="e">
        <f>HLOOKUP(I25,ElecAvoidedCostsWOCC!$A$5:$Q$50,G25+1,FALSE)</f>
        <v>#N/A</v>
      </c>
      <c r="AG25" s="43" t="e">
        <f t="shared" ref="AG25:AG88" si="31">AF25*J25*K25</f>
        <v>#N/A</v>
      </c>
      <c r="AH25" s="51" t="e">
        <f>HLOOKUP(I25,ElecAvoidedCostsWOCC!$A$5:$Q$50,T25+1,FALSE)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HLOOKUP(I25,ElecAvoidedCostsWOCC!$A$5:$Q$50,G25+1,FALSE)*J25*L25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88" t="s">
        <v>62</v>
      </c>
      <c r="C26" s="89">
        <v>18230711</v>
      </c>
      <c r="D26" s="60" t="s">
        <v>119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18230711</v>
      </c>
      <c r="D27" s="60" t="s">
        <v>119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18230711</v>
      </c>
      <c r="D28" s="60" t="s">
        <v>119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18230711</v>
      </c>
      <c r="D29" s="60" t="s">
        <v>119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18230711</v>
      </c>
      <c r="D30" s="60" t="s">
        <v>119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18230711</v>
      </c>
      <c r="D31" s="60" t="s">
        <v>119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18230711</v>
      </c>
      <c r="D32" s="60" t="s">
        <v>119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18230711</v>
      </c>
      <c r="D33" s="60" t="s">
        <v>119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18230711</v>
      </c>
      <c r="D34" s="60" t="s">
        <v>119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18230711</v>
      </c>
      <c r="D35" s="60" t="s">
        <v>119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18230711</v>
      </c>
      <c r="D36" s="60" t="s">
        <v>119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62</v>
      </c>
      <c r="C37" s="89">
        <v>18230711</v>
      </c>
      <c r="D37" s="60" t="s">
        <v>119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62</v>
      </c>
      <c r="C38" s="89">
        <v>18230711</v>
      </c>
      <c r="D38" s="60" t="s">
        <v>119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62</v>
      </c>
      <c r="C39" s="89">
        <v>18230711</v>
      </c>
      <c r="D39" s="60" t="s">
        <v>119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62</v>
      </c>
      <c r="C40" s="89">
        <v>18230711</v>
      </c>
      <c r="D40" s="60" t="s">
        <v>119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62</v>
      </c>
      <c r="C41" s="89">
        <v>18230711</v>
      </c>
      <c r="D41" s="60" t="s">
        <v>119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62</v>
      </c>
      <c r="C42" s="89">
        <v>18230711</v>
      </c>
      <c r="D42" s="60" t="s">
        <v>119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62</v>
      </c>
      <c r="C43" s="89">
        <v>18230711</v>
      </c>
      <c r="D43" s="60" t="s">
        <v>119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62</v>
      </c>
      <c r="C44" s="89">
        <v>18230711</v>
      </c>
      <c r="D44" s="60" t="s">
        <v>119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62</v>
      </c>
      <c r="C45" s="89">
        <v>18230711</v>
      </c>
      <c r="D45" s="60" t="s">
        <v>119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62</v>
      </c>
      <c r="C46" s="89">
        <v>18230711</v>
      </c>
      <c r="D46" s="60" t="s">
        <v>119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62</v>
      </c>
      <c r="C47" s="89">
        <v>18230711</v>
      </c>
      <c r="D47" s="60" t="s">
        <v>119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62</v>
      </c>
      <c r="C48" s="89">
        <v>18230711</v>
      </c>
      <c r="D48" s="60" t="s">
        <v>119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62</v>
      </c>
      <c r="C49" s="89">
        <v>18230711</v>
      </c>
      <c r="D49" s="60" t="s">
        <v>119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62</v>
      </c>
      <c r="C50" s="89">
        <v>18230711</v>
      </c>
      <c r="D50" s="60" t="s">
        <v>119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62</v>
      </c>
      <c r="C51" s="89">
        <v>18230711</v>
      </c>
      <c r="D51" s="60" t="s">
        <v>119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62</v>
      </c>
      <c r="C52" s="89">
        <v>18230711</v>
      </c>
      <c r="D52" s="60" t="s">
        <v>119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62</v>
      </c>
      <c r="C53" s="89">
        <v>18230711</v>
      </c>
      <c r="D53" s="60" t="s">
        <v>119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HLOOKUP(I85,ElecAvoidedCostsWOCC!$A$5:$Q$50,G85+1,FALSE)</f>
        <v>#N/A</v>
      </c>
      <c r="AG85" s="43" t="e">
        <f t="shared" si="31"/>
        <v>#N/A</v>
      </c>
      <c r="AH85" s="51" t="e">
        <f>HLOOKUP(I85,ElecAvoidedCostsWOCC!$A$5:$Q$50,T85+1,FALSE)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HLOOKUP(I85,ElecAvoidedCostsWOCC!$A$5:$Q$50,G85+1,FALSE)*J85*L85</f>
        <v>#N/A</v>
      </c>
      <c r="AL85" s="43" t="e">
        <f t="shared" si="34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HLOOKUP(I86,ElecAvoidedCostsWOCC!$A$5:$Q$50,G86+1,FALSE)</f>
        <v>#N/A</v>
      </c>
      <c r="AG86" s="43" t="e">
        <f t="shared" si="31"/>
        <v>#N/A</v>
      </c>
      <c r="AH86" s="51" t="e">
        <f>HLOOKUP(I86,ElecAvoidedCostsWOCC!$A$5:$Q$50,T86+1,FALSE)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HLOOKUP(I86,ElecAvoidedCostsWOCC!$A$5:$Q$50,G86+1,FALSE)*J86*L86</f>
        <v>#N/A</v>
      </c>
      <c r="AL86" s="43" t="e">
        <f t="shared" si="34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HLOOKUP(I87,ElecAvoidedCostsWOCC!$A$5:$Q$50,G87+1,FALSE)</f>
        <v>#N/A</v>
      </c>
      <c r="AG87" s="43" t="e">
        <f t="shared" si="31"/>
        <v>#N/A</v>
      </c>
      <c r="AH87" s="51" t="e">
        <f>HLOOKUP(I87,ElecAvoidedCostsWOCC!$A$5:$Q$50,T87+1,FALSE)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HLOOKUP(I87,ElecAvoidedCostsWOCC!$A$5:$Q$50,G87+1,FALSE)*J87*L87</f>
        <v>#N/A</v>
      </c>
      <c r="AL87" s="43" t="e">
        <f t="shared" si="34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HLOOKUP(I88,ElecAvoidedCostsWOCC!$A$5:$Q$50,G88+1,FALSE)</f>
        <v>#N/A</v>
      </c>
      <c r="AG88" s="43" t="e">
        <f t="shared" si="31"/>
        <v>#N/A</v>
      </c>
      <c r="AH88" s="51" t="e">
        <f>HLOOKUP(I88,ElecAvoidedCostsWOCC!$A$5:$Q$50,T88+1,FALSE)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HLOOKUP(I88,ElecAvoidedCostsWOCC!$A$5:$Q$50,G88+1,FALSE)*J88*L88</f>
        <v>#N/A</v>
      </c>
      <c r="AL88" s="43" t="e">
        <f t="shared" si="34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ref="AB89:AC91" si="38">Z89/(1+ElecDiscountRate)^1</f>
        <v>0</v>
      </c>
      <c r="AC89" s="43">
        <f t="shared" si="38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38"/>
        <v>0</v>
      </c>
      <c r="AC90" s="43">
        <f t="shared" si="38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38"/>
        <v>0</v>
      </c>
      <c r="AC91" s="43">
        <f t="shared" si="38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91 R5:S91">
    <cfRule type="expression" dxfId="262" priority="2">
      <formula>ISTEXT(M5)</formula>
    </cfRule>
  </conditionalFormatting>
  <conditionalFormatting sqref="M5:N91 R5:S91">
    <cfRule type="notContainsBlanks" dxfId="261" priority="3">
      <formula>LEN(TRIM(M5))&gt;0</formula>
    </cfRule>
  </conditionalFormatting>
  <conditionalFormatting sqref="R5:S91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6" sqref="H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18230724</v>
      </c>
      <c r="D2" s="19" t="s">
        <v>131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18230724</v>
      </c>
      <c r="D5" s="60" t="s">
        <v>131</v>
      </c>
      <c r="E5" s="37"/>
      <c r="F5" s="38"/>
      <c r="G5" s="38">
        <v>15</v>
      </c>
      <c r="H5" s="38"/>
      <c r="I5" s="39" t="s">
        <v>261</v>
      </c>
      <c r="J5" s="40">
        <v>1</v>
      </c>
      <c r="K5" s="42">
        <v>34200000</v>
      </c>
      <c r="L5" s="40"/>
      <c r="M5" s="41"/>
      <c r="N5" s="41"/>
      <c r="O5" s="42">
        <v>34200000</v>
      </c>
      <c r="P5" s="43">
        <v>11970000</v>
      </c>
      <c r="Q5" s="43">
        <f>P5*2.38</f>
        <v>28488600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3636900</v>
      </c>
      <c r="Y5" s="43">
        <f t="shared" ref="Y5:Y24" si="5">Q5-P5</f>
        <v>16518600</v>
      </c>
      <c r="Z5" s="43">
        <f t="shared" ref="Z5:Z24" si="6">X5+(A$6*W5)</f>
        <v>15606900</v>
      </c>
      <c r="AA5" s="49">
        <f t="shared" ref="AA5:AA24" si="7">Q5+X5</f>
        <v>32125500</v>
      </c>
      <c r="AB5" s="50">
        <f t="shared" ref="AB5:AC20" si="8">Z5/(1+ElecDiscountRate)^1</f>
        <v>14613202.24719101</v>
      </c>
      <c r="AC5" s="43">
        <f t="shared" si="8"/>
        <v>30080056.179775279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46534350.983202793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46534350.983202793</v>
      </c>
      <c r="AK5" s="43">
        <f>HLOOKUP(I5,ElecAvoidedCostsWOCC!$A$5:$Q$50,G5+1,FALSE)*J5*L5</f>
        <v>0</v>
      </c>
      <c r="AL5" s="43">
        <f>AG5+AI5-AK5</f>
        <v>46534350.983202793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46534350.983202793</v>
      </c>
      <c r="AN5" s="47">
        <f>AM5*1.1+AD5+AE5</f>
        <v>51187786.081523076</v>
      </c>
      <c r="AO5" s="46">
        <f>IFERROR(AM5/AB5,0)</f>
        <v>3.1844047728927967</v>
      </c>
      <c r="AP5" s="46">
        <f>AN5/AC5</f>
        <v>1.7017184334894913</v>
      </c>
    </row>
    <row r="6" spans="1:42" ht="13.5" customHeight="1" x14ac:dyDescent="0.25">
      <c r="A6" s="52">
        <f>SUMIF('Program Costs'!D:D,C2,'Program Costs'!L:L)</f>
        <v>11970000</v>
      </c>
      <c r="B6" s="88" t="s">
        <v>62</v>
      </c>
      <c r="C6" s="89">
        <v>18230724</v>
      </c>
      <c r="D6" s="60" t="s">
        <v>131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18230724</v>
      </c>
      <c r="D7" s="60" t="s">
        <v>131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3636900</v>
      </c>
      <c r="B8" s="88" t="s">
        <v>62</v>
      </c>
      <c r="C8" s="89">
        <v>18230724</v>
      </c>
      <c r="D8" s="60" t="s">
        <v>131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18230724</v>
      </c>
      <c r="D9" s="60" t="s">
        <v>131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34200000</v>
      </c>
      <c r="B10" s="88" t="s">
        <v>62</v>
      </c>
      <c r="C10" s="89">
        <v>18230724</v>
      </c>
      <c r="D10" s="60" t="s">
        <v>131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18230724</v>
      </c>
      <c r="D11" s="60" t="s">
        <v>131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11970000</v>
      </c>
      <c r="B12" s="88" t="s">
        <v>62</v>
      </c>
      <c r="C12" s="89">
        <v>18230724</v>
      </c>
      <c r="D12" s="60" t="s">
        <v>131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18230724</v>
      </c>
      <c r="D13" s="60" t="s">
        <v>131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16518600</v>
      </c>
      <c r="B14" s="88" t="s">
        <v>62</v>
      </c>
      <c r="C14" s="89">
        <v>18230724</v>
      </c>
      <c r="D14" s="60" t="s">
        <v>131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18230724</v>
      </c>
      <c r="D15" s="60" t="s">
        <v>131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62</v>
      </c>
      <c r="C16" s="89">
        <v>18230724</v>
      </c>
      <c r="D16" s="60" t="s">
        <v>131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18230724</v>
      </c>
      <c r="D17" s="60" t="s">
        <v>131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15606900</v>
      </c>
      <c r="B18" s="88" t="s">
        <v>62</v>
      </c>
      <c r="C18" s="89">
        <v>18230724</v>
      </c>
      <c r="D18" s="60" t="s">
        <v>131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18230724</v>
      </c>
      <c r="D19" s="60" t="s">
        <v>131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32125500</v>
      </c>
      <c r="B20" s="88" t="s">
        <v>62</v>
      </c>
      <c r="C20" s="89">
        <v>18230724</v>
      </c>
      <c r="D20" s="60" t="s">
        <v>131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18230724</v>
      </c>
      <c r="D21" s="60" t="s">
        <v>131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3.1844047728927967</v>
      </c>
      <c r="B22" s="88" t="s">
        <v>62</v>
      </c>
      <c r="C22" s="89">
        <v>18230724</v>
      </c>
      <c r="D22" s="60" t="s">
        <v>131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18230724</v>
      </c>
      <c r="D23" s="60" t="s">
        <v>131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1.7017184334894913</v>
      </c>
      <c r="B24" s="88" t="s">
        <v>62</v>
      </c>
      <c r="C24" s="89">
        <v>18230724</v>
      </c>
      <c r="D24" s="60" t="s">
        <v>131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18230724</v>
      </c>
      <c r="D25" s="60" t="s">
        <v>131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Z25/(1+ElecDiscountRate)^1</f>
        <v>0</v>
      </c>
      <c r="AC25" s="43">
        <f t="shared" ref="AC25:AC67" si="28">AA25/(1+ElecDiscountRate)^1</f>
        <v>0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 t="e">
        <f>HLOOKUP(I25,ElecAvoidedCostsWOCC!$A$5:$Q$50,G25+1,FALSE)</f>
        <v>#N/A</v>
      </c>
      <c r="AG25" s="43" t="e">
        <f t="shared" ref="AG25:AG67" si="31">AF25*J25*K25</f>
        <v>#N/A</v>
      </c>
      <c r="AH25" s="51" t="e">
        <f>HLOOKUP(I25,ElecAvoidedCostsWOCC!$A$5:$Q$50,T25+1,FALSE)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HLOOKUP(I25,ElecAvoidedCostsWOCC!$A$5:$Q$50,G25+1,FALSE)*J25*L25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88" t="s">
        <v>62</v>
      </c>
      <c r="C26" s="89">
        <v>18230724</v>
      </c>
      <c r="D26" s="60" t="s">
        <v>131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18230724</v>
      </c>
      <c r="D27" s="60" t="s">
        <v>131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18230724</v>
      </c>
      <c r="D28" s="60" t="s">
        <v>131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18230724</v>
      </c>
      <c r="D29" s="60" t="s">
        <v>131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18230724</v>
      </c>
      <c r="D30" s="60" t="s">
        <v>131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18230724</v>
      </c>
      <c r="D31" s="60" t="s">
        <v>131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18230724</v>
      </c>
      <c r="D32" s="60" t="s">
        <v>131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18230724</v>
      </c>
      <c r="D33" s="60" t="s">
        <v>131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18230724</v>
      </c>
      <c r="D34" s="60" t="s">
        <v>131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18230724</v>
      </c>
      <c r="D35" s="60" t="s">
        <v>131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18230724</v>
      </c>
      <c r="D36" s="60" t="s">
        <v>131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6:L67 J5 L5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67 R5:S67">
    <cfRule type="expression" dxfId="257" priority="2">
      <formula>ISTEXT(M5)</formula>
    </cfRule>
  </conditionalFormatting>
  <conditionalFormatting sqref="M5:N67 R5:S67">
    <cfRule type="notContainsBlanks" dxfId="256" priority="3">
      <formula>LEN(TRIM(M5))&gt;0</formula>
    </cfRule>
  </conditionalFormatting>
  <conditionalFormatting sqref="R5:S67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6" sqref="Q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18231137</v>
      </c>
      <c r="D2" s="19" t="s">
        <v>94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18231137</v>
      </c>
      <c r="D5" s="91" t="s">
        <v>94</v>
      </c>
      <c r="E5" s="37"/>
      <c r="F5" s="38" t="s">
        <v>2018</v>
      </c>
      <c r="G5" s="38">
        <v>5.8</v>
      </c>
      <c r="H5" s="38"/>
      <c r="I5" s="39" t="s">
        <v>260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4670000</v>
      </c>
      <c r="Q5" s="43">
        <f>K5*0.5</f>
        <v>8000000</v>
      </c>
      <c r="R5" s="44"/>
      <c r="S5" s="45"/>
      <c r="T5" s="38">
        <f t="shared" ref="T5:T24" si="0">G5+H5</f>
        <v>5.8</v>
      </c>
      <c r="U5" s="46">
        <f t="shared" ref="U5:U24" si="1">(O5/$A$10)*T5</f>
        <v>5.8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2653759.5999999996</v>
      </c>
      <c r="Y5" s="43">
        <f t="shared" ref="Y5:Y24" si="5">Q5-P5</f>
        <v>3330000</v>
      </c>
      <c r="Z5" s="43">
        <f t="shared" ref="Z5:Z24" si="6">X5+(A$6*W5)</f>
        <v>7323759.5999999996</v>
      </c>
      <c r="AA5" s="49">
        <f t="shared" ref="AA5:AA24" si="7">Q5+X5</f>
        <v>10653759.6</v>
      </c>
      <c r="AB5" s="50">
        <f t="shared" ref="AB5:AC20" si="8">Z5/(1+ElecDiscountRate)^1</f>
        <v>6857452.808988763</v>
      </c>
      <c r="AC5" s="43">
        <f t="shared" si="8"/>
        <v>9975430.3370786514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8988742.2450849507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8988742.2450849507</v>
      </c>
      <c r="AK5" s="43">
        <f>HLOOKUP(I5,ElecAvoidedCostsWOCC!$A$5:$Q$50,G5+1,FALSE)*J5*L5</f>
        <v>0</v>
      </c>
      <c r="AL5" s="43">
        <f>AG5+AI5-AK5</f>
        <v>8988742.2450849507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8988742.2450849507</v>
      </c>
      <c r="AN5" s="47">
        <f>AM5*1.1+AD5+AE5</f>
        <v>9887616.4695934467</v>
      </c>
      <c r="AO5" s="46">
        <f>IFERROR(AM5/AB5,0)</f>
        <v>1.3107989942420732</v>
      </c>
      <c r="AP5" s="46">
        <f>AN5/AC5</f>
        <v>0.99119698453922322</v>
      </c>
    </row>
    <row r="6" spans="1:42" ht="13.5" customHeight="1" x14ac:dyDescent="0.25">
      <c r="A6" s="52">
        <f>SUMIF('Program Costs'!D:D,C2,'Program Costs'!L:L)</f>
        <v>4670000</v>
      </c>
      <c r="B6" s="88" t="s">
        <v>62</v>
      </c>
      <c r="C6" s="91">
        <v>18231137</v>
      </c>
      <c r="D6" s="91" t="s">
        <v>94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>
        <v>18231137</v>
      </c>
      <c r="D7" s="91" t="s">
        <v>94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2653759.5999999996</v>
      </c>
      <c r="B8" s="88" t="s">
        <v>62</v>
      </c>
      <c r="C8" s="91">
        <v>18231137</v>
      </c>
      <c r="D8" s="91" t="s">
        <v>94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>
        <v>18231137</v>
      </c>
      <c r="D9" s="91" t="s">
        <v>94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91">
        <v>18231137</v>
      </c>
      <c r="D10" s="91" t="s">
        <v>94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>
        <v>18231137</v>
      </c>
      <c r="D11" s="91" t="s">
        <v>94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4670000</v>
      </c>
      <c r="B12" s="88" t="s">
        <v>62</v>
      </c>
      <c r="C12" s="91">
        <v>18231137</v>
      </c>
      <c r="D12" s="91" t="s">
        <v>94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>
        <v>18231137</v>
      </c>
      <c r="D13" s="91" t="s">
        <v>94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3330000</v>
      </c>
      <c r="B14" s="88" t="s">
        <v>62</v>
      </c>
      <c r="C14" s="91">
        <v>18231137</v>
      </c>
      <c r="D14" s="91" t="s">
        <v>94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5.8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7323759.5999999996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10653759.6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1.3107989942420732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0.99119698453922322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18231133</v>
      </c>
      <c r="D2" s="19" t="s">
        <v>165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18231133</v>
      </c>
      <c r="D5" s="91" t="s">
        <v>165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/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02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18230013</v>
      </c>
      <c r="D2" s="19" t="s">
        <v>506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18230013</v>
      </c>
      <c r="D5" s="91" t="s">
        <v>506</v>
      </c>
      <c r="E5" s="37"/>
      <c r="F5" s="38"/>
      <c r="G5" s="38">
        <v>5</v>
      </c>
      <c r="H5" s="38"/>
      <c r="I5" s="39" t="s">
        <v>265</v>
      </c>
      <c r="J5" s="40">
        <v>1</v>
      </c>
      <c r="K5" s="40">
        <v>2300000</v>
      </c>
      <c r="L5" s="40"/>
      <c r="M5" s="41"/>
      <c r="N5" s="41"/>
      <c r="O5" s="42">
        <v>2300000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1145337.3999999999</v>
      </c>
      <c r="Y5" s="43">
        <f t="shared" ref="Y5:Y24" si="5">Q5-P5</f>
        <v>0</v>
      </c>
      <c r="Z5" s="43">
        <f t="shared" ref="Z5:Z24" si="6">X5+(A$6*W5)</f>
        <v>1145337.3999999999</v>
      </c>
      <c r="AA5" s="49">
        <f t="shared" ref="AA5:AA24" si="7">Q5+X5</f>
        <v>1145337.3999999999</v>
      </c>
      <c r="AB5" s="50">
        <f t="shared" ref="AB5:AC20" si="8">Z5/(1+ElecDiscountRate)^1</f>
        <v>1072413.2958801496</v>
      </c>
      <c r="AC5" s="43">
        <f t="shared" si="8"/>
        <v>1072413.2958801496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0.73590267439144896</v>
      </c>
      <c r="AG5" s="43">
        <f t="shared" ref="AG5:AG24" si="10">AF5*J5*K5</f>
        <v>1692576.1511003326</v>
      </c>
      <c r="AH5" s="51">
        <f>HLOOKUP(I5,ElecAvoidedCostsWOCC!$A$5:$Q$50,T5+1,FALSE)</f>
        <v>0.73590267439144896</v>
      </c>
      <c r="AI5" s="43">
        <f t="shared" ref="AI5:AI24" si="11">AH5*J5*L5</f>
        <v>0</v>
      </c>
      <c r="AJ5" s="43">
        <f>AG5+AI5</f>
        <v>1692576.1511003326</v>
      </c>
      <c r="AK5" s="43">
        <f>HLOOKUP(I5,ElecAvoidedCostsWOCC!$A$5:$Q$50,G5+1,FALSE)*J5*L5</f>
        <v>0</v>
      </c>
      <c r="AL5" s="43">
        <f>AG5+AI5-AK5</f>
        <v>1692576.1511003326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1692576.1511003326</v>
      </c>
      <c r="AN5" s="47">
        <f>AM5*1.1+AD5+AE5</f>
        <v>1861833.766210366</v>
      </c>
      <c r="AO5" s="46">
        <f>IFERROR(AM5/AB5,0)</f>
        <v>1.5782871749190723</v>
      </c>
      <c r="AP5" s="46">
        <f>AN5/AC5</f>
        <v>1.7361158924109799</v>
      </c>
    </row>
    <row r="6" spans="1:42" ht="13.5" customHeight="1" x14ac:dyDescent="0.25">
      <c r="A6" s="52">
        <f>SUMIF('Program Costs'!D:D,C2,'Program Costs'!L:L)</f>
        <v>0</v>
      </c>
      <c r="B6" s="88" t="s">
        <v>62</v>
      </c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1145337.3999999999</v>
      </c>
      <c r="B8" s="88" t="s">
        <v>62</v>
      </c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2300000</v>
      </c>
      <c r="B10" s="88" t="s">
        <v>62</v>
      </c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62</v>
      </c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62</v>
      </c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1145337.3999999999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1145337.3999999999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1.5782871749190723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1.7361158924109799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J6" sqref="J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18230015</v>
      </c>
      <c r="D2" s="19" t="s">
        <v>153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18230015</v>
      </c>
      <c r="D5" s="60" t="s">
        <v>153</v>
      </c>
      <c r="E5" s="37"/>
      <c r="F5" s="38"/>
      <c r="G5" s="38">
        <v>7</v>
      </c>
      <c r="H5" s="38"/>
      <c r="I5" s="39" t="s">
        <v>260</v>
      </c>
      <c r="J5" s="40">
        <v>1</v>
      </c>
      <c r="K5" s="42">
        <v>6000000</v>
      </c>
      <c r="L5" s="40"/>
      <c r="M5" s="41"/>
      <c r="N5" s="41"/>
      <c r="O5" s="42">
        <v>6000000</v>
      </c>
      <c r="P5" s="43"/>
      <c r="Q5" s="43"/>
      <c r="R5" s="44"/>
      <c r="S5" s="45"/>
      <c r="T5" s="38">
        <f t="shared" ref="T5:T68" si="0">G5+H5</f>
        <v>7</v>
      </c>
      <c r="U5" s="46">
        <f t="shared" ref="U5:U68" si="1">(O5/$A$10)*T5</f>
        <v>7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1863157.5</v>
      </c>
      <c r="Y5" s="43">
        <f t="shared" ref="Y5:Y68" si="5">Q5-P5</f>
        <v>0</v>
      </c>
      <c r="Z5" s="43">
        <f t="shared" ref="Z5:Z68" si="6">X5+(A$6*W5)</f>
        <v>1863157.5</v>
      </c>
      <c r="AA5" s="49">
        <f t="shared" ref="AA5:AA68" si="7">Q5+X5</f>
        <v>1863157.5</v>
      </c>
      <c r="AB5" s="50">
        <f t="shared" ref="AB5:AC20" si="8">Z5/(1+ElecDiscountRate)^1</f>
        <v>1744529.4943820224</v>
      </c>
      <c r="AC5" s="43">
        <f t="shared" si="8"/>
        <v>1744529.4943820224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0.73769514975108397</v>
      </c>
      <c r="AG5" s="43">
        <f t="shared" ref="AG5:AG68" si="10">AF5*J5*K5</f>
        <v>4426170.8985065036</v>
      </c>
      <c r="AH5" s="51">
        <f>HLOOKUP(I5,ElecAvoidedCostsWOCC!$A$5:$Q$50,T5+1,FALSE)</f>
        <v>0.73769514975108397</v>
      </c>
      <c r="AI5" s="43">
        <f t="shared" ref="AI5:AI68" si="11">AH5*J5*L5</f>
        <v>0</v>
      </c>
      <c r="AJ5" s="43">
        <f>AG5+AI5</f>
        <v>4426170.8985065036</v>
      </c>
      <c r="AK5" s="43">
        <f>HLOOKUP(I5,ElecAvoidedCostsWOCC!$A$5:$Q$50,G5+1,FALSE)*J5*L5</f>
        <v>0</v>
      </c>
      <c r="AL5" s="43">
        <f>AG5+AI5-AK5</f>
        <v>4426170.8985065036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4426170.8985065036</v>
      </c>
      <c r="AN5" s="47">
        <f>AM5*1.1+AD5+AE5</f>
        <v>4868787.9883571547</v>
      </c>
      <c r="AO5" s="46">
        <f>IFERROR(AM5/AB5,0)</f>
        <v>2.5371717203751945</v>
      </c>
      <c r="AP5" s="46">
        <f>AN5/AC5</f>
        <v>2.7908888924127142</v>
      </c>
    </row>
    <row r="6" spans="1:42" ht="13.5" customHeight="1" x14ac:dyDescent="0.25">
      <c r="A6" s="52">
        <f>SUMIF('Program Costs'!D:D,C2,'Program Costs'!L:L)</f>
        <v>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1863157.5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7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1863157.5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1863157.5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2.5371717203751945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2.7908888924127142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91 R5:S91">
    <cfRule type="expression" dxfId="237" priority="2">
      <formula>ISTEXT(M5)</formula>
    </cfRule>
  </conditionalFormatting>
  <conditionalFormatting sqref="M5:N91 R5:S91">
    <cfRule type="notContainsBlanks" dxfId="236" priority="3">
      <formula>LEN(TRIM(M5))&gt;0</formula>
    </cfRule>
  </conditionalFormatting>
  <conditionalFormatting sqref="R5:S91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E15" sqref="E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18239043</v>
      </c>
      <c r="D2" s="19" t="s">
        <v>546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18239043</v>
      </c>
      <c r="D5" s="60" t="s">
        <v>546</v>
      </c>
      <c r="E5" s="37" t="s">
        <v>492</v>
      </c>
      <c r="F5" s="38" t="s">
        <v>2018</v>
      </c>
      <c r="G5" s="38">
        <v>11.3</v>
      </c>
      <c r="H5" s="38"/>
      <c r="I5" s="39" t="s">
        <v>264</v>
      </c>
      <c r="J5" s="40">
        <v>1</v>
      </c>
      <c r="K5" s="42">
        <v>12100000</v>
      </c>
      <c r="L5" s="40"/>
      <c r="M5" s="41"/>
      <c r="N5" s="41"/>
      <c r="O5" s="42">
        <v>12100000</v>
      </c>
      <c r="P5" s="43">
        <v>5445000</v>
      </c>
      <c r="Q5" s="43">
        <f>P5*2.6</f>
        <v>14157000</v>
      </c>
      <c r="R5" s="44"/>
      <c r="S5" s="45"/>
      <c r="T5" s="38">
        <f t="shared" ref="T5:T68" si="0">G5+H5</f>
        <v>11.3</v>
      </c>
      <c r="U5" s="46">
        <f t="shared" ref="U5:U68" si="1">(O5/$A$10)*T5</f>
        <v>11.3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836074.79999999981</v>
      </c>
      <c r="Y5" s="43">
        <f t="shared" ref="Y5:Y68" si="5">Q5-P5</f>
        <v>8712000</v>
      </c>
      <c r="Z5" s="43">
        <f t="shared" ref="Z5:Z68" si="6">X5+(A$6*W5)</f>
        <v>6281074.7999999998</v>
      </c>
      <c r="AA5" s="49">
        <f t="shared" ref="AA5:AA68" si="7">Q5+X5</f>
        <v>14993074.800000001</v>
      </c>
      <c r="AB5" s="50">
        <f t="shared" ref="AB5:AC20" si="8">Z5/(1+ElecDiscountRate)^1</f>
        <v>5881156.1797752799</v>
      </c>
      <c r="AC5" s="43">
        <f t="shared" si="8"/>
        <v>14038459.550561797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1.0512187370384041</v>
      </c>
      <c r="AG5" s="43">
        <f t="shared" ref="AG5:AG68" si="10">AF5*J5*K5</f>
        <v>12719746.71816469</v>
      </c>
      <c r="AH5" s="51">
        <f>HLOOKUP(I5,ElecAvoidedCostsWOCC!$A$5:$Q$50,T5+1,FALSE)</f>
        <v>1.0512187370384041</v>
      </c>
      <c r="AI5" s="43">
        <f t="shared" ref="AI5:AI68" si="11">AH5*J5*L5</f>
        <v>0</v>
      </c>
      <c r="AJ5" s="43">
        <f>AG5+AI5</f>
        <v>12719746.71816469</v>
      </c>
      <c r="AK5" s="43">
        <f>HLOOKUP(I5,ElecAvoidedCostsWOCC!$A$5:$Q$50,G5+1,FALSE)*J5*L5</f>
        <v>0</v>
      </c>
      <c r="AL5" s="43">
        <f>AG5+AI5-AK5</f>
        <v>12719746.71816469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12719746.71816469</v>
      </c>
      <c r="AN5" s="47">
        <f>AM5*1.1+AD5+AE5</f>
        <v>13991721.38998116</v>
      </c>
      <c r="AO5" s="46">
        <f>IFERROR(AM5/AB5,0)</f>
        <v>2.1627969619148448</v>
      </c>
      <c r="AP5" s="46">
        <f>AN5/AC5</f>
        <v>0.99667070589815776</v>
      </c>
    </row>
    <row r="6" spans="1:42" ht="13.5" customHeight="1" x14ac:dyDescent="0.25">
      <c r="A6" s="52">
        <f>SUMIF('Program Costs'!D:D,C2,'Program Costs'!L:L)</f>
        <v>5445000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836074.79999999981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12100000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5445000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8712000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6281074.7999999998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14993074.800000001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2.1627969619148448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0.99667070589815776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18230715</v>
      </c>
      <c r="D2" s="19" t="s">
        <v>124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123</v>
      </c>
      <c r="C5" s="89">
        <v>18230715</v>
      </c>
      <c r="D5" s="60" t="s">
        <v>124</v>
      </c>
      <c r="E5" s="37"/>
      <c r="F5" s="38"/>
      <c r="G5" s="38">
        <v>11.6</v>
      </c>
      <c r="H5" s="38"/>
      <c r="I5" s="39" t="s">
        <v>265</v>
      </c>
      <c r="J5" s="40">
        <v>1</v>
      </c>
      <c r="K5" s="42">
        <v>6000000</v>
      </c>
      <c r="L5" s="40"/>
      <c r="M5" s="41"/>
      <c r="N5" s="41"/>
      <c r="O5" s="42">
        <v>6000000</v>
      </c>
      <c r="P5" s="540">
        <v>2790000</v>
      </c>
      <c r="Q5" s="43">
        <f>P5*2.17</f>
        <v>6054300</v>
      </c>
      <c r="R5" s="44"/>
      <c r="S5" s="45"/>
      <c r="T5" s="38">
        <f t="shared" ref="T5:T24" si="0">G5+H5</f>
        <v>11.6</v>
      </c>
      <c r="U5" s="46">
        <f t="shared" ref="U5:U24" si="1">(O5/$A$10)*T5</f>
        <v>11.6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1136419.7999999998</v>
      </c>
      <c r="Y5" s="43">
        <f t="shared" ref="Y5:Y24" si="5">Q5-P5</f>
        <v>3264300</v>
      </c>
      <c r="Z5" s="43">
        <f t="shared" ref="Z5:Z24" si="6">X5+(A$6*W5)</f>
        <v>3926419.8</v>
      </c>
      <c r="AA5" s="49">
        <f t="shared" ref="AA5:AA24" si="7">Q5+X5</f>
        <v>7190719.7999999998</v>
      </c>
      <c r="AB5" s="50">
        <f t="shared" ref="AB5:AC20" si="8">Z5/(1+ElecDiscountRate)^1</f>
        <v>3676423.0337078646</v>
      </c>
      <c r="AC5" s="43">
        <f t="shared" si="8"/>
        <v>6732883.7078651683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8352139.2577283792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8352139.2577283792</v>
      </c>
      <c r="AK5" s="43">
        <f>HLOOKUP(I5,ElecAvoidedCostsWOCC!$A$5:$Q$50,G5+1,FALSE)*J5*L5</f>
        <v>0</v>
      </c>
      <c r="AL5" s="43">
        <f>AG5+AI5-AK5</f>
        <v>8352139.2577283792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8352139.2577283792</v>
      </c>
      <c r="AN5" s="47">
        <f>AM5*1.1+AD5+AE5</f>
        <v>9187353.1835012175</v>
      </c>
      <c r="AO5" s="46">
        <f>IFERROR(AM5/AB5,0)</f>
        <v>2.2718112635979244</v>
      </c>
      <c r="AP5" s="46">
        <f>AN5/AC5</f>
        <v>1.3645495128289244</v>
      </c>
    </row>
    <row r="6" spans="1:42" ht="13.5" customHeight="1" x14ac:dyDescent="0.25">
      <c r="A6" s="52">
        <f>SUMIF('Program Costs'!D:D,C2,'Program Costs'!L:L)</f>
        <v>2790000</v>
      </c>
      <c r="B6" s="88" t="s">
        <v>123</v>
      </c>
      <c r="C6" s="89">
        <v>18230715</v>
      </c>
      <c r="D6" s="60" t="s">
        <v>124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123</v>
      </c>
      <c r="C7" s="89">
        <v>18230715</v>
      </c>
      <c r="D7" s="60" t="s">
        <v>124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1136419.7999999998</v>
      </c>
      <c r="B8" s="88" t="s">
        <v>123</v>
      </c>
      <c r="C8" s="89">
        <v>18230715</v>
      </c>
      <c r="D8" s="60" t="s">
        <v>124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123</v>
      </c>
      <c r="C9" s="89">
        <v>18230715</v>
      </c>
      <c r="D9" s="60" t="s">
        <v>124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 t="s">
        <v>123</v>
      </c>
      <c r="C10" s="89">
        <v>18230715</v>
      </c>
      <c r="D10" s="60" t="s">
        <v>124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123</v>
      </c>
      <c r="C11" s="89">
        <v>18230715</v>
      </c>
      <c r="D11" s="60" t="s">
        <v>124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2790000</v>
      </c>
      <c r="B12" s="88" t="s">
        <v>123</v>
      </c>
      <c r="C12" s="89">
        <v>18230715</v>
      </c>
      <c r="D12" s="60" t="s">
        <v>124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123</v>
      </c>
      <c r="C13" s="89">
        <v>18230715</v>
      </c>
      <c r="D13" s="60" t="s">
        <v>124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3264300</v>
      </c>
      <c r="B14" s="88" t="s">
        <v>123</v>
      </c>
      <c r="C14" s="89">
        <v>18230715</v>
      </c>
      <c r="D14" s="60" t="s">
        <v>124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123</v>
      </c>
      <c r="C15" s="89">
        <v>18230715</v>
      </c>
      <c r="D15" s="60" t="s">
        <v>124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11.6</v>
      </c>
      <c r="B16" s="88" t="s">
        <v>123</v>
      </c>
      <c r="C16" s="89">
        <v>18230715</v>
      </c>
      <c r="D16" s="60" t="s">
        <v>124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123</v>
      </c>
      <c r="C17" s="89">
        <v>18230715</v>
      </c>
      <c r="D17" s="60" t="s">
        <v>124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3926419.8</v>
      </c>
      <c r="B18" s="88" t="s">
        <v>123</v>
      </c>
      <c r="C18" s="89">
        <v>18230715</v>
      </c>
      <c r="D18" s="60" t="s">
        <v>124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123</v>
      </c>
      <c r="C19" s="89">
        <v>18230715</v>
      </c>
      <c r="D19" s="60" t="s">
        <v>124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7190719.7999999998</v>
      </c>
      <c r="B20" s="88" t="s">
        <v>123</v>
      </c>
      <c r="C20" s="89">
        <v>18230715</v>
      </c>
      <c r="D20" s="60" t="s">
        <v>124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123</v>
      </c>
      <c r="C21" s="89">
        <v>18230715</v>
      </c>
      <c r="D21" s="60" t="s">
        <v>124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2.2718112635979244</v>
      </c>
      <c r="B22" s="88" t="s">
        <v>123</v>
      </c>
      <c r="C22" s="89">
        <v>18230715</v>
      </c>
      <c r="D22" s="60" t="s">
        <v>124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123</v>
      </c>
      <c r="C23" s="89">
        <v>18230715</v>
      </c>
      <c r="D23" s="60" t="s">
        <v>124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1.3645495128289244</v>
      </c>
      <c r="B24" s="88" t="s">
        <v>123</v>
      </c>
      <c r="C24" s="89">
        <v>18230715</v>
      </c>
      <c r="D24" s="60" t="s">
        <v>124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123</v>
      </c>
      <c r="C25" s="89">
        <v>18230715</v>
      </c>
      <c r="D25" s="60" t="s">
        <v>124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>G25+H25</f>
        <v>0</v>
      </c>
      <c r="U25" s="46">
        <f>(O25/$A$10)*T25</f>
        <v>0</v>
      </c>
      <c r="V25" s="47">
        <f>N25-M25</f>
        <v>0</v>
      </c>
      <c r="W25" s="48">
        <f>(O25/A$10)</f>
        <v>0</v>
      </c>
      <c r="X25" s="43">
        <f>W25*A$8</f>
        <v>0</v>
      </c>
      <c r="Y25" s="43">
        <f>Q25-P25</f>
        <v>0</v>
      </c>
      <c r="Z25" s="43">
        <f>X25+(A$6*W25)</f>
        <v>0</v>
      </c>
      <c r="AA25" s="49">
        <f>Q25+X25</f>
        <v>0</v>
      </c>
      <c r="AB25" s="50">
        <f t="shared" ref="AB25:AC27" si="19">Z25/(1+ElecDiscountRate)^1</f>
        <v>0</v>
      </c>
      <c r="AC25" s="43">
        <f t="shared" si="19"/>
        <v>0</v>
      </c>
      <c r="AD25" s="43">
        <f>-PV(ElecDiscountRate,T25,R25)*J25</f>
        <v>0</v>
      </c>
      <c r="AE25" s="43">
        <f>-PV(ElecDiscountRate,T25,S25)*J25</f>
        <v>0</v>
      </c>
      <c r="AF25" s="51" t="e">
        <f>HLOOKUP(I25,ElecAvoidedCostsWOCC!$A$5:$Q$50,G25+1,FALSE)</f>
        <v>#N/A</v>
      </c>
      <c r="AG25" s="43" t="e">
        <f>AF25*J25*K25</f>
        <v>#N/A</v>
      </c>
      <c r="AH25" s="51" t="e">
        <f>HLOOKUP(I25,ElecAvoidedCostsWOCC!$A$5:$Q$50,T25+1,FALSE)</f>
        <v>#N/A</v>
      </c>
      <c r="AI25" s="43" t="e">
        <f>AH25*J25*L25</f>
        <v>#N/A</v>
      </c>
      <c r="AJ25" s="43" t="e">
        <f>AG25+AI25</f>
        <v>#N/A</v>
      </c>
      <c r="AK25" s="43" t="e">
        <f>HLOOKUP(I25,ElecAvoidedCostsWOCC!$A$5:$Q$50,G25+1,FALSE)*J25*L25</f>
        <v>#N/A</v>
      </c>
      <c r="AL25" s="43" t="e">
        <f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>AM25*1.1+AD25+AE25</f>
        <v>0</v>
      </c>
      <c r="AO25" s="46">
        <f>IFERROR(AM25/AB25,0)</f>
        <v>0</v>
      </c>
      <c r="AP25" s="46" t="e">
        <f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>G26+H26</f>
        <v>0</v>
      </c>
      <c r="U26" s="46">
        <f>(O26/$A$10)*T26</f>
        <v>0</v>
      </c>
      <c r="V26" s="47">
        <f>N26-M26</f>
        <v>0</v>
      </c>
      <c r="W26" s="48">
        <f>(O26/A$10)</f>
        <v>0</v>
      </c>
      <c r="X26" s="43">
        <f>W26*A$8</f>
        <v>0</v>
      </c>
      <c r="Y26" s="43">
        <f>Q26-P26</f>
        <v>0</v>
      </c>
      <c r="Z26" s="43">
        <f>X26+(A$6*W26)</f>
        <v>0</v>
      </c>
      <c r="AA26" s="49">
        <f>Q26+X26</f>
        <v>0</v>
      </c>
      <c r="AB26" s="50">
        <f t="shared" si="19"/>
        <v>0</v>
      </c>
      <c r="AC26" s="43">
        <f t="shared" si="19"/>
        <v>0</v>
      </c>
      <c r="AD26" s="43">
        <f>-PV(ElecDiscountRate,T26,R26)*J26</f>
        <v>0</v>
      </c>
      <c r="AE26" s="43">
        <f>-PV(ElecDiscountRate,T26,S26)*J26</f>
        <v>0</v>
      </c>
      <c r="AF26" s="51" t="e">
        <f>HLOOKUP(I26,ElecAvoidedCostsWOCC!$A$5:$Q$50,G26+1,FALSE)</f>
        <v>#N/A</v>
      </c>
      <c r="AG26" s="43" t="e">
        <f>AF26*J26*K26</f>
        <v>#N/A</v>
      </c>
      <c r="AH26" s="51" t="e">
        <f>HLOOKUP(I26,ElecAvoidedCostsWOCC!$A$5:$Q$50,T26+1,FALSE)</f>
        <v>#N/A</v>
      </c>
      <c r="AI26" s="43" t="e">
        <f>AH26*J26*L26</f>
        <v>#N/A</v>
      </c>
      <c r="AJ26" s="43" t="e">
        <f>AG26+AI26</f>
        <v>#N/A</v>
      </c>
      <c r="AK26" s="43" t="e">
        <f>HLOOKUP(I26,ElecAvoidedCostsWOCC!$A$5:$Q$50,G26+1,FALSE)*J26*L26</f>
        <v>#N/A</v>
      </c>
      <c r="AL26" s="43" t="e">
        <f>AG26+AI26-AK26</f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>AM26*1.1+AD26+AE26</f>
        <v>0</v>
      </c>
      <c r="AO26" s="46">
        <f>IFERROR(AM26/AB26,0)</f>
        <v>0</v>
      </c>
      <c r="AP26" s="46" t="e">
        <f>AN26/AC26</f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>G27+H27</f>
        <v>0</v>
      </c>
      <c r="U27" s="46">
        <f>(O27/$A$10)*T27</f>
        <v>0</v>
      </c>
      <c r="V27" s="47">
        <f>N27-M27</f>
        <v>0</v>
      </c>
      <c r="W27" s="48">
        <f>(O27/A$10)</f>
        <v>0</v>
      </c>
      <c r="X27" s="43">
        <f>W27*A$8</f>
        <v>0</v>
      </c>
      <c r="Y27" s="43">
        <f>Q27-P27</f>
        <v>0</v>
      </c>
      <c r="Z27" s="43">
        <f>X27+(A$6*W27)</f>
        <v>0</v>
      </c>
      <c r="AA27" s="49">
        <f>Q27+X27</f>
        <v>0</v>
      </c>
      <c r="AB27" s="50">
        <f t="shared" si="19"/>
        <v>0</v>
      </c>
      <c r="AC27" s="43">
        <f t="shared" si="19"/>
        <v>0</v>
      </c>
      <c r="AD27" s="43">
        <f>-PV(ElecDiscountRate,T27,R27)*J27</f>
        <v>0</v>
      </c>
      <c r="AE27" s="43">
        <f>-PV(ElecDiscountRate,T27,S27)*J27</f>
        <v>0</v>
      </c>
      <c r="AF27" s="51" t="e">
        <f>HLOOKUP(I27,ElecAvoidedCostsWOCC!$A$5:$Q$50,G27+1,FALSE)</f>
        <v>#N/A</v>
      </c>
      <c r="AG27" s="43" t="e">
        <f>AF27*J27*K27</f>
        <v>#N/A</v>
      </c>
      <c r="AH27" s="51" t="e">
        <f>HLOOKUP(I27,ElecAvoidedCostsWOCC!$A$5:$Q$50,T27+1,FALSE)</f>
        <v>#N/A</v>
      </c>
      <c r="AI27" s="43" t="e">
        <f>AH27*J27*L27</f>
        <v>#N/A</v>
      </c>
      <c r="AJ27" s="43" t="e">
        <f>AG27+AI27</f>
        <v>#N/A</v>
      </c>
      <c r="AK27" s="43" t="e">
        <f>HLOOKUP(I27,ElecAvoidedCostsWOCC!$A$5:$Q$50,G27+1,FALSE)*J27*L27</f>
        <v>#N/A</v>
      </c>
      <c r="AL27" s="43" t="e">
        <f>AG27+AI27-AK27</f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>AM27*1.1+AD27+AE27</f>
        <v>0</v>
      </c>
      <c r="AO27" s="46">
        <f>IFERROR(AM27/AB27,0)</f>
        <v>0</v>
      </c>
      <c r="AP27" s="46" t="e">
        <f>AN27/AC27</f>
        <v>#DIV/0!</v>
      </c>
    </row>
    <row r="28" spans="1:42" ht="13.5" customHeight="1" x14ac:dyDescent="0.25"/>
  </sheetData>
  <conditionalFormatting sqref="J6:L27 J5 L5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7 R5:S27">
    <cfRule type="expression" dxfId="227" priority="2">
      <formula>ISTEXT(M5)</formula>
    </cfRule>
  </conditionalFormatting>
  <conditionalFormatting sqref="M5:N27 R5:S27">
    <cfRule type="notContainsBlanks" dxfId="226" priority="3">
      <formula>LEN(TRIM(M5))&gt;0</formula>
    </cfRule>
  </conditionalFormatting>
  <conditionalFormatting sqref="R5:S27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18230723</v>
      </c>
      <c r="D2" s="19" t="s">
        <v>130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129</v>
      </c>
      <c r="C5" s="89">
        <v>18230723</v>
      </c>
      <c r="D5" s="60" t="s">
        <v>130</v>
      </c>
      <c r="E5" s="37"/>
      <c r="F5" s="38"/>
      <c r="G5" s="38">
        <v>3</v>
      </c>
      <c r="H5" s="38"/>
      <c r="I5" s="39" t="s">
        <v>260</v>
      </c>
      <c r="J5" s="40">
        <v>1</v>
      </c>
      <c r="K5" s="40">
        <v>27489000</v>
      </c>
      <c r="L5" s="40"/>
      <c r="M5" s="41"/>
      <c r="N5" s="41"/>
      <c r="O5" s="42">
        <v>27489000</v>
      </c>
      <c r="P5" s="43">
        <v>1280000</v>
      </c>
      <c r="Q5" s="43">
        <f>P5*1.36</f>
        <v>1740800.0000000002</v>
      </c>
      <c r="R5" s="44"/>
      <c r="S5" s="45"/>
      <c r="T5" s="38">
        <f t="shared" ref="T5:T19" si="0">G5+H5</f>
        <v>3</v>
      </c>
      <c r="U5" s="46">
        <f t="shared" ref="U5:U19" si="1">(O5/$A$10)*T5</f>
        <v>3</v>
      </c>
      <c r="V5" s="47">
        <f t="shared" ref="V5:V19" si="2">N5-M5</f>
        <v>0</v>
      </c>
      <c r="W5" s="48">
        <f t="shared" ref="W5:W19" si="3">(O5/A$10)</f>
        <v>1</v>
      </c>
      <c r="X5" s="43">
        <f t="shared" ref="X5:X19" si="4">W5*A$8</f>
        <v>3027299.0999999996</v>
      </c>
      <c r="Y5" s="43">
        <f t="shared" ref="Y5:Y19" si="5">Q5-P5</f>
        <v>460800.00000000023</v>
      </c>
      <c r="Z5" s="43">
        <f t="shared" ref="Z5:Z19" si="6">X5+(A$6*W5)</f>
        <v>4307299.0999999996</v>
      </c>
      <c r="AA5" s="49">
        <f t="shared" ref="AA5:AA19" si="7">Q5+X5</f>
        <v>4768099.0999999996</v>
      </c>
      <c r="AB5" s="50">
        <f t="shared" ref="AB5:AC15" si="8">Z5/(1+ElecDiscountRate)^1</f>
        <v>4033051.5917602992</v>
      </c>
      <c r="AC5" s="43">
        <f t="shared" si="8"/>
        <v>4464512.265917602</v>
      </c>
      <c r="AD5" s="43">
        <f t="shared" ref="AD5:AD19" si="9">-PV(ElecDiscountRate,T5,R5)*J5</f>
        <v>0</v>
      </c>
      <c r="AE5" s="43">
        <v>0</v>
      </c>
      <c r="AF5" s="51">
        <f>HLOOKUP(I5,ElecAvoidedCostsWOCC!$A$5:$Q$50,G5+1,FALSE)</f>
        <v>0.3572386251582097</v>
      </c>
      <c r="AG5" s="43">
        <f t="shared" ref="AG5:AG19" si="10">AF5*J5*K5</f>
        <v>9820132.5669740271</v>
      </c>
      <c r="AH5" s="51">
        <f>HLOOKUP(I5,ElecAvoidedCostsWOCC!$A$5:$Q$50,T5+1,FALSE)</f>
        <v>0.3572386251582097</v>
      </c>
      <c r="AI5" s="43">
        <f t="shared" ref="AI5:AI19" si="11">AH5*J5*L5</f>
        <v>0</v>
      </c>
      <c r="AJ5" s="43">
        <f>AG5+AI5</f>
        <v>9820132.5669740271</v>
      </c>
      <c r="AK5" s="43">
        <f>HLOOKUP(I5,ElecAvoidedCostsWOCC!$A$5:$Q$50,G5+1,FALSE)*J5*L5</f>
        <v>0</v>
      </c>
      <c r="AL5" s="43">
        <f>AG5+AI5-AK5</f>
        <v>9820132.5669740271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9820132.5669740271</v>
      </c>
      <c r="AN5" s="47">
        <f>AM5*1.1+AD5+AE5</f>
        <v>10802145.82367143</v>
      </c>
      <c r="AO5" s="46">
        <f>IFERROR(AM5/AB5,0)</f>
        <v>2.4349136983610591</v>
      </c>
      <c r="AP5" s="46">
        <f>AN5/AC5</f>
        <v>2.4195578778304103</v>
      </c>
    </row>
    <row r="6" spans="1:42" ht="13.5" customHeight="1" x14ac:dyDescent="0.25">
      <c r="A6" s="52">
        <f>SUMIF('Program Costs'!D:D,C2,'Program Costs'!L:L)</f>
        <v>1280000</v>
      </c>
      <c r="B6" s="88" t="s">
        <v>129</v>
      </c>
      <c r="C6" s="89">
        <v>18230723</v>
      </c>
      <c r="D6" s="60" t="s">
        <v>130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19" si="12">AG6+AI6</f>
        <v>#N/A</v>
      </c>
      <c r="AK6" s="43" t="e">
        <f>HLOOKUP(I6,ElecAvoidedCostsWOCC!$A$5:$Q$50,G6+1,FALSE)*J6*L6</f>
        <v>#N/A</v>
      </c>
      <c r="AL6" s="43" t="e">
        <f t="shared" ref="AL6:AL1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19" si="14">AM6*1.1+AD6+AE6</f>
        <v>0</v>
      </c>
      <c r="AO6" s="46">
        <f t="shared" ref="AO6:AO19" si="15">IFERROR(AM6/AB6,0)</f>
        <v>0</v>
      </c>
      <c r="AP6" s="46" t="e">
        <f t="shared" ref="AP6:AP19" si="16">AN6/AC6</f>
        <v>#DIV/0!</v>
      </c>
    </row>
    <row r="7" spans="1:42" ht="13.5" customHeight="1" x14ac:dyDescent="0.25">
      <c r="A7" s="35" t="s">
        <v>239</v>
      </c>
      <c r="B7" s="88" t="s">
        <v>129</v>
      </c>
      <c r="C7" s="89">
        <v>18230723</v>
      </c>
      <c r="D7" s="60" t="s">
        <v>130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3027299.0999999996</v>
      </c>
      <c r="B8" s="88" t="s">
        <v>129</v>
      </c>
      <c r="C8" s="89">
        <v>18230723</v>
      </c>
      <c r="D8" s="60" t="s">
        <v>130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129</v>
      </c>
      <c r="C9" s="89">
        <v>18230723</v>
      </c>
      <c r="D9" s="60" t="s">
        <v>130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19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SUM(O5:O994)</f>
        <v>27489000</v>
      </c>
      <c r="B10" s="88" t="s">
        <v>129</v>
      </c>
      <c r="C10" s="89">
        <v>18230723</v>
      </c>
      <c r="D10" s="60" t="s">
        <v>130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129</v>
      </c>
      <c r="C11" s="89">
        <v>18230723</v>
      </c>
      <c r="D11" s="60" t="s">
        <v>130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SUM(P5:P995)</f>
        <v>1280000</v>
      </c>
      <c r="B12" s="88" t="s">
        <v>129</v>
      </c>
      <c r="C12" s="89">
        <v>18230723</v>
      </c>
      <c r="D12" s="60" t="s">
        <v>130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129</v>
      </c>
      <c r="C13" s="89">
        <v>18230723</v>
      </c>
      <c r="D13" s="60" t="s">
        <v>130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SUM(Y5:Y995)</f>
        <v>460800.00000000023</v>
      </c>
      <c r="B14" s="88" t="s">
        <v>129</v>
      </c>
      <c r="C14" s="89">
        <v>18230723</v>
      </c>
      <c r="D14" s="60" t="s">
        <v>130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129</v>
      </c>
      <c r="C15" s="89">
        <v>18230723</v>
      </c>
      <c r="D15" s="60" t="s">
        <v>130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SUM(U5:U994)</f>
        <v>3</v>
      </c>
      <c r="B16" s="88" t="s">
        <v>129</v>
      </c>
      <c r="C16" s="89">
        <v>18230723</v>
      </c>
      <c r="D16" s="60" t="s">
        <v>130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ref="AB16:AC19" si="18">Z16/(1+ElecDiscountRate)^1</f>
        <v>0</v>
      </c>
      <c r="AC16" s="43">
        <f t="shared" si="1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18"/>
        <v>0</v>
      </c>
      <c r="AC17" s="43">
        <f t="shared" si="1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4307299.0999999996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18"/>
        <v>0</v>
      </c>
      <c r="AC18" s="43">
        <f t="shared" si="1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C19" s="60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18"/>
        <v>0</v>
      </c>
      <c r="AC19" s="43">
        <f t="shared" si="1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A8+SUM(Q5:Q901)</f>
        <v>4768099.0999999996</v>
      </c>
      <c r="B20" s="36"/>
      <c r="C20" s="60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ref="T20:T28" si="19">G20+H20</f>
        <v>0</v>
      </c>
      <c r="U20" s="46">
        <f t="shared" ref="U20:U28" si="20">(O20/$A$10)*T20</f>
        <v>0</v>
      </c>
      <c r="V20" s="47">
        <f t="shared" ref="V20:V28" si="21">N20-M20</f>
        <v>0</v>
      </c>
      <c r="W20" s="48">
        <f t="shared" ref="W20:W28" si="22">(O20/A$10)</f>
        <v>0</v>
      </c>
      <c r="X20" s="43">
        <f t="shared" ref="X20:X28" si="23">W20*A$8</f>
        <v>0</v>
      </c>
      <c r="Y20" s="43">
        <f t="shared" ref="Y20:Y28" si="24">Q20-P20</f>
        <v>0</v>
      </c>
      <c r="Z20" s="43">
        <f t="shared" ref="Z20:Z28" si="25">X20+(A$6*W20)</f>
        <v>0</v>
      </c>
      <c r="AA20" s="49">
        <f t="shared" ref="AA20:AA28" si="26">Q20+X20</f>
        <v>0</v>
      </c>
      <c r="AB20" s="50">
        <f t="shared" ref="AB20:AB28" si="27">Z20/(1+ElecDiscountRate)^1</f>
        <v>0</v>
      </c>
      <c r="AC20" s="43">
        <f t="shared" ref="AC20:AC28" si="28">AA20/(1+ElecDiscountRate)^1</f>
        <v>0</v>
      </c>
      <c r="AD20" s="43">
        <f t="shared" ref="AD20:AD28" si="29">-PV(ElecDiscountRate,T20,R20)*J20</f>
        <v>0</v>
      </c>
      <c r="AE20" s="43">
        <f t="shared" ref="AE20:AE28" si="30">-PV(ElecDiscountRate,T20,S20)*J20</f>
        <v>0</v>
      </c>
      <c r="AF20" s="51" t="e">
        <f>HLOOKUP(I20,ElecAvoidedCostsWOCC!$A$5:$Q$50,G20+1,FALSE)</f>
        <v>#N/A</v>
      </c>
      <c r="AG20" s="43" t="e">
        <f t="shared" ref="AG20:AG28" si="31">AF20*J20*K20</f>
        <v>#N/A</v>
      </c>
      <c r="AH20" s="51" t="e">
        <f>HLOOKUP(I20,ElecAvoidedCostsWOCC!$A$5:$Q$50,T20+1,FALSE)</f>
        <v>#N/A</v>
      </c>
      <c r="AI20" s="43" t="e">
        <f t="shared" ref="AI20:AI28" si="32">AH20*J20*L20</f>
        <v>#N/A</v>
      </c>
      <c r="AJ20" s="43" t="e">
        <f t="shared" ref="AJ20:AJ28" si="33">AG20+AI20</f>
        <v>#N/A</v>
      </c>
      <c r="AK20" s="43" t="e">
        <f>HLOOKUP(I20,ElecAvoidedCostsWOCC!$A$5:$Q$50,G20+1,FALSE)*J20*L20</f>
        <v>#N/A</v>
      </c>
      <c r="AL20" s="43" t="e">
        <f t="shared" ref="AL20:AL28" si="34">AG20+AI20-AK20</f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ref="AN20:AN28" si="35">AM20*1.1+AD20+AE20</f>
        <v>0</v>
      </c>
      <c r="AO20" s="46">
        <f t="shared" ref="AO20:AO28" si="36">IFERROR(AM20/AB20,0)</f>
        <v>0</v>
      </c>
      <c r="AP20" s="46" t="e">
        <f t="shared" ref="AP20:AP28" si="37">AN20/AC20</f>
        <v>#DIV/0!</v>
      </c>
    </row>
    <row r="21" spans="1:42" ht="13.5" customHeight="1" x14ac:dyDescent="0.25">
      <c r="A21" s="57" t="s">
        <v>235</v>
      </c>
      <c r="B21" s="36"/>
      <c r="C21" s="60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9"/>
        <v>0</v>
      </c>
      <c r="U21" s="46">
        <f t="shared" si="20"/>
        <v>0</v>
      </c>
      <c r="V21" s="47">
        <f t="shared" si="21"/>
        <v>0</v>
      </c>
      <c r="W21" s="48">
        <f t="shared" si="22"/>
        <v>0</v>
      </c>
      <c r="X21" s="43">
        <f t="shared" si="23"/>
        <v>0</v>
      </c>
      <c r="Y21" s="43">
        <f t="shared" si="24"/>
        <v>0</v>
      </c>
      <c r="Z21" s="43">
        <f t="shared" si="25"/>
        <v>0</v>
      </c>
      <c r="AA21" s="49">
        <f t="shared" si="26"/>
        <v>0</v>
      </c>
      <c r="AB21" s="50">
        <f t="shared" si="27"/>
        <v>0</v>
      </c>
      <c r="AC21" s="43">
        <f t="shared" si="28"/>
        <v>0</v>
      </c>
      <c r="AD21" s="43">
        <f t="shared" si="29"/>
        <v>0</v>
      </c>
      <c r="AE21" s="43">
        <f t="shared" si="30"/>
        <v>0</v>
      </c>
      <c r="AF21" s="51" t="e">
        <f>HLOOKUP(I21,ElecAvoidedCostsWOCC!$A$5:$Q$50,G21+1,FALSE)</f>
        <v>#N/A</v>
      </c>
      <c r="AG21" s="43" t="e">
        <f t="shared" si="31"/>
        <v>#N/A</v>
      </c>
      <c r="AH21" s="51" t="e">
        <f>HLOOKUP(I21,ElecAvoidedCostsWOCC!$A$5:$Q$50,T21+1,FALSE)</f>
        <v>#N/A</v>
      </c>
      <c r="AI21" s="43" t="e">
        <f t="shared" si="32"/>
        <v>#N/A</v>
      </c>
      <c r="AJ21" s="43" t="e">
        <f t="shared" si="33"/>
        <v>#N/A</v>
      </c>
      <c r="AK21" s="43" t="e">
        <f>HLOOKUP(I21,ElecAvoidedCostsWOCC!$A$5:$Q$50,G21+1,FALSE)*J21*L21</f>
        <v>#N/A</v>
      </c>
      <c r="AL21" s="43" t="e">
        <f t="shared" si="34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5"/>
        <v>0</v>
      </c>
      <c r="AO21" s="46">
        <f t="shared" si="36"/>
        <v>0</v>
      </c>
      <c r="AP21" s="46" t="e">
        <f t="shared" si="37"/>
        <v>#DIV/0!</v>
      </c>
    </row>
    <row r="22" spans="1:42" ht="13.5" customHeight="1" x14ac:dyDescent="0.25">
      <c r="A22" s="59">
        <f>(SUM(AM5:AM995)/(SUM(AB5:AB995)))</f>
        <v>2.4349136983610591</v>
      </c>
      <c r="B22" s="36"/>
      <c r="C22" s="60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9"/>
        <v>0</v>
      </c>
      <c r="U22" s="46">
        <f t="shared" si="20"/>
        <v>0</v>
      </c>
      <c r="V22" s="47">
        <f t="shared" si="21"/>
        <v>0</v>
      </c>
      <c r="W22" s="48">
        <f t="shared" si="22"/>
        <v>0</v>
      </c>
      <c r="X22" s="43">
        <f t="shared" si="23"/>
        <v>0</v>
      </c>
      <c r="Y22" s="43">
        <f t="shared" si="24"/>
        <v>0</v>
      </c>
      <c r="Z22" s="43">
        <f t="shared" si="25"/>
        <v>0</v>
      </c>
      <c r="AA22" s="49">
        <f t="shared" si="26"/>
        <v>0</v>
      </c>
      <c r="AB22" s="50">
        <f t="shared" si="27"/>
        <v>0</v>
      </c>
      <c r="AC22" s="43">
        <f t="shared" si="28"/>
        <v>0</v>
      </c>
      <c r="AD22" s="43">
        <f t="shared" si="29"/>
        <v>0</v>
      </c>
      <c r="AE22" s="43">
        <f t="shared" si="30"/>
        <v>0</v>
      </c>
      <c r="AF22" s="51" t="e">
        <f>HLOOKUP(I22,ElecAvoidedCostsWOCC!$A$5:$Q$50,G22+1,FALSE)</f>
        <v>#N/A</v>
      </c>
      <c r="AG22" s="43" t="e">
        <f t="shared" si="31"/>
        <v>#N/A</v>
      </c>
      <c r="AH22" s="51" t="e">
        <f>HLOOKUP(I22,ElecAvoidedCostsWOCC!$A$5:$Q$50,T22+1,FALSE)</f>
        <v>#N/A</v>
      </c>
      <c r="AI22" s="43" t="e">
        <f t="shared" si="32"/>
        <v>#N/A</v>
      </c>
      <c r="AJ22" s="43" t="e">
        <f t="shared" si="33"/>
        <v>#N/A</v>
      </c>
      <c r="AK22" s="43" t="e">
        <f>HLOOKUP(I22,ElecAvoidedCostsWOCC!$A$5:$Q$50,G22+1,FALSE)*J22*L22</f>
        <v>#N/A</v>
      </c>
      <c r="AL22" s="43" t="e">
        <f t="shared" si="34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5"/>
        <v>0</v>
      </c>
      <c r="AO22" s="46">
        <f t="shared" si="36"/>
        <v>0</v>
      </c>
      <c r="AP22" s="46" t="e">
        <f t="shared" si="37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9"/>
        <v>0</v>
      </c>
      <c r="U23" s="46">
        <f t="shared" si="20"/>
        <v>0</v>
      </c>
      <c r="V23" s="47">
        <f t="shared" si="21"/>
        <v>0</v>
      </c>
      <c r="W23" s="48">
        <f t="shared" si="22"/>
        <v>0</v>
      </c>
      <c r="X23" s="43">
        <f t="shared" si="23"/>
        <v>0</v>
      </c>
      <c r="Y23" s="43">
        <f t="shared" si="24"/>
        <v>0</v>
      </c>
      <c r="Z23" s="43">
        <f t="shared" si="25"/>
        <v>0</v>
      </c>
      <c r="AA23" s="49">
        <f t="shared" si="26"/>
        <v>0</v>
      </c>
      <c r="AB23" s="50">
        <f t="shared" si="27"/>
        <v>0</v>
      </c>
      <c r="AC23" s="43">
        <f t="shared" si="28"/>
        <v>0</v>
      </c>
      <c r="AD23" s="43">
        <f t="shared" si="29"/>
        <v>0</v>
      </c>
      <c r="AE23" s="43">
        <f t="shared" si="30"/>
        <v>0</v>
      </c>
      <c r="AF23" s="51" t="e">
        <f>HLOOKUP(I23,ElecAvoidedCostsWOCC!$A$5:$Q$50,G23+1,FALSE)</f>
        <v>#N/A</v>
      </c>
      <c r="AG23" s="43" t="e">
        <f t="shared" si="31"/>
        <v>#N/A</v>
      </c>
      <c r="AH23" s="51" t="e">
        <f>HLOOKUP(I23,ElecAvoidedCostsWOCC!$A$5:$Q$50,T23+1,FALSE)</f>
        <v>#N/A</v>
      </c>
      <c r="AI23" s="43" t="e">
        <f t="shared" si="32"/>
        <v>#N/A</v>
      </c>
      <c r="AJ23" s="43" t="e">
        <f t="shared" si="33"/>
        <v>#N/A</v>
      </c>
      <c r="AK23" s="43" t="e">
        <f>HLOOKUP(I23,ElecAvoidedCostsWOCC!$A$5:$Q$50,G23+1,FALSE)*J23*L23</f>
        <v>#N/A</v>
      </c>
      <c r="AL23" s="43" t="e">
        <f t="shared" si="34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5"/>
        <v>0</v>
      </c>
      <c r="AO23" s="46">
        <f t="shared" si="36"/>
        <v>0</v>
      </c>
      <c r="AP23" s="46" t="e">
        <f t="shared" si="37"/>
        <v>#DIV/0!</v>
      </c>
    </row>
    <row r="24" spans="1:42" ht="13.5" customHeight="1" x14ac:dyDescent="0.25">
      <c r="A24" s="59">
        <f>(SUM(AN5:AN995)/SUM(AC5:AC995))</f>
        <v>2.4195578778304103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9"/>
        <v>0</v>
      </c>
      <c r="U24" s="46">
        <f t="shared" si="20"/>
        <v>0</v>
      </c>
      <c r="V24" s="47">
        <f t="shared" si="21"/>
        <v>0</v>
      </c>
      <c r="W24" s="48">
        <f t="shared" si="22"/>
        <v>0</v>
      </c>
      <c r="X24" s="43">
        <f t="shared" si="23"/>
        <v>0</v>
      </c>
      <c r="Y24" s="43">
        <f t="shared" si="24"/>
        <v>0</v>
      </c>
      <c r="Z24" s="43">
        <f t="shared" si="25"/>
        <v>0</v>
      </c>
      <c r="AA24" s="49">
        <f t="shared" si="26"/>
        <v>0</v>
      </c>
      <c r="AB24" s="50">
        <f t="shared" si="27"/>
        <v>0</v>
      </c>
      <c r="AC24" s="43">
        <f t="shared" si="28"/>
        <v>0</v>
      </c>
      <c r="AD24" s="43">
        <f t="shared" si="29"/>
        <v>0</v>
      </c>
      <c r="AE24" s="43">
        <f t="shared" si="30"/>
        <v>0</v>
      </c>
      <c r="AF24" s="51" t="e">
        <f>HLOOKUP(I24,ElecAvoidedCostsWOCC!$A$5:$Q$50,G24+1,FALSE)</f>
        <v>#N/A</v>
      </c>
      <c r="AG24" s="43" t="e">
        <f t="shared" si="31"/>
        <v>#N/A</v>
      </c>
      <c r="AH24" s="51" t="e">
        <f>HLOOKUP(I24,ElecAvoidedCostsWOCC!$A$5:$Q$50,T24+1,FALSE)</f>
        <v>#N/A</v>
      </c>
      <c r="AI24" s="43" t="e">
        <f t="shared" si="32"/>
        <v>#N/A</v>
      </c>
      <c r="AJ24" s="43" t="e">
        <f t="shared" si="33"/>
        <v>#N/A</v>
      </c>
      <c r="AK24" s="43" t="e">
        <f>HLOOKUP(I24,ElecAvoidedCostsWOCC!$A$5:$Q$50,G24+1,FALSE)*J24*L24</f>
        <v>#N/A</v>
      </c>
      <c r="AL24" s="43" t="e">
        <f t="shared" si="34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5"/>
        <v>0</v>
      </c>
      <c r="AO24" s="46">
        <f t="shared" si="36"/>
        <v>0</v>
      </c>
      <c r="AP24" s="46" t="e">
        <f t="shared" si="3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9"/>
        <v>0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 t="e">
        <f>HLOOKUP(I25,ElecAvoidedCostsWOCC!$A$5:$Q$50,G25+1,FALSE)</f>
        <v>#N/A</v>
      </c>
      <c r="AG25" s="43" t="e">
        <f t="shared" si="31"/>
        <v>#N/A</v>
      </c>
      <c r="AH25" s="51" t="e">
        <f>HLOOKUP(I25,ElecAvoidedCostsWOCC!$A$5:$Q$50,T25+1,FALSE)</f>
        <v>#N/A</v>
      </c>
      <c r="AI25" s="43" t="e">
        <f t="shared" si="32"/>
        <v>#N/A</v>
      </c>
      <c r="AJ25" s="43" t="e">
        <f t="shared" si="33"/>
        <v>#N/A</v>
      </c>
      <c r="AK25" s="43" t="e">
        <f>HLOOKUP(I25,ElecAvoidedCostsWOCC!$A$5:$Q$50,G25+1,FALSE)*J25*L25</f>
        <v>#N/A</v>
      </c>
      <c r="AL25" s="43" t="e">
        <f t="shared" si="34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</sheetData>
  <conditionalFormatting sqref="J5:L28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R5:S28 M5:N28">
    <cfRule type="expression" dxfId="222" priority="2">
      <formula>ISTEXT(M5)</formula>
    </cfRule>
  </conditionalFormatting>
  <conditionalFormatting sqref="R5:S28 M5:N28">
    <cfRule type="notContainsBlanks" dxfId="221" priority="3">
      <formula>LEN(TRIM(M5))&gt;0</formula>
    </cfRule>
  </conditionalFormatting>
  <conditionalFormatting sqref="R5:S28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3"/>
  <sheetViews>
    <sheetView zoomScale="70" zoomScaleNormal="70" workbookViewId="0">
      <selection activeCell="G54" sqref="G54"/>
    </sheetView>
  </sheetViews>
  <sheetFormatPr defaultColWidth="9.140625" defaultRowHeight="15" x14ac:dyDescent="0.25"/>
  <cols>
    <col min="1" max="1" width="16.42578125" style="93" customWidth="1"/>
    <col min="2" max="2" width="14.5703125" style="239" customWidth="1"/>
    <col min="3" max="3" width="41.42578125" style="239" customWidth="1"/>
    <col min="4" max="4" width="41.42578125" style="239" hidden="1" customWidth="1"/>
    <col min="5" max="5" width="14.42578125" style="239" hidden="1" customWidth="1"/>
    <col min="6" max="6" width="13.5703125" style="239" customWidth="1"/>
    <col min="7" max="7" width="20.140625" style="239" customWidth="1"/>
    <col min="8" max="8" width="16.42578125" style="239" customWidth="1"/>
    <col min="9" max="9" width="20.140625" style="239" customWidth="1"/>
    <col min="10" max="10" width="15.42578125" style="239" customWidth="1"/>
    <col min="11" max="11" width="14.5703125" style="239" customWidth="1"/>
    <col min="12" max="12" width="16.42578125" style="239" customWidth="1"/>
    <col min="13" max="13" width="15" style="239" hidden="1" customWidth="1"/>
    <col min="14" max="14" width="16.5703125" style="239" customWidth="1"/>
    <col min="15" max="15" width="16.42578125" style="239" customWidth="1"/>
    <col min="16" max="16" width="17.140625" style="239" hidden="1" customWidth="1"/>
    <col min="17" max="17" width="20" style="239" customWidth="1"/>
    <col min="18" max="18" width="20.5703125" style="239" customWidth="1"/>
    <col min="19" max="19" width="17.42578125" style="239" customWidth="1"/>
    <col min="20" max="20" width="19.5703125" style="380" customWidth="1"/>
    <col min="21" max="21" width="16.140625" style="239" customWidth="1"/>
    <col min="22" max="22" width="17.5703125" style="239" customWidth="1"/>
    <col min="23" max="23" width="4.140625" style="93" customWidth="1"/>
    <col min="24" max="27" width="16.7109375" style="97" customWidth="1"/>
    <col min="28" max="916" width="9.140625" style="97"/>
    <col min="917" max="16384" width="9.140625" style="239"/>
  </cols>
  <sheetData>
    <row r="1" spans="1:916" s="268" customFormat="1" x14ac:dyDescent="0.25">
      <c r="A1" s="97"/>
      <c r="B1" s="94" t="s">
        <v>2021</v>
      </c>
      <c r="C1" s="97"/>
      <c r="D1" s="97"/>
      <c r="E1" s="97"/>
      <c r="F1" s="261"/>
      <c r="G1" s="261"/>
      <c r="H1" s="261"/>
      <c r="I1" s="262"/>
      <c r="J1" s="98"/>
      <c r="K1" s="98"/>
      <c r="L1" s="98"/>
      <c r="M1" s="98"/>
      <c r="N1" s="263"/>
      <c r="O1" s="98"/>
      <c r="P1" s="264"/>
      <c r="Q1" s="265"/>
      <c r="R1" s="262"/>
      <c r="S1" s="262"/>
      <c r="T1" s="266"/>
      <c r="U1" s="267"/>
      <c r="V1" s="26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  <c r="OL1" s="97"/>
      <c r="OM1" s="97"/>
      <c r="ON1" s="97"/>
      <c r="OO1" s="97"/>
      <c r="OP1" s="97"/>
      <c r="OQ1" s="97"/>
      <c r="OR1" s="97"/>
      <c r="OS1" s="97"/>
      <c r="OT1" s="97"/>
      <c r="OU1" s="97"/>
      <c r="OV1" s="97"/>
      <c r="OW1" s="97"/>
      <c r="OX1" s="97"/>
      <c r="OY1" s="97"/>
      <c r="OZ1" s="97"/>
      <c r="PA1" s="97"/>
      <c r="PB1" s="97"/>
      <c r="PC1" s="97"/>
      <c r="PD1" s="97"/>
      <c r="PE1" s="97"/>
      <c r="PF1" s="97"/>
      <c r="PG1" s="97"/>
      <c r="PH1" s="97"/>
      <c r="PI1" s="97"/>
      <c r="PJ1" s="97"/>
      <c r="PK1" s="97"/>
      <c r="PL1" s="97"/>
      <c r="PM1" s="97"/>
      <c r="PN1" s="97"/>
      <c r="PO1" s="97"/>
      <c r="PP1" s="97"/>
      <c r="PQ1" s="97"/>
      <c r="PR1" s="97"/>
      <c r="PS1" s="97"/>
      <c r="PT1" s="97"/>
      <c r="PU1" s="97"/>
      <c r="PV1" s="97"/>
      <c r="PW1" s="97"/>
      <c r="PX1" s="97"/>
      <c r="PY1" s="97"/>
      <c r="PZ1" s="97"/>
      <c r="QA1" s="97"/>
      <c r="QB1" s="97"/>
      <c r="QC1" s="97"/>
      <c r="QD1" s="97"/>
      <c r="QE1" s="97"/>
      <c r="QF1" s="97"/>
      <c r="QG1" s="97"/>
      <c r="QH1" s="97"/>
      <c r="QI1" s="97"/>
      <c r="QJ1" s="97"/>
      <c r="QK1" s="97"/>
      <c r="QL1" s="97"/>
      <c r="QM1" s="97"/>
      <c r="QN1" s="97"/>
      <c r="QO1" s="97"/>
      <c r="QP1" s="97"/>
      <c r="QQ1" s="97"/>
      <c r="QR1" s="97"/>
      <c r="QS1" s="97"/>
      <c r="QT1" s="97"/>
      <c r="QU1" s="97"/>
      <c r="QV1" s="97"/>
      <c r="QW1" s="97"/>
      <c r="QX1" s="97"/>
      <c r="QY1" s="97"/>
      <c r="QZ1" s="97"/>
      <c r="RA1" s="97"/>
      <c r="RB1" s="97"/>
      <c r="RC1" s="97"/>
      <c r="RD1" s="97"/>
      <c r="RE1" s="97"/>
      <c r="RF1" s="97"/>
      <c r="RG1" s="97"/>
      <c r="RH1" s="97"/>
      <c r="RI1" s="97"/>
      <c r="RJ1" s="97"/>
      <c r="RK1" s="97"/>
      <c r="RL1" s="97"/>
      <c r="RM1" s="97"/>
      <c r="RN1" s="97"/>
      <c r="RO1" s="97"/>
      <c r="RP1" s="97"/>
      <c r="RQ1" s="97"/>
      <c r="RR1" s="97"/>
      <c r="RS1" s="97"/>
      <c r="RT1" s="97"/>
      <c r="RU1" s="97"/>
      <c r="RV1" s="97"/>
      <c r="RW1" s="97"/>
      <c r="RX1" s="97"/>
      <c r="RY1" s="97"/>
      <c r="RZ1" s="97"/>
      <c r="SA1" s="97"/>
      <c r="SB1" s="97"/>
      <c r="SC1" s="97"/>
      <c r="SD1" s="97"/>
      <c r="SE1" s="97"/>
      <c r="SF1" s="97"/>
      <c r="SG1" s="97"/>
      <c r="SH1" s="97"/>
      <c r="SI1" s="97"/>
      <c r="SJ1" s="97"/>
      <c r="SK1" s="97"/>
      <c r="SL1" s="97"/>
      <c r="SM1" s="97"/>
      <c r="SN1" s="97"/>
      <c r="SO1" s="97"/>
      <c r="SP1" s="97"/>
      <c r="SQ1" s="97"/>
      <c r="SR1" s="97"/>
      <c r="SS1" s="97"/>
      <c r="ST1" s="97"/>
      <c r="SU1" s="97"/>
      <c r="SV1" s="97"/>
      <c r="SW1" s="97"/>
      <c r="SX1" s="97"/>
      <c r="SY1" s="97"/>
      <c r="SZ1" s="97"/>
      <c r="TA1" s="97"/>
      <c r="TB1" s="97"/>
      <c r="TC1" s="97"/>
      <c r="TD1" s="97"/>
      <c r="TE1" s="97"/>
      <c r="TF1" s="97"/>
      <c r="TG1" s="97"/>
      <c r="TH1" s="97"/>
      <c r="TI1" s="97"/>
      <c r="TJ1" s="97"/>
      <c r="TK1" s="97"/>
      <c r="TL1" s="97"/>
      <c r="TM1" s="97"/>
      <c r="TN1" s="97"/>
      <c r="TO1" s="97"/>
      <c r="TP1" s="97"/>
      <c r="TQ1" s="97"/>
      <c r="TR1" s="97"/>
      <c r="TS1" s="97"/>
      <c r="TT1" s="97"/>
      <c r="TU1" s="97"/>
      <c r="TV1" s="97"/>
      <c r="TW1" s="97"/>
      <c r="TX1" s="97"/>
      <c r="TY1" s="97"/>
      <c r="TZ1" s="97"/>
      <c r="UA1" s="97"/>
      <c r="UB1" s="97"/>
      <c r="UC1" s="97"/>
      <c r="UD1" s="97"/>
      <c r="UE1" s="97"/>
      <c r="UF1" s="97"/>
      <c r="UG1" s="97"/>
      <c r="UH1" s="97"/>
      <c r="UI1" s="97"/>
      <c r="UJ1" s="97"/>
      <c r="UK1" s="97"/>
      <c r="UL1" s="97"/>
      <c r="UM1" s="97"/>
      <c r="UN1" s="97"/>
      <c r="UO1" s="97"/>
      <c r="UP1" s="97"/>
      <c r="UQ1" s="97"/>
      <c r="UR1" s="97"/>
      <c r="US1" s="97"/>
      <c r="UT1" s="97"/>
      <c r="UU1" s="97"/>
      <c r="UV1" s="97"/>
      <c r="UW1" s="97"/>
      <c r="UX1" s="97"/>
      <c r="UY1" s="97"/>
      <c r="UZ1" s="97"/>
      <c r="VA1" s="97"/>
      <c r="VB1" s="97"/>
      <c r="VC1" s="97"/>
      <c r="VD1" s="97"/>
      <c r="VE1" s="97"/>
      <c r="VF1" s="97"/>
      <c r="VG1" s="97"/>
      <c r="VH1" s="97"/>
      <c r="VI1" s="97"/>
      <c r="VJ1" s="97"/>
      <c r="VK1" s="97"/>
      <c r="VL1" s="97"/>
      <c r="VM1" s="97"/>
      <c r="VN1" s="97"/>
      <c r="VO1" s="97"/>
      <c r="VP1" s="97"/>
      <c r="VQ1" s="97"/>
      <c r="VR1" s="97"/>
      <c r="VS1" s="97"/>
      <c r="VT1" s="97"/>
      <c r="VU1" s="97"/>
      <c r="VV1" s="97"/>
      <c r="VW1" s="97"/>
      <c r="VX1" s="97"/>
      <c r="VY1" s="97"/>
      <c r="VZ1" s="97"/>
      <c r="WA1" s="97"/>
      <c r="WB1" s="97"/>
      <c r="WC1" s="97"/>
      <c r="WD1" s="97"/>
      <c r="WE1" s="97"/>
      <c r="WF1" s="97"/>
      <c r="WG1" s="97"/>
      <c r="WH1" s="97"/>
      <c r="WI1" s="97"/>
      <c r="WJ1" s="97"/>
      <c r="WK1" s="97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W1" s="97"/>
      <c r="XX1" s="97"/>
      <c r="XY1" s="97"/>
      <c r="XZ1" s="97"/>
      <c r="YA1" s="97"/>
      <c r="YB1" s="97"/>
      <c r="YC1" s="97"/>
      <c r="YD1" s="97"/>
      <c r="YE1" s="97"/>
      <c r="YF1" s="97"/>
      <c r="YG1" s="97"/>
      <c r="YH1" s="97"/>
      <c r="YI1" s="97"/>
      <c r="YJ1" s="97"/>
      <c r="YK1" s="97"/>
      <c r="YL1" s="97"/>
      <c r="YM1" s="97"/>
      <c r="YN1" s="97"/>
      <c r="YO1" s="97"/>
      <c r="YP1" s="97"/>
      <c r="YQ1" s="97"/>
      <c r="YR1" s="97"/>
      <c r="YS1" s="97"/>
      <c r="YT1" s="97"/>
      <c r="YU1" s="97"/>
      <c r="YV1" s="97"/>
      <c r="YW1" s="97"/>
      <c r="YX1" s="97"/>
      <c r="YY1" s="97"/>
      <c r="YZ1" s="97"/>
      <c r="ZA1" s="97"/>
      <c r="ZB1" s="97"/>
      <c r="ZC1" s="97"/>
      <c r="ZD1" s="97"/>
      <c r="ZE1" s="97"/>
      <c r="ZF1" s="97"/>
      <c r="ZG1" s="97"/>
      <c r="ZH1" s="97"/>
      <c r="ZI1" s="97"/>
      <c r="ZJ1" s="97"/>
      <c r="ZK1" s="97"/>
      <c r="ZL1" s="97"/>
      <c r="ZM1" s="97"/>
      <c r="ZN1" s="97"/>
      <c r="ZO1" s="97"/>
      <c r="ZP1" s="97"/>
      <c r="ZQ1" s="97"/>
      <c r="ZR1" s="97"/>
      <c r="ZS1" s="97"/>
      <c r="ZT1" s="97"/>
      <c r="ZU1" s="97"/>
      <c r="ZV1" s="97"/>
      <c r="ZW1" s="97"/>
      <c r="ZX1" s="97"/>
      <c r="ZY1" s="97"/>
      <c r="ZZ1" s="97"/>
      <c r="AAA1" s="97"/>
      <c r="AAB1" s="97"/>
      <c r="AAC1" s="97"/>
      <c r="AAD1" s="97"/>
      <c r="AAE1" s="97"/>
      <c r="AAF1" s="97"/>
      <c r="AAG1" s="97"/>
      <c r="AAH1" s="97"/>
      <c r="AAI1" s="97"/>
      <c r="AAJ1" s="97"/>
      <c r="AAK1" s="97"/>
      <c r="AAL1" s="97"/>
      <c r="AAM1" s="97"/>
      <c r="AAN1" s="97"/>
      <c r="AAO1" s="97"/>
      <c r="AAP1" s="97"/>
      <c r="AAQ1" s="97"/>
      <c r="AAR1" s="97"/>
      <c r="AAS1" s="97"/>
      <c r="AAT1" s="97"/>
      <c r="AAU1" s="97"/>
      <c r="AAV1" s="97"/>
      <c r="AAW1" s="97"/>
      <c r="AAX1" s="97"/>
      <c r="AAY1" s="97"/>
      <c r="AAZ1" s="97"/>
      <c r="ABA1" s="97"/>
      <c r="ABB1" s="97"/>
      <c r="ABC1" s="97"/>
      <c r="ABD1" s="97"/>
      <c r="ABE1" s="97"/>
      <c r="ABF1" s="97"/>
      <c r="ABG1" s="97"/>
      <c r="ABH1" s="97"/>
      <c r="ABI1" s="97"/>
      <c r="ABJ1" s="97"/>
      <c r="ABK1" s="97"/>
      <c r="ABL1" s="97"/>
      <c r="ABM1" s="97"/>
      <c r="ABN1" s="97"/>
      <c r="ABO1" s="97"/>
      <c r="ABP1" s="97"/>
      <c r="ABQ1" s="97"/>
      <c r="ABR1" s="97"/>
      <c r="ABS1" s="97"/>
      <c r="ABT1" s="97"/>
      <c r="ABU1" s="97"/>
      <c r="ABV1" s="97"/>
      <c r="ABW1" s="97"/>
      <c r="ABX1" s="97"/>
      <c r="ABY1" s="97"/>
      <c r="ABZ1" s="97"/>
      <c r="ACA1" s="97"/>
      <c r="ACB1" s="97"/>
      <c r="ACC1" s="97"/>
      <c r="ACD1" s="97"/>
      <c r="ACE1" s="97"/>
      <c r="ACF1" s="97"/>
      <c r="ACG1" s="97"/>
      <c r="ACH1" s="97"/>
      <c r="ACI1" s="97"/>
      <c r="ACJ1" s="97"/>
      <c r="ACK1" s="97"/>
      <c r="ACL1" s="97"/>
      <c r="ACM1" s="97"/>
      <c r="ACN1" s="97"/>
      <c r="ACO1" s="97"/>
      <c r="ACP1" s="97"/>
      <c r="ACQ1" s="97"/>
      <c r="ACR1" s="97"/>
      <c r="ACS1" s="97"/>
      <c r="ACT1" s="97"/>
      <c r="ACU1" s="97"/>
      <c r="ACV1" s="97"/>
      <c r="ACW1" s="97"/>
      <c r="ACX1" s="97"/>
      <c r="ACY1" s="97"/>
      <c r="ACZ1" s="97"/>
      <c r="ADA1" s="97"/>
      <c r="ADB1" s="97"/>
      <c r="ADC1" s="97"/>
      <c r="ADD1" s="97"/>
      <c r="ADE1" s="97"/>
      <c r="ADF1" s="97"/>
      <c r="ADG1" s="97"/>
      <c r="ADH1" s="97"/>
      <c r="ADI1" s="97"/>
      <c r="ADJ1" s="97"/>
      <c r="ADK1" s="97"/>
      <c r="ADL1" s="97"/>
      <c r="ADM1" s="97"/>
      <c r="ADN1" s="97"/>
      <c r="ADO1" s="97"/>
      <c r="ADP1" s="97"/>
      <c r="ADQ1" s="97"/>
      <c r="ADR1" s="97"/>
      <c r="ADS1" s="97"/>
      <c r="ADT1" s="97"/>
      <c r="ADU1" s="97"/>
      <c r="ADV1" s="97"/>
      <c r="ADW1" s="97"/>
      <c r="ADX1" s="97"/>
      <c r="ADY1" s="97"/>
      <c r="ADZ1" s="97"/>
      <c r="AEA1" s="97"/>
      <c r="AEB1" s="97"/>
      <c r="AEC1" s="97"/>
      <c r="AED1" s="97"/>
      <c r="AEE1" s="97"/>
      <c r="AEF1" s="97"/>
      <c r="AEG1" s="97"/>
      <c r="AEH1" s="97"/>
      <c r="AEI1" s="97"/>
      <c r="AEJ1" s="97"/>
      <c r="AEK1" s="97"/>
      <c r="AEL1" s="97"/>
      <c r="AEM1" s="97"/>
      <c r="AEN1" s="97"/>
      <c r="AEO1" s="97"/>
      <c r="AEP1" s="97"/>
      <c r="AEQ1" s="97"/>
      <c r="AER1" s="97"/>
      <c r="AES1" s="97"/>
      <c r="AET1" s="97"/>
      <c r="AEU1" s="97"/>
      <c r="AEV1" s="97"/>
      <c r="AEW1" s="97"/>
      <c r="AEX1" s="97"/>
      <c r="AEY1" s="97"/>
      <c r="AEZ1" s="97"/>
      <c r="AFA1" s="97"/>
      <c r="AFB1" s="97"/>
      <c r="AFC1" s="97"/>
      <c r="AFD1" s="97"/>
      <c r="AFE1" s="97"/>
      <c r="AFF1" s="97"/>
      <c r="AFG1" s="97"/>
      <c r="AFH1" s="97"/>
      <c r="AFI1" s="97"/>
      <c r="AFJ1" s="97"/>
      <c r="AFK1" s="97"/>
      <c r="AFL1" s="97"/>
      <c r="AFM1" s="97"/>
      <c r="AFN1" s="97"/>
      <c r="AFO1" s="97"/>
      <c r="AFP1" s="97"/>
      <c r="AFQ1" s="97"/>
      <c r="AFR1" s="97"/>
      <c r="AFS1" s="97"/>
      <c r="AFT1" s="97"/>
      <c r="AFU1" s="97"/>
      <c r="AFV1" s="97"/>
      <c r="AFW1" s="97"/>
      <c r="AFX1" s="97"/>
      <c r="AFY1" s="97"/>
      <c r="AFZ1" s="97"/>
      <c r="AGA1" s="97"/>
      <c r="AGB1" s="97"/>
      <c r="AGC1" s="97"/>
      <c r="AGD1" s="97"/>
      <c r="AGE1" s="97"/>
      <c r="AGF1" s="97"/>
      <c r="AGG1" s="97"/>
      <c r="AGH1" s="97"/>
      <c r="AGI1" s="97"/>
      <c r="AGJ1" s="97"/>
      <c r="AGK1" s="97"/>
      <c r="AGL1" s="97"/>
      <c r="AGM1" s="97"/>
      <c r="AGN1" s="97"/>
      <c r="AGO1" s="97"/>
      <c r="AGP1" s="97"/>
      <c r="AGQ1" s="97"/>
      <c r="AGR1" s="97"/>
      <c r="AGS1" s="97"/>
      <c r="AGT1" s="97"/>
      <c r="AGU1" s="97"/>
      <c r="AGV1" s="97"/>
      <c r="AGW1" s="97"/>
      <c r="AGX1" s="97"/>
      <c r="AGY1" s="97"/>
      <c r="AGZ1" s="97"/>
      <c r="AHA1" s="97"/>
      <c r="AHB1" s="97"/>
      <c r="AHC1" s="97"/>
      <c r="AHD1" s="97"/>
      <c r="AHE1" s="97"/>
      <c r="AHF1" s="97"/>
      <c r="AHG1" s="97"/>
      <c r="AHH1" s="97"/>
      <c r="AHI1" s="97"/>
      <c r="AHJ1" s="97"/>
      <c r="AHK1" s="97"/>
      <c r="AHL1" s="97"/>
      <c r="AHM1" s="97"/>
      <c r="AHN1" s="97"/>
      <c r="AHO1" s="97"/>
      <c r="AHP1" s="97"/>
      <c r="AHQ1" s="97"/>
      <c r="AHR1" s="97"/>
      <c r="AHS1" s="97"/>
      <c r="AHT1" s="97"/>
      <c r="AHU1" s="97"/>
      <c r="AHV1" s="97"/>
      <c r="AHW1" s="97"/>
      <c r="AHX1" s="97"/>
      <c r="AHY1" s="97"/>
      <c r="AHZ1" s="97"/>
      <c r="AIA1" s="97"/>
      <c r="AIB1" s="97"/>
      <c r="AIC1" s="97"/>
      <c r="AID1" s="97"/>
      <c r="AIE1" s="97"/>
      <c r="AIF1" s="97"/>
    </row>
    <row r="2" spans="1:916" s="11" customFormat="1" x14ac:dyDescent="0.25">
      <c r="A2" s="16"/>
      <c r="B2" s="269" t="s">
        <v>330</v>
      </c>
      <c r="C2" s="270">
        <f>GasDiscountRate</f>
        <v>6.8000000000000005E-2</v>
      </c>
      <c r="D2" s="270"/>
      <c r="E2" s="271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6" t="s">
        <v>333</v>
      </c>
      <c r="V2" s="106" t="s">
        <v>333</v>
      </c>
      <c r="W2" s="272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3"/>
      <c r="LM2" s="273"/>
      <c r="LN2" s="273"/>
      <c r="LO2" s="273"/>
      <c r="LP2" s="273"/>
      <c r="LQ2" s="273"/>
      <c r="LR2" s="273"/>
      <c r="LS2" s="273"/>
      <c r="LT2" s="273"/>
      <c r="LU2" s="273"/>
      <c r="LV2" s="273"/>
      <c r="LW2" s="273"/>
      <c r="LX2" s="273"/>
      <c r="LY2" s="273"/>
      <c r="LZ2" s="273"/>
      <c r="MA2" s="273"/>
      <c r="MB2" s="273"/>
      <c r="MC2" s="273"/>
      <c r="MD2" s="273"/>
      <c r="ME2" s="273"/>
      <c r="MF2" s="273"/>
      <c r="MG2" s="273"/>
      <c r="MH2" s="273"/>
      <c r="MI2" s="273"/>
      <c r="MJ2" s="273"/>
      <c r="MK2" s="273"/>
      <c r="ML2" s="273"/>
      <c r="MM2" s="273"/>
      <c r="MN2" s="273"/>
      <c r="MO2" s="273"/>
      <c r="MP2" s="273"/>
      <c r="MQ2" s="273"/>
      <c r="MR2" s="273"/>
      <c r="MS2" s="273"/>
      <c r="MT2" s="273"/>
      <c r="MU2" s="273"/>
      <c r="MV2" s="273"/>
      <c r="MW2" s="273"/>
      <c r="MX2" s="273"/>
      <c r="MY2" s="273"/>
      <c r="MZ2" s="273"/>
      <c r="NA2" s="273"/>
      <c r="NB2" s="273"/>
      <c r="NC2" s="273"/>
      <c r="ND2" s="273"/>
      <c r="NE2" s="273"/>
      <c r="NF2" s="273"/>
      <c r="NG2" s="273"/>
      <c r="NH2" s="273"/>
      <c r="NI2" s="273"/>
      <c r="NJ2" s="273"/>
      <c r="NK2" s="273"/>
      <c r="NL2" s="273"/>
      <c r="NM2" s="273"/>
      <c r="NN2" s="273"/>
      <c r="NO2" s="273"/>
      <c r="NP2" s="273"/>
      <c r="NQ2" s="273"/>
      <c r="NR2" s="273"/>
      <c r="NS2" s="273"/>
      <c r="NT2" s="273"/>
      <c r="NU2" s="273"/>
      <c r="NV2" s="273"/>
      <c r="NW2" s="273"/>
      <c r="NX2" s="273"/>
      <c r="NY2" s="273"/>
      <c r="NZ2" s="273"/>
      <c r="OA2" s="273"/>
      <c r="OB2" s="273"/>
      <c r="OC2" s="273"/>
      <c r="OD2" s="273"/>
      <c r="OE2" s="273"/>
      <c r="OF2" s="273"/>
      <c r="OG2" s="273"/>
      <c r="OH2" s="273"/>
      <c r="OI2" s="273"/>
      <c r="OJ2" s="273"/>
      <c r="OK2" s="273"/>
      <c r="OL2" s="273"/>
      <c r="OM2" s="273"/>
      <c r="ON2" s="273"/>
      <c r="OO2" s="273"/>
      <c r="OP2" s="273"/>
      <c r="OQ2" s="273"/>
      <c r="OR2" s="273"/>
      <c r="OS2" s="273"/>
      <c r="OT2" s="273"/>
      <c r="OU2" s="273"/>
      <c r="OV2" s="273"/>
      <c r="OW2" s="273"/>
      <c r="OX2" s="273"/>
      <c r="OY2" s="273"/>
      <c r="OZ2" s="273"/>
      <c r="PA2" s="273"/>
      <c r="PB2" s="273"/>
      <c r="PC2" s="273"/>
      <c r="PD2" s="273"/>
      <c r="PE2" s="273"/>
      <c r="PF2" s="273"/>
      <c r="PG2" s="273"/>
      <c r="PH2" s="273"/>
      <c r="PI2" s="273"/>
      <c r="PJ2" s="273"/>
      <c r="PK2" s="273"/>
      <c r="PL2" s="273"/>
      <c r="PM2" s="273"/>
      <c r="PN2" s="273"/>
      <c r="PO2" s="273"/>
      <c r="PP2" s="273"/>
      <c r="PQ2" s="273"/>
      <c r="PR2" s="273"/>
      <c r="PS2" s="273"/>
      <c r="PT2" s="273"/>
      <c r="PU2" s="273"/>
      <c r="PV2" s="273"/>
      <c r="PW2" s="273"/>
      <c r="PX2" s="273"/>
      <c r="PY2" s="273"/>
      <c r="PZ2" s="273"/>
      <c r="QA2" s="273"/>
      <c r="QB2" s="273"/>
      <c r="QC2" s="273"/>
      <c r="QD2" s="273"/>
      <c r="QE2" s="273"/>
      <c r="QF2" s="273"/>
      <c r="QG2" s="273"/>
      <c r="QH2" s="273"/>
      <c r="QI2" s="273"/>
      <c r="QJ2" s="273"/>
      <c r="QK2" s="273"/>
      <c r="QL2" s="273"/>
      <c r="QM2" s="273"/>
      <c r="QN2" s="273"/>
      <c r="QO2" s="273"/>
      <c r="QP2" s="273"/>
      <c r="QQ2" s="273"/>
      <c r="QR2" s="273"/>
      <c r="QS2" s="273"/>
      <c r="QT2" s="273"/>
      <c r="QU2" s="273"/>
      <c r="QV2" s="273"/>
      <c r="QW2" s="273"/>
      <c r="QX2" s="273"/>
      <c r="QY2" s="273"/>
      <c r="QZ2" s="273"/>
      <c r="RA2" s="273"/>
      <c r="RB2" s="273"/>
      <c r="RC2" s="273"/>
      <c r="RD2" s="273"/>
      <c r="RE2" s="273"/>
      <c r="RF2" s="273"/>
      <c r="RG2" s="273"/>
      <c r="RH2" s="273"/>
      <c r="RI2" s="273"/>
      <c r="RJ2" s="273"/>
      <c r="RK2" s="273"/>
      <c r="RL2" s="273"/>
      <c r="RM2" s="273"/>
      <c r="RN2" s="273"/>
      <c r="RO2" s="273"/>
      <c r="RP2" s="273"/>
      <c r="RQ2" s="273"/>
      <c r="RR2" s="273"/>
      <c r="RS2" s="273"/>
      <c r="RT2" s="273"/>
      <c r="RU2" s="273"/>
      <c r="RV2" s="273"/>
      <c r="RW2" s="273"/>
      <c r="RX2" s="273"/>
      <c r="RY2" s="273"/>
      <c r="RZ2" s="273"/>
      <c r="SA2" s="273"/>
      <c r="SB2" s="273"/>
      <c r="SC2" s="273"/>
      <c r="SD2" s="273"/>
      <c r="SE2" s="273"/>
      <c r="SF2" s="273"/>
      <c r="SG2" s="273"/>
      <c r="SH2" s="273"/>
      <c r="SI2" s="273"/>
      <c r="SJ2" s="273"/>
      <c r="SK2" s="273"/>
      <c r="SL2" s="273"/>
      <c r="SM2" s="273"/>
      <c r="SN2" s="273"/>
      <c r="SO2" s="273"/>
      <c r="SP2" s="273"/>
      <c r="SQ2" s="273"/>
      <c r="SR2" s="273"/>
      <c r="SS2" s="273"/>
      <c r="ST2" s="273"/>
      <c r="SU2" s="273"/>
      <c r="SV2" s="273"/>
      <c r="SW2" s="273"/>
      <c r="SX2" s="273"/>
      <c r="SY2" s="273"/>
      <c r="SZ2" s="273"/>
      <c r="TA2" s="273"/>
      <c r="TB2" s="273"/>
      <c r="TC2" s="273"/>
      <c r="TD2" s="273"/>
      <c r="TE2" s="273"/>
      <c r="TF2" s="273"/>
      <c r="TG2" s="273"/>
      <c r="TH2" s="273"/>
      <c r="TI2" s="273"/>
      <c r="TJ2" s="273"/>
      <c r="TK2" s="273"/>
      <c r="TL2" s="273"/>
      <c r="TM2" s="273"/>
      <c r="TN2" s="273"/>
      <c r="TO2" s="273"/>
      <c r="TP2" s="273"/>
      <c r="TQ2" s="273"/>
      <c r="TR2" s="273"/>
      <c r="TS2" s="273"/>
      <c r="TT2" s="273"/>
      <c r="TU2" s="273"/>
      <c r="TV2" s="273"/>
      <c r="TW2" s="273"/>
      <c r="TX2" s="273"/>
      <c r="TY2" s="273"/>
      <c r="TZ2" s="273"/>
      <c r="UA2" s="273"/>
      <c r="UB2" s="273"/>
      <c r="UC2" s="273"/>
      <c r="UD2" s="273"/>
      <c r="UE2" s="273"/>
      <c r="UF2" s="273"/>
      <c r="UG2" s="273"/>
      <c r="UH2" s="273"/>
      <c r="UI2" s="273"/>
      <c r="UJ2" s="273"/>
      <c r="UK2" s="273"/>
      <c r="UL2" s="273"/>
      <c r="UM2" s="273"/>
      <c r="UN2" s="273"/>
      <c r="UO2" s="273"/>
      <c r="UP2" s="273"/>
      <c r="UQ2" s="273"/>
      <c r="UR2" s="273"/>
      <c r="US2" s="273"/>
      <c r="UT2" s="273"/>
      <c r="UU2" s="273"/>
      <c r="UV2" s="273"/>
      <c r="UW2" s="273"/>
      <c r="UX2" s="273"/>
      <c r="UY2" s="273"/>
      <c r="UZ2" s="273"/>
      <c r="VA2" s="273"/>
      <c r="VB2" s="273"/>
      <c r="VC2" s="273"/>
      <c r="VD2" s="273"/>
      <c r="VE2" s="273"/>
      <c r="VF2" s="273"/>
      <c r="VG2" s="273"/>
      <c r="VH2" s="273"/>
      <c r="VI2" s="273"/>
      <c r="VJ2" s="273"/>
      <c r="VK2" s="273"/>
      <c r="VL2" s="273"/>
      <c r="VM2" s="273"/>
      <c r="VN2" s="273"/>
      <c r="VO2" s="273"/>
      <c r="VP2" s="273"/>
      <c r="VQ2" s="273"/>
      <c r="VR2" s="273"/>
      <c r="VS2" s="273"/>
      <c r="VT2" s="273"/>
      <c r="VU2" s="273"/>
      <c r="VV2" s="273"/>
      <c r="VW2" s="273"/>
      <c r="VX2" s="273"/>
      <c r="VY2" s="273"/>
      <c r="VZ2" s="273"/>
      <c r="WA2" s="273"/>
      <c r="WB2" s="273"/>
      <c r="WC2" s="273"/>
      <c r="WD2" s="273"/>
      <c r="WE2" s="273"/>
      <c r="WF2" s="273"/>
      <c r="WG2" s="273"/>
      <c r="WH2" s="273"/>
      <c r="WI2" s="273"/>
      <c r="WJ2" s="273"/>
      <c r="WK2" s="273"/>
      <c r="WL2" s="273"/>
      <c r="WM2" s="273"/>
      <c r="WN2" s="273"/>
      <c r="WO2" s="273"/>
      <c r="WP2" s="273"/>
      <c r="WQ2" s="273"/>
      <c r="WR2" s="273"/>
      <c r="WS2" s="273"/>
      <c r="WT2" s="273"/>
      <c r="WU2" s="273"/>
      <c r="WV2" s="273"/>
      <c r="WW2" s="273"/>
      <c r="WX2" s="273"/>
      <c r="WY2" s="273"/>
      <c r="WZ2" s="273"/>
      <c r="XA2" s="273"/>
      <c r="XB2" s="273"/>
      <c r="XC2" s="273"/>
      <c r="XD2" s="273"/>
      <c r="XE2" s="273"/>
      <c r="XF2" s="273"/>
      <c r="XG2" s="273"/>
      <c r="XH2" s="273"/>
      <c r="XI2" s="273"/>
      <c r="XJ2" s="273"/>
      <c r="XK2" s="273"/>
      <c r="XL2" s="273"/>
      <c r="XM2" s="273"/>
      <c r="XN2" s="273"/>
      <c r="XO2" s="273"/>
      <c r="XP2" s="273"/>
      <c r="XQ2" s="273"/>
      <c r="XR2" s="273"/>
      <c r="XS2" s="273"/>
      <c r="XT2" s="273"/>
      <c r="XU2" s="273"/>
      <c r="XV2" s="273"/>
      <c r="XW2" s="273"/>
      <c r="XX2" s="273"/>
      <c r="XY2" s="273"/>
      <c r="XZ2" s="273"/>
      <c r="YA2" s="273"/>
      <c r="YB2" s="273"/>
      <c r="YC2" s="273"/>
      <c r="YD2" s="273"/>
      <c r="YE2" s="273"/>
      <c r="YF2" s="273"/>
      <c r="YG2" s="273"/>
      <c r="YH2" s="273"/>
      <c r="YI2" s="273"/>
      <c r="YJ2" s="273"/>
      <c r="YK2" s="273"/>
      <c r="YL2" s="273"/>
      <c r="YM2" s="273"/>
      <c r="YN2" s="273"/>
      <c r="YO2" s="273"/>
      <c r="YP2" s="273"/>
      <c r="YQ2" s="273"/>
      <c r="YR2" s="273"/>
      <c r="YS2" s="273"/>
      <c r="YT2" s="273"/>
      <c r="YU2" s="273"/>
      <c r="YV2" s="273"/>
      <c r="YW2" s="273"/>
      <c r="YX2" s="273"/>
      <c r="YY2" s="273"/>
      <c r="YZ2" s="273"/>
      <c r="ZA2" s="273"/>
      <c r="ZB2" s="273"/>
      <c r="ZC2" s="273"/>
      <c r="ZD2" s="273"/>
      <c r="ZE2" s="273"/>
      <c r="ZF2" s="273"/>
      <c r="ZG2" s="273"/>
      <c r="ZH2" s="273"/>
      <c r="ZI2" s="273"/>
      <c r="ZJ2" s="273"/>
      <c r="ZK2" s="273"/>
      <c r="ZL2" s="273"/>
      <c r="ZM2" s="273"/>
      <c r="ZN2" s="273"/>
      <c r="ZO2" s="273"/>
      <c r="ZP2" s="273"/>
      <c r="ZQ2" s="273"/>
      <c r="ZR2" s="273"/>
      <c r="ZS2" s="273"/>
      <c r="ZT2" s="273"/>
      <c r="ZU2" s="273"/>
      <c r="ZV2" s="273"/>
      <c r="ZW2" s="273"/>
      <c r="ZX2" s="273"/>
      <c r="ZY2" s="273"/>
      <c r="ZZ2" s="273"/>
      <c r="AAA2" s="273"/>
      <c r="AAB2" s="273"/>
      <c r="AAC2" s="273"/>
      <c r="AAD2" s="273"/>
      <c r="AAE2" s="273"/>
      <c r="AAF2" s="273"/>
      <c r="AAG2" s="273"/>
      <c r="AAH2" s="273"/>
      <c r="AAI2" s="273"/>
      <c r="AAJ2" s="273"/>
      <c r="AAK2" s="273"/>
      <c r="AAL2" s="273"/>
      <c r="AAM2" s="273"/>
      <c r="AAN2" s="273"/>
      <c r="AAO2" s="273"/>
      <c r="AAP2" s="273"/>
      <c r="AAQ2" s="273"/>
      <c r="AAR2" s="273"/>
      <c r="AAS2" s="273"/>
      <c r="AAT2" s="273"/>
      <c r="AAU2" s="273"/>
      <c r="AAV2" s="273"/>
      <c r="AAW2" s="273"/>
      <c r="AAX2" s="273"/>
      <c r="AAY2" s="273"/>
      <c r="AAZ2" s="273"/>
      <c r="ABA2" s="273"/>
      <c r="ABB2" s="273"/>
      <c r="ABC2" s="273"/>
      <c r="ABD2" s="273"/>
      <c r="ABE2" s="273"/>
      <c r="ABF2" s="273"/>
      <c r="ABG2" s="273"/>
      <c r="ABH2" s="273"/>
      <c r="ABI2" s="273"/>
      <c r="ABJ2" s="273"/>
      <c r="ABK2" s="273"/>
      <c r="ABL2" s="273"/>
      <c r="ABM2" s="273"/>
      <c r="ABN2" s="273"/>
      <c r="ABO2" s="273"/>
      <c r="ABP2" s="273"/>
      <c r="ABQ2" s="273"/>
      <c r="ABR2" s="273"/>
      <c r="ABS2" s="273"/>
      <c r="ABT2" s="273"/>
      <c r="ABU2" s="273"/>
      <c r="ABV2" s="273"/>
      <c r="ABW2" s="273"/>
      <c r="ABX2" s="273"/>
      <c r="ABY2" s="273"/>
      <c r="ABZ2" s="273"/>
      <c r="ACA2" s="273"/>
      <c r="ACB2" s="273"/>
      <c r="ACC2" s="273"/>
      <c r="ACD2" s="273"/>
      <c r="ACE2" s="273"/>
      <c r="ACF2" s="273"/>
      <c r="ACG2" s="273"/>
      <c r="ACH2" s="273"/>
      <c r="ACI2" s="273"/>
      <c r="ACJ2" s="273"/>
      <c r="ACK2" s="273"/>
      <c r="ACL2" s="273"/>
      <c r="ACM2" s="273"/>
      <c r="ACN2" s="273"/>
      <c r="ACO2" s="273"/>
      <c r="ACP2" s="273"/>
      <c r="ACQ2" s="273"/>
      <c r="ACR2" s="273"/>
      <c r="ACS2" s="273"/>
      <c r="ACT2" s="273"/>
      <c r="ACU2" s="273"/>
      <c r="ACV2" s="273"/>
      <c r="ACW2" s="273"/>
      <c r="ACX2" s="273"/>
      <c r="ACY2" s="273"/>
      <c r="ACZ2" s="273"/>
      <c r="ADA2" s="273"/>
      <c r="ADB2" s="273"/>
      <c r="ADC2" s="273"/>
      <c r="ADD2" s="273"/>
      <c r="ADE2" s="273"/>
      <c r="ADF2" s="273"/>
      <c r="ADG2" s="273"/>
      <c r="ADH2" s="273"/>
      <c r="ADI2" s="273"/>
      <c r="ADJ2" s="273"/>
      <c r="ADK2" s="273"/>
      <c r="ADL2" s="273"/>
      <c r="ADM2" s="273"/>
      <c r="ADN2" s="273"/>
      <c r="ADO2" s="273"/>
      <c r="ADP2" s="273"/>
      <c r="ADQ2" s="273"/>
      <c r="ADR2" s="273"/>
      <c r="ADS2" s="273"/>
      <c r="ADT2" s="273"/>
      <c r="ADU2" s="273"/>
      <c r="ADV2" s="273"/>
      <c r="ADW2" s="273"/>
      <c r="ADX2" s="273"/>
      <c r="ADY2" s="273"/>
      <c r="ADZ2" s="273"/>
      <c r="AEA2" s="273"/>
      <c r="AEB2" s="273"/>
      <c r="AEC2" s="273"/>
      <c r="AED2" s="273"/>
      <c r="AEE2" s="273"/>
      <c r="AEF2" s="273"/>
      <c r="AEG2" s="273"/>
      <c r="AEH2" s="273"/>
      <c r="AEI2" s="273"/>
      <c r="AEJ2" s="273"/>
      <c r="AEK2" s="273"/>
      <c r="AEL2" s="273"/>
      <c r="AEM2" s="273"/>
      <c r="AEN2" s="273"/>
      <c r="AEO2" s="273"/>
      <c r="AEP2" s="273"/>
      <c r="AEQ2" s="273"/>
      <c r="AER2" s="273"/>
      <c r="AES2" s="273"/>
      <c r="AET2" s="273"/>
      <c r="AEU2" s="273"/>
      <c r="AEV2" s="273"/>
      <c r="AEW2" s="273"/>
      <c r="AEX2" s="273"/>
      <c r="AEY2" s="273"/>
      <c r="AEZ2" s="273"/>
      <c r="AFA2" s="273"/>
      <c r="AFB2" s="273"/>
      <c r="AFC2" s="273"/>
      <c r="AFD2" s="273"/>
      <c r="AFE2" s="273"/>
      <c r="AFF2" s="273"/>
      <c r="AFG2" s="273"/>
      <c r="AFH2" s="273"/>
      <c r="AFI2" s="273"/>
      <c r="AFJ2" s="273"/>
      <c r="AFK2" s="273"/>
      <c r="AFL2" s="273"/>
      <c r="AFM2" s="273"/>
      <c r="AFN2" s="273"/>
      <c r="AFO2" s="273"/>
      <c r="AFP2" s="273"/>
      <c r="AFQ2" s="273"/>
      <c r="AFR2" s="273"/>
      <c r="AFS2" s="273"/>
      <c r="AFT2" s="273"/>
      <c r="AFU2" s="273"/>
      <c r="AFV2" s="273"/>
      <c r="AFW2" s="273"/>
      <c r="AFX2" s="273"/>
      <c r="AFY2" s="273"/>
      <c r="AFZ2" s="273"/>
      <c r="AGA2" s="273"/>
      <c r="AGB2" s="273"/>
      <c r="AGC2" s="273"/>
      <c r="AGD2" s="273"/>
      <c r="AGE2" s="273"/>
      <c r="AGF2" s="273"/>
      <c r="AGG2" s="273"/>
      <c r="AGH2" s="273"/>
      <c r="AGI2" s="273"/>
      <c r="AGJ2" s="273"/>
      <c r="AGK2" s="273"/>
      <c r="AGL2" s="273"/>
      <c r="AGM2" s="273"/>
      <c r="AGN2" s="273"/>
      <c r="AGO2" s="273"/>
      <c r="AGP2" s="273"/>
      <c r="AGQ2" s="273"/>
      <c r="AGR2" s="273"/>
      <c r="AGS2" s="273"/>
      <c r="AGT2" s="273"/>
      <c r="AGU2" s="273"/>
      <c r="AGV2" s="273"/>
      <c r="AGW2" s="273"/>
      <c r="AGX2" s="273"/>
      <c r="AGY2" s="273"/>
      <c r="AGZ2" s="273"/>
      <c r="AHA2" s="273"/>
      <c r="AHB2" s="273"/>
      <c r="AHC2" s="273"/>
      <c r="AHD2" s="273"/>
      <c r="AHE2" s="273"/>
      <c r="AHF2" s="273"/>
      <c r="AHG2" s="273"/>
      <c r="AHH2" s="273"/>
      <c r="AHI2" s="273"/>
      <c r="AHJ2" s="273"/>
      <c r="AHK2" s="273"/>
      <c r="AHL2" s="273"/>
      <c r="AHM2" s="273"/>
      <c r="AHN2" s="273"/>
      <c r="AHO2" s="273"/>
      <c r="AHP2" s="273"/>
      <c r="AHQ2" s="273"/>
      <c r="AHR2" s="273"/>
      <c r="AHS2" s="273"/>
      <c r="AHT2" s="273"/>
      <c r="AHU2" s="273"/>
      <c r="AHV2" s="273"/>
      <c r="AHW2" s="273"/>
      <c r="AHX2" s="273"/>
      <c r="AHY2" s="273"/>
      <c r="AHZ2" s="273"/>
      <c r="AIA2" s="273"/>
      <c r="AIB2" s="273"/>
      <c r="AIC2" s="273"/>
      <c r="AID2" s="273"/>
      <c r="AIE2" s="273"/>
      <c r="AIF2" s="273"/>
    </row>
    <row r="3" spans="1:916" s="277" customFormat="1" ht="74.25" customHeight="1" x14ac:dyDescent="0.2">
      <c r="A3" s="221"/>
      <c r="B3" s="274" t="s">
        <v>433</v>
      </c>
      <c r="C3" s="274" t="s">
        <v>336</v>
      </c>
      <c r="D3" s="274" t="s">
        <v>337</v>
      </c>
      <c r="E3" s="274" t="s">
        <v>434</v>
      </c>
      <c r="F3" s="274" t="s">
        <v>338</v>
      </c>
      <c r="G3" s="274" t="s">
        <v>339</v>
      </c>
      <c r="H3" s="274" t="s">
        <v>435</v>
      </c>
      <c r="I3" s="274" t="s">
        <v>341</v>
      </c>
      <c r="J3" s="274" t="s">
        <v>436</v>
      </c>
      <c r="K3" s="274" t="s">
        <v>437</v>
      </c>
      <c r="L3" s="274" t="s">
        <v>438</v>
      </c>
      <c r="M3" s="274" t="s">
        <v>345</v>
      </c>
      <c r="N3" s="274" t="s">
        <v>439</v>
      </c>
      <c r="O3" s="274" t="s">
        <v>440</v>
      </c>
      <c r="P3" s="274" t="s">
        <v>539</v>
      </c>
      <c r="Q3" s="274" t="s">
        <v>441</v>
      </c>
      <c r="R3" s="274" t="s">
        <v>442</v>
      </c>
      <c r="S3" s="274" t="s">
        <v>443</v>
      </c>
      <c r="T3" s="275" t="s">
        <v>538</v>
      </c>
      <c r="U3" s="274" t="s">
        <v>351</v>
      </c>
      <c r="V3" s="274" t="s">
        <v>352</v>
      </c>
      <c r="W3" s="276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0"/>
      <c r="FJ3" s="230"/>
      <c r="FK3" s="230"/>
      <c r="FL3" s="230"/>
      <c r="FM3" s="230"/>
      <c r="FN3" s="230"/>
      <c r="FO3" s="230"/>
      <c r="FP3" s="230"/>
      <c r="FQ3" s="230"/>
      <c r="FR3" s="230"/>
      <c r="FS3" s="230"/>
      <c r="FT3" s="230"/>
      <c r="FU3" s="230"/>
      <c r="FV3" s="230"/>
      <c r="FW3" s="230"/>
      <c r="FX3" s="230"/>
      <c r="FY3" s="230"/>
      <c r="FZ3" s="230"/>
      <c r="GA3" s="230"/>
      <c r="GB3" s="230"/>
      <c r="GC3" s="230"/>
      <c r="GD3" s="230"/>
      <c r="GE3" s="230"/>
      <c r="GF3" s="230"/>
      <c r="GG3" s="230"/>
      <c r="GH3" s="230"/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0"/>
      <c r="HS3" s="230"/>
      <c r="HT3" s="230"/>
      <c r="HU3" s="230"/>
      <c r="HV3" s="230"/>
      <c r="HW3" s="230"/>
      <c r="HX3" s="230"/>
      <c r="HY3" s="230"/>
      <c r="HZ3" s="230"/>
      <c r="IA3" s="230"/>
      <c r="IB3" s="230"/>
      <c r="IC3" s="230"/>
      <c r="ID3" s="230"/>
      <c r="IE3" s="230"/>
      <c r="IF3" s="230"/>
      <c r="IG3" s="230"/>
      <c r="IH3" s="230"/>
      <c r="II3" s="230"/>
      <c r="IJ3" s="230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30"/>
      <c r="JY3" s="230"/>
      <c r="JZ3" s="230"/>
      <c r="KA3" s="230"/>
      <c r="KB3" s="230"/>
      <c r="KC3" s="230"/>
      <c r="KD3" s="230"/>
      <c r="KE3" s="230"/>
      <c r="KF3" s="230"/>
      <c r="KG3" s="230"/>
      <c r="KH3" s="230"/>
      <c r="KI3" s="230"/>
      <c r="KJ3" s="230"/>
      <c r="KK3" s="230"/>
      <c r="KL3" s="230"/>
      <c r="KM3" s="230"/>
      <c r="KN3" s="230"/>
      <c r="KO3" s="230"/>
      <c r="KP3" s="230"/>
      <c r="KQ3" s="230"/>
      <c r="KR3" s="230"/>
      <c r="KS3" s="230"/>
      <c r="KT3" s="230"/>
      <c r="KU3" s="230"/>
      <c r="KV3" s="230"/>
      <c r="KW3" s="230"/>
      <c r="KX3" s="230"/>
      <c r="KY3" s="230"/>
      <c r="KZ3" s="230"/>
      <c r="LA3" s="230"/>
      <c r="LB3" s="230"/>
      <c r="LC3" s="230"/>
      <c r="LD3" s="230"/>
      <c r="LE3" s="230"/>
      <c r="LF3" s="230"/>
      <c r="LG3" s="230"/>
      <c r="LH3" s="230"/>
      <c r="LI3" s="230"/>
      <c r="LJ3" s="230"/>
      <c r="LK3" s="230"/>
      <c r="LL3" s="230"/>
      <c r="LM3" s="230"/>
      <c r="LN3" s="230"/>
      <c r="LO3" s="230"/>
      <c r="LP3" s="230"/>
      <c r="LQ3" s="230"/>
      <c r="LR3" s="230"/>
      <c r="LS3" s="230"/>
      <c r="LT3" s="230"/>
      <c r="LU3" s="230"/>
      <c r="LV3" s="230"/>
      <c r="LW3" s="230"/>
      <c r="LX3" s="230"/>
      <c r="LY3" s="230"/>
      <c r="LZ3" s="230"/>
      <c r="MA3" s="230"/>
      <c r="MB3" s="230"/>
      <c r="MC3" s="230"/>
      <c r="MD3" s="230"/>
      <c r="ME3" s="230"/>
      <c r="MF3" s="230"/>
      <c r="MG3" s="230"/>
      <c r="MH3" s="230"/>
      <c r="MI3" s="230"/>
      <c r="MJ3" s="230"/>
      <c r="MK3" s="230"/>
      <c r="ML3" s="230"/>
      <c r="MM3" s="230"/>
      <c r="MN3" s="230"/>
      <c r="MO3" s="230"/>
      <c r="MP3" s="230"/>
      <c r="MQ3" s="230"/>
      <c r="MR3" s="230"/>
      <c r="MS3" s="230"/>
      <c r="MT3" s="230"/>
      <c r="MU3" s="230"/>
      <c r="MV3" s="230"/>
      <c r="MW3" s="230"/>
      <c r="MX3" s="230"/>
      <c r="MY3" s="230"/>
      <c r="MZ3" s="230"/>
      <c r="NA3" s="230"/>
      <c r="NB3" s="230"/>
      <c r="NC3" s="230"/>
      <c r="ND3" s="230"/>
      <c r="NE3" s="230"/>
      <c r="NF3" s="230"/>
      <c r="NG3" s="230"/>
      <c r="NH3" s="230"/>
      <c r="NI3" s="230"/>
      <c r="NJ3" s="230"/>
      <c r="NK3" s="230"/>
      <c r="NL3" s="230"/>
      <c r="NM3" s="230"/>
      <c r="NN3" s="230"/>
      <c r="NO3" s="230"/>
      <c r="NP3" s="230"/>
      <c r="NQ3" s="230"/>
      <c r="NR3" s="230"/>
      <c r="NS3" s="230"/>
      <c r="NT3" s="230"/>
      <c r="NU3" s="230"/>
      <c r="NV3" s="230"/>
      <c r="NW3" s="230"/>
      <c r="NX3" s="230"/>
      <c r="NY3" s="230"/>
      <c r="NZ3" s="230"/>
      <c r="OA3" s="230"/>
      <c r="OB3" s="230"/>
      <c r="OC3" s="230"/>
      <c r="OD3" s="230"/>
      <c r="OE3" s="230"/>
      <c r="OF3" s="230"/>
      <c r="OG3" s="230"/>
      <c r="OH3" s="230"/>
      <c r="OI3" s="230"/>
      <c r="OJ3" s="230"/>
      <c r="OK3" s="230"/>
      <c r="OL3" s="230"/>
      <c r="OM3" s="230"/>
      <c r="ON3" s="230"/>
      <c r="OO3" s="230"/>
      <c r="OP3" s="230"/>
      <c r="OQ3" s="230"/>
      <c r="OR3" s="230"/>
      <c r="OS3" s="230"/>
      <c r="OT3" s="230"/>
      <c r="OU3" s="230"/>
      <c r="OV3" s="230"/>
      <c r="OW3" s="230"/>
      <c r="OX3" s="230"/>
      <c r="OY3" s="230"/>
      <c r="OZ3" s="230"/>
      <c r="PA3" s="230"/>
      <c r="PB3" s="230"/>
      <c r="PC3" s="230"/>
      <c r="PD3" s="230"/>
      <c r="PE3" s="230"/>
      <c r="PF3" s="230"/>
      <c r="PG3" s="230"/>
      <c r="PH3" s="230"/>
      <c r="PI3" s="230"/>
      <c r="PJ3" s="230"/>
      <c r="PK3" s="230"/>
      <c r="PL3" s="230"/>
      <c r="PM3" s="230"/>
      <c r="PN3" s="230"/>
      <c r="PO3" s="230"/>
      <c r="PP3" s="230"/>
      <c r="PQ3" s="230"/>
      <c r="PR3" s="230"/>
      <c r="PS3" s="230"/>
      <c r="PT3" s="230"/>
      <c r="PU3" s="230"/>
      <c r="PV3" s="230"/>
      <c r="PW3" s="230"/>
      <c r="PX3" s="230"/>
      <c r="PY3" s="230"/>
      <c r="PZ3" s="230"/>
      <c r="QA3" s="230"/>
      <c r="QB3" s="230"/>
      <c r="QC3" s="230"/>
      <c r="QD3" s="230"/>
      <c r="QE3" s="230"/>
      <c r="QF3" s="230"/>
      <c r="QG3" s="230"/>
      <c r="QH3" s="230"/>
      <c r="QI3" s="230"/>
      <c r="QJ3" s="230"/>
      <c r="QK3" s="230"/>
      <c r="QL3" s="230"/>
      <c r="QM3" s="230"/>
      <c r="QN3" s="230"/>
      <c r="QO3" s="230"/>
      <c r="QP3" s="230"/>
      <c r="QQ3" s="230"/>
      <c r="QR3" s="230"/>
      <c r="QS3" s="230"/>
      <c r="QT3" s="230"/>
      <c r="QU3" s="230"/>
      <c r="QV3" s="230"/>
      <c r="QW3" s="230"/>
      <c r="QX3" s="230"/>
      <c r="QY3" s="230"/>
      <c r="QZ3" s="230"/>
      <c r="RA3" s="230"/>
      <c r="RB3" s="230"/>
      <c r="RC3" s="230"/>
      <c r="RD3" s="230"/>
      <c r="RE3" s="230"/>
      <c r="RF3" s="230"/>
      <c r="RG3" s="230"/>
      <c r="RH3" s="230"/>
      <c r="RI3" s="230"/>
      <c r="RJ3" s="230"/>
      <c r="RK3" s="230"/>
      <c r="RL3" s="230"/>
      <c r="RM3" s="230"/>
      <c r="RN3" s="230"/>
      <c r="RO3" s="230"/>
      <c r="RP3" s="230"/>
      <c r="RQ3" s="230"/>
      <c r="RR3" s="230"/>
      <c r="RS3" s="230"/>
      <c r="RT3" s="230"/>
      <c r="RU3" s="230"/>
      <c r="RV3" s="230"/>
      <c r="RW3" s="230"/>
      <c r="RX3" s="230"/>
      <c r="RY3" s="230"/>
      <c r="RZ3" s="230"/>
      <c r="SA3" s="230"/>
      <c r="SB3" s="230"/>
      <c r="SC3" s="230"/>
      <c r="SD3" s="230"/>
      <c r="SE3" s="230"/>
      <c r="SF3" s="230"/>
      <c r="SG3" s="230"/>
      <c r="SH3" s="230"/>
      <c r="SI3" s="230"/>
      <c r="SJ3" s="230"/>
      <c r="SK3" s="230"/>
      <c r="SL3" s="230"/>
      <c r="SM3" s="230"/>
      <c r="SN3" s="230"/>
      <c r="SO3" s="230"/>
      <c r="SP3" s="230"/>
      <c r="SQ3" s="230"/>
      <c r="SR3" s="230"/>
      <c r="SS3" s="230"/>
      <c r="ST3" s="230"/>
      <c r="SU3" s="230"/>
      <c r="SV3" s="230"/>
      <c r="SW3" s="230"/>
      <c r="SX3" s="230"/>
      <c r="SY3" s="230"/>
      <c r="SZ3" s="230"/>
      <c r="TA3" s="230"/>
      <c r="TB3" s="230"/>
      <c r="TC3" s="230"/>
      <c r="TD3" s="230"/>
      <c r="TE3" s="230"/>
      <c r="TF3" s="230"/>
      <c r="TG3" s="230"/>
      <c r="TH3" s="230"/>
      <c r="TI3" s="230"/>
      <c r="TJ3" s="230"/>
      <c r="TK3" s="230"/>
      <c r="TL3" s="230"/>
      <c r="TM3" s="230"/>
      <c r="TN3" s="230"/>
      <c r="TO3" s="230"/>
      <c r="TP3" s="230"/>
      <c r="TQ3" s="230"/>
      <c r="TR3" s="230"/>
      <c r="TS3" s="230"/>
      <c r="TT3" s="230"/>
      <c r="TU3" s="230"/>
      <c r="TV3" s="230"/>
      <c r="TW3" s="230"/>
      <c r="TX3" s="230"/>
      <c r="TY3" s="230"/>
      <c r="TZ3" s="230"/>
      <c r="UA3" s="230"/>
      <c r="UB3" s="230"/>
      <c r="UC3" s="230"/>
      <c r="UD3" s="230"/>
      <c r="UE3" s="230"/>
      <c r="UF3" s="230"/>
      <c r="UG3" s="230"/>
      <c r="UH3" s="230"/>
      <c r="UI3" s="230"/>
      <c r="UJ3" s="230"/>
      <c r="UK3" s="230"/>
      <c r="UL3" s="230"/>
      <c r="UM3" s="230"/>
      <c r="UN3" s="230"/>
      <c r="UO3" s="230"/>
      <c r="UP3" s="230"/>
      <c r="UQ3" s="230"/>
      <c r="UR3" s="230"/>
      <c r="US3" s="230"/>
      <c r="UT3" s="230"/>
      <c r="UU3" s="230"/>
      <c r="UV3" s="230"/>
      <c r="UW3" s="230"/>
      <c r="UX3" s="230"/>
      <c r="UY3" s="230"/>
      <c r="UZ3" s="230"/>
      <c r="VA3" s="230"/>
      <c r="VB3" s="230"/>
      <c r="VC3" s="230"/>
      <c r="VD3" s="230"/>
      <c r="VE3" s="230"/>
      <c r="VF3" s="230"/>
      <c r="VG3" s="230"/>
      <c r="VH3" s="230"/>
      <c r="VI3" s="230"/>
      <c r="VJ3" s="230"/>
      <c r="VK3" s="230"/>
      <c r="VL3" s="230"/>
      <c r="VM3" s="230"/>
      <c r="VN3" s="230"/>
      <c r="VO3" s="230"/>
      <c r="VP3" s="230"/>
      <c r="VQ3" s="230"/>
      <c r="VR3" s="230"/>
      <c r="VS3" s="230"/>
      <c r="VT3" s="230"/>
      <c r="VU3" s="230"/>
      <c r="VV3" s="230"/>
      <c r="VW3" s="230"/>
      <c r="VX3" s="230"/>
      <c r="VY3" s="230"/>
      <c r="VZ3" s="230"/>
      <c r="WA3" s="230"/>
      <c r="WB3" s="230"/>
      <c r="WC3" s="230"/>
      <c r="WD3" s="230"/>
      <c r="WE3" s="230"/>
      <c r="WF3" s="230"/>
      <c r="WG3" s="230"/>
      <c r="WH3" s="230"/>
      <c r="WI3" s="230"/>
      <c r="WJ3" s="230"/>
      <c r="WK3" s="230"/>
      <c r="WL3" s="230"/>
      <c r="WM3" s="230"/>
      <c r="WN3" s="230"/>
      <c r="WO3" s="230"/>
      <c r="WP3" s="230"/>
      <c r="WQ3" s="230"/>
      <c r="WR3" s="230"/>
      <c r="WS3" s="230"/>
      <c r="WT3" s="230"/>
      <c r="WU3" s="230"/>
      <c r="WV3" s="230"/>
      <c r="WW3" s="230"/>
      <c r="WX3" s="230"/>
      <c r="WY3" s="230"/>
      <c r="WZ3" s="230"/>
      <c r="XA3" s="230"/>
      <c r="XB3" s="230"/>
      <c r="XC3" s="230"/>
      <c r="XD3" s="230"/>
      <c r="XE3" s="230"/>
      <c r="XF3" s="230"/>
      <c r="XG3" s="230"/>
      <c r="XH3" s="230"/>
      <c r="XI3" s="230"/>
      <c r="XJ3" s="230"/>
      <c r="XK3" s="230"/>
      <c r="XL3" s="230"/>
      <c r="XM3" s="230"/>
      <c r="XN3" s="230"/>
      <c r="XO3" s="230"/>
      <c r="XP3" s="230"/>
      <c r="XQ3" s="230"/>
      <c r="XR3" s="230"/>
      <c r="XS3" s="230"/>
      <c r="XT3" s="230"/>
      <c r="XU3" s="230"/>
      <c r="XV3" s="230"/>
      <c r="XW3" s="230"/>
      <c r="XX3" s="230"/>
      <c r="XY3" s="230"/>
      <c r="XZ3" s="230"/>
      <c r="YA3" s="230"/>
      <c r="YB3" s="230"/>
      <c r="YC3" s="230"/>
      <c r="YD3" s="230"/>
      <c r="YE3" s="230"/>
      <c r="YF3" s="230"/>
      <c r="YG3" s="230"/>
      <c r="YH3" s="230"/>
      <c r="YI3" s="230"/>
      <c r="YJ3" s="230"/>
      <c r="YK3" s="230"/>
      <c r="YL3" s="230"/>
      <c r="YM3" s="230"/>
      <c r="YN3" s="230"/>
      <c r="YO3" s="230"/>
      <c r="YP3" s="230"/>
      <c r="YQ3" s="230"/>
      <c r="YR3" s="230"/>
      <c r="YS3" s="230"/>
      <c r="YT3" s="230"/>
      <c r="YU3" s="230"/>
      <c r="YV3" s="230"/>
      <c r="YW3" s="230"/>
      <c r="YX3" s="230"/>
      <c r="YY3" s="230"/>
      <c r="YZ3" s="230"/>
      <c r="ZA3" s="230"/>
      <c r="ZB3" s="230"/>
      <c r="ZC3" s="230"/>
      <c r="ZD3" s="230"/>
      <c r="ZE3" s="230"/>
      <c r="ZF3" s="230"/>
      <c r="ZG3" s="230"/>
      <c r="ZH3" s="230"/>
      <c r="ZI3" s="230"/>
      <c r="ZJ3" s="230"/>
      <c r="ZK3" s="230"/>
      <c r="ZL3" s="230"/>
      <c r="ZM3" s="230"/>
      <c r="ZN3" s="230"/>
      <c r="ZO3" s="230"/>
      <c r="ZP3" s="230"/>
      <c r="ZQ3" s="230"/>
      <c r="ZR3" s="230"/>
      <c r="ZS3" s="230"/>
      <c r="ZT3" s="230"/>
      <c r="ZU3" s="230"/>
      <c r="ZV3" s="230"/>
      <c r="ZW3" s="230"/>
      <c r="ZX3" s="230"/>
      <c r="ZY3" s="230"/>
      <c r="ZZ3" s="230"/>
      <c r="AAA3" s="230"/>
      <c r="AAB3" s="230"/>
      <c r="AAC3" s="230"/>
      <c r="AAD3" s="230"/>
      <c r="AAE3" s="230"/>
      <c r="AAF3" s="230"/>
      <c r="AAG3" s="230"/>
      <c r="AAH3" s="230"/>
      <c r="AAI3" s="230"/>
      <c r="AAJ3" s="230"/>
      <c r="AAK3" s="230"/>
      <c r="AAL3" s="230"/>
      <c r="AAM3" s="230"/>
      <c r="AAN3" s="230"/>
      <c r="AAO3" s="230"/>
      <c r="AAP3" s="230"/>
      <c r="AAQ3" s="230"/>
      <c r="AAR3" s="230"/>
      <c r="AAS3" s="230"/>
      <c r="AAT3" s="230"/>
      <c r="AAU3" s="230"/>
      <c r="AAV3" s="230"/>
      <c r="AAW3" s="230"/>
      <c r="AAX3" s="230"/>
      <c r="AAY3" s="230"/>
      <c r="AAZ3" s="230"/>
      <c r="ABA3" s="230"/>
      <c r="ABB3" s="230"/>
      <c r="ABC3" s="230"/>
      <c r="ABD3" s="230"/>
      <c r="ABE3" s="230"/>
      <c r="ABF3" s="230"/>
      <c r="ABG3" s="230"/>
      <c r="ABH3" s="230"/>
      <c r="ABI3" s="230"/>
      <c r="ABJ3" s="230"/>
      <c r="ABK3" s="230"/>
      <c r="ABL3" s="230"/>
      <c r="ABM3" s="230"/>
      <c r="ABN3" s="230"/>
      <c r="ABO3" s="230"/>
      <c r="ABP3" s="230"/>
      <c r="ABQ3" s="230"/>
      <c r="ABR3" s="230"/>
      <c r="ABS3" s="230"/>
      <c r="ABT3" s="230"/>
      <c r="ABU3" s="230"/>
      <c r="ABV3" s="230"/>
      <c r="ABW3" s="230"/>
      <c r="ABX3" s="230"/>
      <c r="ABY3" s="230"/>
      <c r="ABZ3" s="230"/>
      <c r="ACA3" s="230"/>
      <c r="ACB3" s="230"/>
      <c r="ACC3" s="230"/>
      <c r="ACD3" s="230"/>
      <c r="ACE3" s="230"/>
      <c r="ACF3" s="230"/>
      <c r="ACG3" s="230"/>
      <c r="ACH3" s="230"/>
      <c r="ACI3" s="230"/>
      <c r="ACJ3" s="230"/>
      <c r="ACK3" s="230"/>
      <c r="ACL3" s="230"/>
      <c r="ACM3" s="230"/>
      <c r="ACN3" s="230"/>
      <c r="ACO3" s="230"/>
      <c r="ACP3" s="230"/>
      <c r="ACQ3" s="230"/>
      <c r="ACR3" s="230"/>
      <c r="ACS3" s="230"/>
      <c r="ACT3" s="230"/>
      <c r="ACU3" s="230"/>
      <c r="ACV3" s="230"/>
      <c r="ACW3" s="230"/>
      <c r="ACX3" s="230"/>
      <c r="ACY3" s="230"/>
      <c r="ACZ3" s="230"/>
      <c r="ADA3" s="230"/>
      <c r="ADB3" s="230"/>
      <c r="ADC3" s="230"/>
      <c r="ADD3" s="230"/>
      <c r="ADE3" s="230"/>
      <c r="ADF3" s="230"/>
      <c r="ADG3" s="230"/>
      <c r="ADH3" s="230"/>
      <c r="ADI3" s="230"/>
      <c r="ADJ3" s="230"/>
      <c r="ADK3" s="230"/>
      <c r="ADL3" s="230"/>
      <c r="ADM3" s="230"/>
      <c r="ADN3" s="230"/>
      <c r="ADO3" s="230"/>
      <c r="ADP3" s="230"/>
      <c r="ADQ3" s="230"/>
      <c r="ADR3" s="230"/>
      <c r="ADS3" s="230"/>
      <c r="ADT3" s="230"/>
      <c r="ADU3" s="230"/>
      <c r="ADV3" s="230"/>
      <c r="ADW3" s="230"/>
      <c r="ADX3" s="230"/>
      <c r="ADY3" s="230"/>
      <c r="ADZ3" s="230"/>
      <c r="AEA3" s="230"/>
      <c r="AEB3" s="230"/>
      <c r="AEC3" s="230"/>
      <c r="AED3" s="230"/>
      <c r="AEE3" s="230"/>
      <c r="AEF3" s="230"/>
      <c r="AEG3" s="230"/>
      <c r="AEH3" s="230"/>
      <c r="AEI3" s="230"/>
      <c r="AEJ3" s="230"/>
      <c r="AEK3" s="230"/>
      <c r="AEL3" s="230"/>
      <c r="AEM3" s="230"/>
      <c r="AEN3" s="230"/>
      <c r="AEO3" s="230"/>
      <c r="AEP3" s="230"/>
      <c r="AEQ3" s="230"/>
      <c r="AER3" s="230"/>
      <c r="AES3" s="230"/>
      <c r="AET3" s="230"/>
      <c r="AEU3" s="230"/>
      <c r="AEV3" s="230"/>
      <c r="AEW3" s="230"/>
      <c r="AEX3" s="230"/>
      <c r="AEY3" s="230"/>
      <c r="AEZ3" s="230"/>
      <c r="AFA3" s="230"/>
      <c r="AFB3" s="230"/>
      <c r="AFC3" s="230"/>
      <c r="AFD3" s="230"/>
      <c r="AFE3" s="230"/>
      <c r="AFF3" s="230"/>
      <c r="AFG3" s="230"/>
      <c r="AFH3" s="230"/>
      <c r="AFI3" s="230"/>
      <c r="AFJ3" s="230"/>
      <c r="AFK3" s="230"/>
      <c r="AFL3" s="230"/>
      <c r="AFM3" s="230"/>
      <c r="AFN3" s="230"/>
      <c r="AFO3" s="230"/>
      <c r="AFP3" s="230"/>
      <c r="AFQ3" s="230"/>
      <c r="AFR3" s="230"/>
      <c r="AFS3" s="230"/>
      <c r="AFT3" s="230"/>
      <c r="AFU3" s="230"/>
      <c r="AFV3" s="230"/>
      <c r="AFW3" s="230"/>
      <c r="AFX3" s="230"/>
      <c r="AFY3" s="230"/>
      <c r="AFZ3" s="230"/>
      <c r="AGA3" s="230"/>
      <c r="AGB3" s="230"/>
      <c r="AGC3" s="230"/>
      <c r="AGD3" s="230"/>
      <c r="AGE3" s="230"/>
      <c r="AGF3" s="230"/>
      <c r="AGG3" s="230"/>
      <c r="AGH3" s="230"/>
      <c r="AGI3" s="230"/>
      <c r="AGJ3" s="230"/>
      <c r="AGK3" s="230"/>
      <c r="AGL3" s="230"/>
      <c r="AGM3" s="230"/>
      <c r="AGN3" s="230"/>
      <c r="AGO3" s="230"/>
      <c r="AGP3" s="230"/>
      <c r="AGQ3" s="230"/>
      <c r="AGR3" s="230"/>
      <c r="AGS3" s="230"/>
      <c r="AGT3" s="230"/>
      <c r="AGU3" s="230"/>
      <c r="AGV3" s="230"/>
      <c r="AGW3" s="230"/>
      <c r="AGX3" s="230"/>
      <c r="AGY3" s="230"/>
      <c r="AGZ3" s="230"/>
      <c r="AHA3" s="230"/>
      <c r="AHB3" s="230"/>
      <c r="AHC3" s="230"/>
      <c r="AHD3" s="230"/>
      <c r="AHE3" s="230"/>
      <c r="AHF3" s="230"/>
      <c r="AHG3" s="230"/>
      <c r="AHH3" s="230"/>
      <c r="AHI3" s="230"/>
      <c r="AHJ3" s="230"/>
      <c r="AHK3" s="230"/>
      <c r="AHL3" s="230"/>
      <c r="AHM3" s="230"/>
      <c r="AHN3" s="230"/>
      <c r="AHO3" s="230"/>
      <c r="AHP3" s="230"/>
      <c r="AHQ3" s="230"/>
      <c r="AHR3" s="230"/>
      <c r="AHS3" s="230"/>
      <c r="AHT3" s="230"/>
      <c r="AHU3" s="230"/>
      <c r="AHV3" s="230"/>
      <c r="AHW3" s="230"/>
      <c r="AHX3" s="230"/>
      <c r="AHY3" s="230"/>
      <c r="AHZ3" s="230"/>
      <c r="AIA3" s="230"/>
      <c r="AIB3" s="230"/>
      <c r="AIC3" s="230"/>
      <c r="AID3" s="230"/>
      <c r="AIE3" s="230"/>
      <c r="AIF3" s="230"/>
    </row>
    <row r="4" spans="1:916" s="281" customFormat="1" ht="8.25" customHeight="1" x14ac:dyDescent="0.2">
      <c r="A4" s="278"/>
      <c r="B4" s="111"/>
      <c r="C4" s="112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279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</row>
    <row r="5" spans="1:916" s="292" customFormat="1" ht="28.7" customHeight="1" x14ac:dyDescent="0.25">
      <c r="A5" s="543" t="s">
        <v>355</v>
      </c>
      <c r="B5" s="282" t="s">
        <v>444</v>
      </c>
      <c r="C5" s="283" t="s">
        <v>357</v>
      </c>
      <c r="D5" s="284"/>
      <c r="E5" s="285"/>
      <c r="F5" s="286"/>
      <c r="G5" s="286"/>
      <c r="H5" s="286"/>
      <c r="I5" s="287"/>
      <c r="J5" s="288"/>
      <c r="K5" s="288"/>
      <c r="L5" s="287"/>
      <c r="M5" s="287"/>
      <c r="N5" s="289"/>
      <c r="O5" s="287"/>
      <c r="P5" s="287"/>
      <c r="Q5" s="287"/>
      <c r="R5" s="287"/>
      <c r="S5" s="287"/>
      <c r="T5" s="290" t="s">
        <v>364</v>
      </c>
      <c r="U5" s="291"/>
      <c r="V5" s="291"/>
      <c r="W5" s="221"/>
      <c r="X5" s="230" t="s">
        <v>179</v>
      </c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  <c r="EE5" s="230"/>
      <c r="EF5" s="230"/>
      <c r="EG5" s="230"/>
      <c r="EH5" s="230"/>
      <c r="EI5" s="230"/>
      <c r="EJ5" s="230"/>
      <c r="EK5" s="230"/>
      <c r="EL5" s="230"/>
      <c r="EM5" s="230"/>
      <c r="EN5" s="230"/>
      <c r="EO5" s="230"/>
      <c r="EP5" s="230"/>
      <c r="EQ5" s="230"/>
      <c r="ER5" s="230"/>
      <c r="ES5" s="230"/>
      <c r="ET5" s="230"/>
      <c r="EU5" s="230"/>
      <c r="EV5" s="230"/>
      <c r="EW5" s="230"/>
      <c r="EX5" s="230"/>
      <c r="EY5" s="230"/>
      <c r="EZ5" s="230"/>
      <c r="FA5" s="230"/>
      <c r="FB5" s="230"/>
      <c r="FC5" s="230"/>
      <c r="FD5" s="230"/>
      <c r="FE5" s="230"/>
      <c r="FF5" s="230"/>
      <c r="FG5" s="230"/>
      <c r="FH5" s="230"/>
      <c r="FI5" s="230"/>
      <c r="FJ5" s="230"/>
      <c r="FK5" s="230"/>
      <c r="FL5" s="230"/>
      <c r="FM5" s="230"/>
      <c r="FN5" s="230"/>
      <c r="FO5" s="230"/>
      <c r="FP5" s="230"/>
      <c r="FQ5" s="230"/>
      <c r="FR5" s="230"/>
      <c r="FS5" s="230"/>
      <c r="FT5" s="230"/>
      <c r="FU5" s="230"/>
      <c r="FV5" s="230"/>
      <c r="FW5" s="230"/>
      <c r="FX5" s="230"/>
      <c r="FY5" s="230"/>
      <c r="FZ5" s="230"/>
      <c r="GA5" s="230"/>
      <c r="GB5" s="230"/>
      <c r="GC5" s="230"/>
      <c r="GD5" s="230"/>
      <c r="GE5" s="230"/>
      <c r="GF5" s="230"/>
      <c r="GG5" s="230"/>
      <c r="GH5" s="230"/>
      <c r="GI5" s="230"/>
      <c r="GJ5" s="230"/>
      <c r="GK5" s="230"/>
      <c r="GL5" s="230"/>
      <c r="GM5" s="230"/>
      <c r="GN5" s="230"/>
      <c r="GO5" s="230"/>
      <c r="GP5" s="230"/>
      <c r="GQ5" s="230"/>
      <c r="GR5" s="230"/>
      <c r="GS5" s="230"/>
      <c r="GT5" s="230"/>
      <c r="GU5" s="230"/>
      <c r="GV5" s="230"/>
      <c r="GW5" s="230"/>
      <c r="GX5" s="230"/>
      <c r="GY5" s="230"/>
      <c r="GZ5" s="230"/>
      <c r="HA5" s="230"/>
      <c r="HB5" s="230"/>
      <c r="HC5" s="230"/>
      <c r="HD5" s="230"/>
      <c r="HE5" s="230"/>
      <c r="HF5" s="230"/>
      <c r="HG5" s="230"/>
      <c r="HH5" s="230"/>
      <c r="HI5" s="230"/>
      <c r="HJ5" s="230"/>
      <c r="HK5" s="230"/>
      <c r="HL5" s="230"/>
      <c r="HM5" s="230"/>
      <c r="HN5" s="230"/>
      <c r="HO5" s="230"/>
      <c r="HP5" s="230"/>
      <c r="HQ5" s="230"/>
      <c r="HR5" s="230"/>
      <c r="HS5" s="230"/>
      <c r="HT5" s="230"/>
      <c r="HU5" s="230"/>
      <c r="HV5" s="230"/>
      <c r="HW5" s="230"/>
      <c r="HX5" s="230"/>
      <c r="HY5" s="230"/>
      <c r="HZ5" s="230"/>
      <c r="IA5" s="230"/>
      <c r="IB5" s="230"/>
      <c r="IC5" s="230"/>
      <c r="ID5" s="230"/>
      <c r="IE5" s="230"/>
      <c r="IF5" s="230"/>
      <c r="IG5" s="230"/>
      <c r="IH5" s="230"/>
      <c r="II5" s="230"/>
      <c r="IJ5" s="230"/>
      <c r="IK5" s="230"/>
      <c r="IL5" s="230"/>
      <c r="IM5" s="230"/>
      <c r="IN5" s="230"/>
      <c r="IO5" s="230"/>
      <c r="IP5" s="230"/>
      <c r="IQ5" s="230"/>
      <c r="IR5" s="230"/>
      <c r="IS5" s="230"/>
      <c r="IT5" s="230"/>
      <c r="IU5" s="230"/>
      <c r="IV5" s="230"/>
      <c r="IW5" s="230"/>
      <c r="IX5" s="230"/>
      <c r="IY5" s="230"/>
      <c r="IZ5" s="230"/>
      <c r="JA5" s="230"/>
      <c r="JB5" s="230"/>
      <c r="JC5" s="230"/>
      <c r="JD5" s="230"/>
      <c r="JE5" s="230"/>
      <c r="JF5" s="230"/>
      <c r="JG5" s="230"/>
      <c r="JH5" s="230"/>
      <c r="JI5" s="230"/>
      <c r="JJ5" s="230"/>
      <c r="JK5" s="230"/>
      <c r="JL5" s="230"/>
      <c r="JM5" s="230"/>
      <c r="JN5" s="230"/>
      <c r="JO5" s="230"/>
      <c r="JP5" s="230"/>
      <c r="JQ5" s="230"/>
      <c r="JR5" s="230"/>
      <c r="JS5" s="230"/>
      <c r="JT5" s="230"/>
      <c r="JU5" s="230"/>
      <c r="JV5" s="230"/>
      <c r="JW5" s="230"/>
      <c r="JX5" s="230"/>
      <c r="JY5" s="230"/>
      <c r="JZ5" s="230"/>
      <c r="KA5" s="230"/>
      <c r="KB5" s="230"/>
      <c r="KC5" s="230"/>
      <c r="KD5" s="230"/>
      <c r="KE5" s="230"/>
      <c r="KF5" s="230"/>
      <c r="KG5" s="230"/>
      <c r="KH5" s="230"/>
      <c r="KI5" s="230"/>
      <c r="KJ5" s="230"/>
      <c r="KK5" s="230"/>
      <c r="KL5" s="230"/>
      <c r="KM5" s="230"/>
      <c r="KN5" s="230"/>
      <c r="KO5" s="230"/>
      <c r="KP5" s="230"/>
      <c r="KQ5" s="230"/>
      <c r="KR5" s="230"/>
      <c r="KS5" s="230"/>
      <c r="KT5" s="230"/>
      <c r="KU5" s="230"/>
      <c r="KV5" s="230"/>
      <c r="KW5" s="230"/>
      <c r="KX5" s="230"/>
      <c r="KY5" s="230"/>
      <c r="KZ5" s="230"/>
      <c r="LA5" s="230"/>
      <c r="LB5" s="230"/>
      <c r="LC5" s="230"/>
      <c r="LD5" s="230"/>
      <c r="LE5" s="230"/>
      <c r="LF5" s="230"/>
      <c r="LG5" s="230"/>
      <c r="LH5" s="230"/>
      <c r="LI5" s="230"/>
      <c r="LJ5" s="230"/>
      <c r="LK5" s="230"/>
      <c r="LL5" s="230"/>
      <c r="LM5" s="230"/>
      <c r="LN5" s="230"/>
      <c r="LO5" s="230"/>
      <c r="LP5" s="230"/>
      <c r="LQ5" s="230"/>
      <c r="LR5" s="230"/>
      <c r="LS5" s="230"/>
      <c r="LT5" s="230"/>
      <c r="LU5" s="230"/>
      <c r="LV5" s="230"/>
      <c r="LW5" s="230"/>
      <c r="LX5" s="230"/>
      <c r="LY5" s="230"/>
      <c r="LZ5" s="230"/>
      <c r="MA5" s="230"/>
      <c r="MB5" s="230"/>
      <c r="MC5" s="230"/>
      <c r="MD5" s="230"/>
      <c r="ME5" s="230"/>
      <c r="MF5" s="230"/>
      <c r="MG5" s="230"/>
      <c r="MH5" s="230"/>
      <c r="MI5" s="230"/>
      <c r="MJ5" s="230"/>
      <c r="MK5" s="230"/>
      <c r="ML5" s="230"/>
      <c r="MM5" s="230"/>
      <c r="MN5" s="230"/>
      <c r="MO5" s="230"/>
      <c r="MP5" s="230"/>
      <c r="MQ5" s="230"/>
      <c r="MR5" s="230"/>
      <c r="MS5" s="230"/>
      <c r="MT5" s="230"/>
      <c r="MU5" s="230"/>
      <c r="MV5" s="230"/>
      <c r="MW5" s="230"/>
      <c r="MX5" s="230"/>
      <c r="MY5" s="230"/>
      <c r="MZ5" s="230"/>
      <c r="NA5" s="230"/>
      <c r="NB5" s="230"/>
      <c r="NC5" s="230"/>
      <c r="ND5" s="230"/>
      <c r="NE5" s="230"/>
      <c r="NF5" s="230"/>
      <c r="NG5" s="230"/>
      <c r="NH5" s="230"/>
      <c r="NI5" s="230"/>
      <c r="NJ5" s="230"/>
      <c r="NK5" s="230"/>
      <c r="NL5" s="230"/>
      <c r="NM5" s="230"/>
      <c r="NN5" s="230"/>
      <c r="NO5" s="230"/>
      <c r="NP5" s="230"/>
      <c r="NQ5" s="230"/>
      <c r="NR5" s="230"/>
      <c r="NS5" s="230"/>
      <c r="NT5" s="230"/>
      <c r="NU5" s="230"/>
      <c r="NV5" s="230"/>
      <c r="NW5" s="230"/>
      <c r="NX5" s="230"/>
      <c r="NY5" s="230"/>
      <c r="NZ5" s="230"/>
      <c r="OA5" s="230"/>
      <c r="OB5" s="230"/>
      <c r="OC5" s="230"/>
      <c r="OD5" s="230"/>
      <c r="OE5" s="230"/>
      <c r="OF5" s="230"/>
      <c r="OG5" s="230"/>
      <c r="OH5" s="230"/>
      <c r="OI5" s="230"/>
      <c r="OJ5" s="230"/>
      <c r="OK5" s="230"/>
      <c r="OL5" s="230"/>
      <c r="OM5" s="230"/>
      <c r="ON5" s="230"/>
      <c r="OO5" s="230"/>
      <c r="OP5" s="230"/>
      <c r="OQ5" s="230"/>
      <c r="OR5" s="230"/>
      <c r="OS5" s="230"/>
      <c r="OT5" s="230"/>
      <c r="OU5" s="230"/>
      <c r="OV5" s="230"/>
      <c r="OW5" s="230"/>
      <c r="OX5" s="230"/>
      <c r="OY5" s="230"/>
      <c r="OZ5" s="230"/>
      <c r="PA5" s="230"/>
      <c r="PB5" s="230"/>
      <c r="PC5" s="230"/>
      <c r="PD5" s="230"/>
      <c r="PE5" s="230"/>
      <c r="PF5" s="230"/>
      <c r="PG5" s="230"/>
      <c r="PH5" s="230"/>
      <c r="PI5" s="230"/>
      <c r="PJ5" s="230"/>
      <c r="PK5" s="230"/>
      <c r="PL5" s="230"/>
      <c r="PM5" s="230"/>
      <c r="PN5" s="230"/>
      <c r="PO5" s="230"/>
      <c r="PP5" s="230"/>
      <c r="PQ5" s="230"/>
      <c r="PR5" s="230"/>
      <c r="PS5" s="230"/>
      <c r="PT5" s="230"/>
      <c r="PU5" s="230"/>
      <c r="PV5" s="230"/>
      <c r="PW5" s="230"/>
      <c r="PX5" s="230"/>
      <c r="PY5" s="230"/>
      <c r="PZ5" s="230"/>
      <c r="QA5" s="230"/>
      <c r="QB5" s="230"/>
      <c r="QC5" s="230"/>
      <c r="QD5" s="230"/>
      <c r="QE5" s="230"/>
      <c r="QF5" s="230"/>
      <c r="QG5" s="230"/>
      <c r="QH5" s="230"/>
      <c r="QI5" s="230"/>
      <c r="QJ5" s="230"/>
      <c r="QK5" s="230"/>
      <c r="QL5" s="230"/>
      <c r="QM5" s="230"/>
      <c r="QN5" s="230"/>
      <c r="QO5" s="230"/>
      <c r="QP5" s="230"/>
      <c r="QQ5" s="230"/>
      <c r="QR5" s="230"/>
      <c r="QS5" s="230"/>
      <c r="QT5" s="230"/>
      <c r="QU5" s="230"/>
      <c r="QV5" s="230"/>
      <c r="QW5" s="230"/>
      <c r="QX5" s="230"/>
      <c r="QY5" s="230"/>
      <c r="QZ5" s="230"/>
      <c r="RA5" s="230"/>
      <c r="RB5" s="230"/>
      <c r="RC5" s="230"/>
      <c r="RD5" s="230"/>
      <c r="RE5" s="230"/>
      <c r="RF5" s="230"/>
      <c r="RG5" s="230"/>
      <c r="RH5" s="230"/>
      <c r="RI5" s="230"/>
      <c r="RJ5" s="230"/>
      <c r="RK5" s="230"/>
      <c r="RL5" s="230"/>
      <c r="RM5" s="230"/>
      <c r="RN5" s="230"/>
      <c r="RO5" s="230"/>
      <c r="RP5" s="230"/>
      <c r="RQ5" s="230"/>
      <c r="RR5" s="230"/>
      <c r="RS5" s="230"/>
      <c r="RT5" s="230"/>
      <c r="RU5" s="230"/>
      <c r="RV5" s="230"/>
      <c r="RW5" s="230"/>
      <c r="RX5" s="230"/>
      <c r="RY5" s="230"/>
      <c r="RZ5" s="230"/>
      <c r="SA5" s="230"/>
      <c r="SB5" s="230"/>
      <c r="SC5" s="230"/>
      <c r="SD5" s="230"/>
      <c r="SE5" s="230"/>
      <c r="SF5" s="230"/>
      <c r="SG5" s="230"/>
      <c r="SH5" s="230"/>
      <c r="SI5" s="230"/>
      <c r="SJ5" s="230"/>
      <c r="SK5" s="230"/>
      <c r="SL5" s="230"/>
      <c r="SM5" s="230"/>
      <c r="SN5" s="230"/>
      <c r="SO5" s="230"/>
      <c r="SP5" s="230"/>
      <c r="SQ5" s="230"/>
      <c r="SR5" s="230"/>
      <c r="SS5" s="230"/>
      <c r="ST5" s="230"/>
      <c r="SU5" s="230"/>
      <c r="SV5" s="230"/>
      <c r="SW5" s="230"/>
      <c r="SX5" s="230"/>
      <c r="SY5" s="230"/>
      <c r="SZ5" s="230"/>
      <c r="TA5" s="230"/>
      <c r="TB5" s="230"/>
      <c r="TC5" s="230"/>
      <c r="TD5" s="230"/>
      <c r="TE5" s="230"/>
      <c r="TF5" s="230"/>
      <c r="TG5" s="230"/>
      <c r="TH5" s="230"/>
      <c r="TI5" s="230"/>
      <c r="TJ5" s="230"/>
      <c r="TK5" s="230"/>
      <c r="TL5" s="230"/>
      <c r="TM5" s="230"/>
      <c r="TN5" s="230"/>
      <c r="TO5" s="230"/>
      <c r="TP5" s="230"/>
      <c r="TQ5" s="230"/>
      <c r="TR5" s="230"/>
      <c r="TS5" s="230"/>
      <c r="TT5" s="230"/>
      <c r="TU5" s="230"/>
      <c r="TV5" s="230"/>
      <c r="TW5" s="230"/>
      <c r="TX5" s="230"/>
      <c r="TY5" s="230"/>
      <c r="TZ5" s="230"/>
      <c r="UA5" s="230"/>
      <c r="UB5" s="230"/>
      <c r="UC5" s="230"/>
      <c r="UD5" s="230"/>
      <c r="UE5" s="230"/>
      <c r="UF5" s="230"/>
      <c r="UG5" s="230"/>
      <c r="UH5" s="230"/>
      <c r="UI5" s="230"/>
      <c r="UJ5" s="230"/>
      <c r="UK5" s="230"/>
      <c r="UL5" s="230"/>
      <c r="UM5" s="230"/>
      <c r="UN5" s="230"/>
      <c r="UO5" s="230"/>
      <c r="UP5" s="230"/>
      <c r="UQ5" s="230"/>
      <c r="UR5" s="230"/>
      <c r="US5" s="230"/>
      <c r="UT5" s="230"/>
      <c r="UU5" s="230"/>
      <c r="UV5" s="230"/>
      <c r="UW5" s="230"/>
      <c r="UX5" s="230"/>
      <c r="UY5" s="230"/>
      <c r="UZ5" s="230"/>
      <c r="VA5" s="230"/>
      <c r="VB5" s="230"/>
      <c r="VC5" s="230"/>
      <c r="VD5" s="230"/>
      <c r="VE5" s="230"/>
      <c r="VF5" s="230"/>
      <c r="VG5" s="230"/>
      <c r="VH5" s="230"/>
      <c r="VI5" s="230"/>
      <c r="VJ5" s="230"/>
      <c r="VK5" s="230"/>
      <c r="VL5" s="230"/>
      <c r="VM5" s="230"/>
      <c r="VN5" s="230"/>
      <c r="VO5" s="230"/>
      <c r="VP5" s="230"/>
      <c r="VQ5" s="230"/>
      <c r="VR5" s="230"/>
      <c r="VS5" s="230"/>
      <c r="VT5" s="230"/>
      <c r="VU5" s="230"/>
      <c r="VV5" s="230"/>
      <c r="VW5" s="230"/>
      <c r="VX5" s="230"/>
      <c r="VY5" s="230"/>
      <c r="VZ5" s="230"/>
      <c r="WA5" s="230"/>
      <c r="WB5" s="230"/>
      <c r="WC5" s="230"/>
      <c r="WD5" s="230"/>
      <c r="WE5" s="230"/>
      <c r="WF5" s="230"/>
      <c r="WG5" s="230"/>
      <c r="WH5" s="230"/>
      <c r="WI5" s="230"/>
      <c r="WJ5" s="230"/>
      <c r="WK5" s="230"/>
      <c r="WL5" s="230"/>
      <c r="WM5" s="230"/>
      <c r="WN5" s="230"/>
      <c r="WO5" s="230"/>
      <c r="WP5" s="230"/>
      <c r="WQ5" s="230"/>
      <c r="WR5" s="230"/>
      <c r="WS5" s="230"/>
      <c r="WT5" s="230"/>
      <c r="WU5" s="230"/>
      <c r="WV5" s="230"/>
      <c r="WW5" s="230"/>
      <c r="WX5" s="230"/>
      <c r="WY5" s="230"/>
      <c r="WZ5" s="230"/>
      <c r="XA5" s="230"/>
      <c r="XB5" s="230"/>
      <c r="XC5" s="230"/>
      <c r="XD5" s="230"/>
      <c r="XE5" s="230"/>
      <c r="XF5" s="230"/>
      <c r="XG5" s="230"/>
      <c r="XH5" s="230"/>
      <c r="XI5" s="230"/>
      <c r="XJ5" s="230"/>
      <c r="XK5" s="230"/>
      <c r="XL5" s="230"/>
      <c r="XM5" s="230"/>
      <c r="XN5" s="230"/>
      <c r="XO5" s="230"/>
      <c r="XP5" s="230"/>
      <c r="XQ5" s="230"/>
      <c r="XR5" s="230"/>
      <c r="XS5" s="230"/>
      <c r="XT5" s="230"/>
      <c r="XU5" s="230"/>
      <c r="XV5" s="230"/>
      <c r="XW5" s="230"/>
      <c r="XX5" s="230"/>
      <c r="XY5" s="230"/>
      <c r="XZ5" s="230"/>
      <c r="YA5" s="230"/>
      <c r="YB5" s="230"/>
      <c r="YC5" s="230"/>
      <c r="YD5" s="230"/>
      <c r="YE5" s="230"/>
      <c r="YF5" s="230"/>
      <c r="YG5" s="230"/>
      <c r="YH5" s="230"/>
      <c r="YI5" s="230"/>
      <c r="YJ5" s="230"/>
      <c r="YK5" s="230"/>
      <c r="YL5" s="230"/>
      <c r="YM5" s="230"/>
      <c r="YN5" s="230"/>
      <c r="YO5" s="230"/>
      <c r="YP5" s="230"/>
      <c r="YQ5" s="230"/>
      <c r="YR5" s="230"/>
      <c r="YS5" s="230"/>
      <c r="YT5" s="230"/>
      <c r="YU5" s="230"/>
      <c r="YV5" s="230"/>
      <c r="YW5" s="230"/>
      <c r="YX5" s="230"/>
      <c r="YY5" s="230"/>
      <c r="YZ5" s="230"/>
      <c r="ZA5" s="230"/>
      <c r="ZB5" s="230"/>
      <c r="ZC5" s="230"/>
      <c r="ZD5" s="230"/>
      <c r="ZE5" s="230"/>
      <c r="ZF5" s="230"/>
      <c r="ZG5" s="230"/>
      <c r="ZH5" s="230"/>
      <c r="ZI5" s="230"/>
      <c r="ZJ5" s="230"/>
      <c r="ZK5" s="230"/>
      <c r="ZL5" s="230"/>
      <c r="ZM5" s="230"/>
      <c r="ZN5" s="230"/>
      <c r="ZO5" s="230"/>
      <c r="ZP5" s="230"/>
      <c r="ZQ5" s="230"/>
      <c r="ZR5" s="230"/>
      <c r="ZS5" s="230"/>
      <c r="ZT5" s="230"/>
      <c r="ZU5" s="230"/>
      <c r="ZV5" s="230"/>
      <c r="ZW5" s="230"/>
      <c r="ZX5" s="230"/>
      <c r="ZY5" s="230"/>
      <c r="ZZ5" s="230"/>
      <c r="AAA5" s="230"/>
      <c r="AAB5" s="230"/>
      <c r="AAC5" s="230"/>
      <c r="AAD5" s="230"/>
      <c r="AAE5" s="230"/>
      <c r="AAF5" s="230"/>
      <c r="AAG5" s="230"/>
      <c r="AAH5" s="230"/>
      <c r="AAI5" s="230"/>
      <c r="AAJ5" s="230"/>
      <c r="AAK5" s="230"/>
      <c r="AAL5" s="230"/>
      <c r="AAM5" s="230"/>
      <c r="AAN5" s="230"/>
      <c r="AAO5" s="230"/>
      <c r="AAP5" s="230"/>
      <c r="AAQ5" s="230"/>
      <c r="AAR5" s="230"/>
      <c r="AAS5" s="230"/>
      <c r="AAT5" s="230"/>
      <c r="AAU5" s="230"/>
      <c r="AAV5" s="230"/>
      <c r="AAW5" s="230"/>
      <c r="AAX5" s="230"/>
      <c r="AAY5" s="230"/>
      <c r="AAZ5" s="230"/>
      <c r="ABA5" s="230"/>
      <c r="ABB5" s="230"/>
      <c r="ABC5" s="230"/>
      <c r="ABD5" s="230"/>
      <c r="ABE5" s="230"/>
      <c r="ABF5" s="230"/>
      <c r="ABG5" s="230"/>
      <c r="ABH5" s="230"/>
      <c r="ABI5" s="230"/>
      <c r="ABJ5" s="230"/>
      <c r="ABK5" s="230"/>
      <c r="ABL5" s="230"/>
      <c r="ABM5" s="230"/>
      <c r="ABN5" s="230"/>
      <c r="ABO5" s="230"/>
      <c r="ABP5" s="230"/>
      <c r="ABQ5" s="230"/>
      <c r="ABR5" s="230"/>
      <c r="ABS5" s="230"/>
      <c r="ABT5" s="230"/>
      <c r="ABU5" s="230"/>
      <c r="ABV5" s="230"/>
      <c r="ABW5" s="230"/>
      <c r="ABX5" s="230"/>
      <c r="ABY5" s="230"/>
      <c r="ABZ5" s="230"/>
      <c r="ACA5" s="230"/>
      <c r="ACB5" s="230"/>
      <c r="ACC5" s="230"/>
      <c r="ACD5" s="230"/>
      <c r="ACE5" s="230"/>
      <c r="ACF5" s="230"/>
      <c r="ACG5" s="230"/>
      <c r="ACH5" s="230"/>
      <c r="ACI5" s="230"/>
      <c r="ACJ5" s="230"/>
      <c r="ACK5" s="230"/>
      <c r="ACL5" s="230"/>
      <c r="ACM5" s="230"/>
      <c r="ACN5" s="230"/>
      <c r="ACO5" s="230"/>
      <c r="ACP5" s="230"/>
      <c r="ACQ5" s="230"/>
      <c r="ACR5" s="230"/>
      <c r="ACS5" s="230"/>
      <c r="ACT5" s="230"/>
      <c r="ACU5" s="230"/>
      <c r="ACV5" s="230"/>
      <c r="ACW5" s="230"/>
      <c r="ACX5" s="230"/>
      <c r="ACY5" s="230"/>
      <c r="ACZ5" s="230"/>
      <c r="ADA5" s="230"/>
      <c r="ADB5" s="230"/>
      <c r="ADC5" s="230"/>
      <c r="ADD5" s="230"/>
      <c r="ADE5" s="230"/>
      <c r="ADF5" s="230"/>
      <c r="ADG5" s="230"/>
      <c r="ADH5" s="230"/>
      <c r="ADI5" s="230"/>
      <c r="ADJ5" s="230"/>
      <c r="ADK5" s="230"/>
      <c r="ADL5" s="230"/>
      <c r="ADM5" s="230"/>
      <c r="ADN5" s="230"/>
      <c r="ADO5" s="230"/>
      <c r="ADP5" s="230"/>
      <c r="ADQ5" s="230"/>
      <c r="ADR5" s="230"/>
      <c r="ADS5" s="230"/>
      <c r="ADT5" s="230"/>
      <c r="ADU5" s="230"/>
      <c r="ADV5" s="230"/>
      <c r="ADW5" s="230"/>
      <c r="ADX5" s="230"/>
      <c r="ADY5" s="230"/>
      <c r="ADZ5" s="230"/>
      <c r="AEA5" s="230"/>
      <c r="AEB5" s="230"/>
      <c r="AEC5" s="230"/>
      <c r="AED5" s="230"/>
      <c r="AEE5" s="230"/>
      <c r="AEF5" s="230"/>
      <c r="AEG5" s="230"/>
      <c r="AEH5" s="230"/>
      <c r="AEI5" s="230"/>
      <c r="AEJ5" s="230"/>
      <c r="AEK5" s="230"/>
      <c r="AEL5" s="230"/>
      <c r="AEM5" s="230"/>
      <c r="AEN5" s="230"/>
      <c r="AEO5" s="230"/>
      <c r="AEP5" s="230"/>
      <c r="AEQ5" s="230"/>
      <c r="AER5" s="230"/>
      <c r="AES5" s="230"/>
      <c r="AET5" s="230"/>
      <c r="AEU5" s="230"/>
      <c r="AEV5" s="230"/>
      <c r="AEW5" s="230"/>
      <c r="AEX5" s="230"/>
      <c r="AEY5" s="230"/>
      <c r="AEZ5" s="230"/>
      <c r="AFA5" s="230"/>
      <c r="AFB5" s="230"/>
      <c r="AFC5" s="230"/>
      <c r="AFD5" s="230"/>
      <c r="AFE5" s="230"/>
      <c r="AFF5" s="230"/>
      <c r="AFG5" s="230"/>
      <c r="AFH5" s="230"/>
      <c r="AFI5" s="230"/>
      <c r="AFJ5" s="230"/>
      <c r="AFK5" s="230"/>
      <c r="AFL5" s="230"/>
      <c r="AFM5" s="230"/>
      <c r="AFN5" s="230"/>
      <c r="AFO5" s="230"/>
      <c r="AFP5" s="230"/>
      <c r="AFQ5" s="230"/>
      <c r="AFR5" s="230"/>
      <c r="AFS5" s="230"/>
      <c r="AFT5" s="230"/>
      <c r="AFU5" s="230"/>
      <c r="AFV5" s="230"/>
      <c r="AFW5" s="230"/>
      <c r="AFX5" s="230"/>
      <c r="AFY5" s="230"/>
      <c r="AFZ5" s="230"/>
      <c r="AGA5" s="230"/>
      <c r="AGB5" s="230"/>
      <c r="AGC5" s="230"/>
      <c r="AGD5" s="230"/>
      <c r="AGE5" s="230"/>
      <c r="AGF5" s="230"/>
      <c r="AGG5" s="230"/>
      <c r="AGH5" s="230"/>
      <c r="AGI5" s="230"/>
      <c r="AGJ5" s="230"/>
      <c r="AGK5" s="230"/>
      <c r="AGL5" s="230"/>
      <c r="AGM5" s="230"/>
      <c r="AGN5" s="230"/>
      <c r="AGO5" s="230"/>
      <c r="AGP5" s="230"/>
      <c r="AGQ5" s="230"/>
      <c r="AGR5" s="230"/>
      <c r="AGS5" s="230"/>
      <c r="AGT5" s="230"/>
      <c r="AGU5" s="230"/>
      <c r="AGV5" s="230"/>
      <c r="AGW5" s="230"/>
      <c r="AGX5" s="230"/>
      <c r="AGY5" s="230"/>
      <c r="AGZ5" s="230"/>
      <c r="AHA5" s="230"/>
      <c r="AHB5" s="230"/>
      <c r="AHC5" s="230"/>
      <c r="AHD5" s="230"/>
      <c r="AHE5" s="230"/>
      <c r="AHF5" s="230"/>
      <c r="AHG5" s="230"/>
      <c r="AHH5" s="230"/>
      <c r="AHI5" s="230"/>
      <c r="AHJ5" s="230"/>
      <c r="AHK5" s="230"/>
      <c r="AHL5" s="230"/>
      <c r="AHM5" s="230"/>
      <c r="AHN5" s="230"/>
      <c r="AHO5" s="230"/>
      <c r="AHP5" s="230"/>
      <c r="AHQ5" s="230"/>
      <c r="AHR5" s="230"/>
      <c r="AHS5" s="230"/>
      <c r="AHT5" s="230"/>
      <c r="AHU5" s="230"/>
      <c r="AHV5" s="230"/>
      <c r="AHW5" s="230"/>
      <c r="AHX5" s="230"/>
      <c r="AHY5" s="230"/>
      <c r="AHZ5" s="230"/>
      <c r="AIA5" s="230"/>
      <c r="AIB5" s="230"/>
      <c r="AIC5" s="230"/>
      <c r="AID5" s="230"/>
      <c r="AIE5" s="230"/>
      <c r="AIF5" s="230"/>
    </row>
    <row r="6" spans="1:916" s="20" customFormat="1" ht="12.75" x14ac:dyDescent="0.2">
      <c r="A6" s="543"/>
      <c r="B6" s="293" t="s">
        <v>445</v>
      </c>
      <c r="C6" s="122" t="s">
        <v>464</v>
      </c>
      <c r="D6" s="122"/>
      <c r="E6" s="294"/>
      <c r="F6" s="135">
        <f>'G201 LIW {G}'!A16</f>
        <v>29.683000273747599</v>
      </c>
      <c r="G6" s="295" t="s">
        <v>366</v>
      </c>
      <c r="H6" s="249">
        <f>'G201 LIW {G}'!A$10</f>
        <v>43836</v>
      </c>
      <c r="I6" s="250">
        <f>'G201 LIW {G}'!A$8</f>
        <v>142884.20000000019</v>
      </c>
      <c r="J6" s="250">
        <f>'G201 LIW {G}'!A$12</f>
        <v>2353345</v>
      </c>
      <c r="K6" s="250">
        <f>'G201 LIW {G}'!A$14</f>
        <v>0</v>
      </c>
      <c r="L6" s="250">
        <f>SUM('G201 LIW {G}'!Q$6:Q$998)</f>
        <v>2353345</v>
      </c>
      <c r="M6" s="250"/>
      <c r="N6" s="251">
        <f>'G201 LIW {G}'!A$18</f>
        <v>3170372.7</v>
      </c>
      <c r="O6" s="250">
        <f>'G201 LIW {G}'!A$20</f>
        <v>2496229.2000000002</v>
      </c>
      <c r="P6" s="250">
        <f>SUM('G201 LIW {G}'!R$6:R$998)</f>
        <v>336367.8735000001</v>
      </c>
      <c r="Q6" s="257">
        <f t="shared" ref="Q6:Q21" si="0">N6/(1+ElecDiscountRate)^1</f>
        <v>2968513.7640449437</v>
      </c>
      <c r="R6" s="257">
        <f>O6/(1+ElecDiscountRate)^1</f>
        <v>2337293.2584269661</v>
      </c>
      <c r="S6" s="250">
        <f>SUM('G201 LIW {G}'!AM$6:AM$998)</f>
        <v>1156274.9855705982</v>
      </c>
      <c r="T6" s="250">
        <f>SUM('G201 LIW {G}'!AD$6:AD$998)</f>
        <v>1136340.6283130131</v>
      </c>
      <c r="U6" s="124">
        <f>IFERROR(S6/Q6,0)</f>
        <v>0.38951309560210345</v>
      </c>
      <c r="V6" s="124">
        <f>IFERROR(((S6*1.1)+(T6))/R6,0)</f>
        <v>1.0303555635382509</v>
      </c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  <c r="ZL6" s="152"/>
      <c r="ZM6" s="152"/>
      <c r="ZN6" s="152"/>
      <c r="ZO6" s="152"/>
      <c r="ZP6" s="152"/>
      <c r="ZQ6" s="152"/>
      <c r="ZR6" s="152"/>
      <c r="ZS6" s="152"/>
      <c r="ZT6" s="152"/>
      <c r="ZU6" s="152"/>
      <c r="ZV6" s="152"/>
      <c r="ZW6" s="152"/>
      <c r="ZX6" s="152"/>
      <c r="ZY6" s="152"/>
      <c r="ZZ6" s="152"/>
      <c r="AAA6" s="152"/>
      <c r="AAB6" s="152"/>
      <c r="AAC6" s="152"/>
      <c r="AAD6" s="152"/>
      <c r="AAE6" s="152"/>
      <c r="AAF6" s="152"/>
      <c r="AAG6" s="152"/>
      <c r="AAH6" s="152"/>
      <c r="AAI6" s="152"/>
      <c r="AAJ6" s="152"/>
      <c r="AAK6" s="152"/>
      <c r="AAL6" s="152"/>
      <c r="AAM6" s="152"/>
      <c r="AAN6" s="152"/>
      <c r="AAO6" s="152"/>
      <c r="AAP6" s="152"/>
      <c r="AAQ6" s="152"/>
      <c r="AAR6" s="152"/>
      <c r="AAS6" s="152"/>
      <c r="AAT6" s="152"/>
      <c r="AAU6" s="152"/>
      <c r="AAV6" s="152"/>
      <c r="AAW6" s="152"/>
      <c r="AAX6" s="152"/>
      <c r="AAY6" s="152"/>
      <c r="AAZ6" s="152"/>
      <c r="ABA6" s="152"/>
      <c r="ABB6" s="152"/>
      <c r="ABC6" s="152"/>
      <c r="ABD6" s="152"/>
      <c r="ABE6" s="152"/>
      <c r="ABF6" s="152"/>
      <c r="ABG6" s="152"/>
      <c r="ABH6" s="152"/>
      <c r="ABI6" s="152"/>
      <c r="ABJ6" s="152"/>
      <c r="ABK6" s="152"/>
      <c r="ABL6" s="152"/>
      <c r="ABM6" s="152"/>
      <c r="ABN6" s="152"/>
      <c r="ABO6" s="152"/>
      <c r="ABP6" s="152"/>
      <c r="ABQ6" s="152"/>
      <c r="ABR6" s="152"/>
      <c r="ABS6" s="152"/>
      <c r="ABT6" s="152"/>
      <c r="ABU6" s="152"/>
      <c r="ABV6" s="152"/>
      <c r="ABW6" s="152"/>
      <c r="ABX6" s="152"/>
      <c r="ABY6" s="152"/>
      <c r="ABZ6" s="152"/>
      <c r="ACA6" s="152"/>
      <c r="ACB6" s="152"/>
      <c r="ACC6" s="152"/>
      <c r="ACD6" s="152"/>
      <c r="ACE6" s="152"/>
      <c r="ACF6" s="152"/>
      <c r="ACG6" s="152"/>
      <c r="ACH6" s="152"/>
      <c r="ACI6" s="152"/>
      <c r="ACJ6" s="152"/>
      <c r="ACK6" s="152"/>
      <c r="ACL6" s="152"/>
      <c r="ACM6" s="152"/>
      <c r="ACN6" s="152"/>
      <c r="ACO6" s="152"/>
      <c r="ACP6" s="152"/>
      <c r="ACQ6" s="152"/>
      <c r="ACR6" s="152"/>
      <c r="ACS6" s="152"/>
      <c r="ACT6" s="152"/>
      <c r="ACU6" s="152"/>
      <c r="ACV6" s="152"/>
      <c r="ACW6" s="152"/>
      <c r="ACX6" s="152"/>
      <c r="ACY6" s="152"/>
      <c r="ACZ6" s="152"/>
      <c r="ADA6" s="152"/>
      <c r="ADB6" s="152"/>
      <c r="ADC6" s="152"/>
      <c r="ADD6" s="152"/>
      <c r="ADE6" s="152"/>
      <c r="ADF6" s="152"/>
      <c r="ADG6" s="152"/>
      <c r="ADH6" s="152"/>
      <c r="ADI6" s="152"/>
      <c r="ADJ6" s="152"/>
      <c r="ADK6" s="152"/>
      <c r="ADL6" s="152"/>
      <c r="ADM6" s="152"/>
      <c r="ADN6" s="152"/>
      <c r="ADO6" s="152"/>
      <c r="ADP6" s="152"/>
      <c r="ADQ6" s="152"/>
      <c r="ADR6" s="152"/>
      <c r="ADS6" s="152"/>
      <c r="ADT6" s="152"/>
      <c r="ADU6" s="152"/>
      <c r="ADV6" s="152"/>
      <c r="ADW6" s="152"/>
      <c r="ADX6" s="152"/>
      <c r="ADY6" s="152"/>
      <c r="ADZ6" s="152"/>
      <c r="AEA6" s="152"/>
      <c r="AEB6" s="152"/>
      <c r="AEC6" s="152"/>
      <c r="AED6" s="152"/>
      <c r="AEE6" s="152"/>
      <c r="AEF6" s="152"/>
      <c r="AEG6" s="152"/>
      <c r="AEH6" s="152"/>
      <c r="AEI6" s="152"/>
      <c r="AEJ6" s="152"/>
      <c r="AEK6" s="152"/>
      <c r="AEL6" s="152"/>
      <c r="AEM6" s="152"/>
      <c r="AEN6" s="152"/>
      <c r="AEO6" s="152"/>
      <c r="AEP6" s="152"/>
      <c r="AEQ6" s="152"/>
      <c r="AER6" s="152"/>
      <c r="AES6" s="152"/>
      <c r="AET6" s="152"/>
      <c r="AEU6" s="152"/>
      <c r="AEV6" s="152"/>
      <c r="AEW6" s="152"/>
      <c r="AEX6" s="152"/>
      <c r="AEY6" s="152"/>
      <c r="AEZ6" s="152"/>
      <c r="AFA6" s="152"/>
      <c r="AFB6" s="152"/>
      <c r="AFC6" s="152"/>
      <c r="AFD6" s="152"/>
      <c r="AFE6" s="152"/>
      <c r="AFF6" s="152"/>
      <c r="AFG6" s="152"/>
      <c r="AFH6" s="152"/>
      <c r="AFI6" s="152"/>
      <c r="AFJ6" s="152"/>
      <c r="AFK6" s="152"/>
      <c r="AFL6" s="152"/>
      <c r="AFM6" s="152"/>
      <c r="AFN6" s="152"/>
      <c r="AFO6" s="152"/>
      <c r="AFP6" s="152"/>
      <c r="AFQ6" s="152"/>
      <c r="AFR6" s="152"/>
      <c r="AFS6" s="152"/>
      <c r="AFT6" s="152"/>
      <c r="AFU6" s="152"/>
      <c r="AFV6" s="152"/>
      <c r="AFW6" s="152"/>
      <c r="AFX6" s="152"/>
      <c r="AFY6" s="152"/>
      <c r="AFZ6" s="152"/>
      <c r="AGA6" s="152"/>
      <c r="AGB6" s="152"/>
      <c r="AGC6" s="152"/>
      <c r="AGD6" s="152"/>
      <c r="AGE6" s="152"/>
      <c r="AGF6" s="152"/>
      <c r="AGG6" s="152"/>
      <c r="AGH6" s="152"/>
      <c r="AGI6" s="152"/>
      <c r="AGJ6" s="152"/>
      <c r="AGK6" s="152"/>
      <c r="AGL6" s="152"/>
      <c r="AGM6" s="152"/>
      <c r="AGN6" s="152"/>
      <c r="AGO6" s="152"/>
      <c r="AGP6" s="152"/>
      <c r="AGQ6" s="152"/>
      <c r="AGR6" s="152"/>
      <c r="AGS6" s="152"/>
      <c r="AGT6" s="152"/>
      <c r="AGU6" s="152"/>
      <c r="AGV6" s="152"/>
      <c r="AGW6" s="152"/>
      <c r="AGX6" s="152"/>
      <c r="AGY6" s="152"/>
      <c r="AGZ6" s="152"/>
      <c r="AHA6" s="152"/>
      <c r="AHB6" s="152"/>
      <c r="AHC6" s="152"/>
      <c r="AHD6" s="152"/>
      <c r="AHE6" s="152"/>
      <c r="AHF6" s="152"/>
      <c r="AHG6" s="152"/>
      <c r="AHH6" s="152"/>
      <c r="AHI6" s="152"/>
      <c r="AHJ6" s="152"/>
      <c r="AHK6" s="152"/>
      <c r="AHL6" s="152"/>
      <c r="AHM6" s="152"/>
      <c r="AHN6" s="152"/>
      <c r="AHO6" s="152"/>
      <c r="AHP6" s="152"/>
      <c r="AHQ6" s="152"/>
      <c r="AHR6" s="152"/>
      <c r="AHS6" s="152"/>
      <c r="AHT6" s="152"/>
      <c r="AHU6" s="152"/>
      <c r="AHV6" s="152"/>
      <c r="AHW6" s="152"/>
      <c r="AHX6" s="152"/>
      <c r="AHY6" s="152"/>
      <c r="AHZ6" s="152"/>
      <c r="AIA6" s="152"/>
      <c r="AIB6" s="152"/>
      <c r="AIC6" s="152"/>
      <c r="AID6" s="152"/>
      <c r="AIE6" s="152"/>
      <c r="AIF6" s="152"/>
    </row>
    <row r="7" spans="1:916" s="20" customFormat="1" x14ac:dyDescent="0.25">
      <c r="A7" s="276"/>
      <c r="B7" s="296" t="s">
        <v>33</v>
      </c>
      <c r="C7" s="494" t="s">
        <v>367</v>
      </c>
      <c r="D7" s="297"/>
      <c r="E7" s="298"/>
      <c r="F7" s="297"/>
      <c r="G7" s="297"/>
      <c r="H7" s="253">
        <f t="shared" ref="H7:P7" si="1">SUM(H8:H17)</f>
        <v>4413376.8885999992</v>
      </c>
      <c r="I7" s="253">
        <f t="shared" si="1"/>
        <v>6265851.0000000009</v>
      </c>
      <c r="J7" s="253">
        <f t="shared" si="1"/>
        <v>21961784.18</v>
      </c>
      <c r="K7" s="253">
        <f t="shared" si="1"/>
        <v>11318190.459999999</v>
      </c>
      <c r="L7" s="253">
        <f t="shared" si="1"/>
        <v>33279974.640000001</v>
      </c>
      <c r="M7" s="253">
        <f t="shared" si="1"/>
        <v>0</v>
      </c>
      <c r="N7" s="253">
        <f t="shared" si="1"/>
        <v>28227635.180000003</v>
      </c>
      <c r="O7" s="253">
        <f t="shared" si="1"/>
        <v>39545825.640000001</v>
      </c>
      <c r="P7" s="253">
        <f t="shared" si="1"/>
        <v>564.15849000000003</v>
      </c>
      <c r="Q7" s="254">
        <f t="shared" si="0"/>
        <v>26430370.018726595</v>
      </c>
      <c r="R7" s="254">
        <f>O7/(1+ElecDiscountRate)^1</f>
        <v>37027926.629213482</v>
      </c>
      <c r="S7" s="253">
        <f>SUM(S8:S17)</f>
        <v>43290389.699532449</v>
      </c>
      <c r="T7" s="253">
        <f>SUM(T8:T17)</f>
        <v>8008196.7095083194</v>
      </c>
      <c r="U7" s="133">
        <f>S7/Q7</f>
        <v>1.6379032782689043</v>
      </c>
      <c r="V7" s="133">
        <f>((S7*1.1)+(T7))/R7</f>
        <v>1.5023154263005953</v>
      </c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  <c r="ZL7" s="152"/>
      <c r="ZM7" s="152"/>
      <c r="ZN7" s="152"/>
      <c r="ZO7" s="152"/>
      <c r="ZP7" s="152"/>
      <c r="ZQ7" s="152"/>
      <c r="ZR7" s="152"/>
      <c r="ZS7" s="152"/>
      <c r="ZT7" s="152"/>
      <c r="ZU7" s="152"/>
      <c r="ZV7" s="152"/>
      <c r="ZW7" s="152"/>
      <c r="ZX7" s="152"/>
      <c r="ZY7" s="152"/>
      <c r="ZZ7" s="152"/>
      <c r="AAA7" s="152"/>
      <c r="AAB7" s="152"/>
      <c r="AAC7" s="152"/>
      <c r="AAD7" s="152"/>
      <c r="AAE7" s="152"/>
      <c r="AAF7" s="152"/>
      <c r="AAG7" s="152"/>
      <c r="AAH7" s="152"/>
      <c r="AAI7" s="152"/>
      <c r="AAJ7" s="152"/>
      <c r="AAK7" s="152"/>
      <c r="AAL7" s="152"/>
      <c r="AAM7" s="152"/>
      <c r="AAN7" s="152"/>
      <c r="AAO7" s="152"/>
      <c r="AAP7" s="152"/>
      <c r="AAQ7" s="152"/>
      <c r="AAR7" s="152"/>
      <c r="AAS7" s="152"/>
      <c r="AAT7" s="152"/>
      <c r="AAU7" s="152"/>
      <c r="AAV7" s="152"/>
      <c r="AAW7" s="152"/>
      <c r="AAX7" s="152"/>
      <c r="AAY7" s="152"/>
      <c r="AAZ7" s="152"/>
      <c r="ABA7" s="152"/>
      <c r="ABB7" s="152"/>
      <c r="ABC7" s="152"/>
      <c r="ABD7" s="152"/>
      <c r="ABE7" s="152"/>
      <c r="ABF7" s="152"/>
      <c r="ABG7" s="152"/>
      <c r="ABH7" s="152"/>
      <c r="ABI7" s="152"/>
      <c r="ABJ7" s="152"/>
      <c r="ABK7" s="152"/>
      <c r="ABL7" s="152"/>
      <c r="ABM7" s="152"/>
      <c r="ABN7" s="152"/>
      <c r="ABO7" s="152"/>
      <c r="ABP7" s="152"/>
      <c r="ABQ7" s="152"/>
      <c r="ABR7" s="152"/>
      <c r="ABS7" s="152"/>
      <c r="ABT7" s="152"/>
      <c r="ABU7" s="152"/>
      <c r="ABV7" s="152"/>
      <c r="ABW7" s="152"/>
      <c r="ABX7" s="152"/>
      <c r="ABY7" s="152"/>
      <c r="ABZ7" s="152"/>
      <c r="ACA7" s="152"/>
      <c r="ACB7" s="152"/>
      <c r="ACC7" s="152"/>
      <c r="ACD7" s="152"/>
      <c r="ACE7" s="152"/>
      <c r="ACF7" s="152"/>
      <c r="ACG7" s="152"/>
      <c r="ACH7" s="152"/>
      <c r="ACI7" s="152"/>
      <c r="ACJ7" s="152"/>
      <c r="ACK7" s="152"/>
      <c r="ACL7" s="152"/>
      <c r="ACM7" s="152"/>
      <c r="ACN7" s="152"/>
      <c r="ACO7" s="152"/>
      <c r="ACP7" s="152"/>
      <c r="ACQ7" s="152"/>
      <c r="ACR7" s="152"/>
      <c r="ACS7" s="152"/>
      <c r="ACT7" s="152"/>
      <c r="ACU7" s="152"/>
      <c r="ACV7" s="152"/>
      <c r="ACW7" s="152"/>
      <c r="ACX7" s="152"/>
      <c r="ACY7" s="152"/>
      <c r="ACZ7" s="152"/>
      <c r="ADA7" s="152"/>
      <c r="ADB7" s="152"/>
      <c r="ADC7" s="152"/>
      <c r="ADD7" s="152"/>
      <c r="ADE7" s="152"/>
      <c r="ADF7" s="152"/>
      <c r="ADG7" s="152"/>
      <c r="ADH7" s="152"/>
      <c r="ADI7" s="152"/>
      <c r="ADJ7" s="152"/>
      <c r="ADK7" s="152"/>
      <c r="ADL7" s="152"/>
      <c r="ADM7" s="152"/>
      <c r="ADN7" s="152"/>
      <c r="ADO7" s="152"/>
      <c r="ADP7" s="152"/>
      <c r="ADQ7" s="152"/>
      <c r="ADR7" s="152"/>
      <c r="ADS7" s="152"/>
      <c r="ADT7" s="152"/>
      <c r="ADU7" s="152"/>
      <c r="ADV7" s="152"/>
      <c r="ADW7" s="152"/>
      <c r="ADX7" s="152"/>
      <c r="ADY7" s="152"/>
      <c r="ADZ7" s="152"/>
      <c r="AEA7" s="152"/>
      <c r="AEB7" s="152"/>
      <c r="AEC7" s="152"/>
      <c r="AED7" s="152"/>
      <c r="AEE7" s="152"/>
      <c r="AEF7" s="152"/>
      <c r="AEG7" s="152"/>
      <c r="AEH7" s="152"/>
      <c r="AEI7" s="152"/>
      <c r="AEJ7" s="152"/>
      <c r="AEK7" s="152"/>
      <c r="AEL7" s="152"/>
      <c r="AEM7" s="152"/>
      <c r="AEN7" s="152"/>
      <c r="AEO7" s="152"/>
      <c r="AEP7" s="152"/>
      <c r="AEQ7" s="152"/>
      <c r="AER7" s="152"/>
      <c r="AES7" s="152"/>
      <c r="AET7" s="152"/>
      <c r="AEU7" s="152"/>
      <c r="AEV7" s="152"/>
      <c r="AEW7" s="152"/>
      <c r="AEX7" s="152"/>
      <c r="AEY7" s="152"/>
      <c r="AEZ7" s="152"/>
      <c r="AFA7" s="152"/>
      <c r="AFB7" s="152"/>
      <c r="AFC7" s="152"/>
      <c r="AFD7" s="152"/>
      <c r="AFE7" s="152"/>
      <c r="AFF7" s="152"/>
      <c r="AFG7" s="152"/>
      <c r="AFH7" s="152"/>
      <c r="AFI7" s="152"/>
      <c r="AFJ7" s="152"/>
      <c r="AFK7" s="152"/>
      <c r="AFL7" s="152"/>
      <c r="AFM7" s="152"/>
      <c r="AFN7" s="152"/>
      <c r="AFO7" s="152"/>
      <c r="AFP7" s="152"/>
      <c r="AFQ7" s="152"/>
      <c r="AFR7" s="152"/>
      <c r="AFS7" s="152"/>
      <c r="AFT7" s="152"/>
      <c r="AFU7" s="152"/>
      <c r="AFV7" s="152"/>
      <c r="AFW7" s="152"/>
      <c r="AFX7" s="152"/>
      <c r="AFY7" s="152"/>
      <c r="AFZ7" s="152"/>
      <c r="AGA7" s="152"/>
      <c r="AGB7" s="152"/>
      <c r="AGC7" s="152"/>
      <c r="AGD7" s="152"/>
      <c r="AGE7" s="152"/>
      <c r="AGF7" s="152"/>
      <c r="AGG7" s="152"/>
      <c r="AGH7" s="152"/>
      <c r="AGI7" s="152"/>
      <c r="AGJ7" s="152"/>
      <c r="AGK7" s="152"/>
      <c r="AGL7" s="152"/>
      <c r="AGM7" s="152"/>
      <c r="AGN7" s="152"/>
      <c r="AGO7" s="152"/>
      <c r="AGP7" s="152"/>
      <c r="AGQ7" s="152"/>
      <c r="AGR7" s="152"/>
      <c r="AGS7" s="152"/>
      <c r="AGT7" s="152"/>
      <c r="AGU7" s="152"/>
      <c r="AGV7" s="152"/>
      <c r="AGW7" s="152"/>
      <c r="AGX7" s="152"/>
      <c r="AGY7" s="152"/>
      <c r="AGZ7" s="152"/>
      <c r="AHA7" s="152"/>
      <c r="AHB7" s="152"/>
      <c r="AHC7" s="152"/>
      <c r="AHD7" s="152"/>
      <c r="AHE7" s="152"/>
      <c r="AHF7" s="152"/>
      <c r="AHG7" s="152"/>
      <c r="AHH7" s="152"/>
      <c r="AHI7" s="152"/>
      <c r="AHJ7" s="152"/>
      <c r="AHK7" s="152"/>
      <c r="AHL7" s="152"/>
      <c r="AHM7" s="152"/>
      <c r="AHN7" s="152"/>
      <c r="AHO7" s="152"/>
      <c r="AHP7" s="152"/>
      <c r="AHQ7" s="152"/>
      <c r="AHR7" s="152"/>
      <c r="AHS7" s="152"/>
      <c r="AHT7" s="152"/>
      <c r="AHU7" s="152"/>
      <c r="AHV7" s="152"/>
      <c r="AHW7" s="152"/>
      <c r="AHX7" s="152"/>
      <c r="AHY7" s="152"/>
      <c r="AHZ7" s="152"/>
      <c r="AIA7" s="152"/>
      <c r="AIB7" s="152"/>
      <c r="AIC7" s="152"/>
      <c r="AID7" s="152"/>
      <c r="AIE7" s="152"/>
      <c r="AIF7" s="152"/>
    </row>
    <row r="8" spans="1:916" s="20" customFormat="1" ht="14.25" x14ac:dyDescent="0.2">
      <c r="A8" s="299"/>
      <c r="B8" s="300" t="s">
        <v>33</v>
      </c>
      <c r="C8" s="137" t="s">
        <v>370</v>
      </c>
      <c r="D8" s="165"/>
      <c r="E8" s="301"/>
      <c r="F8" s="135">
        <f>'SF Existing Space Heat {G}'!A$16</f>
        <v>20.957586182442292</v>
      </c>
      <c r="G8" s="136" t="s">
        <v>366</v>
      </c>
      <c r="H8" s="249">
        <f>'SF Existing Space Heat {G}'!A$10</f>
        <v>420207.4</v>
      </c>
      <c r="I8" s="250">
        <f>'SF Existing Space Heat {G}'!A$8</f>
        <v>449055.20000000019</v>
      </c>
      <c r="J8" s="250">
        <f>'SF Existing Space Heat {G}'!A$12</f>
        <v>2761600</v>
      </c>
      <c r="K8" s="250">
        <f>'SF Existing Space Heat {G}'!A$14</f>
        <v>493527.2</v>
      </c>
      <c r="L8" s="250">
        <f>SUM('SF Existing Space Heat {G}'!Q$5:Q$1000)</f>
        <v>3255127.2</v>
      </c>
      <c r="M8" s="250"/>
      <c r="N8" s="251">
        <f>'SF Existing Space Heat {G}'!A$18</f>
        <v>3210655.2</v>
      </c>
      <c r="O8" s="250">
        <f>'SF Existing Space Heat {G}'!A$20</f>
        <v>3704182.4000000004</v>
      </c>
      <c r="P8" s="250">
        <f>SUM('SF Existing Space Heat {G}'!R$5:R$1000)</f>
        <v>154.29830000000004</v>
      </c>
      <c r="Q8" s="252">
        <f t="shared" si="0"/>
        <v>3006231.4606741574</v>
      </c>
      <c r="R8" s="252">
        <f>O8/(1+ElecDiscountRate)^1</f>
        <v>3468335.5805243449</v>
      </c>
      <c r="S8" s="250">
        <f>SUM('SF Existing Space Heat {G}'!AM$5:AM$1000)</f>
        <v>8397176.4050048869</v>
      </c>
      <c r="T8" s="250">
        <f>SUM('SF Existing Space Heat {G}'!AD$5:AD$1000)</f>
        <v>3159504.0777500519</v>
      </c>
      <c r="U8" s="124">
        <f t="shared" ref="U8:U21" si="2">IFERROR(S8/Q8,0)</f>
        <v>2.793256778412462</v>
      </c>
      <c r="V8" s="124">
        <f t="shared" ref="V8:V21" si="3">IFERROR(((S8*1.1)+(T8))/R8,0)</f>
        <v>3.5741634093496031</v>
      </c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  <c r="MF8" s="152"/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  <c r="ZL8" s="152"/>
      <c r="ZM8" s="152"/>
      <c r="ZN8" s="152"/>
      <c r="ZO8" s="152"/>
      <c r="ZP8" s="152"/>
      <c r="ZQ8" s="152"/>
      <c r="ZR8" s="152"/>
      <c r="ZS8" s="152"/>
      <c r="ZT8" s="152"/>
      <c r="ZU8" s="15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152"/>
      <c r="ADA8" s="152"/>
      <c r="ADB8" s="152"/>
      <c r="ADC8" s="152"/>
      <c r="ADD8" s="152"/>
      <c r="ADE8" s="152"/>
      <c r="ADF8" s="152"/>
      <c r="ADG8" s="152"/>
      <c r="ADH8" s="152"/>
      <c r="ADI8" s="152"/>
      <c r="ADJ8" s="152"/>
      <c r="ADK8" s="152"/>
      <c r="ADL8" s="152"/>
      <c r="ADM8" s="152"/>
      <c r="ADN8" s="152"/>
      <c r="ADO8" s="152"/>
      <c r="ADP8" s="152"/>
      <c r="ADQ8" s="152"/>
      <c r="ADR8" s="152"/>
      <c r="ADS8" s="152"/>
      <c r="ADT8" s="152"/>
      <c r="ADU8" s="152"/>
      <c r="ADV8" s="152"/>
      <c r="ADW8" s="152"/>
      <c r="ADX8" s="152"/>
      <c r="ADY8" s="152"/>
      <c r="ADZ8" s="152"/>
      <c r="AEA8" s="152"/>
      <c r="AEB8" s="152"/>
      <c r="AEC8" s="152"/>
      <c r="AED8" s="152"/>
      <c r="AEE8" s="152"/>
      <c r="AEF8" s="152"/>
      <c r="AEG8" s="152"/>
      <c r="AEH8" s="152"/>
      <c r="AEI8" s="152"/>
      <c r="AEJ8" s="152"/>
      <c r="AEK8" s="152"/>
      <c r="AEL8" s="152"/>
      <c r="AEM8" s="152"/>
      <c r="AEN8" s="152"/>
      <c r="AEO8" s="152"/>
      <c r="AEP8" s="152"/>
      <c r="AEQ8" s="152"/>
      <c r="AER8" s="152"/>
      <c r="AES8" s="152"/>
      <c r="AET8" s="152"/>
      <c r="AEU8" s="152"/>
      <c r="AEV8" s="152"/>
      <c r="AEW8" s="152"/>
      <c r="AEX8" s="152"/>
      <c r="AEY8" s="152"/>
      <c r="AEZ8" s="152"/>
      <c r="AFA8" s="152"/>
      <c r="AFB8" s="152"/>
      <c r="AFC8" s="152"/>
      <c r="AFD8" s="152"/>
      <c r="AFE8" s="152"/>
      <c r="AFF8" s="152"/>
      <c r="AFG8" s="152"/>
      <c r="AFH8" s="152"/>
      <c r="AFI8" s="152"/>
      <c r="AFJ8" s="152"/>
      <c r="AFK8" s="152"/>
      <c r="AFL8" s="152"/>
      <c r="AFM8" s="152"/>
      <c r="AFN8" s="152"/>
      <c r="AFO8" s="152"/>
      <c r="AFP8" s="152"/>
      <c r="AFQ8" s="152"/>
      <c r="AFR8" s="152"/>
      <c r="AFS8" s="152"/>
      <c r="AFT8" s="152"/>
      <c r="AFU8" s="152"/>
      <c r="AFV8" s="152"/>
      <c r="AFW8" s="152"/>
      <c r="AFX8" s="152"/>
      <c r="AFY8" s="152"/>
      <c r="AFZ8" s="152"/>
      <c r="AGA8" s="152"/>
      <c r="AGB8" s="152"/>
      <c r="AGC8" s="152"/>
      <c r="AGD8" s="152"/>
      <c r="AGE8" s="152"/>
      <c r="AGF8" s="152"/>
      <c r="AGG8" s="152"/>
      <c r="AGH8" s="152"/>
      <c r="AGI8" s="152"/>
      <c r="AGJ8" s="152"/>
      <c r="AGK8" s="152"/>
      <c r="AGL8" s="152"/>
      <c r="AGM8" s="152"/>
      <c r="AGN8" s="152"/>
      <c r="AGO8" s="152"/>
      <c r="AGP8" s="152"/>
      <c r="AGQ8" s="152"/>
      <c r="AGR8" s="152"/>
      <c r="AGS8" s="152"/>
      <c r="AGT8" s="152"/>
      <c r="AGU8" s="152"/>
      <c r="AGV8" s="152"/>
      <c r="AGW8" s="152"/>
      <c r="AGX8" s="152"/>
      <c r="AGY8" s="152"/>
      <c r="AGZ8" s="152"/>
      <c r="AHA8" s="152"/>
      <c r="AHB8" s="152"/>
      <c r="AHC8" s="152"/>
      <c r="AHD8" s="152"/>
      <c r="AHE8" s="152"/>
      <c r="AHF8" s="152"/>
      <c r="AHG8" s="152"/>
      <c r="AHH8" s="152"/>
      <c r="AHI8" s="152"/>
      <c r="AHJ8" s="152"/>
      <c r="AHK8" s="152"/>
      <c r="AHL8" s="152"/>
      <c r="AHM8" s="152"/>
      <c r="AHN8" s="152"/>
      <c r="AHO8" s="152"/>
      <c r="AHP8" s="152"/>
      <c r="AHQ8" s="152"/>
      <c r="AHR8" s="152"/>
      <c r="AHS8" s="152"/>
      <c r="AHT8" s="152"/>
      <c r="AHU8" s="152"/>
      <c r="AHV8" s="152"/>
      <c r="AHW8" s="152"/>
      <c r="AHX8" s="152"/>
      <c r="AHY8" s="152"/>
      <c r="AHZ8" s="152"/>
      <c r="AIA8" s="152"/>
      <c r="AIB8" s="152"/>
      <c r="AIC8" s="152"/>
      <c r="AID8" s="152"/>
      <c r="AIE8" s="152"/>
      <c r="AIF8" s="152"/>
    </row>
    <row r="9" spans="1:916" s="20" customFormat="1" x14ac:dyDescent="0.25">
      <c r="B9" s="300" t="s">
        <v>33</v>
      </c>
      <c r="C9" s="501" t="s">
        <v>371</v>
      </c>
      <c r="D9" s="122"/>
      <c r="E9" s="302"/>
      <c r="F9" s="135">
        <f>'SF Existing Water Heat {G}'!A$16</f>
        <v>20.215666548534976</v>
      </c>
      <c r="G9" s="303" t="s">
        <v>269</v>
      </c>
      <c r="H9" s="249">
        <f>'SF Existing Water Heat {G}'!A$10</f>
        <v>122462.2</v>
      </c>
      <c r="I9" s="250">
        <f>'SF Existing Water Heat {G}'!A$8</f>
        <v>416389.60000000009</v>
      </c>
      <c r="J9" s="250">
        <f>'SF Existing Water Heat {G}'!A$12</f>
        <v>912800</v>
      </c>
      <c r="K9" s="250">
        <f>'SF Existing Water Heat {G}'!A$14</f>
        <v>470670.39999999997</v>
      </c>
      <c r="L9" s="250">
        <f>SUM('SF Existing Water Heat {G}'!Q$5:Q$1000)</f>
        <v>1383470.4000000001</v>
      </c>
      <c r="M9" s="250"/>
      <c r="N9" s="251">
        <f>'SF Existing Water Heat {G}'!A$18</f>
        <v>1329189.6000000001</v>
      </c>
      <c r="O9" s="250">
        <f>'SF Existing Water Heat {G}'!A$20</f>
        <v>1799860.0000000002</v>
      </c>
      <c r="P9" s="250">
        <f>SUM('SF Existing Water Heat {G}'!R$5:R$1000)</f>
        <v>76.116290000000006</v>
      </c>
      <c r="Q9" s="252">
        <f t="shared" si="0"/>
        <v>1244559.5505617978</v>
      </c>
      <c r="R9" s="252">
        <f t="shared" ref="R9:R21" si="4">O9/(1+ElecDiscountRate)^1</f>
        <v>1685262.1722846443</v>
      </c>
      <c r="S9" s="250">
        <f>SUM('SF Existing Water Heat {G}'!AM$5:AM$1000)</f>
        <v>2312608.3415147797</v>
      </c>
      <c r="T9" s="250">
        <f>SUM('SF Existing Water Heat {G}'!AD$5:AD$1000)</f>
        <v>385038.03588512016</v>
      </c>
      <c r="U9" s="124">
        <f t="shared" si="2"/>
        <v>1.8581741150681472</v>
      </c>
      <c r="V9" s="124">
        <f t="shared" si="3"/>
        <v>1.7379534530112739</v>
      </c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  <c r="IY9" s="152"/>
      <c r="IZ9" s="152"/>
      <c r="JA9" s="152"/>
      <c r="JB9" s="152"/>
      <c r="JC9" s="152"/>
      <c r="JD9" s="152"/>
      <c r="JE9" s="152"/>
      <c r="JF9" s="152"/>
      <c r="JG9" s="152"/>
      <c r="JH9" s="152"/>
      <c r="JI9" s="152"/>
      <c r="JJ9" s="152"/>
      <c r="JK9" s="152"/>
      <c r="JL9" s="152"/>
      <c r="JM9" s="152"/>
      <c r="JN9" s="152"/>
      <c r="JO9" s="152"/>
      <c r="JP9" s="152"/>
      <c r="JQ9" s="152"/>
      <c r="JR9" s="152"/>
      <c r="JS9" s="152"/>
      <c r="JT9" s="152"/>
      <c r="JU9" s="152"/>
      <c r="JV9" s="152"/>
      <c r="JW9" s="152"/>
      <c r="JX9" s="152"/>
      <c r="JY9" s="152"/>
      <c r="JZ9" s="152"/>
      <c r="KA9" s="152"/>
      <c r="KB9" s="152"/>
      <c r="KC9" s="152"/>
      <c r="KD9" s="152"/>
      <c r="KE9" s="152"/>
      <c r="KF9" s="152"/>
      <c r="KG9" s="152"/>
      <c r="KH9" s="152"/>
      <c r="KI9" s="152"/>
      <c r="KJ9" s="152"/>
      <c r="KK9" s="152"/>
      <c r="KL9" s="152"/>
      <c r="KM9" s="152"/>
      <c r="KN9" s="152"/>
      <c r="KO9" s="152"/>
      <c r="KP9" s="152"/>
      <c r="KQ9" s="152"/>
      <c r="KR9" s="152"/>
      <c r="KS9" s="152"/>
      <c r="KT9" s="152"/>
      <c r="KU9" s="152"/>
      <c r="KV9" s="152"/>
      <c r="KW9" s="152"/>
      <c r="KX9" s="152"/>
      <c r="KY9" s="152"/>
      <c r="KZ9" s="152"/>
      <c r="LA9" s="152"/>
      <c r="LB9" s="152"/>
      <c r="LC9" s="152"/>
      <c r="LD9" s="152"/>
      <c r="LE9" s="152"/>
      <c r="LF9" s="152"/>
      <c r="LG9" s="152"/>
      <c r="LH9" s="152"/>
      <c r="LI9" s="152"/>
      <c r="LJ9" s="152"/>
      <c r="LK9" s="152"/>
      <c r="LL9" s="152"/>
      <c r="LM9" s="152"/>
      <c r="LN9" s="152"/>
      <c r="LO9" s="152"/>
      <c r="LP9" s="152"/>
      <c r="LQ9" s="152"/>
      <c r="LR9" s="152"/>
      <c r="LS9" s="152"/>
      <c r="LT9" s="152"/>
      <c r="LU9" s="152"/>
      <c r="LV9" s="152"/>
      <c r="LW9" s="152"/>
      <c r="LX9" s="152"/>
      <c r="LY9" s="152"/>
      <c r="LZ9" s="152"/>
      <c r="MA9" s="152"/>
      <c r="MB9" s="152"/>
      <c r="MC9" s="152"/>
      <c r="MD9" s="152"/>
      <c r="ME9" s="152"/>
      <c r="MF9" s="152"/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  <c r="ZL9" s="152"/>
      <c r="ZM9" s="152"/>
      <c r="ZN9" s="152"/>
      <c r="ZO9" s="152"/>
      <c r="ZP9" s="152"/>
      <c r="ZQ9" s="152"/>
      <c r="ZR9" s="152"/>
      <c r="ZS9" s="152"/>
      <c r="ZT9" s="152"/>
      <c r="ZU9" s="152"/>
      <c r="ZV9" s="152"/>
      <c r="ZW9" s="152"/>
      <c r="ZX9" s="152"/>
      <c r="ZY9" s="152"/>
      <c r="ZZ9" s="152"/>
      <c r="AAA9" s="152"/>
      <c r="AAB9" s="152"/>
      <c r="AAC9" s="152"/>
      <c r="AAD9" s="152"/>
      <c r="AAE9" s="152"/>
      <c r="AAF9" s="152"/>
      <c r="AAG9" s="152"/>
      <c r="AAH9" s="152"/>
      <c r="AAI9" s="152"/>
      <c r="AAJ9" s="152"/>
      <c r="AAK9" s="152"/>
      <c r="AAL9" s="152"/>
      <c r="AAM9" s="152"/>
      <c r="AAN9" s="152"/>
      <c r="AAO9" s="152"/>
      <c r="AAP9" s="152"/>
      <c r="AAQ9" s="152"/>
      <c r="AAR9" s="152"/>
      <c r="AAS9" s="152"/>
      <c r="AAT9" s="152"/>
      <c r="AAU9" s="152"/>
      <c r="AAV9" s="152"/>
      <c r="AAW9" s="152"/>
      <c r="AAX9" s="152"/>
      <c r="AAY9" s="152"/>
      <c r="AAZ9" s="152"/>
      <c r="ABA9" s="152"/>
      <c r="ABB9" s="152"/>
      <c r="ABC9" s="152"/>
      <c r="ABD9" s="152"/>
      <c r="ABE9" s="152"/>
      <c r="ABF9" s="152"/>
      <c r="ABG9" s="152"/>
      <c r="ABH9" s="152"/>
      <c r="ABI9" s="152"/>
      <c r="ABJ9" s="152"/>
      <c r="ABK9" s="152"/>
      <c r="ABL9" s="152"/>
      <c r="ABM9" s="152"/>
      <c r="ABN9" s="152"/>
      <c r="ABO9" s="152"/>
      <c r="ABP9" s="152"/>
      <c r="ABQ9" s="152"/>
      <c r="ABR9" s="152"/>
      <c r="ABS9" s="152"/>
      <c r="ABT9" s="152"/>
      <c r="ABU9" s="152"/>
      <c r="ABV9" s="152"/>
      <c r="ABW9" s="152"/>
      <c r="ABX9" s="152"/>
      <c r="ABY9" s="152"/>
      <c r="ABZ9" s="152"/>
      <c r="ACA9" s="152"/>
      <c r="ACB9" s="152"/>
      <c r="ACC9" s="152"/>
      <c r="ACD9" s="152"/>
      <c r="ACE9" s="152"/>
      <c r="ACF9" s="152"/>
      <c r="ACG9" s="152"/>
      <c r="ACH9" s="152"/>
      <c r="ACI9" s="152"/>
      <c r="ACJ9" s="152"/>
      <c r="ACK9" s="152"/>
      <c r="ACL9" s="152"/>
      <c r="ACM9" s="152"/>
      <c r="ACN9" s="152"/>
      <c r="ACO9" s="152"/>
      <c r="ACP9" s="152"/>
      <c r="ACQ9" s="152"/>
      <c r="ACR9" s="152"/>
      <c r="ACS9" s="152"/>
      <c r="ACT9" s="152"/>
      <c r="ACU9" s="152"/>
      <c r="ACV9" s="152"/>
      <c r="ACW9" s="152"/>
      <c r="ACX9" s="152"/>
      <c r="ACY9" s="152"/>
      <c r="ACZ9" s="152"/>
      <c r="ADA9" s="152"/>
      <c r="ADB9" s="152"/>
      <c r="ADC9" s="152"/>
      <c r="ADD9" s="152"/>
      <c r="ADE9" s="152"/>
      <c r="ADF9" s="152"/>
      <c r="ADG9" s="152"/>
      <c r="ADH9" s="152"/>
      <c r="ADI9" s="152"/>
      <c r="ADJ9" s="152"/>
      <c r="ADK9" s="152"/>
      <c r="ADL9" s="152"/>
      <c r="ADM9" s="152"/>
      <c r="ADN9" s="152"/>
      <c r="ADO9" s="152"/>
      <c r="ADP9" s="152"/>
      <c r="ADQ9" s="152"/>
      <c r="ADR9" s="152"/>
      <c r="ADS9" s="152"/>
      <c r="ADT9" s="152"/>
      <c r="ADU9" s="152"/>
      <c r="ADV9" s="152"/>
      <c r="ADW9" s="152"/>
      <c r="ADX9" s="152"/>
      <c r="ADY9" s="152"/>
      <c r="ADZ9" s="152"/>
      <c r="AEA9" s="152"/>
      <c r="AEB9" s="152"/>
      <c r="AEC9" s="152"/>
      <c r="AED9" s="152"/>
      <c r="AEE9" s="152"/>
      <c r="AEF9" s="152"/>
      <c r="AEG9" s="152"/>
      <c r="AEH9" s="152"/>
      <c r="AEI9" s="152"/>
      <c r="AEJ9" s="152"/>
      <c r="AEK9" s="152"/>
      <c r="AEL9" s="152"/>
      <c r="AEM9" s="152"/>
      <c r="AEN9" s="152"/>
      <c r="AEO9" s="152"/>
      <c r="AEP9" s="152"/>
      <c r="AEQ9" s="152"/>
      <c r="AER9" s="152"/>
      <c r="AES9" s="152"/>
      <c r="AET9" s="152"/>
      <c r="AEU9" s="152"/>
      <c r="AEV9" s="152"/>
      <c r="AEW9" s="152"/>
      <c r="AEX9" s="152"/>
      <c r="AEY9" s="152"/>
      <c r="AEZ9" s="152"/>
      <c r="AFA9" s="152"/>
      <c r="AFB9" s="152"/>
      <c r="AFC9" s="152"/>
      <c r="AFD9" s="152"/>
      <c r="AFE9" s="152"/>
      <c r="AFF9" s="152"/>
      <c r="AFG9" s="152"/>
      <c r="AFH9" s="152"/>
      <c r="AFI9" s="152"/>
      <c r="AFJ9" s="152"/>
      <c r="AFK9" s="152"/>
      <c r="AFL9" s="152"/>
      <c r="AFM9" s="152"/>
      <c r="AFN9" s="152"/>
      <c r="AFO9" s="152"/>
      <c r="AFP9" s="152"/>
      <c r="AFQ9" s="152"/>
      <c r="AFR9" s="152"/>
      <c r="AFS9" s="152"/>
      <c r="AFT9" s="152"/>
      <c r="AFU9" s="152"/>
      <c r="AFV9" s="152"/>
      <c r="AFW9" s="152"/>
      <c r="AFX9" s="152"/>
      <c r="AFY9" s="152"/>
      <c r="AFZ9" s="152"/>
      <c r="AGA9" s="152"/>
      <c r="AGB9" s="152"/>
      <c r="AGC9" s="152"/>
      <c r="AGD9" s="152"/>
      <c r="AGE9" s="152"/>
      <c r="AGF9" s="152"/>
      <c r="AGG9" s="152"/>
      <c r="AGH9" s="152"/>
      <c r="AGI9" s="152"/>
      <c r="AGJ9" s="152"/>
      <c r="AGK9" s="152"/>
      <c r="AGL9" s="152"/>
      <c r="AGM9" s="152"/>
      <c r="AGN9" s="152"/>
      <c r="AGO9" s="152"/>
      <c r="AGP9" s="152"/>
      <c r="AGQ9" s="152"/>
      <c r="AGR9" s="152"/>
      <c r="AGS9" s="152"/>
      <c r="AGT9" s="152"/>
      <c r="AGU9" s="152"/>
      <c r="AGV9" s="152"/>
      <c r="AGW9" s="152"/>
      <c r="AGX9" s="152"/>
      <c r="AGY9" s="152"/>
      <c r="AGZ9" s="152"/>
      <c r="AHA9" s="152"/>
      <c r="AHB9" s="152"/>
      <c r="AHC9" s="152"/>
      <c r="AHD9" s="152"/>
      <c r="AHE9" s="152"/>
      <c r="AHF9" s="152"/>
      <c r="AHG9" s="152"/>
      <c r="AHH9" s="152"/>
      <c r="AHI9" s="152"/>
      <c r="AHJ9" s="152"/>
      <c r="AHK9" s="152"/>
      <c r="AHL9" s="152"/>
      <c r="AHM9" s="152"/>
      <c r="AHN9" s="152"/>
      <c r="AHO9" s="152"/>
      <c r="AHP9" s="152"/>
      <c r="AHQ9" s="152"/>
      <c r="AHR9" s="152"/>
      <c r="AHS9" s="152"/>
      <c r="AHT9" s="152"/>
      <c r="AHU9" s="152"/>
      <c r="AHV9" s="152"/>
      <c r="AHW9" s="152"/>
      <c r="AHX9" s="152"/>
      <c r="AHY9" s="152"/>
      <c r="AHZ9" s="152"/>
      <c r="AIA9" s="152"/>
      <c r="AIB9" s="152"/>
      <c r="AIC9" s="152"/>
      <c r="AID9" s="152"/>
      <c r="AIE9" s="152"/>
      <c r="AIF9" s="152"/>
    </row>
    <row r="10" spans="1:916" s="20" customFormat="1" ht="12.75" x14ac:dyDescent="0.2">
      <c r="B10" s="300" t="s">
        <v>33</v>
      </c>
      <c r="C10" s="137" t="s">
        <v>372</v>
      </c>
      <c r="D10" s="165"/>
      <c r="E10" s="302"/>
      <c r="F10" s="135">
        <v>0</v>
      </c>
      <c r="G10" s="295" t="s">
        <v>366</v>
      </c>
      <c r="H10" s="249"/>
      <c r="I10" s="250">
        <v>0</v>
      </c>
      <c r="J10" s="250">
        <v>0</v>
      </c>
      <c r="K10" s="250">
        <v>0</v>
      </c>
      <c r="L10" s="250">
        <v>0</v>
      </c>
      <c r="M10" s="250"/>
      <c r="N10" s="251">
        <v>0</v>
      </c>
      <c r="O10" s="250">
        <v>0</v>
      </c>
      <c r="P10" s="250">
        <v>0</v>
      </c>
      <c r="Q10" s="252">
        <f t="shared" si="0"/>
        <v>0</v>
      </c>
      <c r="R10" s="252">
        <f t="shared" si="4"/>
        <v>0</v>
      </c>
      <c r="S10" s="250">
        <v>0</v>
      </c>
      <c r="T10" s="250">
        <v>0</v>
      </c>
      <c r="U10" s="124">
        <f t="shared" si="2"/>
        <v>0</v>
      </c>
      <c r="V10" s="124">
        <f t="shared" si="3"/>
        <v>0</v>
      </c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  <c r="IY10" s="152"/>
      <c r="IZ10" s="152"/>
      <c r="JA10" s="152"/>
      <c r="JB10" s="152"/>
      <c r="JC10" s="152"/>
      <c r="JD10" s="152"/>
      <c r="JE10" s="152"/>
      <c r="JF10" s="152"/>
      <c r="JG10" s="152"/>
      <c r="JH10" s="152"/>
      <c r="JI10" s="152"/>
      <c r="JJ10" s="152"/>
      <c r="JK10" s="152"/>
      <c r="JL10" s="152"/>
      <c r="JM10" s="152"/>
      <c r="JN10" s="152"/>
      <c r="JO10" s="152"/>
      <c r="JP10" s="152"/>
      <c r="JQ10" s="152"/>
      <c r="JR10" s="152"/>
      <c r="JS10" s="152"/>
      <c r="JT10" s="152"/>
      <c r="JU10" s="152"/>
      <c r="JV10" s="152"/>
      <c r="JW10" s="152"/>
      <c r="JX10" s="152"/>
      <c r="JY10" s="152"/>
      <c r="JZ10" s="152"/>
      <c r="KA10" s="152"/>
      <c r="KB10" s="152"/>
      <c r="KC10" s="152"/>
      <c r="KD10" s="152"/>
      <c r="KE10" s="152"/>
      <c r="KF10" s="152"/>
      <c r="KG10" s="152"/>
      <c r="KH10" s="152"/>
      <c r="KI10" s="152"/>
      <c r="KJ10" s="152"/>
      <c r="KK10" s="152"/>
      <c r="KL10" s="152"/>
      <c r="KM10" s="152"/>
      <c r="KN10" s="152"/>
      <c r="KO10" s="152"/>
      <c r="KP10" s="152"/>
      <c r="KQ10" s="152"/>
      <c r="KR10" s="152"/>
      <c r="KS10" s="152"/>
      <c r="KT10" s="152"/>
      <c r="KU10" s="152"/>
      <c r="KV10" s="152"/>
      <c r="KW10" s="152"/>
      <c r="KX10" s="152"/>
      <c r="KY10" s="152"/>
      <c r="KZ10" s="152"/>
      <c r="LA10" s="152"/>
      <c r="LB10" s="152"/>
      <c r="LC10" s="152"/>
      <c r="LD10" s="152"/>
      <c r="LE10" s="152"/>
      <c r="LF10" s="152"/>
      <c r="LG10" s="152"/>
      <c r="LH10" s="152"/>
      <c r="LI10" s="152"/>
      <c r="LJ10" s="152"/>
      <c r="LK10" s="152"/>
      <c r="LL10" s="152"/>
      <c r="LM10" s="152"/>
      <c r="LN10" s="152"/>
      <c r="LO10" s="152"/>
      <c r="LP10" s="152"/>
      <c r="LQ10" s="152"/>
      <c r="LR10" s="152"/>
      <c r="LS10" s="152"/>
      <c r="LT10" s="152"/>
      <c r="LU10" s="152"/>
      <c r="LV10" s="152"/>
      <c r="LW10" s="152"/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  <c r="ZL10" s="152"/>
      <c r="ZM10" s="152"/>
      <c r="ZN10" s="152"/>
      <c r="ZO10" s="152"/>
      <c r="ZP10" s="152"/>
      <c r="ZQ10" s="152"/>
      <c r="ZR10" s="152"/>
      <c r="ZS10" s="152"/>
      <c r="ZT10" s="152"/>
      <c r="ZU10" s="152"/>
      <c r="ZV10" s="152"/>
      <c r="ZW10" s="152"/>
      <c r="ZX10" s="152"/>
      <c r="ZY10" s="152"/>
      <c r="ZZ10" s="152"/>
      <c r="AAA10" s="152"/>
      <c r="AAB10" s="152"/>
      <c r="AAC10" s="152"/>
      <c r="AAD10" s="152"/>
      <c r="AAE10" s="152"/>
      <c r="AAF10" s="152"/>
      <c r="AAG10" s="152"/>
      <c r="AAH10" s="152"/>
      <c r="AAI10" s="152"/>
      <c r="AAJ10" s="152"/>
      <c r="AAK10" s="152"/>
      <c r="AAL10" s="152"/>
      <c r="AAM10" s="152"/>
      <c r="AAN10" s="152"/>
      <c r="AAO10" s="152"/>
      <c r="AAP10" s="152"/>
      <c r="AAQ10" s="152"/>
      <c r="AAR10" s="152"/>
      <c r="AAS10" s="152"/>
      <c r="AAT10" s="152"/>
      <c r="AAU10" s="152"/>
      <c r="AAV10" s="152"/>
      <c r="AAW10" s="152"/>
      <c r="AAX10" s="152"/>
      <c r="AAY10" s="152"/>
      <c r="AAZ10" s="152"/>
      <c r="ABA10" s="152"/>
      <c r="ABB10" s="152"/>
      <c r="ABC10" s="152"/>
      <c r="ABD10" s="152"/>
      <c r="ABE10" s="152"/>
      <c r="ABF10" s="152"/>
      <c r="ABG10" s="152"/>
      <c r="ABH10" s="152"/>
      <c r="ABI10" s="152"/>
      <c r="ABJ10" s="152"/>
      <c r="ABK10" s="152"/>
      <c r="ABL10" s="152"/>
      <c r="ABM10" s="152"/>
      <c r="ABN10" s="152"/>
      <c r="ABO10" s="152"/>
      <c r="ABP10" s="152"/>
      <c r="ABQ10" s="152"/>
      <c r="ABR10" s="152"/>
      <c r="ABS10" s="152"/>
      <c r="ABT10" s="152"/>
      <c r="ABU10" s="152"/>
      <c r="ABV10" s="152"/>
      <c r="ABW10" s="152"/>
      <c r="ABX10" s="152"/>
      <c r="ABY10" s="152"/>
      <c r="ABZ10" s="152"/>
      <c r="ACA10" s="152"/>
      <c r="ACB10" s="152"/>
      <c r="ACC10" s="152"/>
      <c r="ACD10" s="152"/>
      <c r="ACE10" s="152"/>
      <c r="ACF10" s="152"/>
      <c r="ACG10" s="152"/>
      <c r="ACH10" s="152"/>
      <c r="ACI10" s="152"/>
      <c r="ACJ10" s="152"/>
      <c r="ACK10" s="152"/>
      <c r="ACL10" s="152"/>
      <c r="ACM10" s="152"/>
      <c r="ACN10" s="152"/>
      <c r="ACO10" s="152"/>
      <c r="ACP10" s="152"/>
      <c r="ACQ10" s="152"/>
      <c r="ACR10" s="152"/>
      <c r="ACS10" s="152"/>
      <c r="ACT10" s="152"/>
      <c r="ACU10" s="152"/>
      <c r="ACV10" s="152"/>
      <c r="ACW10" s="152"/>
      <c r="ACX10" s="152"/>
      <c r="ACY10" s="152"/>
      <c r="ACZ10" s="152"/>
      <c r="ADA10" s="152"/>
      <c r="ADB10" s="152"/>
      <c r="ADC10" s="152"/>
      <c r="ADD10" s="152"/>
      <c r="ADE10" s="152"/>
      <c r="ADF10" s="152"/>
      <c r="ADG10" s="152"/>
      <c r="ADH10" s="152"/>
      <c r="ADI10" s="152"/>
      <c r="ADJ10" s="152"/>
      <c r="ADK10" s="152"/>
      <c r="ADL10" s="152"/>
      <c r="ADM10" s="152"/>
      <c r="ADN10" s="152"/>
      <c r="ADO10" s="152"/>
      <c r="ADP10" s="152"/>
      <c r="ADQ10" s="152"/>
      <c r="ADR10" s="152"/>
      <c r="ADS10" s="152"/>
      <c r="ADT10" s="152"/>
      <c r="ADU10" s="152"/>
      <c r="ADV10" s="152"/>
      <c r="ADW10" s="152"/>
      <c r="ADX10" s="152"/>
      <c r="ADY10" s="152"/>
      <c r="ADZ10" s="152"/>
      <c r="AEA10" s="152"/>
      <c r="AEB10" s="152"/>
      <c r="AEC10" s="152"/>
      <c r="AED10" s="152"/>
      <c r="AEE10" s="152"/>
      <c r="AEF10" s="152"/>
      <c r="AEG10" s="152"/>
      <c r="AEH10" s="152"/>
      <c r="AEI10" s="152"/>
      <c r="AEJ10" s="152"/>
      <c r="AEK10" s="152"/>
      <c r="AEL10" s="152"/>
      <c r="AEM10" s="152"/>
      <c r="AEN10" s="152"/>
      <c r="AEO10" s="152"/>
      <c r="AEP10" s="152"/>
      <c r="AEQ10" s="152"/>
      <c r="AER10" s="152"/>
      <c r="AES10" s="152"/>
      <c r="AET10" s="152"/>
      <c r="AEU10" s="152"/>
      <c r="AEV10" s="152"/>
      <c r="AEW10" s="152"/>
      <c r="AEX10" s="152"/>
      <c r="AEY10" s="152"/>
      <c r="AEZ10" s="152"/>
      <c r="AFA10" s="152"/>
      <c r="AFB10" s="152"/>
      <c r="AFC10" s="152"/>
      <c r="AFD10" s="152"/>
      <c r="AFE10" s="152"/>
      <c r="AFF10" s="152"/>
      <c r="AFG10" s="152"/>
      <c r="AFH10" s="152"/>
      <c r="AFI10" s="152"/>
      <c r="AFJ10" s="152"/>
      <c r="AFK10" s="152"/>
      <c r="AFL10" s="152"/>
      <c r="AFM10" s="152"/>
      <c r="AFN10" s="152"/>
      <c r="AFO10" s="152"/>
      <c r="AFP10" s="152"/>
      <c r="AFQ10" s="152"/>
      <c r="AFR10" s="152"/>
      <c r="AFS10" s="152"/>
      <c r="AFT10" s="152"/>
      <c r="AFU10" s="152"/>
      <c r="AFV10" s="152"/>
      <c r="AFW10" s="152"/>
      <c r="AFX10" s="152"/>
      <c r="AFY10" s="152"/>
      <c r="AFZ10" s="152"/>
      <c r="AGA10" s="152"/>
      <c r="AGB10" s="152"/>
      <c r="AGC10" s="152"/>
      <c r="AGD10" s="152"/>
      <c r="AGE10" s="152"/>
      <c r="AGF10" s="152"/>
      <c r="AGG10" s="152"/>
      <c r="AGH10" s="152"/>
      <c r="AGI10" s="152"/>
      <c r="AGJ10" s="152"/>
      <c r="AGK10" s="152"/>
      <c r="AGL10" s="152"/>
      <c r="AGM10" s="152"/>
      <c r="AGN10" s="152"/>
      <c r="AGO10" s="152"/>
      <c r="AGP10" s="152"/>
      <c r="AGQ10" s="152"/>
      <c r="AGR10" s="152"/>
      <c r="AGS10" s="152"/>
      <c r="AGT10" s="152"/>
      <c r="AGU10" s="152"/>
      <c r="AGV10" s="152"/>
      <c r="AGW10" s="152"/>
      <c r="AGX10" s="152"/>
      <c r="AGY10" s="152"/>
      <c r="AGZ10" s="152"/>
      <c r="AHA10" s="152"/>
      <c r="AHB10" s="152"/>
      <c r="AHC10" s="152"/>
      <c r="AHD10" s="152"/>
      <c r="AHE10" s="152"/>
      <c r="AHF10" s="152"/>
      <c r="AHG10" s="152"/>
      <c r="AHH10" s="152"/>
      <c r="AHI10" s="152"/>
      <c r="AHJ10" s="152"/>
      <c r="AHK10" s="152"/>
      <c r="AHL10" s="152"/>
      <c r="AHM10" s="152"/>
      <c r="AHN10" s="152"/>
      <c r="AHO10" s="152"/>
      <c r="AHP10" s="152"/>
      <c r="AHQ10" s="152"/>
      <c r="AHR10" s="152"/>
      <c r="AHS10" s="152"/>
      <c r="AHT10" s="152"/>
      <c r="AHU10" s="152"/>
      <c r="AHV10" s="152"/>
      <c r="AHW10" s="152"/>
      <c r="AHX10" s="152"/>
      <c r="AHY10" s="152"/>
      <c r="AHZ10" s="152"/>
      <c r="AIA10" s="152"/>
      <c r="AIB10" s="152"/>
      <c r="AIC10" s="152"/>
      <c r="AID10" s="152"/>
      <c r="AIE10" s="152"/>
      <c r="AIF10" s="152"/>
    </row>
    <row r="11" spans="1:916" s="20" customFormat="1" ht="12.75" x14ac:dyDescent="0.2">
      <c r="B11" s="300" t="s">
        <v>33</v>
      </c>
      <c r="C11" s="137" t="s">
        <v>373</v>
      </c>
      <c r="D11" s="165"/>
      <c r="E11" s="301"/>
      <c r="F11" s="135">
        <f>'Home Appliances {G}'!A$16</f>
        <v>14</v>
      </c>
      <c r="G11" s="295" t="s">
        <v>366</v>
      </c>
      <c r="H11" s="249">
        <f>'Home Appliances {G}'!A$10</f>
        <v>9672</v>
      </c>
      <c r="I11" s="250">
        <f>'Home Appliances {G}'!A$8</f>
        <v>0</v>
      </c>
      <c r="J11" s="250">
        <f>'Home Appliances {G}'!A$12</f>
        <v>0</v>
      </c>
      <c r="K11" s="250">
        <f>'Home Appliances {G}'!A$14</f>
        <v>0</v>
      </c>
      <c r="L11" s="250">
        <f>SUM('Home Appliances {G}'!Q$5:Q$1000)</f>
        <v>0</v>
      </c>
      <c r="M11" s="250"/>
      <c r="N11" s="251">
        <f>'Home Appliances {G}'!A$18</f>
        <v>0</v>
      </c>
      <c r="O11" s="250">
        <f>'Home Appliances {G}'!A$20</f>
        <v>0</v>
      </c>
      <c r="P11" s="250">
        <f>SUM('Home Appliances {G}'!R$5:R$1000)</f>
        <v>37.962800000000001</v>
      </c>
      <c r="Q11" s="252">
        <f t="shared" si="0"/>
        <v>0</v>
      </c>
      <c r="R11" s="252">
        <f t="shared" si="4"/>
        <v>0</v>
      </c>
      <c r="S11" s="250">
        <f>SUM('Home Appliances {G}'!AM$5:AM$1000)</f>
        <v>136029.04063286181</v>
      </c>
      <c r="T11" s="250">
        <f>SUM('Home Appliances {G}'!AD$5:AD$1000)</f>
        <v>677083.0089399959</v>
      </c>
      <c r="U11" s="124">
        <f t="shared" si="2"/>
        <v>0</v>
      </c>
      <c r="V11" s="124">
        <f t="shared" si="3"/>
        <v>0</v>
      </c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  <c r="IY11" s="152"/>
      <c r="IZ11" s="152"/>
      <c r="JA11" s="152"/>
      <c r="JB11" s="152"/>
      <c r="JC11" s="152"/>
      <c r="JD11" s="152"/>
      <c r="JE11" s="152"/>
      <c r="JF11" s="152"/>
      <c r="JG11" s="152"/>
      <c r="JH11" s="152"/>
      <c r="JI11" s="152"/>
      <c r="JJ11" s="152"/>
      <c r="JK11" s="152"/>
      <c r="JL11" s="152"/>
      <c r="JM11" s="152"/>
      <c r="JN11" s="152"/>
      <c r="JO11" s="152"/>
      <c r="JP11" s="152"/>
      <c r="JQ11" s="152"/>
      <c r="JR11" s="152"/>
      <c r="JS11" s="152"/>
      <c r="JT11" s="152"/>
      <c r="JU11" s="152"/>
      <c r="JV11" s="152"/>
      <c r="JW11" s="152"/>
      <c r="JX11" s="152"/>
      <c r="JY11" s="152"/>
      <c r="JZ11" s="152"/>
      <c r="KA11" s="152"/>
      <c r="KB11" s="152"/>
      <c r="KC11" s="152"/>
      <c r="KD11" s="152"/>
      <c r="KE11" s="152"/>
      <c r="KF11" s="152"/>
      <c r="KG11" s="152"/>
      <c r="KH11" s="152"/>
      <c r="KI11" s="152"/>
      <c r="KJ11" s="152"/>
      <c r="KK11" s="152"/>
      <c r="KL11" s="152"/>
      <c r="KM11" s="152"/>
      <c r="KN11" s="152"/>
      <c r="KO11" s="152"/>
      <c r="KP11" s="152"/>
      <c r="KQ11" s="152"/>
      <c r="KR11" s="152"/>
      <c r="KS11" s="152"/>
      <c r="KT11" s="152"/>
      <c r="KU11" s="152"/>
      <c r="KV11" s="152"/>
      <c r="KW11" s="152"/>
      <c r="KX11" s="152"/>
      <c r="KY11" s="152"/>
      <c r="KZ11" s="152"/>
      <c r="LA11" s="152"/>
      <c r="LB11" s="152"/>
      <c r="LC11" s="152"/>
      <c r="LD11" s="152"/>
      <c r="LE11" s="152"/>
      <c r="LF11" s="152"/>
      <c r="LG11" s="152"/>
      <c r="LH11" s="152"/>
      <c r="LI11" s="152"/>
      <c r="LJ11" s="152"/>
      <c r="LK11" s="152"/>
      <c r="LL11" s="152"/>
      <c r="LM11" s="152"/>
      <c r="LN11" s="152"/>
      <c r="LO11" s="152"/>
      <c r="LP11" s="152"/>
      <c r="LQ11" s="152"/>
      <c r="LR11" s="152"/>
      <c r="LS11" s="152"/>
      <c r="LT11" s="152"/>
      <c r="LU11" s="152"/>
      <c r="LV11" s="152"/>
      <c r="LW11" s="152"/>
      <c r="LX11" s="152"/>
      <c r="LY11" s="152"/>
      <c r="LZ11" s="152"/>
      <c r="MA11" s="152"/>
      <c r="MB11" s="152"/>
      <c r="MC11" s="152"/>
      <c r="MD11" s="152"/>
      <c r="ME11" s="152"/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  <c r="ZL11" s="152"/>
      <c r="ZM11" s="152"/>
      <c r="ZN11" s="152"/>
      <c r="ZO11" s="152"/>
      <c r="ZP11" s="152"/>
      <c r="ZQ11" s="152"/>
      <c r="ZR11" s="152"/>
      <c r="ZS11" s="152"/>
      <c r="ZT11" s="152"/>
      <c r="ZU11" s="152"/>
      <c r="ZV11" s="152"/>
      <c r="ZW11" s="152"/>
      <c r="ZX11" s="152"/>
      <c r="ZY11" s="152"/>
      <c r="ZZ11" s="152"/>
      <c r="AAA11" s="152"/>
      <c r="AAB11" s="152"/>
      <c r="AAC11" s="152"/>
      <c r="AAD11" s="152"/>
      <c r="AAE11" s="152"/>
      <c r="AAF11" s="152"/>
      <c r="AAG11" s="152"/>
      <c r="AAH11" s="152"/>
      <c r="AAI11" s="152"/>
      <c r="AAJ11" s="152"/>
      <c r="AAK11" s="152"/>
      <c r="AAL11" s="152"/>
      <c r="AAM11" s="152"/>
      <c r="AAN11" s="152"/>
      <c r="AAO11" s="152"/>
      <c r="AAP11" s="152"/>
      <c r="AAQ11" s="152"/>
      <c r="AAR11" s="152"/>
      <c r="AAS11" s="152"/>
      <c r="AAT11" s="152"/>
      <c r="AAU11" s="152"/>
      <c r="AAV11" s="152"/>
      <c r="AAW11" s="152"/>
      <c r="AAX11" s="152"/>
      <c r="AAY11" s="152"/>
      <c r="AAZ11" s="152"/>
      <c r="ABA11" s="152"/>
      <c r="ABB11" s="152"/>
      <c r="ABC11" s="152"/>
      <c r="ABD11" s="152"/>
      <c r="ABE11" s="152"/>
      <c r="ABF11" s="152"/>
      <c r="ABG11" s="152"/>
      <c r="ABH11" s="152"/>
      <c r="ABI11" s="152"/>
      <c r="ABJ11" s="152"/>
      <c r="ABK11" s="152"/>
      <c r="ABL11" s="152"/>
      <c r="ABM11" s="152"/>
      <c r="ABN11" s="152"/>
      <c r="ABO11" s="152"/>
      <c r="ABP11" s="152"/>
      <c r="ABQ11" s="152"/>
      <c r="ABR11" s="152"/>
      <c r="ABS11" s="152"/>
      <c r="ABT11" s="152"/>
      <c r="ABU11" s="152"/>
      <c r="ABV11" s="152"/>
      <c r="ABW11" s="152"/>
      <c r="ABX11" s="152"/>
      <c r="ABY11" s="152"/>
      <c r="ABZ11" s="152"/>
      <c r="ACA11" s="152"/>
      <c r="ACB11" s="152"/>
      <c r="ACC11" s="152"/>
      <c r="ACD11" s="152"/>
      <c r="ACE11" s="152"/>
      <c r="ACF11" s="152"/>
      <c r="ACG11" s="152"/>
      <c r="ACH11" s="152"/>
      <c r="ACI11" s="152"/>
      <c r="ACJ11" s="152"/>
      <c r="ACK11" s="152"/>
      <c r="ACL11" s="152"/>
      <c r="ACM11" s="152"/>
      <c r="ACN11" s="152"/>
      <c r="ACO11" s="152"/>
      <c r="ACP11" s="152"/>
      <c r="ACQ11" s="152"/>
      <c r="ACR11" s="152"/>
      <c r="ACS11" s="152"/>
      <c r="ACT11" s="152"/>
      <c r="ACU11" s="152"/>
      <c r="ACV11" s="152"/>
      <c r="ACW11" s="152"/>
      <c r="ACX11" s="152"/>
      <c r="ACY11" s="152"/>
      <c r="ACZ11" s="152"/>
      <c r="ADA11" s="152"/>
      <c r="ADB11" s="152"/>
      <c r="ADC11" s="152"/>
      <c r="ADD11" s="152"/>
      <c r="ADE11" s="152"/>
      <c r="ADF11" s="152"/>
      <c r="ADG11" s="152"/>
      <c r="ADH11" s="152"/>
      <c r="ADI11" s="152"/>
      <c r="ADJ11" s="152"/>
      <c r="ADK11" s="152"/>
      <c r="ADL11" s="152"/>
      <c r="ADM11" s="152"/>
      <c r="ADN11" s="152"/>
      <c r="ADO11" s="152"/>
      <c r="ADP11" s="152"/>
      <c r="ADQ11" s="152"/>
      <c r="ADR11" s="152"/>
      <c r="ADS11" s="152"/>
      <c r="ADT11" s="152"/>
      <c r="ADU11" s="152"/>
      <c r="ADV11" s="152"/>
      <c r="ADW11" s="152"/>
      <c r="ADX11" s="152"/>
      <c r="ADY11" s="152"/>
      <c r="ADZ11" s="152"/>
      <c r="AEA11" s="152"/>
      <c r="AEB11" s="152"/>
      <c r="AEC11" s="152"/>
      <c r="AED11" s="152"/>
      <c r="AEE11" s="152"/>
      <c r="AEF11" s="152"/>
      <c r="AEG11" s="152"/>
      <c r="AEH11" s="152"/>
      <c r="AEI11" s="152"/>
      <c r="AEJ11" s="152"/>
      <c r="AEK11" s="152"/>
      <c r="AEL11" s="152"/>
      <c r="AEM11" s="152"/>
      <c r="AEN11" s="152"/>
      <c r="AEO11" s="152"/>
      <c r="AEP11" s="152"/>
      <c r="AEQ11" s="152"/>
      <c r="AER11" s="152"/>
      <c r="AES11" s="152"/>
      <c r="AET11" s="152"/>
      <c r="AEU11" s="152"/>
      <c r="AEV11" s="152"/>
      <c r="AEW11" s="152"/>
      <c r="AEX11" s="152"/>
      <c r="AEY11" s="152"/>
      <c r="AEZ11" s="152"/>
      <c r="AFA11" s="152"/>
      <c r="AFB11" s="152"/>
      <c r="AFC11" s="152"/>
      <c r="AFD11" s="152"/>
      <c r="AFE11" s="152"/>
      <c r="AFF11" s="152"/>
      <c r="AFG11" s="152"/>
      <c r="AFH11" s="152"/>
      <c r="AFI11" s="152"/>
      <c r="AFJ11" s="152"/>
      <c r="AFK11" s="152"/>
      <c r="AFL11" s="152"/>
      <c r="AFM11" s="152"/>
      <c r="AFN11" s="152"/>
      <c r="AFO11" s="152"/>
      <c r="AFP11" s="152"/>
      <c r="AFQ11" s="152"/>
      <c r="AFR11" s="152"/>
      <c r="AFS11" s="152"/>
      <c r="AFT11" s="152"/>
      <c r="AFU11" s="152"/>
      <c r="AFV11" s="152"/>
      <c r="AFW11" s="152"/>
      <c r="AFX11" s="152"/>
      <c r="AFY11" s="152"/>
      <c r="AFZ11" s="152"/>
      <c r="AGA11" s="152"/>
      <c r="AGB11" s="152"/>
      <c r="AGC11" s="152"/>
      <c r="AGD11" s="152"/>
      <c r="AGE11" s="152"/>
      <c r="AGF11" s="152"/>
      <c r="AGG11" s="152"/>
      <c r="AGH11" s="152"/>
      <c r="AGI11" s="152"/>
      <c r="AGJ11" s="152"/>
      <c r="AGK11" s="152"/>
      <c r="AGL11" s="152"/>
      <c r="AGM11" s="152"/>
      <c r="AGN11" s="152"/>
      <c r="AGO11" s="152"/>
      <c r="AGP11" s="152"/>
      <c r="AGQ11" s="152"/>
      <c r="AGR11" s="152"/>
      <c r="AGS11" s="152"/>
      <c r="AGT11" s="152"/>
      <c r="AGU11" s="152"/>
      <c r="AGV11" s="152"/>
      <c r="AGW11" s="152"/>
      <c r="AGX11" s="152"/>
      <c r="AGY11" s="152"/>
      <c r="AGZ11" s="152"/>
      <c r="AHA11" s="152"/>
      <c r="AHB11" s="152"/>
      <c r="AHC11" s="152"/>
      <c r="AHD11" s="152"/>
      <c r="AHE11" s="152"/>
      <c r="AHF11" s="152"/>
      <c r="AHG11" s="152"/>
      <c r="AHH11" s="152"/>
      <c r="AHI11" s="152"/>
      <c r="AHJ11" s="152"/>
      <c r="AHK11" s="152"/>
      <c r="AHL11" s="152"/>
      <c r="AHM11" s="152"/>
      <c r="AHN11" s="152"/>
      <c r="AHO11" s="152"/>
      <c r="AHP11" s="152"/>
      <c r="AHQ11" s="152"/>
      <c r="AHR11" s="152"/>
      <c r="AHS11" s="152"/>
      <c r="AHT11" s="152"/>
      <c r="AHU11" s="152"/>
      <c r="AHV11" s="152"/>
      <c r="AHW11" s="152"/>
      <c r="AHX11" s="152"/>
      <c r="AHY11" s="152"/>
      <c r="AHZ11" s="152"/>
      <c r="AIA11" s="152"/>
      <c r="AIB11" s="152"/>
      <c r="AIC11" s="152"/>
      <c r="AID11" s="152"/>
      <c r="AIE11" s="152"/>
      <c r="AIF11" s="152"/>
    </row>
    <row r="12" spans="1:916" s="20" customFormat="1" ht="12.75" x14ac:dyDescent="0.2">
      <c r="B12" s="300" t="s">
        <v>33</v>
      </c>
      <c r="C12" s="137" t="s">
        <v>446</v>
      </c>
      <c r="D12" s="165"/>
      <c r="E12" s="301"/>
      <c r="F12" s="135">
        <f>'Web Enabled Thermostats {G}'!A$16</f>
        <v>7</v>
      </c>
      <c r="G12" s="295" t="s">
        <v>366</v>
      </c>
      <c r="H12" s="249">
        <f>'Web Enabled Thermostats {G}'!A$10</f>
        <v>553597.80000000005</v>
      </c>
      <c r="I12" s="250">
        <f>'Web Enabled Thermostats {G}'!A$8</f>
        <v>1790449.7999999998</v>
      </c>
      <c r="J12" s="250">
        <f>'Web Enabled Thermostats {G}'!A$12</f>
        <v>2565600</v>
      </c>
      <c r="K12" s="250">
        <f>'Web Enabled Thermostats {G}'!A$14</f>
        <v>856132.0199999999</v>
      </c>
      <c r="L12" s="250">
        <f>SUM('Web Enabled Thermostats {G}'!Q$5:Q$1000)</f>
        <v>3421732.02</v>
      </c>
      <c r="M12" s="250"/>
      <c r="N12" s="251">
        <f>'Web Enabled Thermostats {G}'!A$18</f>
        <v>4356049.8</v>
      </c>
      <c r="O12" s="250">
        <f>'Web Enabled Thermostats {G}'!A$20</f>
        <v>5212181.82</v>
      </c>
      <c r="P12" s="250">
        <f>SUM('Web Enabled Thermostats {G}'!R$5:R$1000)</f>
        <v>77.444999999999979</v>
      </c>
      <c r="Q12" s="252">
        <f t="shared" si="0"/>
        <v>4078698.3146067411</v>
      </c>
      <c r="R12" s="252">
        <f t="shared" si="4"/>
        <v>4880320.0561797749</v>
      </c>
      <c r="S12" s="250">
        <f>SUM('Web Enabled Thermostats {G}'!AM$5:AM$1000)</f>
        <v>4592965.0826456388</v>
      </c>
      <c r="T12" s="250">
        <f>SUM('Web Enabled Thermostats {G}'!AD$5:AD$1000)</f>
        <v>580966.06883226358</v>
      </c>
      <c r="U12" s="124">
        <f t="shared" si="2"/>
        <v>1.1260860030263067</v>
      </c>
      <c r="V12" s="124">
        <f t="shared" si="3"/>
        <v>1.1542742268735657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  <c r="IY12" s="152"/>
      <c r="IZ12" s="152"/>
      <c r="JA12" s="152"/>
      <c r="JB12" s="152"/>
      <c r="JC12" s="152"/>
      <c r="JD12" s="152"/>
      <c r="JE12" s="152"/>
      <c r="JF12" s="152"/>
      <c r="JG12" s="152"/>
      <c r="JH12" s="152"/>
      <c r="JI12" s="152"/>
      <c r="JJ12" s="152"/>
      <c r="JK12" s="152"/>
      <c r="JL12" s="152"/>
      <c r="JM12" s="152"/>
      <c r="JN12" s="152"/>
      <c r="JO12" s="152"/>
      <c r="JP12" s="152"/>
      <c r="JQ12" s="152"/>
      <c r="JR12" s="152"/>
      <c r="JS12" s="152"/>
      <c r="JT12" s="152"/>
      <c r="JU12" s="152"/>
      <c r="JV12" s="152"/>
      <c r="JW12" s="152"/>
      <c r="JX12" s="152"/>
      <c r="JY12" s="152"/>
      <c r="JZ12" s="152"/>
      <c r="KA12" s="152"/>
      <c r="KB12" s="152"/>
      <c r="KC12" s="152"/>
      <c r="KD12" s="152"/>
      <c r="KE12" s="152"/>
      <c r="KF12" s="152"/>
      <c r="KG12" s="152"/>
      <c r="KH12" s="152"/>
      <c r="KI12" s="152"/>
      <c r="KJ12" s="152"/>
      <c r="KK12" s="152"/>
      <c r="KL12" s="152"/>
      <c r="KM12" s="152"/>
      <c r="KN12" s="152"/>
      <c r="KO12" s="152"/>
      <c r="KP12" s="152"/>
      <c r="KQ12" s="152"/>
      <c r="KR12" s="152"/>
      <c r="KS12" s="152"/>
      <c r="KT12" s="152"/>
      <c r="KU12" s="152"/>
      <c r="KV12" s="152"/>
      <c r="KW12" s="152"/>
      <c r="KX12" s="152"/>
      <c r="KY12" s="152"/>
      <c r="KZ12" s="152"/>
      <c r="LA12" s="152"/>
      <c r="LB12" s="152"/>
      <c r="LC12" s="152"/>
      <c r="LD12" s="152"/>
      <c r="LE12" s="152"/>
      <c r="LF12" s="152"/>
      <c r="LG12" s="152"/>
      <c r="LH12" s="152"/>
      <c r="LI12" s="152"/>
      <c r="LJ12" s="152"/>
      <c r="LK12" s="152"/>
      <c r="LL12" s="152"/>
      <c r="LM12" s="152"/>
      <c r="LN12" s="152"/>
      <c r="LO12" s="152"/>
      <c r="LP12" s="152"/>
      <c r="LQ12" s="152"/>
      <c r="LR12" s="152"/>
      <c r="LS12" s="152"/>
      <c r="LT12" s="152"/>
      <c r="LU12" s="152"/>
      <c r="LV12" s="152"/>
      <c r="LW12" s="152"/>
      <c r="LX12" s="152"/>
      <c r="LY12" s="152"/>
      <c r="LZ12" s="152"/>
      <c r="MA12" s="152"/>
      <c r="MB12" s="152"/>
      <c r="MC12" s="152"/>
      <c r="MD12" s="152"/>
      <c r="ME12" s="152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  <c r="ZL12" s="152"/>
      <c r="ZM12" s="152"/>
      <c r="ZN12" s="152"/>
      <c r="ZO12" s="152"/>
      <c r="ZP12" s="152"/>
      <c r="ZQ12" s="152"/>
      <c r="ZR12" s="152"/>
      <c r="ZS12" s="152"/>
      <c r="ZT12" s="152"/>
      <c r="ZU12" s="152"/>
      <c r="ZV12" s="152"/>
      <c r="ZW12" s="152"/>
      <c r="ZX12" s="152"/>
      <c r="ZY12" s="152"/>
      <c r="ZZ12" s="152"/>
      <c r="AAA12" s="152"/>
      <c r="AAB12" s="152"/>
      <c r="AAC12" s="152"/>
      <c r="AAD12" s="152"/>
      <c r="AAE12" s="152"/>
      <c r="AAF12" s="152"/>
      <c r="AAG12" s="152"/>
      <c r="AAH12" s="152"/>
      <c r="AAI12" s="152"/>
      <c r="AAJ12" s="152"/>
      <c r="AAK12" s="152"/>
      <c r="AAL12" s="152"/>
      <c r="AAM12" s="152"/>
      <c r="AAN12" s="152"/>
      <c r="AAO12" s="152"/>
      <c r="AAP12" s="152"/>
      <c r="AAQ12" s="152"/>
      <c r="AAR12" s="152"/>
      <c r="AAS12" s="152"/>
      <c r="AAT12" s="152"/>
      <c r="AAU12" s="152"/>
      <c r="AAV12" s="152"/>
      <c r="AAW12" s="152"/>
      <c r="AAX12" s="152"/>
      <c r="AAY12" s="152"/>
      <c r="AAZ12" s="152"/>
      <c r="ABA12" s="152"/>
      <c r="ABB12" s="152"/>
      <c r="ABC12" s="152"/>
      <c r="ABD12" s="152"/>
      <c r="ABE12" s="152"/>
      <c r="ABF12" s="152"/>
      <c r="ABG12" s="152"/>
      <c r="ABH12" s="152"/>
      <c r="ABI12" s="152"/>
      <c r="ABJ12" s="152"/>
      <c r="ABK12" s="152"/>
      <c r="ABL12" s="152"/>
      <c r="ABM12" s="152"/>
      <c r="ABN12" s="152"/>
      <c r="ABO12" s="152"/>
      <c r="ABP12" s="152"/>
      <c r="ABQ12" s="152"/>
      <c r="ABR12" s="152"/>
      <c r="ABS12" s="152"/>
      <c r="ABT12" s="152"/>
      <c r="ABU12" s="152"/>
      <c r="ABV12" s="152"/>
      <c r="ABW12" s="152"/>
      <c r="ABX12" s="152"/>
      <c r="ABY12" s="152"/>
      <c r="ABZ12" s="152"/>
      <c r="ACA12" s="152"/>
      <c r="ACB12" s="152"/>
      <c r="ACC12" s="152"/>
      <c r="ACD12" s="152"/>
      <c r="ACE12" s="152"/>
      <c r="ACF12" s="152"/>
      <c r="ACG12" s="152"/>
      <c r="ACH12" s="152"/>
      <c r="ACI12" s="152"/>
      <c r="ACJ12" s="152"/>
      <c r="ACK12" s="152"/>
      <c r="ACL12" s="152"/>
      <c r="ACM12" s="152"/>
      <c r="ACN12" s="152"/>
      <c r="ACO12" s="152"/>
      <c r="ACP12" s="152"/>
      <c r="ACQ12" s="152"/>
      <c r="ACR12" s="152"/>
      <c r="ACS12" s="152"/>
      <c r="ACT12" s="152"/>
      <c r="ACU12" s="152"/>
      <c r="ACV12" s="152"/>
      <c r="ACW12" s="152"/>
      <c r="ACX12" s="152"/>
      <c r="ACY12" s="152"/>
      <c r="ACZ12" s="152"/>
      <c r="ADA12" s="152"/>
      <c r="ADB12" s="152"/>
      <c r="ADC12" s="152"/>
      <c r="ADD12" s="152"/>
      <c r="ADE12" s="152"/>
      <c r="ADF12" s="152"/>
      <c r="ADG12" s="152"/>
      <c r="ADH12" s="152"/>
      <c r="ADI12" s="152"/>
      <c r="ADJ12" s="152"/>
      <c r="ADK12" s="152"/>
      <c r="ADL12" s="152"/>
      <c r="ADM12" s="152"/>
      <c r="ADN12" s="152"/>
      <c r="ADO12" s="152"/>
      <c r="ADP12" s="152"/>
      <c r="ADQ12" s="152"/>
      <c r="ADR12" s="152"/>
      <c r="ADS12" s="152"/>
      <c r="ADT12" s="152"/>
      <c r="ADU12" s="152"/>
      <c r="ADV12" s="152"/>
      <c r="ADW12" s="152"/>
      <c r="ADX12" s="152"/>
      <c r="ADY12" s="152"/>
      <c r="ADZ12" s="152"/>
      <c r="AEA12" s="152"/>
      <c r="AEB12" s="152"/>
      <c r="AEC12" s="152"/>
      <c r="AED12" s="152"/>
      <c r="AEE12" s="152"/>
      <c r="AEF12" s="152"/>
      <c r="AEG12" s="152"/>
      <c r="AEH12" s="152"/>
      <c r="AEI12" s="152"/>
      <c r="AEJ12" s="152"/>
      <c r="AEK12" s="152"/>
      <c r="AEL12" s="152"/>
      <c r="AEM12" s="152"/>
      <c r="AEN12" s="152"/>
      <c r="AEO12" s="152"/>
      <c r="AEP12" s="152"/>
      <c r="AEQ12" s="152"/>
      <c r="AER12" s="152"/>
      <c r="AES12" s="152"/>
      <c r="AET12" s="152"/>
      <c r="AEU12" s="152"/>
      <c r="AEV12" s="152"/>
      <c r="AEW12" s="152"/>
      <c r="AEX12" s="152"/>
      <c r="AEY12" s="152"/>
      <c r="AEZ12" s="152"/>
      <c r="AFA12" s="152"/>
      <c r="AFB12" s="152"/>
      <c r="AFC12" s="152"/>
      <c r="AFD12" s="152"/>
      <c r="AFE12" s="152"/>
      <c r="AFF12" s="152"/>
      <c r="AFG12" s="152"/>
      <c r="AFH12" s="152"/>
      <c r="AFI12" s="152"/>
      <c r="AFJ12" s="152"/>
      <c r="AFK12" s="152"/>
      <c r="AFL12" s="152"/>
      <c r="AFM12" s="152"/>
      <c r="AFN12" s="152"/>
      <c r="AFO12" s="152"/>
      <c r="AFP12" s="152"/>
      <c r="AFQ12" s="152"/>
      <c r="AFR12" s="152"/>
      <c r="AFS12" s="152"/>
      <c r="AFT12" s="152"/>
      <c r="AFU12" s="152"/>
      <c r="AFV12" s="152"/>
      <c r="AFW12" s="152"/>
      <c r="AFX12" s="152"/>
      <c r="AFY12" s="152"/>
      <c r="AFZ12" s="152"/>
      <c r="AGA12" s="152"/>
      <c r="AGB12" s="152"/>
      <c r="AGC12" s="152"/>
      <c r="AGD12" s="152"/>
      <c r="AGE12" s="152"/>
      <c r="AGF12" s="152"/>
      <c r="AGG12" s="152"/>
      <c r="AGH12" s="152"/>
      <c r="AGI12" s="152"/>
      <c r="AGJ12" s="152"/>
      <c r="AGK12" s="152"/>
      <c r="AGL12" s="152"/>
      <c r="AGM12" s="152"/>
      <c r="AGN12" s="152"/>
      <c r="AGO12" s="152"/>
      <c r="AGP12" s="152"/>
      <c r="AGQ12" s="152"/>
      <c r="AGR12" s="152"/>
      <c r="AGS12" s="152"/>
      <c r="AGT12" s="152"/>
      <c r="AGU12" s="152"/>
      <c r="AGV12" s="152"/>
      <c r="AGW12" s="152"/>
      <c r="AGX12" s="152"/>
      <c r="AGY12" s="152"/>
      <c r="AGZ12" s="152"/>
      <c r="AHA12" s="152"/>
      <c r="AHB12" s="152"/>
      <c r="AHC12" s="152"/>
      <c r="AHD12" s="152"/>
      <c r="AHE12" s="152"/>
      <c r="AHF12" s="152"/>
      <c r="AHG12" s="152"/>
      <c r="AHH12" s="152"/>
      <c r="AHI12" s="152"/>
      <c r="AHJ12" s="152"/>
      <c r="AHK12" s="152"/>
      <c r="AHL12" s="152"/>
      <c r="AHM12" s="152"/>
      <c r="AHN12" s="152"/>
      <c r="AHO12" s="152"/>
      <c r="AHP12" s="152"/>
      <c r="AHQ12" s="152"/>
      <c r="AHR12" s="152"/>
      <c r="AHS12" s="152"/>
      <c r="AHT12" s="152"/>
      <c r="AHU12" s="152"/>
      <c r="AHV12" s="152"/>
      <c r="AHW12" s="152"/>
      <c r="AHX12" s="152"/>
      <c r="AHY12" s="152"/>
      <c r="AHZ12" s="152"/>
      <c r="AIA12" s="152"/>
      <c r="AIB12" s="152"/>
      <c r="AIC12" s="152"/>
      <c r="AID12" s="152"/>
      <c r="AIE12" s="152"/>
      <c r="AIF12" s="152"/>
    </row>
    <row r="13" spans="1:916" s="20" customFormat="1" x14ac:dyDescent="0.25">
      <c r="B13" s="300" t="s">
        <v>33</v>
      </c>
      <c r="C13" s="137" t="s">
        <v>376</v>
      </c>
      <c r="D13" s="165"/>
      <c r="E13" s="301"/>
      <c r="F13" s="135" t="e">
        <f>'Residential Showerheads {G}'!A$16</f>
        <v>#DIV/0!</v>
      </c>
      <c r="G13" s="303" t="s">
        <v>447</v>
      </c>
      <c r="H13" s="249">
        <f>'Residential Showerheads {G}'!A$10</f>
        <v>0</v>
      </c>
      <c r="I13" s="250">
        <f>'Residential Showerheads {G}'!A$8</f>
        <v>0</v>
      </c>
      <c r="J13" s="250">
        <f>'Residential Showerheads {G}'!A$12</f>
        <v>0</v>
      </c>
      <c r="K13" s="250">
        <f>'Residential Showerheads {G}'!A$14</f>
        <v>0</v>
      </c>
      <c r="L13" s="250">
        <f>SUM('Residential Showerheads {G}'!Q$5:Q$1000)</f>
        <v>0</v>
      </c>
      <c r="M13" s="250"/>
      <c r="N13" s="251">
        <f>'Residential Showerheads {G}'!A$18</f>
        <v>0</v>
      </c>
      <c r="O13" s="250">
        <f>'Residential Showerheads {G}'!A$20</f>
        <v>0</v>
      </c>
      <c r="P13" s="250">
        <f>SUM('Residential Showerheads {G}'!R$5:R$1000)</f>
        <v>0</v>
      </c>
      <c r="Q13" s="252">
        <f t="shared" si="0"/>
        <v>0</v>
      </c>
      <c r="R13" s="252">
        <f t="shared" si="4"/>
        <v>0</v>
      </c>
      <c r="S13" s="250">
        <f>SUM('Residential Showerheads {G}'!AM$5:AM$1000)</f>
        <v>0</v>
      </c>
      <c r="T13" s="250">
        <f>SUM('Residential Showerheads {G}'!AD$5:AD$1000)</f>
        <v>0</v>
      </c>
      <c r="U13" s="124">
        <f t="shared" si="2"/>
        <v>0</v>
      </c>
      <c r="V13" s="124">
        <f t="shared" si="3"/>
        <v>0</v>
      </c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  <c r="IY13" s="152"/>
      <c r="IZ13" s="152"/>
      <c r="JA13" s="152"/>
      <c r="JB13" s="152"/>
      <c r="JC13" s="152"/>
      <c r="JD13" s="152"/>
      <c r="JE13" s="152"/>
      <c r="JF13" s="152"/>
      <c r="JG13" s="152"/>
      <c r="JH13" s="152"/>
      <c r="JI13" s="152"/>
      <c r="JJ13" s="152"/>
      <c r="JK13" s="152"/>
      <c r="JL13" s="152"/>
      <c r="JM13" s="152"/>
      <c r="JN13" s="152"/>
      <c r="JO13" s="152"/>
      <c r="JP13" s="152"/>
      <c r="JQ13" s="152"/>
      <c r="JR13" s="152"/>
      <c r="JS13" s="152"/>
      <c r="JT13" s="152"/>
      <c r="JU13" s="152"/>
      <c r="JV13" s="152"/>
      <c r="JW13" s="152"/>
      <c r="JX13" s="152"/>
      <c r="JY13" s="152"/>
      <c r="JZ13" s="152"/>
      <c r="KA13" s="152"/>
      <c r="KB13" s="152"/>
      <c r="KC13" s="152"/>
      <c r="KD13" s="152"/>
      <c r="KE13" s="152"/>
      <c r="KF13" s="152"/>
      <c r="KG13" s="152"/>
      <c r="KH13" s="152"/>
      <c r="KI13" s="152"/>
      <c r="KJ13" s="152"/>
      <c r="KK13" s="152"/>
      <c r="KL13" s="152"/>
      <c r="KM13" s="152"/>
      <c r="KN13" s="152"/>
      <c r="KO13" s="152"/>
      <c r="KP13" s="152"/>
      <c r="KQ13" s="152"/>
      <c r="KR13" s="152"/>
      <c r="KS13" s="152"/>
      <c r="KT13" s="152"/>
      <c r="KU13" s="152"/>
      <c r="KV13" s="152"/>
      <c r="KW13" s="152"/>
      <c r="KX13" s="152"/>
      <c r="KY13" s="152"/>
      <c r="KZ13" s="152"/>
      <c r="LA13" s="152"/>
      <c r="LB13" s="152"/>
      <c r="LC13" s="152"/>
      <c r="LD13" s="152"/>
      <c r="LE13" s="152"/>
      <c r="LF13" s="152"/>
      <c r="LG13" s="152"/>
      <c r="LH13" s="152"/>
      <c r="LI13" s="152"/>
      <c r="LJ13" s="152"/>
      <c r="LK13" s="152"/>
      <c r="LL13" s="152"/>
      <c r="LM13" s="152"/>
      <c r="LN13" s="152"/>
      <c r="LO13" s="152"/>
      <c r="LP13" s="152"/>
      <c r="LQ13" s="152"/>
      <c r="LR13" s="152"/>
      <c r="LS13" s="152"/>
      <c r="LT13" s="152"/>
      <c r="LU13" s="152"/>
      <c r="LV13" s="152"/>
      <c r="LW13" s="152"/>
      <c r="LX13" s="152"/>
      <c r="LY13" s="152"/>
      <c r="LZ13" s="152"/>
      <c r="MA13" s="152"/>
      <c r="MB13" s="152"/>
      <c r="MC13" s="152"/>
      <c r="MD13" s="152"/>
      <c r="ME13" s="152"/>
      <c r="MF13" s="152"/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  <c r="ZL13" s="152"/>
      <c r="ZM13" s="152"/>
      <c r="ZN13" s="152"/>
      <c r="ZO13" s="152"/>
      <c r="ZP13" s="152"/>
      <c r="ZQ13" s="152"/>
      <c r="ZR13" s="152"/>
      <c r="ZS13" s="152"/>
      <c r="ZT13" s="152"/>
      <c r="ZU13" s="152"/>
      <c r="ZV13" s="152"/>
      <c r="ZW13" s="152"/>
      <c r="ZX13" s="152"/>
      <c r="ZY13" s="152"/>
      <c r="ZZ13" s="152"/>
      <c r="AAA13" s="152"/>
      <c r="AAB13" s="152"/>
      <c r="AAC13" s="152"/>
      <c r="AAD13" s="152"/>
      <c r="AAE13" s="152"/>
      <c r="AAF13" s="152"/>
      <c r="AAG13" s="152"/>
      <c r="AAH13" s="152"/>
      <c r="AAI13" s="152"/>
      <c r="AAJ13" s="152"/>
      <c r="AAK13" s="152"/>
      <c r="AAL13" s="152"/>
      <c r="AAM13" s="152"/>
      <c r="AAN13" s="152"/>
      <c r="AAO13" s="152"/>
      <c r="AAP13" s="152"/>
      <c r="AAQ13" s="152"/>
      <c r="AAR13" s="152"/>
      <c r="AAS13" s="152"/>
      <c r="AAT13" s="152"/>
      <c r="AAU13" s="152"/>
      <c r="AAV13" s="152"/>
      <c r="AAW13" s="152"/>
      <c r="AAX13" s="152"/>
      <c r="AAY13" s="152"/>
      <c r="AAZ13" s="152"/>
      <c r="ABA13" s="152"/>
      <c r="ABB13" s="152"/>
      <c r="ABC13" s="152"/>
      <c r="ABD13" s="152"/>
      <c r="ABE13" s="152"/>
      <c r="ABF13" s="152"/>
      <c r="ABG13" s="152"/>
      <c r="ABH13" s="152"/>
      <c r="ABI13" s="152"/>
      <c r="ABJ13" s="152"/>
      <c r="ABK13" s="152"/>
      <c r="ABL13" s="152"/>
      <c r="ABM13" s="152"/>
      <c r="ABN13" s="152"/>
      <c r="ABO13" s="152"/>
      <c r="ABP13" s="152"/>
      <c r="ABQ13" s="152"/>
      <c r="ABR13" s="152"/>
      <c r="ABS13" s="152"/>
      <c r="ABT13" s="152"/>
      <c r="ABU13" s="152"/>
      <c r="ABV13" s="152"/>
      <c r="ABW13" s="152"/>
      <c r="ABX13" s="152"/>
      <c r="ABY13" s="152"/>
      <c r="ABZ13" s="152"/>
      <c r="ACA13" s="152"/>
      <c r="ACB13" s="152"/>
      <c r="ACC13" s="152"/>
      <c r="ACD13" s="152"/>
      <c r="ACE13" s="152"/>
      <c r="ACF13" s="152"/>
      <c r="ACG13" s="152"/>
      <c r="ACH13" s="152"/>
      <c r="ACI13" s="152"/>
      <c r="ACJ13" s="152"/>
      <c r="ACK13" s="152"/>
      <c r="ACL13" s="152"/>
      <c r="ACM13" s="152"/>
      <c r="ACN13" s="152"/>
      <c r="ACO13" s="152"/>
      <c r="ACP13" s="152"/>
      <c r="ACQ13" s="152"/>
      <c r="ACR13" s="152"/>
      <c r="ACS13" s="152"/>
      <c r="ACT13" s="152"/>
      <c r="ACU13" s="152"/>
      <c r="ACV13" s="152"/>
      <c r="ACW13" s="152"/>
      <c r="ACX13" s="152"/>
      <c r="ACY13" s="152"/>
      <c r="ACZ13" s="152"/>
      <c r="ADA13" s="152"/>
      <c r="ADB13" s="152"/>
      <c r="ADC13" s="152"/>
      <c r="ADD13" s="152"/>
      <c r="ADE13" s="152"/>
      <c r="ADF13" s="152"/>
      <c r="ADG13" s="152"/>
      <c r="ADH13" s="152"/>
      <c r="ADI13" s="152"/>
      <c r="ADJ13" s="152"/>
      <c r="ADK13" s="152"/>
      <c r="ADL13" s="152"/>
      <c r="ADM13" s="152"/>
      <c r="ADN13" s="152"/>
      <c r="ADO13" s="152"/>
      <c r="ADP13" s="152"/>
      <c r="ADQ13" s="152"/>
      <c r="ADR13" s="152"/>
      <c r="ADS13" s="152"/>
      <c r="ADT13" s="152"/>
      <c r="ADU13" s="152"/>
      <c r="ADV13" s="152"/>
      <c r="ADW13" s="152"/>
      <c r="ADX13" s="152"/>
      <c r="ADY13" s="152"/>
      <c r="ADZ13" s="152"/>
      <c r="AEA13" s="152"/>
      <c r="AEB13" s="152"/>
      <c r="AEC13" s="152"/>
      <c r="AED13" s="152"/>
      <c r="AEE13" s="152"/>
      <c r="AEF13" s="152"/>
      <c r="AEG13" s="152"/>
      <c r="AEH13" s="152"/>
      <c r="AEI13" s="152"/>
      <c r="AEJ13" s="152"/>
      <c r="AEK13" s="152"/>
      <c r="AEL13" s="152"/>
      <c r="AEM13" s="152"/>
      <c r="AEN13" s="152"/>
      <c r="AEO13" s="152"/>
      <c r="AEP13" s="152"/>
      <c r="AEQ13" s="152"/>
      <c r="AER13" s="152"/>
      <c r="AES13" s="152"/>
      <c r="AET13" s="152"/>
      <c r="AEU13" s="152"/>
      <c r="AEV13" s="152"/>
      <c r="AEW13" s="152"/>
      <c r="AEX13" s="152"/>
      <c r="AEY13" s="152"/>
      <c r="AEZ13" s="152"/>
      <c r="AFA13" s="152"/>
      <c r="AFB13" s="152"/>
      <c r="AFC13" s="152"/>
      <c r="AFD13" s="152"/>
      <c r="AFE13" s="152"/>
      <c r="AFF13" s="152"/>
      <c r="AFG13" s="152"/>
      <c r="AFH13" s="152"/>
      <c r="AFI13" s="152"/>
      <c r="AFJ13" s="152"/>
      <c r="AFK13" s="152"/>
      <c r="AFL13" s="152"/>
      <c r="AFM13" s="152"/>
      <c r="AFN13" s="152"/>
      <c r="AFO13" s="152"/>
      <c r="AFP13" s="152"/>
      <c r="AFQ13" s="152"/>
      <c r="AFR13" s="152"/>
      <c r="AFS13" s="152"/>
      <c r="AFT13" s="152"/>
      <c r="AFU13" s="152"/>
      <c r="AFV13" s="152"/>
      <c r="AFW13" s="152"/>
      <c r="AFX13" s="152"/>
      <c r="AFY13" s="152"/>
      <c r="AFZ13" s="152"/>
      <c r="AGA13" s="152"/>
      <c r="AGB13" s="152"/>
      <c r="AGC13" s="152"/>
      <c r="AGD13" s="152"/>
      <c r="AGE13" s="152"/>
      <c r="AGF13" s="152"/>
      <c r="AGG13" s="152"/>
      <c r="AGH13" s="152"/>
      <c r="AGI13" s="152"/>
      <c r="AGJ13" s="152"/>
      <c r="AGK13" s="152"/>
      <c r="AGL13" s="152"/>
      <c r="AGM13" s="152"/>
      <c r="AGN13" s="152"/>
      <c r="AGO13" s="152"/>
      <c r="AGP13" s="152"/>
      <c r="AGQ13" s="152"/>
      <c r="AGR13" s="152"/>
      <c r="AGS13" s="152"/>
      <c r="AGT13" s="152"/>
      <c r="AGU13" s="152"/>
      <c r="AGV13" s="152"/>
      <c r="AGW13" s="152"/>
      <c r="AGX13" s="152"/>
      <c r="AGY13" s="152"/>
      <c r="AGZ13" s="152"/>
      <c r="AHA13" s="152"/>
      <c r="AHB13" s="152"/>
      <c r="AHC13" s="152"/>
      <c r="AHD13" s="152"/>
      <c r="AHE13" s="152"/>
      <c r="AHF13" s="152"/>
      <c r="AHG13" s="152"/>
      <c r="AHH13" s="152"/>
      <c r="AHI13" s="152"/>
      <c r="AHJ13" s="152"/>
      <c r="AHK13" s="152"/>
      <c r="AHL13" s="152"/>
      <c r="AHM13" s="152"/>
      <c r="AHN13" s="152"/>
      <c r="AHO13" s="152"/>
      <c r="AHP13" s="152"/>
      <c r="AHQ13" s="152"/>
      <c r="AHR13" s="152"/>
      <c r="AHS13" s="152"/>
      <c r="AHT13" s="152"/>
      <c r="AHU13" s="152"/>
      <c r="AHV13" s="152"/>
      <c r="AHW13" s="152"/>
      <c r="AHX13" s="152"/>
      <c r="AHY13" s="152"/>
      <c r="AHZ13" s="152"/>
      <c r="AIA13" s="152"/>
      <c r="AIB13" s="152"/>
      <c r="AIC13" s="152"/>
      <c r="AID13" s="152"/>
      <c r="AIE13" s="152"/>
      <c r="AIF13" s="152"/>
    </row>
    <row r="14" spans="1:916" s="20" customFormat="1" ht="12.75" x14ac:dyDescent="0.2">
      <c r="B14" s="300" t="s">
        <v>33</v>
      </c>
      <c r="C14" s="137" t="s">
        <v>377</v>
      </c>
      <c r="D14" s="165"/>
      <c r="E14" s="301"/>
      <c r="F14" s="135">
        <f>'SF Existing Weatherization {G}'!A$16</f>
        <v>38.990375279860125</v>
      </c>
      <c r="G14" s="295" t="s">
        <v>366</v>
      </c>
      <c r="H14" s="249">
        <f>'SF Existing Weatherization {G}'!A$10</f>
        <v>669746.26860000007</v>
      </c>
      <c r="I14" s="250">
        <f>'SF Existing Weatherization {G}'!A$8</f>
        <v>1108920.8000000007</v>
      </c>
      <c r="J14" s="250">
        <f>'SF Existing Weatherization {G}'!A$12</f>
        <v>13147567.600000001</v>
      </c>
      <c r="K14" s="250">
        <f>'SF Existing Weatherization {G}'!A$14</f>
        <v>7660010.8399999999</v>
      </c>
      <c r="L14" s="250">
        <f>SUM('SF Existing Weatherization {G}'!Q$5:Q$1000)</f>
        <v>20807578.440000001</v>
      </c>
      <c r="M14" s="250"/>
      <c r="N14" s="251">
        <f>'SF Existing Weatherization {G}'!A$18</f>
        <v>14256488.400000002</v>
      </c>
      <c r="O14" s="250">
        <f>'SF Existing Weatherization {G}'!A$20</f>
        <v>21916499.240000002</v>
      </c>
      <c r="P14" s="250">
        <f>SUM('SF Existing Weatherization {G}'!R$5:R$1000)</f>
        <v>204.58750000000001</v>
      </c>
      <c r="Q14" s="252">
        <f t="shared" si="0"/>
        <v>13348771.91011236</v>
      </c>
      <c r="R14" s="252">
        <f t="shared" si="4"/>
        <v>20521066.70411985</v>
      </c>
      <c r="S14" s="250">
        <f>SUM('SF Existing Weatherization {G}'!AM$5:AM$1000)</f>
        <v>22236063.887198422</v>
      </c>
      <c r="T14" s="250">
        <f>SUM('SF Existing Weatherization {G}'!AD$5:AD$1000)</f>
        <v>3205489.2981257779</v>
      </c>
      <c r="U14" s="124">
        <f t="shared" si="2"/>
        <v>1.6657760007385769</v>
      </c>
      <c r="V14" s="124">
        <f t="shared" si="3"/>
        <v>1.3481345766733428</v>
      </c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  <c r="IY14" s="152"/>
      <c r="IZ14" s="152"/>
      <c r="JA14" s="152"/>
      <c r="JB14" s="152"/>
      <c r="JC14" s="152"/>
      <c r="JD14" s="152"/>
      <c r="JE14" s="152"/>
      <c r="JF14" s="152"/>
      <c r="JG14" s="152"/>
      <c r="JH14" s="152"/>
      <c r="JI14" s="152"/>
      <c r="JJ14" s="152"/>
      <c r="JK14" s="152"/>
      <c r="JL14" s="152"/>
      <c r="JM14" s="152"/>
      <c r="JN14" s="152"/>
      <c r="JO14" s="152"/>
      <c r="JP14" s="152"/>
      <c r="JQ14" s="152"/>
      <c r="JR14" s="152"/>
      <c r="JS14" s="152"/>
      <c r="JT14" s="152"/>
      <c r="JU14" s="152"/>
      <c r="JV14" s="152"/>
      <c r="JW14" s="152"/>
      <c r="JX14" s="152"/>
      <c r="JY14" s="152"/>
      <c r="JZ14" s="152"/>
      <c r="KA14" s="152"/>
      <c r="KB14" s="152"/>
      <c r="KC14" s="152"/>
      <c r="KD14" s="152"/>
      <c r="KE14" s="152"/>
      <c r="KF14" s="152"/>
      <c r="KG14" s="152"/>
      <c r="KH14" s="152"/>
      <c r="KI14" s="152"/>
      <c r="KJ14" s="152"/>
      <c r="KK14" s="152"/>
      <c r="KL14" s="152"/>
      <c r="KM14" s="152"/>
      <c r="KN14" s="152"/>
      <c r="KO14" s="152"/>
      <c r="KP14" s="152"/>
      <c r="KQ14" s="152"/>
      <c r="KR14" s="152"/>
      <c r="KS14" s="152"/>
      <c r="KT14" s="152"/>
      <c r="KU14" s="152"/>
      <c r="KV14" s="152"/>
      <c r="KW14" s="152"/>
      <c r="KX14" s="152"/>
      <c r="KY14" s="152"/>
      <c r="KZ14" s="152"/>
      <c r="LA14" s="152"/>
      <c r="LB14" s="152"/>
      <c r="LC14" s="152"/>
      <c r="LD14" s="152"/>
      <c r="LE14" s="152"/>
      <c r="LF14" s="152"/>
      <c r="LG14" s="152"/>
      <c r="LH14" s="152"/>
      <c r="LI14" s="152"/>
      <c r="LJ14" s="152"/>
      <c r="LK14" s="152"/>
      <c r="LL14" s="152"/>
      <c r="LM14" s="152"/>
      <c r="LN14" s="152"/>
      <c r="LO14" s="152"/>
      <c r="LP14" s="152"/>
      <c r="LQ14" s="152"/>
      <c r="LR14" s="152"/>
      <c r="LS14" s="152"/>
      <c r="LT14" s="152"/>
      <c r="LU14" s="152"/>
      <c r="LV14" s="152"/>
      <c r="LW14" s="152"/>
      <c r="LX14" s="152"/>
      <c r="LY14" s="152"/>
      <c r="LZ14" s="152"/>
      <c r="MA14" s="152"/>
      <c r="MB14" s="152"/>
      <c r="MC14" s="152"/>
      <c r="MD14" s="152"/>
      <c r="ME14" s="152"/>
      <c r="MF14" s="152"/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  <c r="ZL14" s="152"/>
      <c r="ZM14" s="152"/>
      <c r="ZN14" s="152"/>
      <c r="ZO14" s="152"/>
      <c r="ZP14" s="152"/>
      <c r="ZQ14" s="152"/>
      <c r="ZR14" s="152"/>
      <c r="ZS14" s="152"/>
      <c r="ZT14" s="152"/>
      <c r="ZU14" s="152"/>
      <c r="ZV14" s="152"/>
      <c r="ZW14" s="152"/>
      <c r="ZX14" s="152"/>
      <c r="ZY14" s="152"/>
      <c r="ZZ14" s="152"/>
      <c r="AAA14" s="152"/>
      <c r="AAB14" s="152"/>
      <c r="AAC14" s="152"/>
      <c r="AAD14" s="152"/>
      <c r="AAE14" s="152"/>
      <c r="AAF14" s="152"/>
      <c r="AAG14" s="152"/>
      <c r="AAH14" s="152"/>
      <c r="AAI14" s="152"/>
      <c r="AAJ14" s="152"/>
      <c r="AAK14" s="152"/>
      <c r="AAL14" s="152"/>
      <c r="AAM14" s="152"/>
      <c r="AAN14" s="152"/>
      <c r="AAO14" s="152"/>
      <c r="AAP14" s="152"/>
      <c r="AAQ14" s="152"/>
      <c r="AAR14" s="152"/>
      <c r="AAS14" s="152"/>
      <c r="AAT14" s="152"/>
      <c r="AAU14" s="152"/>
      <c r="AAV14" s="152"/>
      <c r="AAW14" s="152"/>
      <c r="AAX14" s="152"/>
      <c r="AAY14" s="152"/>
      <c r="AAZ14" s="152"/>
      <c r="ABA14" s="152"/>
      <c r="ABB14" s="152"/>
      <c r="ABC14" s="152"/>
      <c r="ABD14" s="152"/>
      <c r="ABE14" s="152"/>
      <c r="ABF14" s="152"/>
      <c r="ABG14" s="152"/>
      <c r="ABH14" s="152"/>
      <c r="ABI14" s="152"/>
      <c r="ABJ14" s="152"/>
      <c r="ABK14" s="152"/>
      <c r="ABL14" s="152"/>
      <c r="ABM14" s="152"/>
      <c r="ABN14" s="152"/>
      <c r="ABO14" s="152"/>
      <c r="ABP14" s="152"/>
      <c r="ABQ14" s="152"/>
      <c r="ABR14" s="152"/>
      <c r="ABS14" s="152"/>
      <c r="ABT14" s="152"/>
      <c r="ABU14" s="152"/>
      <c r="ABV14" s="152"/>
      <c r="ABW14" s="152"/>
      <c r="ABX14" s="152"/>
      <c r="ABY14" s="152"/>
      <c r="ABZ14" s="152"/>
      <c r="ACA14" s="152"/>
      <c r="ACB14" s="152"/>
      <c r="ACC14" s="152"/>
      <c r="ACD14" s="152"/>
      <c r="ACE14" s="152"/>
      <c r="ACF14" s="152"/>
      <c r="ACG14" s="152"/>
      <c r="ACH14" s="152"/>
      <c r="ACI14" s="152"/>
      <c r="ACJ14" s="152"/>
      <c r="ACK14" s="152"/>
      <c r="ACL14" s="152"/>
      <c r="ACM14" s="152"/>
      <c r="ACN14" s="152"/>
      <c r="ACO14" s="152"/>
      <c r="ACP14" s="152"/>
      <c r="ACQ14" s="152"/>
      <c r="ACR14" s="152"/>
      <c r="ACS14" s="152"/>
      <c r="ACT14" s="152"/>
      <c r="ACU14" s="152"/>
      <c r="ACV14" s="152"/>
      <c r="ACW14" s="152"/>
      <c r="ACX14" s="152"/>
      <c r="ACY14" s="152"/>
      <c r="ACZ14" s="152"/>
      <c r="ADA14" s="152"/>
      <c r="ADB14" s="152"/>
      <c r="ADC14" s="152"/>
      <c r="ADD14" s="152"/>
      <c r="ADE14" s="152"/>
      <c r="ADF14" s="152"/>
      <c r="ADG14" s="152"/>
      <c r="ADH14" s="152"/>
      <c r="ADI14" s="152"/>
      <c r="ADJ14" s="152"/>
      <c r="ADK14" s="152"/>
      <c r="ADL14" s="152"/>
      <c r="ADM14" s="152"/>
      <c r="ADN14" s="152"/>
      <c r="ADO14" s="152"/>
      <c r="ADP14" s="152"/>
      <c r="ADQ14" s="152"/>
      <c r="ADR14" s="152"/>
      <c r="ADS14" s="152"/>
      <c r="ADT14" s="152"/>
      <c r="ADU14" s="152"/>
      <c r="ADV14" s="152"/>
      <c r="ADW14" s="152"/>
      <c r="ADX14" s="152"/>
      <c r="ADY14" s="152"/>
      <c r="ADZ14" s="152"/>
      <c r="AEA14" s="152"/>
      <c r="AEB14" s="152"/>
      <c r="AEC14" s="152"/>
      <c r="AED14" s="152"/>
      <c r="AEE14" s="152"/>
      <c r="AEF14" s="152"/>
      <c r="AEG14" s="152"/>
      <c r="AEH14" s="152"/>
      <c r="AEI14" s="152"/>
      <c r="AEJ14" s="152"/>
      <c r="AEK14" s="152"/>
      <c r="AEL14" s="152"/>
      <c r="AEM14" s="152"/>
      <c r="AEN14" s="152"/>
      <c r="AEO14" s="152"/>
      <c r="AEP14" s="152"/>
      <c r="AEQ14" s="152"/>
      <c r="AER14" s="152"/>
      <c r="AES14" s="152"/>
      <c r="AET14" s="152"/>
      <c r="AEU14" s="152"/>
      <c r="AEV14" s="152"/>
      <c r="AEW14" s="152"/>
      <c r="AEX14" s="152"/>
      <c r="AEY14" s="152"/>
      <c r="AEZ14" s="152"/>
      <c r="AFA14" s="152"/>
      <c r="AFB14" s="152"/>
      <c r="AFC14" s="152"/>
      <c r="AFD14" s="152"/>
      <c r="AFE14" s="152"/>
      <c r="AFF14" s="152"/>
      <c r="AFG14" s="152"/>
      <c r="AFH14" s="152"/>
      <c r="AFI14" s="152"/>
      <c r="AFJ14" s="152"/>
      <c r="AFK14" s="152"/>
      <c r="AFL14" s="152"/>
      <c r="AFM14" s="152"/>
      <c r="AFN14" s="152"/>
      <c r="AFO14" s="152"/>
      <c r="AFP14" s="152"/>
      <c r="AFQ14" s="152"/>
      <c r="AFR14" s="152"/>
      <c r="AFS14" s="152"/>
      <c r="AFT14" s="152"/>
      <c r="AFU14" s="152"/>
      <c r="AFV14" s="152"/>
      <c r="AFW14" s="152"/>
      <c r="AFX14" s="152"/>
      <c r="AFY14" s="152"/>
      <c r="AFZ14" s="152"/>
      <c r="AGA14" s="152"/>
      <c r="AGB14" s="152"/>
      <c r="AGC14" s="152"/>
      <c r="AGD14" s="152"/>
      <c r="AGE14" s="152"/>
      <c r="AGF14" s="152"/>
      <c r="AGG14" s="152"/>
      <c r="AGH14" s="152"/>
      <c r="AGI14" s="152"/>
      <c r="AGJ14" s="152"/>
      <c r="AGK14" s="152"/>
      <c r="AGL14" s="152"/>
      <c r="AGM14" s="152"/>
      <c r="AGN14" s="152"/>
      <c r="AGO14" s="152"/>
      <c r="AGP14" s="152"/>
      <c r="AGQ14" s="152"/>
      <c r="AGR14" s="152"/>
      <c r="AGS14" s="152"/>
      <c r="AGT14" s="152"/>
      <c r="AGU14" s="152"/>
      <c r="AGV14" s="152"/>
      <c r="AGW14" s="152"/>
      <c r="AGX14" s="152"/>
      <c r="AGY14" s="152"/>
      <c r="AGZ14" s="152"/>
      <c r="AHA14" s="152"/>
      <c r="AHB14" s="152"/>
      <c r="AHC14" s="152"/>
      <c r="AHD14" s="152"/>
      <c r="AHE14" s="152"/>
      <c r="AHF14" s="152"/>
      <c r="AHG14" s="152"/>
      <c r="AHH14" s="152"/>
      <c r="AHI14" s="152"/>
      <c r="AHJ14" s="152"/>
      <c r="AHK14" s="152"/>
      <c r="AHL14" s="152"/>
      <c r="AHM14" s="152"/>
      <c r="AHN14" s="152"/>
      <c r="AHO14" s="152"/>
      <c r="AHP14" s="152"/>
      <c r="AHQ14" s="152"/>
      <c r="AHR14" s="152"/>
      <c r="AHS14" s="152"/>
      <c r="AHT14" s="152"/>
      <c r="AHU14" s="152"/>
      <c r="AHV14" s="152"/>
      <c r="AHW14" s="152"/>
      <c r="AHX14" s="152"/>
      <c r="AHY14" s="152"/>
      <c r="AHZ14" s="152"/>
      <c r="AIA14" s="152"/>
      <c r="AIB14" s="152"/>
      <c r="AIC14" s="152"/>
      <c r="AID14" s="152"/>
      <c r="AIE14" s="152"/>
      <c r="AIF14" s="152"/>
    </row>
    <row r="15" spans="1:916" s="20" customFormat="1" ht="12.75" x14ac:dyDescent="0.2">
      <c r="B15" s="300" t="s">
        <v>33</v>
      </c>
      <c r="C15" s="137" t="s">
        <v>378</v>
      </c>
      <c r="D15" s="165"/>
      <c r="E15" s="301"/>
      <c r="F15" s="135">
        <f>'Home Energy Reports {G}'!A$16</f>
        <v>1</v>
      </c>
      <c r="G15" s="295" t="s">
        <v>366</v>
      </c>
      <c r="H15" s="249">
        <f>'Home Energy Reports {G}'!A$10</f>
        <v>2489560.2199999997</v>
      </c>
      <c r="I15" s="250">
        <f>'Home Energy Reports {G}'!A$8</f>
        <v>2051276.6</v>
      </c>
      <c r="J15" s="250">
        <f>'Home Energy Reports {G}'!A$12</f>
        <v>1820384.58</v>
      </c>
      <c r="K15" s="250">
        <f>'Home Energy Reports {G}'!A$14</f>
        <v>0</v>
      </c>
      <c r="L15" s="250">
        <f>SUM('Home Energy Reports {G}'!Q$5:Q$1000)</f>
        <v>1820384.58</v>
      </c>
      <c r="M15" s="250"/>
      <c r="N15" s="251">
        <f>'Home Energy Reports {G}'!A$18</f>
        <v>3871661.18</v>
      </c>
      <c r="O15" s="250">
        <f>'Home Energy Reports {G}'!A$20</f>
        <v>3871661.18</v>
      </c>
      <c r="P15" s="250">
        <f>SUM('Home Energy Reports {G}'!R$5:R$1000)</f>
        <v>0</v>
      </c>
      <c r="Q15" s="252">
        <f t="shared" si="0"/>
        <v>3625150.9176029963</v>
      </c>
      <c r="R15" s="252">
        <f t="shared" si="4"/>
        <v>3625150.9176029963</v>
      </c>
      <c r="S15" s="250">
        <f>SUM('Home Energy Reports {G}'!AM$5:AM$1000)</f>
        <v>3372929.1964467443</v>
      </c>
      <c r="T15" s="250">
        <f>SUM('Home Energy Reports {G}'!AD$5:AD$1000)</f>
        <v>0</v>
      </c>
      <c r="U15" s="124">
        <f t="shared" si="2"/>
        <v>0.93042449076215983</v>
      </c>
      <c r="V15" s="124">
        <f t="shared" si="3"/>
        <v>1.023466939838376</v>
      </c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  <c r="IY15" s="152"/>
      <c r="IZ15" s="152"/>
      <c r="JA15" s="152"/>
      <c r="JB15" s="152"/>
      <c r="JC15" s="152"/>
      <c r="JD15" s="152"/>
      <c r="JE15" s="152"/>
      <c r="JF15" s="152"/>
      <c r="JG15" s="152"/>
      <c r="JH15" s="152"/>
      <c r="JI15" s="152"/>
      <c r="JJ15" s="152"/>
      <c r="JK15" s="152"/>
      <c r="JL15" s="152"/>
      <c r="JM15" s="152"/>
      <c r="JN15" s="152"/>
      <c r="JO15" s="152"/>
      <c r="JP15" s="152"/>
      <c r="JQ15" s="152"/>
      <c r="JR15" s="152"/>
      <c r="JS15" s="152"/>
      <c r="JT15" s="152"/>
      <c r="JU15" s="152"/>
      <c r="JV15" s="152"/>
      <c r="JW15" s="152"/>
      <c r="JX15" s="152"/>
      <c r="JY15" s="152"/>
      <c r="JZ15" s="152"/>
      <c r="KA15" s="152"/>
      <c r="KB15" s="152"/>
      <c r="KC15" s="152"/>
      <c r="KD15" s="152"/>
      <c r="KE15" s="152"/>
      <c r="KF15" s="152"/>
      <c r="KG15" s="152"/>
      <c r="KH15" s="152"/>
      <c r="KI15" s="152"/>
      <c r="KJ15" s="152"/>
      <c r="KK15" s="152"/>
      <c r="KL15" s="152"/>
      <c r="KM15" s="152"/>
      <c r="KN15" s="152"/>
      <c r="KO15" s="152"/>
      <c r="KP15" s="152"/>
      <c r="KQ15" s="152"/>
      <c r="KR15" s="152"/>
      <c r="KS15" s="152"/>
      <c r="KT15" s="152"/>
      <c r="KU15" s="152"/>
      <c r="KV15" s="152"/>
      <c r="KW15" s="152"/>
      <c r="KX15" s="152"/>
      <c r="KY15" s="152"/>
      <c r="KZ15" s="152"/>
      <c r="LA15" s="152"/>
      <c r="LB15" s="152"/>
      <c r="LC15" s="152"/>
      <c r="LD15" s="152"/>
      <c r="LE15" s="152"/>
      <c r="LF15" s="152"/>
      <c r="LG15" s="152"/>
      <c r="LH15" s="152"/>
      <c r="LI15" s="152"/>
      <c r="LJ15" s="152"/>
      <c r="LK15" s="152"/>
      <c r="LL15" s="152"/>
      <c r="LM15" s="152"/>
      <c r="LN15" s="152"/>
      <c r="LO15" s="152"/>
      <c r="LP15" s="152"/>
      <c r="LQ15" s="152"/>
      <c r="LR15" s="152"/>
      <c r="LS15" s="152"/>
      <c r="LT15" s="152"/>
      <c r="LU15" s="152"/>
      <c r="LV15" s="152"/>
      <c r="LW15" s="152"/>
      <c r="LX15" s="152"/>
      <c r="LY15" s="152"/>
      <c r="LZ15" s="152"/>
      <c r="MA15" s="152"/>
      <c r="MB15" s="152"/>
      <c r="MC15" s="152"/>
      <c r="MD15" s="152"/>
      <c r="ME15" s="152"/>
      <c r="MF15" s="152"/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  <c r="ZL15" s="152"/>
      <c r="ZM15" s="152"/>
      <c r="ZN15" s="152"/>
      <c r="ZO15" s="152"/>
      <c r="ZP15" s="152"/>
      <c r="ZQ15" s="152"/>
      <c r="ZR15" s="152"/>
      <c r="ZS15" s="152"/>
      <c r="ZT15" s="152"/>
      <c r="ZU15" s="152"/>
      <c r="ZV15" s="152"/>
      <c r="ZW15" s="152"/>
      <c r="ZX15" s="152"/>
      <c r="ZY15" s="152"/>
      <c r="ZZ15" s="152"/>
      <c r="AAA15" s="152"/>
      <c r="AAB15" s="152"/>
      <c r="AAC15" s="152"/>
      <c r="AAD15" s="152"/>
      <c r="AAE15" s="152"/>
      <c r="AAF15" s="152"/>
      <c r="AAG15" s="152"/>
      <c r="AAH15" s="152"/>
      <c r="AAI15" s="152"/>
      <c r="AAJ15" s="152"/>
      <c r="AAK15" s="152"/>
      <c r="AAL15" s="152"/>
      <c r="AAM15" s="152"/>
      <c r="AAN15" s="152"/>
      <c r="AAO15" s="152"/>
      <c r="AAP15" s="152"/>
      <c r="AAQ15" s="152"/>
      <c r="AAR15" s="152"/>
      <c r="AAS15" s="152"/>
      <c r="AAT15" s="152"/>
      <c r="AAU15" s="152"/>
      <c r="AAV15" s="152"/>
      <c r="AAW15" s="152"/>
      <c r="AAX15" s="152"/>
      <c r="AAY15" s="152"/>
      <c r="AAZ15" s="152"/>
      <c r="ABA15" s="152"/>
      <c r="ABB15" s="152"/>
      <c r="ABC15" s="152"/>
      <c r="ABD15" s="152"/>
      <c r="ABE15" s="152"/>
      <c r="ABF15" s="152"/>
      <c r="ABG15" s="152"/>
      <c r="ABH15" s="152"/>
      <c r="ABI15" s="152"/>
      <c r="ABJ15" s="152"/>
      <c r="ABK15" s="152"/>
      <c r="ABL15" s="152"/>
      <c r="ABM15" s="152"/>
      <c r="ABN15" s="152"/>
      <c r="ABO15" s="152"/>
      <c r="ABP15" s="152"/>
      <c r="ABQ15" s="152"/>
      <c r="ABR15" s="152"/>
      <c r="ABS15" s="152"/>
      <c r="ABT15" s="152"/>
      <c r="ABU15" s="152"/>
      <c r="ABV15" s="152"/>
      <c r="ABW15" s="152"/>
      <c r="ABX15" s="152"/>
      <c r="ABY15" s="152"/>
      <c r="ABZ15" s="152"/>
      <c r="ACA15" s="152"/>
      <c r="ACB15" s="152"/>
      <c r="ACC15" s="152"/>
      <c r="ACD15" s="152"/>
      <c r="ACE15" s="152"/>
      <c r="ACF15" s="152"/>
      <c r="ACG15" s="152"/>
      <c r="ACH15" s="152"/>
      <c r="ACI15" s="152"/>
      <c r="ACJ15" s="152"/>
      <c r="ACK15" s="152"/>
      <c r="ACL15" s="152"/>
      <c r="ACM15" s="152"/>
      <c r="ACN15" s="152"/>
      <c r="ACO15" s="152"/>
      <c r="ACP15" s="152"/>
      <c r="ACQ15" s="152"/>
      <c r="ACR15" s="152"/>
      <c r="ACS15" s="152"/>
      <c r="ACT15" s="152"/>
      <c r="ACU15" s="152"/>
      <c r="ACV15" s="152"/>
      <c r="ACW15" s="152"/>
      <c r="ACX15" s="152"/>
      <c r="ACY15" s="152"/>
      <c r="ACZ15" s="152"/>
      <c r="ADA15" s="152"/>
      <c r="ADB15" s="152"/>
      <c r="ADC15" s="152"/>
      <c r="ADD15" s="152"/>
      <c r="ADE15" s="152"/>
      <c r="ADF15" s="152"/>
      <c r="ADG15" s="152"/>
      <c r="ADH15" s="152"/>
      <c r="ADI15" s="152"/>
      <c r="ADJ15" s="152"/>
      <c r="ADK15" s="152"/>
      <c r="ADL15" s="152"/>
      <c r="ADM15" s="152"/>
      <c r="ADN15" s="152"/>
      <c r="ADO15" s="152"/>
      <c r="ADP15" s="152"/>
      <c r="ADQ15" s="152"/>
      <c r="ADR15" s="152"/>
      <c r="ADS15" s="152"/>
      <c r="ADT15" s="152"/>
      <c r="ADU15" s="152"/>
      <c r="ADV15" s="152"/>
      <c r="ADW15" s="152"/>
      <c r="ADX15" s="152"/>
      <c r="ADY15" s="152"/>
      <c r="ADZ15" s="152"/>
      <c r="AEA15" s="152"/>
      <c r="AEB15" s="152"/>
      <c r="AEC15" s="152"/>
      <c r="AED15" s="152"/>
      <c r="AEE15" s="152"/>
      <c r="AEF15" s="152"/>
      <c r="AEG15" s="152"/>
      <c r="AEH15" s="152"/>
      <c r="AEI15" s="152"/>
      <c r="AEJ15" s="152"/>
      <c r="AEK15" s="152"/>
      <c r="AEL15" s="152"/>
      <c r="AEM15" s="152"/>
      <c r="AEN15" s="152"/>
      <c r="AEO15" s="152"/>
      <c r="AEP15" s="152"/>
      <c r="AEQ15" s="152"/>
      <c r="AER15" s="152"/>
      <c r="AES15" s="152"/>
      <c r="AET15" s="152"/>
      <c r="AEU15" s="152"/>
      <c r="AEV15" s="152"/>
      <c r="AEW15" s="152"/>
      <c r="AEX15" s="152"/>
      <c r="AEY15" s="152"/>
      <c r="AEZ15" s="152"/>
      <c r="AFA15" s="152"/>
      <c r="AFB15" s="152"/>
      <c r="AFC15" s="152"/>
      <c r="AFD15" s="152"/>
      <c r="AFE15" s="152"/>
      <c r="AFF15" s="152"/>
      <c r="AFG15" s="152"/>
      <c r="AFH15" s="152"/>
      <c r="AFI15" s="152"/>
      <c r="AFJ15" s="152"/>
      <c r="AFK15" s="152"/>
      <c r="AFL15" s="152"/>
      <c r="AFM15" s="152"/>
      <c r="AFN15" s="152"/>
      <c r="AFO15" s="152"/>
      <c r="AFP15" s="152"/>
      <c r="AFQ15" s="152"/>
      <c r="AFR15" s="152"/>
      <c r="AFS15" s="152"/>
      <c r="AFT15" s="152"/>
      <c r="AFU15" s="152"/>
      <c r="AFV15" s="152"/>
      <c r="AFW15" s="152"/>
      <c r="AFX15" s="152"/>
      <c r="AFY15" s="152"/>
      <c r="AFZ15" s="152"/>
      <c r="AGA15" s="152"/>
      <c r="AGB15" s="152"/>
      <c r="AGC15" s="152"/>
      <c r="AGD15" s="152"/>
      <c r="AGE15" s="152"/>
      <c r="AGF15" s="152"/>
      <c r="AGG15" s="152"/>
      <c r="AGH15" s="152"/>
      <c r="AGI15" s="152"/>
      <c r="AGJ15" s="152"/>
      <c r="AGK15" s="152"/>
      <c r="AGL15" s="152"/>
      <c r="AGM15" s="152"/>
      <c r="AGN15" s="152"/>
      <c r="AGO15" s="152"/>
      <c r="AGP15" s="152"/>
      <c r="AGQ15" s="152"/>
      <c r="AGR15" s="152"/>
      <c r="AGS15" s="152"/>
      <c r="AGT15" s="152"/>
      <c r="AGU15" s="152"/>
      <c r="AGV15" s="152"/>
      <c r="AGW15" s="152"/>
      <c r="AGX15" s="152"/>
      <c r="AGY15" s="152"/>
      <c r="AGZ15" s="152"/>
      <c r="AHA15" s="152"/>
      <c r="AHB15" s="152"/>
      <c r="AHC15" s="152"/>
      <c r="AHD15" s="152"/>
      <c r="AHE15" s="152"/>
      <c r="AHF15" s="152"/>
      <c r="AHG15" s="152"/>
      <c r="AHH15" s="152"/>
      <c r="AHI15" s="152"/>
      <c r="AHJ15" s="152"/>
      <c r="AHK15" s="152"/>
      <c r="AHL15" s="152"/>
      <c r="AHM15" s="152"/>
      <c r="AHN15" s="152"/>
      <c r="AHO15" s="152"/>
      <c r="AHP15" s="152"/>
      <c r="AHQ15" s="152"/>
      <c r="AHR15" s="152"/>
      <c r="AHS15" s="152"/>
      <c r="AHT15" s="152"/>
      <c r="AHU15" s="152"/>
      <c r="AHV15" s="152"/>
      <c r="AHW15" s="152"/>
      <c r="AHX15" s="152"/>
      <c r="AHY15" s="152"/>
      <c r="AHZ15" s="152"/>
      <c r="AIA15" s="152"/>
      <c r="AIB15" s="152"/>
      <c r="AIC15" s="152"/>
      <c r="AID15" s="152"/>
      <c r="AIE15" s="152"/>
      <c r="AIF15" s="152"/>
    </row>
    <row r="16" spans="1:916" s="20" customFormat="1" ht="12.75" x14ac:dyDescent="0.2">
      <c r="B16" s="300" t="s">
        <v>33</v>
      </c>
      <c r="C16" s="137" t="s">
        <v>542</v>
      </c>
      <c r="D16" s="165"/>
      <c r="E16" s="301"/>
      <c r="F16" s="135">
        <f>IFERROR('Efficiency Boost {G}'!A$16,)</f>
        <v>0</v>
      </c>
      <c r="G16" s="295" t="s">
        <v>366</v>
      </c>
      <c r="H16" s="249">
        <f>IFERROR('Efficiency Boost {G}'!A$10,0)</f>
        <v>0</v>
      </c>
      <c r="I16" s="250">
        <f>'Efficiency Boost {G}'!A$8</f>
        <v>153100</v>
      </c>
      <c r="J16" s="250">
        <f>'Efficiency Boost {G}'!A$12</f>
        <v>0</v>
      </c>
      <c r="K16" s="250">
        <f>'Efficiency Boost {G}'!A$14</f>
        <v>0</v>
      </c>
      <c r="L16" s="250">
        <f>SUM('Efficiency Boost {G}'!Q$5:Q$1000)</f>
        <v>0</v>
      </c>
      <c r="M16" s="250"/>
      <c r="N16" s="251">
        <f>'Efficiency Boost {G}'!A$18</f>
        <v>153100</v>
      </c>
      <c r="O16" s="250">
        <f>'Efficiency Boost {G}'!A$20</f>
        <v>153100</v>
      </c>
      <c r="P16" s="250">
        <f>SUM('Efficiency Boost {G}'!R$5:R$1000)</f>
        <v>0</v>
      </c>
      <c r="Q16" s="252">
        <f t="shared" si="0"/>
        <v>143352.05992509364</v>
      </c>
      <c r="R16" s="252">
        <f>O16/(1+ElecDiscountRate)^1</f>
        <v>143352.05992509364</v>
      </c>
      <c r="S16" s="250">
        <f>SUM('Efficiency Boost {G}'!AM$5:AM$1000)</f>
        <v>0</v>
      </c>
      <c r="T16" s="250">
        <f>SUM('Efficiency Boost {G}'!AD$5:AD$1000)</f>
        <v>0</v>
      </c>
      <c r="U16" s="124">
        <f t="shared" si="2"/>
        <v>0</v>
      </c>
      <c r="V16" s="124">
        <f t="shared" si="3"/>
        <v>0</v>
      </c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  <c r="IY16" s="152"/>
      <c r="IZ16" s="152"/>
      <c r="JA16" s="152"/>
      <c r="JB16" s="152"/>
      <c r="JC16" s="152"/>
      <c r="JD16" s="152"/>
      <c r="JE16" s="152"/>
      <c r="JF16" s="152"/>
      <c r="JG16" s="152"/>
      <c r="JH16" s="152"/>
      <c r="JI16" s="152"/>
      <c r="JJ16" s="152"/>
      <c r="JK16" s="152"/>
      <c r="JL16" s="152"/>
      <c r="JM16" s="152"/>
      <c r="JN16" s="152"/>
      <c r="JO16" s="152"/>
      <c r="JP16" s="152"/>
      <c r="JQ16" s="152"/>
      <c r="JR16" s="152"/>
      <c r="JS16" s="152"/>
      <c r="JT16" s="152"/>
      <c r="JU16" s="152"/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  <c r="KR16" s="152"/>
      <c r="KS16" s="152"/>
      <c r="KT16" s="152"/>
      <c r="KU16" s="152"/>
      <c r="KV16" s="152"/>
      <c r="KW16" s="152"/>
      <c r="KX16" s="152"/>
      <c r="KY16" s="152"/>
      <c r="KZ16" s="152"/>
      <c r="LA16" s="152"/>
      <c r="LB16" s="152"/>
      <c r="LC16" s="152"/>
      <c r="LD16" s="152"/>
      <c r="LE16" s="152"/>
      <c r="LF16" s="152"/>
      <c r="LG16" s="152"/>
      <c r="LH16" s="152"/>
      <c r="LI16" s="152"/>
      <c r="LJ16" s="152"/>
      <c r="LK16" s="152"/>
      <c r="LL16" s="152"/>
      <c r="LM16" s="152"/>
      <c r="LN16" s="152"/>
      <c r="LO16" s="152"/>
      <c r="LP16" s="152"/>
      <c r="LQ16" s="152"/>
      <c r="LR16" s="152"/>
      <c r="LS16" s="152"/>
      <c r="LT16" s="152"/>
      <c r="LU16" s="152"/>
      <c r="LV16" s="152"/>
      <c r="LW16" s="152"/>
      <c r="LX16" s="152"/>
      <c r="LY16" s="152"/>
      <c r="LZ16" s="152"/>
      <c r="MA16" s="152"/>
      <c r="MB16" s="152"/>
      <c r="MC16" s="152"/>
      <c r="MD16" s="152"/>
      <c r="ME16" s="152"/>
      <c r="MF16" s="152"/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  <c r="ZL16" s="152"/>
      <c r="ZM16" s="152"/>
      <c r="ZN16" s="152"/>
      <c r="ZO16" s="152"/>
      <c r="ZP16" s="152"/>
      <c r="ZQ16" s="152"/>
      <c r="ZR16" s="152"/>
      <c r="ZS16" s="152"/>
      <c r="ZT16" s="152"/>
      <c r="ZU16" s="152"/>
      <c r="ZV16" s="152"/>
      <c r="ZW16" s="152"/>
      <c r="ZX16" s="152"/>
      <c r="ZY16" s="152"/>
      <c r="ZZ16" s="152"/>
      <c r="AAA16" s="152"/>
      <c r="AAB16" s="152"/>
      <c r="AAC16" s="152"/>
      <c r="AAD16" s="152"/>
      <c r="AAE16" s="152"/>
      <c r="AAF16" s="152"/>
      <c r="AAG16" s="152"/>
      <c r="AAH16" s="152"/>
      <c r="AAI16" s="152"/>
      <c r="AAJ16" s="152"/>
      <c r="AAK16" s="152"/>
      <c r="AAL16" s="152"/>
      <c r="AAM16" s="152"/>
      <c r="AAN16" s="152"/>
      <c r="AAO16" s="152"/>
      <c r="AAP16" s="152"/>
      <c r="AAQ16" s="152"/>
      <c r="AAR16" s="152"/>
      <c r="AAS16" s="152"/>
      <c r="AAT16" s="152"/>
      <c r="AAU16" s="152"/>
      <c r="AAV16" s="152"/>
      <c r="AAW16" s="152"/>
      <c r="AAX16" s="152"/>
      <c r="AAY16" s="152"/>
      <c r="AAZ16" s="152"/>
      <c r="ABA16" s="152"/>
      <c r="ABB16" s="152"/>
      <c r="ABC16" s="152"/>
      <c r="ABD16" s="152"/>
      <c r="ABE16" s="152"/>
      <c r="ABF16" s="152"/>
      <c r="ABG16" s="152"/>
      <c r="ABH16" s="152"/>
      <c r="ABI16" s="152"/>
      <c r="ABJ16" s="152"/>
      <c r="ABK16" s="152"/>
      <c r="ABL16" s="152"/>
      <c r="ABM16" s="152"/>
      <c r="ABN16" s="152"/>
      <c r="ABO16" s="152"/>
      <c r="ABP16" s="152"/>
      <c r="ABQ16" s="152"/>
      <c r="ABR16" s="152"/>
      <c r="ABS16" s="152"/>
      <c r="ABT16" s="152"/>
      <c r="ABU16" s="152"/>
      <c r="ABV16" s="152"/>
      <c r="ABW16" s="152"/>
      <c r="ABX16" s="152"/>
      <c r="ABY16" s="152"/>
      <c r="ABZ16" s="152"/>
      <c r="ACA16" s="152"/>
      <c r="ACB16" s="152"/>
      <c r="ACC16" s="152"/>
      <c r="ACD16" s="152"/>
      <c r="ACE16" s="152"/>
      <c r="ACF16" s="152"/>
      <c r="ACG16" s="152"/>
      <c r="ACH16" s="152"/>
      <c r="ACI16" s="152"/>
      <c r="ACJ16" s="152"/>
      <c r="ACK16" s="152"/>
      <c r="ACL16" s="152"/>
      <c r="ACM16" s="152"/>
      <c r="ACN16" s="152"/>
      <c r="ACO16" s="152"/>
      <c r="ACP16" s="152"/>
      <c r="ACQ16" s="152"/>
      <c r="ACR16" s="152"/>
      <c r="ACS16" s="152"/>
      <c r="ACT16" s="152"/>
      <c r="ACU16" s="152"/>
      <c r="ACV16" s="152"/>
      <c r="ACW16" s="152"/>
      <c r="ACX16" s="152"/>
      <c r="ACY16" s="152"/>
      <c r="ACZ16" s="152"/>
      <c r="ADA16" s="152"/>
      <c r="ADB16" s="152"/>
      <c r="ADC16" s="152"/>
      <c r="ADD16" s="152"/>
      <c r="ADE16" s="152"/>
      <c r="ADF16" s="152"/>
      <c r="ADG16" s="152"/>
      <c r="ADH16" s="152"/>
      <c r="ADI16" s="152"/>
      <c r="ADJ16" s="152"/>
      <c r="ADK16" s="152"/>
      <c r="ADL16" s="152"/>
      <c r="ADM16" s="152"/>
      <c r="ADN16" s="152"/>
      <c r="ADO16" s="152"/>
      <c r="ADP16" s="152"/>
      <c r="ADQ16" s="152"/>
      <c r="ADR16" s="152"/>
      <c r="ADS16" s="152"/>
      <c r="ADT16" s="152"/>
      <c r="ADU16" s="152"/>
      <c r="ADV16" s="152"/>
      <c r="ADW16" s="152"/>
      <c r="ADX16" s="152"/>
      <c r="ADY16" s="152"/>
      <c r="ADZ16" s="152"/>
      <c r="AEA16" s="152"/>
      <c r="AEB16" s="152"/>
      <c r="AEC16" s="152"/>
      <c r="AED16" s="152"/>
      <c r="AEE16" s="152"/>
      <c r="AEF16" s="152"/>
      <c r="AEG16" s="152"/>
      <c r="AEH16" s="152"/>
      <c r="AEI16" s="152"/>
      <c r="AEJ16" s="152"/>
      <c r="AEK16" s="152"/>
      <c r="AEL16" s="152"/>
      <c r="AEM16" s="152"/>
      <c r="AEN16" s="152"/>
      <c r="AEO16" s="152"/>
      <c r="AEP16" s="152"/>
      <c r="AEQ16" s="152"/>
      <c r="AER16" s="152"/>
      <c r="AES16" s="152"/>
      <c r="AET16" s="152"/>
      <c r="AEU16" s="152"/>
      <c r="AEV16" s="152"/>
      <c r="AEW16" s="152"/>
      <c r="AEX16" s="152"/>
      <c r="AEY16" s="152"/>
      <c r="AEZ16" s="152"/>
      <c r="AFA16" s="152"/>
      <c r="AFB16" s="152"/>
      <c r="AFC16" s="152"/>
      <c r="AFD16" s="152"/>
      <c r="AFE16" s="152"/>
      <c r="AFF16" s="152"/>
      <c r="AFG16" s="152"/>
      <c r="AFH16" s="152"/>
      <c r="AFI16" s="152"/>
      <c r="AFJ16" s="152"/>
      <c r="AFK16" s="152"/>
      <c r="AFL16" s="152"/>
      <c r="AFM16" s="152"/>
      <c r="AFN16" s="152"/>
      <c r="AFO16" s="152"/>
      <c r="AFP16" s="152"/>
      <c r="AFQ16" s="152"/>
      <c r="AFR16" s="152"/>
      <c r="AFS16" s="152"/>
      <c r="AFT16" s="152"/>
      <c r="AFU16" s="152"/>
      <c r="AFV16" s="152"/>
      <c r="AFW16" s="152"/>
      <c r="AFX16" s="152"/>
      <c r="AFY16" s="152"/>
      <c r="AFZ16" s="152"/>
      <c r="AGA16" s="152"/>
      <c r="AGB16" s="152"/>
      <c r="AGC16" s="152"/>
      <c r="AGD16" s="152"/>
      <c r="AGE16" s="152"/>
      <c r="AGF16" s="152"/>
      <c r="AGG16" s="152"/>
      <c r="AGH16" s="152"/>
      <c r="AGI16" s="152"/>
      <c r="AGJ16" s="152"/>
      <c r="AGK16" s="152"/>
      <c r="AGL16" s="152"/>
      <c r="AGM16" s="152"/>
      <c r="AGN16" s="152"/>
      <c r="AGO16" s="152"/>
      <c r="AGP16" s="152"/>
      <c r="AGQ16" s="152"/>
      <c r="AGR16" s="152"/>
      <c r="AGS16" s="152"/>
      <c r="AGT16" s="152"/>
      <c r="AGU16" s="152"/>
      <c r="AGV16" s="152"/>
      <c r="AGW16" s="152"/>
      <c r="AGX16" s="152"/>
      <c r="AGY16" s="152"/>
      <c r="AGZ16" s="152"/>
      <c r="AHA16" s="152"/>
      <c r="AHB16" s="152"/>
      <c r="AHC16" s="152"/>
      <c r="AHD16" s="152"/>
      <c r="AHE16" s="152"/>
      <c r="AHF16" s="152"/>
      <c r="AHG16" s="152"/>
      <c r="AHH16" s="152"/>
      <c r="AHI16" s="152"/>
      <c r="AHJ16" s="152"/>
      <c r="AHK16" s="152"/>
      <c r="AHL16" s="152"/>
      <c r="AHM16" s="152"/>
      <c r="AHN16" s="152"/>
      <c r="AHO16" s="152"/>
      <c r="AHP16" s="152"/>
      <c r="AHQ16" s="152"/>
      <c r="AHR16" s="152"/>
      <c r="AHS16" s="152"/>
      <c r="AHT16" s="152"/>
      <c r="AHU16" s="152"/>
      <c r="AHV16" s="152"/>
      <c r="AHW16" s="152"/>
      <c r="AHX16" s="152"/>
      <c r="AHY16" s="152"/>
      <c r="AHZ16" s="152"/>
      <c r="AIA16" s="152"/>
      <c r="AIB16" s="152"/>
      <c r="AIC16" s="152"/>
      <c r="AID16" s="152"/>
      <c r="AIE16" s="152"/>
      <c r="AIF16" s="152"/>
    </row>
    <row r="17" spans="1:916" s="20" customFormat="1" ht="12.75" x14ac:dyDescent="0.2">
      <c r="B17" s="300" t="s">
        <v>33</v>
      </c>
      <c r="C17" s="137" t="s">
        <v>805</v>
      </c>
      <c r="D17" s="165"/>
      <c r="E17" s="301"/>
      <c r="F17" s="135">
        <f>IFERROR('Res Midstream HVAC &amp; WH {G}'!A$16,)</f>
        <v>15.165718181879555</v>
      </c>
      <c r="G17" s="295" t="s">
        <v>366</v>
      </c>
      <c r="H17" s="249">
        <f>IFERROR('Res Midstream HVAC &amp; WH {G}'!A$10,0)</f>
        <v>148131</v>
      </c>
      <c r="I17" s="250">
        <f>'Res Midstream HVAC &amp; WH {G}'!A$8</f>
        <v>296659</v>
      </c>
      <c r="J17" s="250">
        <f>'Res Midstream HVAC &amp; WH {G}'!A$12</f>
        <v>753832</v>
      </c>
      <c r="K17" s="250">
        <f>'Res Midstream HVAC &amp; WH {G}'!A$14</f>
        <v>1837850</v>
      </c>
      <c r="L17" s="250">
        <f>SUM('Res Midstream HVAC &amp; WH {G}'!Q$5:Q$1000)</f>
        <v>2591682</v>
      </c>
      <c r="M17" s="250"/>
      <c r="N17" s="251">
        <f>'Res Midstream HVAC &amp; WH {G}'!A$18</f>
        <v>1050491</v>
      </c>
      <c r="O17" s="250">
        <f>'Res Midstream HVAC &amp; WH {G}'!A$20</f>
        <v>2888341</v>
      </c>
      <c r="P17" s="250">
        <f>SUM('Res Midstream HVAC &amp; WH {G}'!R$5:R$1000)</f>
        <v>13.7486</v>
      </c>
      <c r="Q17" s="252">
        <f t="shared" ref="Q17" si="5">N17/(1+ElecDiscountRate)^1</f>
        <v>983605.80524344568</v>
      </c>
      <c r="R17" s="252">
        <f>O17/(1+ElecDiscountRate)^1</f>
        <v>2704439.138576779</v>
      </c>
      <c r="S17" s="250">
        <f>SUM('Res Midstream HVAC &amp; WH {G}'!AM$5:AM$1000)</f>
        <v>2242617.7460891176</v>
      </c>
      <c r="T17" s="250">
        <f>SUM('Res Midstream HVAC &amp; WH {G}'!AD$5:AD$1000)</f>
        <v>116.21997511064404</v>
      </c>
      <c r="U17" s="124">
        <f t="shared" ref="U17" si="6">IFERROR(S17/Q17,0)</f>
        <v>2.279996451966916</v>
      </c>
      <c r="V17" s="124">
        <f t="shared" ref="V17" si="7">IFERROR(((S17*1.1)+(T17))/R17,0)</f>
        <v>0.91220235112090775</v>
      </c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52"/>
      <c r="MF17" s="152"/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  <c r="ZL17" s="152"/>
      <c r="ZM17" s="152"/>
      <c r="ZN17" s="152"/>
      <c r="ZO17" s="152"/>
      <c r="ZP17" s="152"/>
      <c r="ZQ17" s="152"/>
      <c r="ZR17" s="152"/>
      <c r="ZS17" s="152"/>
      <c r="ZT17" s="152"/>
      <c r="ZU17" s="152"/>
      <c r="ZV17" s="152"/>
      <c r="ZW17" s="152"/>
      <c r="ZX17" s="152"/>
      <c r="ZY17" s="152"/>
      <c r="ZZ17" s="152"/>
      <c r="AAA17" s="152"/>
      <c r="AAB17" s="152"/>
      <c r="AAC17" s="152"/>
      <c r="AAD17" s="152"/>
      <c r="AAE17" s="152"/>
      <c r="AAF17" s="152"/>
      <c r="AAG17" s="152"/>
      <c r="AAH17" s="152"/>
      <c r="AAI17" s="152"/>
      <c r="AAJ17" s="152"/>
      <c r="AAK17" s="152"/>
      <c r="AAL17" s="152"/>
      <c r="AAM17" s="152"/>
      <c r="AAN17" s="152"/>
      <c r="AAO17" s="152"/>
      <c r="AAP17" s="152"/>
      <c r="AAQ17" s="152"/>
      <c r="AAR17" s="152"/>
      <c r="AAS17" s="152"/>
      <c r="AAT17" s="152"/>
      <c r="AAU17" s="152"/>
      <c r="AAV17" s="152"/>
      <c r="AAW17" s="152"/>
      <c r="AAX17" s="152"/>
      <c r="AAY17" s="152"/>
      <c r="AAZ17" s="152"/>
      <c r="ABA17" s="152"/>
      <c r="ABB17" s="152"/>
      <c r="ABC17" s="152"/>
      <c r="ABD17" s="152"/>
      <c r="ABE17" s="152"/>
      <c r="ABF17" s="152"/>
      <c r="ABG17" s="152"/>
      <c r="ABH17" s="152"/>
      <c r="ABI17" s="152"/>
      <c r="ABJ17" s="152"/>
      <c r="ABK17" s="152"/>
      <c r="ABL17" s="152"/>
      <c r="ABM17" s="152"/>
      <c r="ABN17" s="152"/>
      <c r="ABO17" s="152"/>
      <c r="ABP17" s="152"/>
      <c r="ABQ17" s="152"/>
      <c r="ABR17" s="152"/>
      <c r="ABS17" s="152"/>
      <c r="ABT17" s="152"/>
      <c r="ABU17" s="152"/>
      <c r="ABV17" s="152"/>
      <c r="ABW17" s="152"/>
      <c r="ABX17" s="152"/>
      <c r="ABY17" s="152"/>
      <c r="ABZ17" s="152"/>
      <c r="ACA17" s="152"/>
      <c r="ACB17" s="152"/>
      <c r="ACC17" s="152"/>
      <c r="ACD17" s="152"/>
      <c r="ACE17" s="152"/>
      <c r="ACF17" s="152"/>
      <c r="ACG17" s="152"/>
      <c r="ACH17" s="152"/>
      <c r="ACI17" s="152"/>
      <c r="ACJ17" s="152"/>
      <c r="ACK17" s="152"/>
      <c r="ACL17" s="152"/>
      <c r="ACM17" s="152"/>
      <c r="ACN17" s="152"/>
      <c r="ACO17" s="152"/>
      <c r="ACP17" s="152"/>
      <c r="ACQ17" s="152"/>
      <c r="ACR17" s="152"/>
      <c r="ACS17" s="152"/>
      <c r="ACT17" s="152"/>
      <c r="ACU17" s="152"/>
      <c r="ACV17" s="152"/>
      <c r="ACW17" s="152"/>
      <c r="ACX17" s="152"/>
      <c r="ACY17" s="152"/>
      <c r="ACZ17" s="152"/>
      <c r="ADA17" s="152"/>
      <c r="ADB17" s="152"/>
      <c r="ADC17" s="152"/>
      <c r="ADD17" s="152"/>
      <c r="ADE17" s="152"/>
      <c r="ADF17" s="152"/>
      <c r="ADG17" s="152"/>
      <c r="ADH17" s="152"/>
      <c r="ADI17" s="152"/>
      <c r="ADJ17" s="152"/>
      <c r="ADK17" s="152"/>
      <c r="ADL17" s="152"/>
      <c r="ADM17" s="152"/>
      <c r="ADN17" s="152"/>
      <c r="ADO17" s="152"/>
      <c r="ADP17" s="152"/>
      <c r="ADQ17" s="152"/>
      <c r="ADR17" s="152"/>
      <c r="ADS17" s="152"/>
      <c r="ADT17" s="152"/>
      <c r="ADU17" s="152"/>
      <c r="ADV17" s="152"/>
      <c r="ADW17" s="152"/>
      <c r="ADX17" s="152"/>
      <c r="ADY17" s="152"/>
      <c r="ADZ17" s="152"/>
      <c r="AEA17" s="152"/>
      <c r="AEB17" s="152"/>
      <c r="AEC17" s="152"/>
      <c r="AED17" s="152"/>
      <c r="AEE17" s="152"/>
      <c r="AEF17" s="152"/>
      <c r="AEG17" s="152"/>
      <c r="AEH17" s="152"/>
      <c r="AEI17" s="152"/>
      <c r="AEJ17" s="152"/>
      <c r="AEK17" s="152"/>
      <c r="AEL17" s="152"/>
      <c r="AEM17" s="152"/>
      <c r="AEN17" s="152"/>
      <c r="AEO17" s="152"/>
      <c r="AEP17" s="152"/>
      <c r="AEQ17" s="152"/>
      <c r="AER17" s="152"/>
      <c r="AES17" s="152"/>
      <c r="AET17" s="152"/>
      <c r="AEU17" s="152"/>
      <c r="AEV17" s="152"/>
      <c r="AEW17" s="152"/>
      <c r="AEX17" s="152"/>
      <c r="AEY17" s="152"/>
      <c r="AEZ17" s="152"/>
      <c r="AFA17" s="152"/>
      <c r="AFB17" s="152"/>
      <c r="AFC17" s="152"/>
      <c r="AFD17" s="152"/>
      <c r="AFE17" s="152"/>
      <c r="AFF17" s="152"/>
      <c r="AFG17" s="152"/>
      <c r="AFH17" s="152"/>
      <c r="AFI17" s="152"/>
      <c r="AFJ17" s="152"/>
      <c r="AFK17" s="152"/>
      <c r="AFL17" s="152"/>
      <c r="AFM17" s="152"/>
      <c r="AFN17" s="152"/>
      <c r="AFO17" s="152"/>
      <c r="AFP17" s="152"/>
      <c r="AFQ17" s="152"/>
      <c r="AFR17" s="152"/>
      <c r="AFS17" s="152"/>
      <c r="AFT17" s="152"/>
      <c r="AFU17" s="152"/>
      <c r="AFV17" s="152"/>
      <c r="AFW17" s="152"/>
      <c r="AFX17" s="152"/>
      <c r="AFY17" s="152"/>
      <c r="AFZ17" s="152"/>
      <c r="AGA17" s="152"/>
      <c r="AGB17" s="152"/>
      <c r="AGC17" s="152"/>
      <c r="AGD17" s="152"/>
      <c r="AGE17" s="152"/>
      <c r="AGF17" s="152"/>
      <c r="AGG17" s="152"/>
      <c r="AGH17" s="152"/>
      <c r="AGI17" s="152"/>
      <c r="AGJ17" s="152"/>
      <c r="AGK17" s="152"/>
      <c r="AGL17" s="152"/>
      <c r="AGM17" s="152"/>
      <c r="AGN17" s="152"/>
      <c r="AGO17" s="152"/>
      <c r="AGP17" s="152"/>
      <c r="AGQ17" s="152"/>
      <c r="AGR17" s="152"/>
      <c r="AGS17" s="152"/>
      <c r="AGT17" s="152"/>
      <c r="AGU17" s="152"/>
      <c r="AGV17" s="152"/>
      <c r="AGW17" s="152"/>
      <c r="AGX17" s="152"/>
      <c r="AGY17" s="152"/>
      <c r="AGZ17" s="152"/>
      <c r="AHA17" s="152"/>
      <c r="AHB17" s="152"/>
      <c r="AHC17" s="152"/>
      <c r="AHD17" s="152"/>
      <c r="AHE17" s="152"/>
      <c r="AHF17" s="152"/>
      <c r="AHG17" s="152"/>
      <c r="AHH17" s="152"/>
      <c r="AHI17" s="152"/>
      <c r="AHJ17" s="152"/>
      <c r="AHK17" s="152"/>
      <c r="AHL17" s="152"/>
      <c r="AHM17" s="152"/>
      <c r="AHN17" s="152"/>
      <c r="AHO17" s="152"/>
      <c r="AHP17" s="152"/>
      <c r="AHQ17" s="152"/>
      <c r="AHR17" s="152"/>
      <c r="AHS17" s="152"/>
      <c r="AHT17" s="152"/>
      <c r="AHU17" s="152"/>
      <c r="AHV17" s="152"/>
      <c r="AHW17" s="152"/>
      <c r="AHX17" s="152"/>
      <c r="AHY17" s="152"/>
      <c r="AHZ17" s="152"/>
      <c r="AIA17" s="152"/>
      <c r="AIB17" s="152"/>
      <c r="AIC17" s="152"/>
      <c r="AID17" s="152"/>
      <c r="AIE17" s="152"/>
      <c r="AIF17" s="152"/>
    </row>
    <row r="18" spans="1:916" s="20" customFormat="1" ht="12.75" x14ac:dyDescent="0.2">
      <c r="A18" s="299"/>
      <c r="B18" s="300" t="s">
        <v>99</v>
      </c>
      <c r="C18" s="165" t="s">
        <v>379</v>
      </c>
      <c r="D18" s="165"/>
      <c r="E18" s="301"/>
      <c r="F18" s="135" t="e">
        <f>'SF New Construction {G}'!A$16</f>
        <v>#DIV/0!</v>
      </c>
      <c r="G18" s="295" t="s">
        <v>366</v>
      </c>
      <c r="H18" s="249">
        <f>'SF New Construction {G}'!A$10</f>
        <v>0</v>
      </c>
      <c r="I18" s="250">
        <f>'SF New Construction {G}'!A$8</f>
        <v>0</v>
      </c>
      <c r="J18" s="250">
        <f>'SF New Construction {G}'!A$12</f>
        <v>0</v>
      </c>
      <c r="K18" s="250">
        <f>'SF New Construction {G}'!A$14</f>
        <v>0</v>
      </c>
      <c r="L18" s="250">
        <f>SUM('SF New Construction {G}'!Q$5:Q$1000)</f>
        <v>0</v>
      </c>
      <c r="M18" s="250"/>
      <c r="N18" s="251">
        <f>'SF New Construction {G}'!A$18</f>
        <v>0</v>
      </c>
      <c r="O18" s="250">
        <f>'SF New Construction {G}'!A$20</f>
        <v>0</v>
      </c>
      <c r="P18" s="250">
        <f>SUM('SF New Construction {G}'!R$5:R$1000)</f>
        <v>0</v>
      </c>
      <c r="Q18" s="252">
        <f t="shared" si="0"/>
        <v>0</v>
      </c>
      <c r="R18" s="252">
        <f t="shared" si="4"/>
        <v>0</v>
      </c>
      <c r="S18" s="250">
        <f>SUM('SF New Construction {G}'!AM$5:AM$1000)</f>
        <v>0</v>
      </c>
      <c r="T18" s="250">
        <f>SUM('SF New Construction {G}'!AD$5:AD$1000)</f>
        <v>0</v>
      </c>
      <c r="U18" s="124">
        <f t="shared" si="2"/>
        <v>0</v>
      </c>
      <c r="V18" s="124">
        <f t="shared" si="3"/>
        <v>0</v>
      </c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52"/>
      <c r="MF18" s="152"/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  <c r="ZL18" s="152"/>
      <c r="ZM18" s="152"/>
      <c r="ZN18" s="152"/>
      <c r="ZO18" s="152"/>
      <c r="ZP18" s="152"/>
      <c r="ZQ18" s="152"/>
      <c r="ZR18" s="152"/>
      <c r="ZS18" s="152"/>
      <c r="ZT18" s="152"/>
      <c r="ZU18" s="152"/>
      <c r="ZV18" s="152"/>
      <c r="ZW18" s="152"/>
      <c r="ZX18" s="152"/>
      <c r="ZY18" s="152"/>
      <c r="ZZ18" s="152"/>
      <c r="AAA18" s="152"/>
      <c r="AAB18" s="152"/>
      <c r="AAC18" s="152"/>
      <c r="AAD18" s="152"/>
      <c r="AAE18" s="152"/>
      <c r="AAF18" s="152"/>
      <c r="AAG18" s="152"/>
      <c r="AAH18" s="152"/>
      <c r="AAI18" s="152"/>
      <c r="AAJ18" s="152"/>
      <c r="AAK18" s="152"/>
      <c r="AAL18" s="152"/>
      <c r="AAM18" s="152"/>
      <c r="AAN18" s="152"/>
      <c r="AAO18" s="152"/>
      <c r="AAP18" s="152"/>
      <c r="AAQ18" s="152"/>
      <c r="AAR18" s="152"/>
      <c r="AAS18" s="152"/>
      <c r="AAT18" s="152"/>
      <c r="AAU18" s="152"/>
      <c r="AAV18" s="152"/>
      <c r="AAW18" s="152"/>
      <c r="AAX18" s="152"/>
      <c r="AAY18" s="152"/>
      <c r="AAZ18" s="152"/>
      <c r="ABA18" s="152"/>
      <c r="ABB18" s="152"/>
      <c r="ABC18" s="152"/>
      <c r="ABD18" s="152"/>
      <c r="ABE18" s="152"/>
      <c r="ABF18" s="152"/>
      <c r="ABG18" s="152"/>
      <c r="ABH18" s="152"/>
      <c r="ABI18" s="152"/>
      <c r="ABJ18" s="152"/>
      <c r="ABK18" s="152"/>
      <c r="ABL18" s="152"/>
      <c r="ABM18" s="152"/>
      <c r="ABN18" s="152"/>
      <c r="ABO18" s="152"/>
      <c r="ABP18" s="152"/>
      <c r="ABQ18" s="152"/>
      <c r="ABR18" s="152"/>
      <c r="ABS18" s="152"/>
      <c r="ABT18" s="152"/>
      <c r="ABU18" s="152"/>
      <c r="ABV18" s="152"/>
      <c r="ABW18" s="152"/>
      <c r="ABX18" s="152"/>
      <c r="ABY18" s="152"/>
      <c r="ABZ18" s="152"/>
      <c r="ACA18" s="152"/>
      <c r="ACB18" s="152"/>
      <c r="ACC18" s="152"/>
      <c r="ACD18" s="152"/>
      <c r="ACE18" s="152"/>
      <c r="ACF18" s="152"/>
      <c r="ACG18" s="152"/>
      <c r="ACH18" s="152"/>
      <c r="ACI18" s="152"/>
      <c r="ACJ18" s="152"/>
      <c r="ACK18" s="152"/>
      <c r="ACL18" s="152"/>
      <c r="ACM18" s="152"/>
      <c r="ACN18" s="152"/>
      <c r="ACO18" s="152"/>
      <c r="ACP18" s="152"/>
      <c r="ACQ18" s="152"/>
      <c r="ACR18" s="152"/>
      <c r="ACS18" s="152"/>
      <c r="ACT18" s="152"/>
      <c r="ACU18" s="152"/>
      <c r="ACV18" s="152"/>
      <c r="ACW18" s="152"/>
      <c r="ACX18" s="152"/>
      <c r="ACY18" s="152"/>
      <c r="ACZ18" s="152"/>
      <c r="ADA18" s="152"/>
      <c r="ADB18" s="152"/>
      <c r="ADC18" s="152"/>
      <c r="ADD18" s="152"/>
      <c r="ADE18" s="152"/>
      <c r="ADF18" s="152"/>
      <c r="ADG18" s="152"/>
      <c r="ADH18" s="152"/>
      <c r="ADI18" s="152"/>
      <c r="ADJ18" s="152"/>
      <c r="ADK18" s="152"/>
      <c r="ADL18" s="152"/>
      <c r="ADM18" s="152"/>
      <c r="ADN18" s="152"/>
      <c r="ADO18" s="152"/>
      <c r="ADP18" s="152"/>
      <c r="ADQ18" s="152"/>
      <c r="ADR18" s="152"/>
      <c r="ADS18" s="152"/>
      <c r="ADT18" s="152"/>
      <c r="ADU18" s="152"/>
      <c r="ADV18" s="152"/>
      <c r="ADW18" s="152"/>
      <c r="ADX18" s="152"/>
      <c r="ADY18" s="152"/>
      <c r="ADZ18" s="152"/>
      <c r="AEA18" s="152"/>
      <c r="AEB18" s="152"/>
      <c r="AEC18" s="152"/>
      <c r="AED18" s="152"/>
      <c r="AEE18" s="152"/>
      <c r="AEF18" s="152"/>
      <c r="AEG18" s="152"/>
      <c r="AEH18" s="152"/>
      <c r="AEI18" s="152"/>
      <c r="AEJ18" s="152"/>
      <c r="AEK18" s="152"/>
      <c r="AEL18" s="152"/>
      <c r="AEM18" s="152"/>
      <c r="AEN18" s="152"/>
      <c r="AEO18" s="152"/>
      <c r="AEP18" s="152"/>
      <c r="AEQ18" s="152"/>
      <c r="AER18" s="152"/>
      <c r="AES18" s="152"/>
      <c r="AET18" s="152"/>
      <c r="AEU18" s="152"/>
      <c r="AEV18" s="152"/>
      <c r="AEW18" s="152"/>
      <c r="AEX18" s="152"/>
      <c r="AEY18" s="152"/>
      <c r="AEZ18" s="152"/>
      <c r="AFA18" s="152"/>
      <c r="AFB18" s="152"/>
      <c r="AFC18" s="152"/>
      <c r="AFD18" s="152"/>
      <c r="AFE18" s="152"/>
      <c r="AFF18" s="152"/>
      <c r="AFG18" s="152"/>
      <c r="AFH18" s="152"/>
      <c r="AFI18" s="152"/>
      <c r="AFJ18" s="152"/>
      <c r="AFK18" s="152"/>
      <c r="AFL18" s="152"/>
      <c r="AFM18" s="152"/>
      <c r="AFN18" s="152"/>
      <c r="AFO18" s="152"/>
      <c r="AFP18" s="152"/>
      <c r="AFQ18" s="152"/>
      <c r="AFR18" s="152"/>
      <c r="AFS18" s="152"/>
      <c r="AFT18" s="152"/>
      <c r="AFU18" s="152"/>
      <c r="AFV18" s="152"/>
      <c r="AFW18" s="152"/>
      <c r="AFX18" s="152"/>
      <c r="AFY18" s="152"/>
      <c r="AFZ18" s="152"/>
      <c r="AGA18" s="152"/>
      <c r="AGB18" s="152"/>
      <c r="AGC18" s="152"/>
      <c r="AGD18" s="152"/>
      <c r="AGE18" s="152"/>
      <c r="AGF18" s="152"/>
      <c r="AGG18" s="152"/>
      <c r="AGH18" s="152"/>
      <c r="AGI18" s="152"/>
      <c r="AGJ18" s="152"/>
      <c r="AGK18" s="152"/>
      <c r="AGL18" s="152"/>
      <c r="AGM18" s="152"/>
      <c r="AGN18" s="152"/>
      <c r="AGO18" s="152"/>
      <c r="AGP18" s="152"/>
      <c r="AGQ18" s="152"/>
      <c r="AGR18" s="152"/>
      <c r="AGS18" s="152"/>
      <c r="AGT18" s="152"/>
      <c r="AGU18" s="152"/>
      <c r="AGV18" s="152"/>
      <c r="AGW18" s="152"/>
      <c r="AGX18" s="152"/>
      <c r="AGY18" s="152"/>
      <c r="AGZ18" s="152"/>
      <c r="AHA18" s="152"/>
      <c r="AHB18" s="152"/>
      <c r="AHC18" s="152"/>
      <c r="AHD18" s="152"/>
      <c r="AHE18" s="152"/>
      <c r="AHF18" s="152"/>
      <c r="AHG18" s="152"/>
      <c r="AHH18" s="152"/>
      <c r="AHI18" s="152"/>
      <c r="AHJ18" s="152"/>
      <c r="AHK18" s="152"/>
      <c r="AHL18" s="152"/>
      <c r="AHM18" s="152"/>
      <c r="AHN18" s="152"/>
      <c r="AHO18" s="152"/>
      <c r="AHP18" s="152"/>
      <c r="AHQ18" s="152"/>
      <c r="AHR18" s="152"/>
      <c r="AHS18" s="152"/>
      <c r="AHT18" s="152"/>
      <c r="AHU18" s="152"/>
      <c r="AHV18" s="152"/>
      <c r="AHW18" s="152"/>
      <c r="AHX18" s="152"/>
      <c r="AHY18" s="152"/>
      <c r="AHZ18" s="152"/>
      <c r="AIA18" s="152"/>
      <c r="AIB18" s="152"/>
      <c r="AIC18" s="152"/>
      <c r="AID18" s="152"/>
      <c r="AIE18" s="152"/>
      <c r="AIF18" s="152"/>
    </row>
    <row r="19" spans="1:916" s="20" customFormat="1" ht="12.75" x14ac:dyDescent="0.2">
      <c r="A19" s="299"/>
      <c r="B19" s="300" t="s">
        <v>99</v>
      </c>
      <c r="C19" s="165" t="s">
        <v>448</v>
      </c>
      <c r="D19" s="165"/>
      <c r="E19" s="301"/>
      <c r="F19" s="135">
        <f>IFERROR('MH New Construction {G}'!A$16,0)</f>
        <v>15.678480087687252</v>
      </c>
      <c r="G19" s="295" t="s">
        <v>366</v>
      </c>
      <c r="H19" s="249">
        <f>'MH New Construction {G}'!A$10</f>
        <v>1094.8</v>
      </c>
      <c r="I19" s="250">
        <f>'MH New Construction {G}'!A$8</f>
        <v>0</v>
      </c>
      <c r="J19" s="250">
        <f>'MH New Construction {G}'!A$12</f>
        <v>29600</v>
      </c>
      <c r="K19" s="250">
        <f>'MH New Construction {G}'!A$14</f>
        <v>664.27999999999884</v>
      </c>
      <c r="L19" s="250">
        <f>SUM('MH New Construction {G}'!Q$5:Q$1000)</f>
        <v>30264.28</v>
      </c>
      <c r="M19" s="250"/>
      <c r="N19" s="251">
        <f>'MH New Construction {G}'!A$18</f>
        <v>29600</v>
      </c>
      <c r="O19" s="250">
        <f>'MH New Construction {G}'!A$20</f>
        <v>30264.28</v>
      </c>
      <c r="P19" s="250">
        <f>SUM('MH New Construction {G}'!R$5:R$1000)</f>
        <v>0</v>
      </c>
      <c r="Q19" s="252">
        <f t="shared" si="0"/>
        <v>27715.355805243446</v>
      </c>
      <c r="R19" s="252">
        <f>O19/(1+ElecDiscountRate)^1</f>
        <v>28337.340823970033</v>
      </c>
      <c r="S19" s="250">
        <f>SUM('MH New Construction {G}'!AM$5:AM$1000)</f>
        <v>17542.873776923283</v>
      </c>
      <c r="T19" s="250">
        <f>SUM('MH New Construction {G}'!AD$5:AD$1000)</f>
        <v>0</v>
      </c>
      <c r="U19" s="124">
        <f t="shared" si="2"/>
        <v>0.6329658511403401</v>
      </c>
      <c r="V19" s="124">
        <f t="shared" si="3"/>
        <v>0.68097995766393504</v>
      </c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2"/>
      <c r="LV19" s="152"/>
      <c r="LW19" s="152"/>
      <c r="LX19" s="152"/>
      <c r="LY19" s="152"/>
      <c r="LZ19" s="152"/>
      <c r="MA19" s="152"/>
      <c r="MB19" s="152"/>
      <c r="MC19" s="152"/>
      <c r="MD19" s="152"/>
      <c r="ME19" s="152"/>
      <c r="MF19" s="152"/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  <c r="ZL19" s="152"/>
      <c r="ZM19" s="152"/>
      <c r="ZN19" s="152"/>
      <c r="ZO19" s="152"/>
      <c r="ZP19" s="152"/>
      <c r="ZQ19" s="152"/>
      <c r="ZR19" s="152"/>
      <c r="ZS19" s="152"/>
      <c r="ZT19" s="152"/>
      <c r="ZU19" s="152"/>
      <c r="ZV19" s="152"/>
      <c r="ZW19" s="152"/>
      <c r="ZX19" s="152"/>
      <c r="ZY19" s="152"/>
      <c r="ZZ19" s="152"/>
      <c r="AAA19" s="152"/>
      <c r="AAB19" s="152"/>
      <c r="AAC19" s="152"/>
      <c r="AAD19" s="152"/>
      <c r="AAE19" s="152"/>
      <c r="AAF19" s="152"/>
      <c r="AAG19" s="152"/>
      <c r="AAH19" s="152"/>
      <c r="AAI19" s="152"/>
      <c r="AAJ19" s="152"/>
      <c r="AAK19" s="152"/>
      <c r="AAL19" s="152"/>
      <c r="AAM19" s="152"/>
      <c r="AAN19" s="152"/>
      <c r="AAO19" s="152"/>
      <c r="AAP19" s="152"/>
      <c r="AAQ19" s="152"/>
      <c r="AAR19" s="152"/>
      <c r="AAS19" s="152"/>
      <c r="AAT19" s="152"/>
      <c r="AAU19" s="152"/>
      <c r="AAV19" s="152"/>
      <c r="AAW19" s="152"/>
      <c r="AAX19" s="152"/>
      <c r="AAY19" s="152"/>
      <c r="AAZ19" s="152"/>
      <c r="ABA19" s="152"/>
      <c r="ABB19" s="152"/>
      <c r="ABC19" s="152"/>
      <c r="ABD19" s="152"/>
      <c r="ABE19" s="152"/>
      <c r="ABF19" s="152"/>
      <c r="ABG19" s="152"/>
      <c r="ABH19" s="152"/>
      <c r="ABI19" s="152"/>
      <c r="ABJ19" s="152"/>
      <c r="ABK19" s="152"/>
      <c r="ABL19" s="152"/>
      <c r="ABM19" s="152"/>
      <c r="ABN19" s="152"/>
      <c r="ABO19" s="152"/>
      <c r="ABP19" s="152"/>
      <c r="ABQ19" s="152"/>
      <c r="ABR19" s="152"/>
      <c r="ABS19" s="152"/>
      <c r="ABT19" s="152"/>
      <c r="ABU19" s="152"/>
      <c r="ABV19" s="152"/>
      <c r="ABW19" s="152"/>
      <c r="ABX19" s="152"/>
      <c r="ABY19" s="152"/>
      <c r="ABZ19" s="152"/>
      <c r="ACA19" s="152"/>
      <c r="ACB19" s="152"/>
      <c r="ACC19" s="152"/>
      <c r="ACD19" s="152"/>
      <c r="ACE19" s="152"/>
      <c r="ACF19" s="152"/>
      <c r="ACG19" s="152"/>
      <c r="ACH19" s="152"/>
      <c r="ACI19" s="152"/>
      <c r="ACJ19" s="152"/>
      <c r="ACK19" s="152"/>
      <c r="ACL19" s="152"/>
      <c r="ACM19" s="152"/>
      <c r="ACN19" s="152"/>
      <c r="ACO19" s="152"/>
      <c r="ACP19" s="152"/>
      <c r="ACQ19" s="152"/>
      <c r="ACR19" s="152"/>
      <c r="ACS19" s="152"/>
      <c r="ACT19" s="152"/>
      <c r="ACU19" s="152"/>
      <c r="ACV19" s="152"/>
      <c r="ACW19" s="152"/>
      <c r="ACX19" s="152"/>
      <c r="ACY19" s="152"/>
      <c r="ACZ19" s="152"/>
      <c r="ADA19" s="152"/>
      <c r="ADB19" s="152"/>
      <c r="ADC19" s="152"/>
      <c r="ADD19" s="152"/>
      <c r="ADE19" s="152"/>
      <c r="ADF19" s="152"/>
      <c r="ADG19" s="152"/>
      <c r="ADH19" s="152"/>
      <c r="ADI19" s="152"/>
      <c r="ADJ19" s="152"/>
      <c r="ADK19" s="152"/>
      <c r="ADL19" s="152"/>
      <c r="ADM19" s="152"/>
      <c r="ADN19" s="152"/>
      <c r="ADO19" s="152"/>
      <c r="ADP19" s="152"/>
      <c r="ADQ19" s="152"/>
      <c r="ADR19" s="152"/>
      <c r="ADS19" s="152"/>
      <c r="ADT19" s="152"/>
      <c r="ADU19" s="152"/>
      <c r="ADV19" s="152"/>
      <c r="ADW19" s="152"/>
      <c r="ADX19" s="152"/>
      <c r="ADY19" s="152"/>
      <c r="ADZ19" s="152"/>
      <c r="AEA19" s="152"/>
      <c r="AEB19" s="152"/>
      <c r="AEC19" s="152"/>
      <c r="AED19" s="152"/>
      <c r="AEE19" s="152"/>
      <c r="AEF19" s="152"/>
      <c r="AEG19" s="152"/>
      <c r="AEH19" s="152"/>
      <c r="AEI19" s="152"/>
      <c r="AEJ19" s="152"/>
      <c r="AEK19" s="152"/>
      <c r="AEL19" s="152"/>
      <c r="AEM19" s="152"/>
      <c r="AEN19" s="152"/>
      <c r="AEO19" s="152"/>
      <c r="AEP19" s="152"/>
      <c r="AEQ19" s="152"/>
      <c r="AER19" s="152"/>
      <c r="AES19" s="152"/>
      <c r="AET19" s="152"/>
      <c r="AEU19" s="152"/>
      <c r="AEV19" s="152"/>
      <c r="AEW19" s="152"/>
      <c r="AEX19" s="152"/>
      <c r="AEY19" s="152"/>
      <c r="AEZ19" s="152"/>
      <c r="AFA19" s="152"/>
      <c r="AFB19" s="152"/>
      <c r="AFC19" s="152"/>
      <c r="AFD19" s="152"/>
      <c r="AFE19" s="152"/>
      <c r="AFF19" s="152"/>
      <c r="AFG19" s="152"/>
      <c r="AFH19" s="152"/>
      <c r="AFI19" s="152"/>
      <c r="AFJ19" s="152"/>
      <c r="AFK19" s="152"/>
      <c r="AFL19" s="152"/>
      <c r="AFM19" s="152"/>
      <c r="AFN19" s="152"/>
      <c r="AFO19" s="152"/>
      <c r="AFP19" s="152"/>
      <c r="AFQ19" s="152"/>
      <c r="AFR19" s="152"/>
      <c r="AFS19" s="152"/>
      <c r="AFT19" s="152"/>
      <c r="AFU19" s="152"/>
      <c r="AFV19" s="152"/>
      <c r="AFW19" s="152"/>
      <c r="AFX19" s="152"/>
      <c r="AFY19" s="152"/>
      <c r="AFZ19" s="152"/>
      <c r="AGA19" s="152"/>
      <c r="AGB19" s="152"/>
      <c r="AGC19" s="152"/>
      <c r="AGD19" s="152"/>
      <c r="AGE19" s="152"/>
      <c r="AGF19" s="152"/>
      <c r="AGG19" s="152"/>
      <c r="AGH19" s="152"/>
      <c r="AGI19" s="152"/>
      <c r="AGJ19" s="152"/>
      <c r="AGK19" s="152"/>
      <c r="AGL19" s="152"/>
      <c r="AGM19" s="152"/>
      <c r="AGN19" s="152"/>
      <c r="AGO19" s="152"/>
      <c r="AGP19" s="152"/>
      <c r="AGQ19" s="152"/>
      <c r="AGR19" s="152"/>
      <c r="AGS19" s="152"/>
      <c r="AGT19" s="152"/>
      <c r="AGU19" s="152"/>
      <c r="AGV19" s="152"/>
      <c r="AGW19" s="152"/>
      <c r="AGX19" s="152"/>
      <c r="AGY19" s="152"/>
      <c r="AGZ19" s="152"/>
      <c r="AHA19" s="152"/>
      <c r="AHB19" s="152"/>
      <c r="AHC19" s="152"/>
      <c r="AHD19" s="152"/>
      <c r="AHE19" s="152"/>
      <c r="AHF19" s="152"/>
      <c r="AHG19" s="152"/>
      <c r="AHH19" s="152"/>
      <c r="AHI19" s="152"/>
      <c r="AHJ19" s="152"/>
      <c r="AHK19" s="152"/>
      <c r="AHL19" s="152"/>
      <c r="AHM19" s="152"/>
      <c r="AHN19" s="152"/>
      <c r="AHO19" s="152"/>
      <c r="AHP19" s="152"/>
      <c r="AHQ19" s="152"/>
      <c r="AHR19" s="152"/>
      <c r="AHS19" s="152"/>
      <c r="AHT19" s="152"/>
      <c r="AHU19" s="152"/>
      <c r="AHV19" s="152"/>
      <c r="AHW19" s="152"/>
      <c r="AHX19" s="152"/>
      <c r="AHY19" s="152"/>
      <c r="AHZ19" s="152"/>
      <c r="AIA19" s="152"/>
      <c r="AIB19" s="152"/>
      <c r="AIC19" s="152"/>
      <c r="AID19" s="152"/>
      <c r="AIE19" s="152"/>
      <c r="AIF19" s="152"/>
    </row>
    <row r="20" spans="1:916" s="20" customFormat="1" ht="12.75" x14ac:dyDescent="0.2">
      <c r="B20" s="300" t="s">
        <v>138</v>
      </c>
      <c r="C20" s="138" t="s">
        <v>449</v>
      </c>
      <c r="D20" s="138"/>
      <c r="E20" s="301"/>
      <c r="F20" s="135">
        <f>'Multi Family Retrofit {G}'!A$16</f>
        <v>30.292619796526591</v>
      </c>
      <c r="G20" s="295" t="s">
        <v>366</v>
      </c>
      <c r="H20" s="249">
        <f>'Multi Family Retrofit {G}'!A$10</f>
        <v>30050.12</v>
      </c>
      <c r="I20" s="250">
        <f>'Multi Family Retrofit {G}'!A$8</f>
        <v>225729.45999999996</v>
      </c>
      <c r="J20" s="250">
        <f>'Multi Family Retrofit {G}'!A$12</f>
        <v>344050</v>
      </c>
      <c r="K20" s="250">
        <f>'Multi Family Retrofit {G}'!A$14</f>
        <v>261691.20000000007</v>
      </c>
      <c r="L20" s="250">
        <f>SUM('Multi Family Retrofit {G}'!Q$5:Q$998)</f>
        <v>605741.20000000019</v>
      </c>
      <c r="M20" s="250"/>
      <c r="N20" s="251">
        <f>'Multi Family Retrofit {G}'!A$18</f>
        <v>569784.46</v>
      </c>
      <c r="O20" s="250">
        <f>'Multi Family Retrofit {G}'!A$20</f>
        <v>831470.66000000015</v>
      </c>
      <c r="P20" s="250">
        <f>SUM('Multi Family Retrofit {G}'!R$5:R$998)</f>
        <v>1564.9222</v>
      </c>
      <c r="Q20" s="252">
        <f t="shared" si="0"/>
        <v>533506.04868913849</v>
      </c>
      <c r="R20" s="252">
        <f t="shared" si="4"/>
        <v>778530.5805243447</v>
      </c>
      <c r="S20" s="250">
        <f>SUM('Multi Family Retrofit {G}'!AM$5:AM$998)</f>
        <v>779542.39595732128</v>
      </c>
      <c r="T20" s="250">
        <f>SUM('Multi Family Retrofit {G}'!AD$5:AD$998)</f>
        <v>39254.575063344353</v>
      </c>
      <c r="U20" s="124">
        <f t="shared" si="2"/>
        <v>1.4611688056259367</v>
      </c>
      <c r="V20" s="124">
        <f t="shared" si="3"/>
        <v>1.1518509780469135</v>
      </c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  <c r="IY20" s="152"/>
      <c r="IZ20" s="152"/>
      <c r="JA20" s="152"/>
      <c r="JB20" s="152"/>
      <c r="JC20" s="152"/>
      <c r="JD20" s="152"/>
      <c r="JE20" s="152"/>
      <c r="JF20" s="152"/>
      <c r="JG20" s="152"/>
      <c r="JH20" s="152"/>
      <c r="JI20" s="152"/>
      <c r="JJ20" s="152"/>
      <c r="JK20" s="152"/>
      <c r="JL20" s="152"/>
      <c r="JM20" s="152"/>
      <c r="JN20" s="152"/>
      <c r="JO20" s="152"/>
      <c r="JP20" s="152"/>
      <c r="JQ20" s="152"/>
      <c r="JR20" s="152"/>
      <c r="JS20" s="152"/>
      <c r="JT20" s="152"/>
      <c r="JU20" s="152"/>
      <c r="JV20" s="152"/>
      <c r="JW20" s="152"/>
      <c r="JX20" s="152"/>
      <c r="JY20" s="152"/>
      <c r="JZ20" s="152"/>
      <c r="KA20" s="152"/>
      <c r="KB20" s="152"/>
      <c r="KC20" s="152"/>
      <c r="KD20" s="152"/>
      <c r="KE20" s="152"/>
      <c r="KF20" s="152"/>
      <c r="KG20" s="152"/>
      <c r="KH20" s="152"/>
      <c r="KI20" s="152"/>
      <c r="KJ20" s="152"/>
      <c r="KK20" s="152"/>
      <c r="KL20" s="152"/>
      <c r="KM20" s="152"/>
      <c r="KN20" s="152"/>
      <c r="KO20" s="152"/>
      <c r="KP20" s="152"/>
      <c r="KQ20" s="152"/>
      <c r="KR20" s="152"/>
      <c r="KS20" s="152"/>
      <c r="KT20" s="152"/>
      <c r="KU20" s="152"/>
      <c r="KV20" s="152"/>
      <c r="KW20" s="152"/>
      <c r="KX20" s="152"/>
      <c r="KY20" s="152"/>
      <c r="KZ20" s="152"/>
      <c r="LA20" s="152"/>
      <c r="LB20" s="152"/>
      <c r="LC20" s="152"/>
      <c r="LD20" s="152"/>
      <c r="LE20" s="152"/>
      <c r="LF20" s="152"/>
      <c r="LG20" s="152"/>
      <c r="LH20" s="152"/>
      <c r="LI20" s="152"/>
      <c r="LJ20" s="152"/>
      <c r="LK20" s="152"/>
      <c r="LL20" s="152"/>
      <c r="LM20" s="152"/>
      <c r="LN20" s="152"/>
      <c r="LO20" s="152"/>
      <c r="LP20" s="152"/>
      <c r="LQ20" s="152"/>
      <c r="LR20" s="152"/>
      <c r="LS20" s="152"/>
      <c r="LT20" s="152"/>
      <c r="LU20" s="152"/>
      <c r="LV20" s="152"/>
      <c r="LW20" s="152"/>
      <c r="LX20" s="152"/>
      <c r="LY20" s="152"/>
      <c r="LZ20" s="152"/>
      <c r="MA20" s="152"/>
      <c r="MB20" s="152"/>
      <c r="MC20" s="152"/>
      <c r="MD20" s="152"/>
      <c r="ME20" s="152"/>
      <c r="MF20" s="152"/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  <c r="ZL20" s="152"/>
      <c r="ZM20" s="152"/>
      <c r="ZN20" s="152"/>
      <c r="ZO20" s="152"/>
      <c r="ZP20" s="152"/>
      <c r="ZQ20" s="152"/>
      <c r="ZR20" s="152"/>
      <c r="ZS20" s="152"/>
      <c r="ZT20" s="152"/>
      <c r="ZU20" s="152"/>
      <c r="ZV20" s="152"/>
      <c r="ZW20" s="152"/>
      <c r="ZX20" s="152"/>
      <c r="ZY20" s="152"/>
      <c r="ZZ20" s="152"/>
      <c r="AAA20" s="152"/>
      <c r="AAB20" s="152"/>
      <c r="AAC20" s="152"/>
      <c r="AAD20" s="152"/>
      <c r="AAE20" s="152"/>
      <c r="AAF20" s="152"/>
      <c r="AAG20" s="152"/>
      <c r="AAH20" s="152"/>
      <c r="AAI20" s="152"/>
      <c r="AAJ20" s="152"/>
      <c r="AAK20" s="152"/>
      <c r="AAL20" s="152"/>
      <c r="AAM20" s="152"/>
      <c r="AAN20" s="152"/>
      <c r="AAO20" s="152"/>
      <c r="AAP20" s="152"/>
      <c r="AAQ20" s="152"/>
      <c r="AAR20" s="152"/>
      <c r="AAS20" s="152"/>
      <c r="AAT20" s="152"/>
      <c r="AAU20" s="152"/>
      <c r="AAV20" s="152"/>
      <c r="AAW20" s="152"/>
      <c r="AAX20" s="152"/>
      <c r="AAY20" s="152"/>
      <c r="AAZ20" s="152"/>
      <c r="ABA20" s="152"/>
      <c r="ABB20" s="152"/>
      <c r="ABC20" s="152"/>
      <c r="ABD20" s="152"/>
      <c r="ABE20" s="152"/>
      <c r="ABF20" s="152"/>
      <c r="ABG20" s="152"/>
      <c r="ABH20" s="152"/>
      <c r="ABI20" s="152"/>
      <c r="ABJ20" s="152"/>
      <c r="ABK20" s="152"/>
      <c r="ABL20" s="152"/>
      <c r="ABM20" s="152"/>
      <c r="ABN20" s="152"/>
      <c r="ABO20" s="152"/>
      <c r="ABP20" s="152"/>
      <c r="ABQ20" s="152"/>
      <c r="ABR20" s="152"/>
      <c r="ABS20" s="152"/>
      <c r="ABT20" s="152"/>
      <c r="ABU20" s="152"/>
      <c r="ABV20" s="152"/>
      <c r="ABW20" s="152"/>
      <c r="ABX20" s="152"/>
      <c r="ABY20" s="152"/>
      <c r="ABZ20" s="152"/>
      <c r="ACA20" s="152"/>
      <c r="ACB20" s="152"/>
      <c r="ACC20" s="152"/>
      <c r="ACD20" s="152"/>
      <c r="ACE20" s="152"/>
      <c r="ACF20" s="152"/>
      <c r="ACG20" s="152"/>
      <c r="ACH20" s="152"/>
      <c r="ACI20" s="152"/>
      <c r="ACJ20" s="152"/>
      <c r="ACK20" s="152"/>
      <c r="ACL20" s="152"/>
      <c r="ACM20" s="152"/>
      <c r="ACN20" s="152"/>
      <c r="ACO20" s="152"/>
      <c r="ACP20" s="152"/>
      <c r="ACQ20" s="152"/>
      <c r="ACR20" s="152"/>
      <c r="ACS20" s="152"/>
      <c r="ACT20" s="152"/>
      <c r="ACU20" s="152"/>
      <c r="ACV20" s="152"/>
      <c r="ACW20" s="152"/>
      <c r="ACX20" s="152"/>
      <c r="ACY20" s="152"/>
      <c r="ACZ20" s="152"/>
      <c r="ADA20" s="152"/>
      <c r="ADB20" s="152"/>
      <c r="ADC20" s="152"/>
      <c r="ADD20" s="152"/>
      <c r="ADE20" s="152"/>
      <c r="ADF20" s="152"/>
      <c r="ADG20" s="152"/>
      <c r="ADH20" s="152"/>
      <c r="ADI20" s="152"/>
      <c r="ADJ20" s="152"/>
      <c r="ADK20" s="152"/>
      <c r="ADL20" s="152"/>
      <c r="ADM20" s="152"/>
      <c r="ADN20" s="152"/>
      <c r="ADO20" s="152"/>
      <c r="ADP20" s="152"/>
      <c r="ADQ20" s="152"/>
      <c r="ADR20" s="152"/>
      <c r="ADS20" s="152"/>
      <c r="ADT20" s="152"/>
      <c r="ADU20" s="152"/>
      <c r="ADV20" s="152"/>
      <c r="ADW20" s="152"/>
      <c r="ADX20" s="152"/>
      <c r="ADY20" s="152"/>
      <c r="ADZ20" s="152"/>
      <c r="AEA20" s="152"/>
      <c r="AEB20" s="152"/>
      <c r="AEC20" s="152"/>
      <c r="AED20" s="152"/>
      <c r="AEE20" s="152"/>
      <c r="AEF20" s="152"/>
      <c r="AEG20" s="152"/>
      <c r="AEH20" s="152"/>
      <c r="AEI20" s="152"/>
      <c r="AEJ20" s="152"/>
      <c r="AEK20" s="152"/>
      <c r="AEL20" s="152"/>
      <c r="AEM20" s="152"/>
      <c r="AEN20" s="152"/>
      <c r="AEO20" s="152"/>
      <c r="AEP20" s="152"/>
      <c r="AEQ20" s="152"/>
      <c r="AER20" s="152"/>
      <c r="AES20" s="152"/>
      <c r="AET20" s="152"/>
      <c r="AEU20" s="152"/>
      <c r="AEV20" s="152"/>
      <c r="AEW20" s="152"/>
      <c r="AEX20" s="152"/>
      <c r="AEY20" s="152"/>
      <c r="AEZ20" s="152"/>
      <c r="AFA20" s="152"/>
      <c r="AFB20" s="152"/>
      <c r="AFC20" s="152"/>
      <c r="AFD20" s="152"/>
      <c r="AFE20" s="152"/>
      <c r="AFF20" s="152"/>
      <c r="AFG20" s="152"/>
      <c r="AFH20" s="152"/>
      <c r="AFI20" s="152"/>
      <c r="AFJ20" s="152"/>
      <c r="AFK20" s="152"/>
      <c r="AFL20" s="152"/>
      <c r="AFM20" s="152"/>
      <c r="AFN20" s="152"/>
      <c r="AFO20" s="152"/>
      <c r="AFP20" s="152"/>
      <c r="AFQ20" s="152"/>
      <c r="AFR20" s="152"/>
      <c r="AFS20" s="152"/>
      <c r="AFT20" s="152"/>
      <c r="AFU20" s="152"/>
      <c r="AFV20" s="152"/>
      <c r="AFW20" s="152"/>
      <c r="AFX20" s="152"/>
      <c r="AFY20" s="152"/>
      <c r="AFZ20" s="152"/>
      <c r="AGA20" s="152"/>
      <c r="AGB20" s="152"/>
      <c r="AGC20" s="152"/>
      <c r="AGD20" s="152"/>
      <c r="AGE20" s="152"/>
      <c r="AGF20" s="152"/>
      <c r="AGG20" s="152"/>
      <c r="AGH20" s="152"/>
      <c r="AGI20" s="152"/>
      <c r="AGJ20" s="152"/>
      <c r="AGK20" s="152"/>
      <c r="AGL20" s="152"/>
      <c r="AGM20" s="152"/>
      <c r="AGN20" s="152"/>
      <c r="AGO20" s="152"/>
      <c r="AGP20" s="152"/>
      <c r="AGQ20" s="152"/>
      <c r="AGR20" s="152"/>
      <c r="AGS20" s="152"/>
      <c r="AGT20" s="152"/>
      <c r="AGU20" s="152"/>
      <c r="AGV20" s="152"/>
      <c r="AGW20" s="152"/>
      <c r="AGX20" s="152"/>
      <c r="AGY20" s="152"/>
      <c r="AGZ20" s="152"/>
      <c r="AHA20" s="152"/>
      <c r="AHB20" s="152"/>
      <c r="AHC20" s="152"/>
      <c r="AHD20" s="152"/>
      <c r="AHE20" s="152"/>
      <c r="AHF20" s="152"/>
      <c r="AHG20" s="152"/>
      <c r="AHH20" s="152"/>
      <c r="AHI20" s="152"/>
      <c r="AHJ20" s="152"/>
      <c r="AHK20" s="152"/>
      <c r="AHL20" s="152"/>
      <c r="AHM20" s="152"/>
      <c r="AHN20" s="152"/>
      <c r="AHO20" s="152"/>
      <c r="AHP20" s="152"/>
      <c r="AHQ20" s="152"/>
      <c r="AHR20" s="152"/>
      <c r="AHS20" s="152"/>
      <c r="AHT20" s="152"/>
      <c r="AHU20" s="152"/>
      <c r="AHV20" s="152"/>
      <c r="AHW20" s="152"/>
      <c r="AHX20" s="152"/>
      <c r="AHY20" s="152"/>
      <c r="AHZ20" s="152"/>
      <c r="AIA20" s="152"/>
      <c r="AIB20" s="152"/>
      <c r="AIC20" s="152"/>
      <c r="AID20" s="152"/>
      <c r="AIE20" s="152"/>
      <c r="AIF20" s="152"/>
    </row>
    <row r="21" spans="1:916" s="20" customFormat="1" ht="12.75" x14ac:dyDescent="0.2">
      <c r="B21" s="300" t="s">
        <v>97</v>
      </c>
      <c r="C21" s="165" t="s">
        <v>382</v>
      </c>
      <c r="D21" s="165"/>
      <c r="E21" s="305"/>
      <c r="F21" s="135">
        <f>'MF New Construction {G}'!A$16</f>
        <v>15</v>
      </c>
      <c r="G21" s="295" t="s">
        <v>366</v>
      </c>
      <c r="H21" s="249">
        <f>'MF New Construction {G}'!A$10</f>
        <v>7200</v>
      </c>
      <c r="I21" s="250">
        <f>'MF New Construction {G}'!A$8</f>
        <v>20839</v>
      </c>
      <c r="J21" s="250">
        <f>'MF New Construction {G}'!A$12</f>
        <v>51450</v>
      </c>
      <c r="K21" s="250">
        <f>'MF New Construction {G}'!A$14</f>
        <v>0</v>
      </c>
      <c r="L21" s="250">
        <f>SUM('MF New Construction {G}'!Q$5:Q$1000)</f>
        <v>51450</v>
      </c>
      <c r="M21" s="250"/>
      <c r="N21" s="251">
        <f>'MF New Construction {G}'!A$18</f>
        <v>72289</v>
      </c>
      <c r="O21" s="250">
        <f>'MF New Construction {G}'!A$20</f>
        <v>72289</v>
      </c>
      <c r="P21" s="250">
        <f>SUM('MF New Construction {G}'!R$5:R$1000)</f>
        <v>0</v>
      </c>
      <c r="Q21" s="252">
        <f t="shared" si="0"/>
        <v>67686.329588014982</v>
      </c>
      <c r="R21" s="252">
        <f t="shared" si="4"/>
        <v>67686.329588014982</v>
      </c>
      <c r="S21" s="250">
        <f>SUM('MF New Construction {G}'!AM$5:AM$1000)</f>
        <v>111473.85307063242</v>
      </c>
      <c r="T21" s="250">
        <f>SUM('MF New Construction {G}'!AD$5:AD$1000)</f>
        <v>0</v>
      </c>
      <c r="U21" s="124">
        <f t="shared" si="2"/>
        <v>1.6469182735884496</v>
      </c>
      <c r="V21" s="124">
        <f t="shared" si="3"/>
        <v>1.8116101009472945</v>
      </c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52"/>
      <c r="MF21" s="152"/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  <c r="ZL21" s="152"/>
      <c r="ZM21" s="152"/>
      <c r="ZN21" s="152"/>
      <c r="ZO21" s="152"/>
      <c r="ZP21" s="152"/>
      <c r="ZQ21" s="152"/>
      <c r="ZR21" s="152"/>
      <c r="ZS21" s="152"/>
      <c r="ZT21" s="152"/>
      <c r="ZU21" s="152"/>
      <c r="ZV21" s="152"/>
      <c r="ZW21" s="152"/>
      <c r="ZX21" s="152"/>
      <c r="ZY21" s="152"/>
      <c r="ZZ21" s="152"/>
      <c r="AAA21" s="152"/>
      <c r="AAB21" s="152"/>
      <c r="AAC21" s="152"/>
      <c r="AAD21" s="152"/>
      <c r="AAE21" s="152"/>
      <c r="AAF21" s="152"/>
      <c r="AAG21" s="152"/>
      <c r="AAH21" s="152"/>
      <c r="AAI21" s="152"/>
      <c r="AAJ21" s="152"/>
      <c r="AAK21" s="152"/>
      <c r="AAL21" s="152"/>
      <c r="AAM21" s="152"/>
      <c r="AAN21" s="152"/>
      <c r="AAO21" s="152"/>
      <c r="AAP21" s="152"/>
      <c r="AAQ21" s="152"/>
      <c r="AAR21" s="152"/>
      <c r="AAS21" s="152"/>
      <c r="AAT21" s="152"/>
      <c r="AAU21" s="152"/>
      <c r="AAV21" s="152"/>
      <c r="AAW21" s="152"/>
      <c r="AAX21" s="152"/>
      <c r="AAY21" s="152"/>
      <c r="AAZ21" s="152"/>
      <c r="ABA21" s="152"/>
      <c r="ABB21" s="152"/>
      <c r="ABC21" s="152"/>
      <c r="ABD21" s="152"/>
      <c r="ABE21" s="152"/>
      <c r="ABF21" s="152"/>
      <c r="ABG21" s="152"/>
      <c r="ABH21" s="152"/>
      <c r="ABI21" s="152"/>
      <c r="ABJ21" s="152"/>
      <c r="ABK21" s="152"/>
      <c r="ABL21" s="152"/>
      <c r="ABM21" s="152"/>
      <c r="ABN21" s="152"/>
      <c r="ABO21" s="152"/>
      <c r="ABP21" s="152"/>
      <c r="ABQ21" s="152"/>
      <c r="ABR21" s="152"/>
      <c r="ABS21" s="152"/>
      <c r="ABT21" s="152"/>
      <c r="ABU21" s="152"/>
      <c r="ABV21" s="152"/>
      <c r="ABW21" s="152"/>
      <c r="ABX21" s="152"/>
      <c r="ABY21" s="152"/>
      <c r="ABZ21" s="152"/>
      <c r="ACA21" s="152"/>
      <c r="ACB21" s="152"/>
      <c r="ACC21" s="152"/>
      <c r="ACD21" s="152"/>
      <c r="ACE21" s="152"/>
      <c r="ACF21" s="152"/>
      <c r="ACG21" s="152"/>
      <c r="ACH21" s="152"/>
      <c r="ACI21" s="152"/>
      <c r="ACJ21" s="152"/>
      <c r="ACK21" s="152"/>
      <c r="ACL21" s="152"/>
      <c r="ACM21" s="152"/>
      <c r="ACN21" s="152"/>
      <c r="ACO21" s="152"/>
      <c r="ACP21" s="152"/>
      <c r="ACQ21" s="152"/>
      <c r="ACR21" s="152"/>
      <c r="ACS21" s="152"/>
      <c r="ACT21" s="152"/>
      <c r="ACU21" s="152"/>
      <c r="ACV21" s="152"/>
      <c r="ACW21" s="152"/>
      <c r="ACX21" s="152"/>
      <c r="ACY21" s="152"/>
      <c r="ACZ21" s="152"/>
      <c r="ADA21" s="152"/>
      <c r="ADB21" s="152"/>
      <c r="ADC21" s="152"/>
      <c r="ADD21" s="152"/>
      <c r="ADE21" s="152"/>
      <c r="ADF21" s="152"/>
      <c r="ADG21" s="152"/>
      <c r="ADH21" s="152"/>
      <c r="ADI21" s="152"/>
      <c r="ADJ21" s="152"/>
      <c r="ADK21" s="152"/>
      <c r="ADL21" s="152"/>
      <c r="ADM21" s="152"/>
      <c r="ADN21" s="152"/>
      <c r="ADO21" s="152"/>
      <c r="ADP21" s="152"/>
      <c r="ADQ21" s="152"/>
      <c r="ADR21" s="152"/>
      <c r="ADS21" s="152"/>
      <c r="ADT21" s="152"/>
      <c r="ADU21" s="152"/>
      <c r="ADV21" s="152"/>
      <c r="ADW21" s="152"/>
      <c r="ADX21" s="152"/>
      <c r="ADY21" s="152"/>
      <c r="ADZ21" s="152"/>
      <c r="AEA21" s="152"/>
      <c r="AEB21" s="152"/>
      <c r="AEC21" s="152"/>
      <c r="AED21" s="152"/>
      <c r="AEE21" s="152"/>
      <c r="AEF21" s="152"/>
      <c r="AEG21" s="152"/>
      <c r="AEH21" s="152"/>
      <c r="AEI21" s="152"/>
      <c r="AEJ21" s="152"/>
      <c r="AEK21" s="152"/>
      <c r="AEL21" s="152"/>
      <c r="AEM21" s="152"/>
      <c r="AEN21" s="152"/>
      <c r="AEO21" s="152"/>
      <c r="AEP21" s="152"/>
      <c r="AEQ21" s="152"/>
      <c r="AER21" s="152"/>
      <c r="AES21" s="152"/>
      <c r="AET21" s="152"/>
      <c r="AEU21" s="152"/>
      <c r="AEV21" s="152"/>
      <c r="AEW21" s="152"/>
      <c r="AEX21" s="152"/>
      <c r="AEY21" s="152"/>
      <c r="AEZ21" s="152"/>
      <c r="AFA21" s="152"/>
      <c r="AFB21" s="152"/>
      <c r="AFC21" s="152"/>
      <c r="AFD21" s="152"/>
      <c r="AFE21" s="152"/>
      <c r="AFF21" s="152"/>
      <c r="AFG21" s="152"/>
      <c r="AFH21" s="152"/>
      <c r="AFI21" s="152"/>
      <c r="AFJ21" s="152"/>
      <c r="AFK21" s="152"/>
      <c r="AFL21" s="152"/>
      <c r="AFM21" s="152"/>
      <c r="AFN21" s="152"/>
      <c r="AFO21" s="152"/>
      <c r="AFP21" s="152"/>
      <c r="AFQ21" s="152"/>
      <c r="AFR21" s="152"/>
      <c r="AFS21" s="152"/>
      <c r="AFT21" s="152"/>
      <c r="AFU21" s="152"/>
      <c r="AFV21" s="152"/>
      <c r="AFW21" s="152"/>
      <c r="AFX21" s="152"/>
      <c r="AFY21" s="152"/>
      <c r="AFZ21" s="152"/>
      <c r="AGA21" s="152"/>
      <c r="AGB21" s="152"/>
      <c r="AGC21" s="152"/>
      <c r="AGD21" s="152"/>
      <c r="AGE21" s="152"/>
      <c r="AGF21" s="152"/>
      <c r="AGG21" s="152"/>
      <c r="AGH21" s="152"/>
      <c r="AGI21" s="152"/>
      <c r="AGJ21" s="152"/>
      <c r="AGK21" s="152"/>
      <c r="AGL21" s="152"/>
      <c r="AGM21" s="152"/>
      <c r="AGN21" s="152"/>
      <c r="AGO21" s="152"/>
      <c r="AGP21" s="152"/>
      <c r="AGQ21" s="152"/>
      <c r="AGR21" s="152"/>
      <c r="AGS21" s="152"/>
      <c r="AGT21" s="152"/>
      <c r="AGU21" s="152"/>
      <c r="AGV21" s="152"/>
      <c r="AGW21" s="152"/>
      <c r="AGX21" s="152"/>
      <c r="AGY21" s="152"/>
      <c r="AGZ21" s="152"/>
      <c r="AHA21" s="152"/>
      <c r="AHB21" s="152"/>
      <c r="AHC21" s="152"/>
      <c r="AHD21" s="152"/>
      <c r="AHE21" s="152"/>
      <c r="AHF21" s="152"/>
      <c r="AHG21" s="152"/>
      <c r="AHH21" s="152"/>
      <c r="AHI21" s="152"/>
      <c r="AHJ21" s="152"/>
      <c r="AHK21" s="152"/>
      <c r="AHL21" s="152"/>
      <c r="AHM21" s="152"/>
      <c r="AHN21" s="152"/>
      <c r="AHO21" s="152"/>
      <c r="AHP21" s="152"/>
      <c r="AHQ21" s="152"/>
      <c r="AHR21" s="152"/>
      <c r="AHS21" s="152"/>
      <c r="AHT21" s="152"/>
      <c r="AHU21" s="152"/>
      <c r="AHV21" s="152"/>
      <c r="AHW21" s="152"/>
      <c r="AHX21" s="152"/>
      <c r="AHY21" s="152"/>
      <c r="AHZ21" s="152"/>
      <c r="AIA21" s="152"/>
      <c r="AIB21" s="152"/>
      <c r="AIC21" s="152"/>
      <c r="AID21" s="152"/>
      <c r="AIE21" s="152"/>
      <c r="AIF21" s="152"/>
    </row>
    <row r="22" spans="1:916" s="313" customFormat="1" ht="12.75" x14ac:dyDescent="0.2">
      <c r="A22" s="306"/>
      <c r="B22" s="307" t="s">
        <v>450</v>
      </c>
      <c r="C22" s="308"/>
      <c r="D22" s="307"/>
      <c r="E22" s="307"/>
      <c r="F22" s="308"/>
      <c r="G22" s="309"/>
      <c r="H22" s="310">
        <f>SUM(H8:H21,H6)</f>
        <v>4495557.8085999992</v>
      </c>
      <c r="I22" s="310">
        <f>SUM(I8:I21,I6)</f>
        <v>6655303.6600000011</v>
      </c>
      <c r="J22" s="310">
        <f>SUM(J8:J21,J6)</f>
        <v>24740229.18</v>
      </c>
      <c r="K22" s="310">
        <f>SUM(K8:K21,K6)</f>
        <v>11580545.939999998</v>
      </c>
      <c r="L22" s="310">
        <f>SUM(L8:L21,L6)</f>
        <v>36320775.120000005</v>
      </c>
      <c r="M22" s="311"/>
      <c r="N22" s="310">
        <f t="shared" ref="N22:T22" si="8">SUM(N8:N21,N6)</f>
        <v>32069681.340000004</v>
      </c>
      <c r="O22" s="310">
        <f t="shared" si="8"/>
        <v>42976078.780000001</v>
      </c>
      <c r="P22" s="310">
        <f t="shared" si="8"/>
        <v>338496.95419000008</v>
      </c>
      <c r="Q22" s="310">
        <f t="shared" si="8"/>
        <v>30027791.516853936</v>
      </c>
      <c r="R22" s="310">
        <f t="shared" si="8"/>
        <v>40239774.138576783</v>
      </c>
      <c r="S22" s="310">
        <f t="shared" si="8"/>
        <v>45355223.807907917</v>
      </c>
      <c r="T22" s="310">
        <f t="shared" si="8"/>
        <v>9183791.9128846768</v>
      </c>
      <c r="U22" s="497">
        <f>S22/Q22</f>
        <v>1.5104415448752211</v>
      </c>
      <c r="V22" s="497">
        <f>(S22*1.1+T22)/R22</f>
        <v>1.4680633618405483</v>
      </c>
      <c r="W22" s="20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  <c r="IY22" s="152"/>
      <c r="IZ22" s="152"/>
      <c r="JA22" s="152"/>
      <c r="JB22" s="152"/>
      <c r="JC22" s="152"/>
      <c r="JD22" s="152"/>
      <c r="JE22" s="152"/>
      <c r="JF22" s="152"/>
      <c r="JG22" s="152"/>
      <c r="JH22" s="152"/>
      <c r="JI22" s="152"/>
      <c r="JJ22" s="152"/>
      <c r="JK22" s="152"/>
      <c r="JL22" s="152"/>
      <c r="JM22" s="152"/>
      <c r="JN22" s="152"/>
      <c r="JO22" s="152"/>
      <c r="JP22" s="152"/>
      <c r="JQ22" s="152"/>
      <c r="JR22" s="152"/>
      <c r="JS22" s="152"/>
      <c r="JT22" s="152"/>
      <c r="JU22" s="152"/>
      <c r="JV22" s="152"/>
      <c r="JW22" s="152"/>
      <c r="JX22" s="152"/>
      <c r="JY22" s="152"/>
      <c r="JZ22" s="152"/>
      <c r="KA22" s="152"/>
      <c r="KB22" s="152"/>
      <c r="KC22" s="152"/>
      <c r="KD22" s="152"/>
      <c r="KE22" s="152"/>
      <c r="KF22" s="152"/>
      <c r="KG22" s="152"/>
      <c r="KH22" s="152"/>
      <c r="KI22" s="152"/>
      <c r="KJ22" s="152"/>
      <c r="KK22" s="152"/>
      <c r="KL22" s="152"/>
      <c r="KM22" s="152"/>
      <c r="KN22" s="152"/>
      <c r="KO22" s="152"/>
      <c r="KP22" s="152"/>
      <c r="KQ22" s="152"/>
      <c r="KR22" s="152"/>
      <c r="KS22" s="152"/>
      <c r="KT22" s="152"/>
      <c r="KU22" s="152"/>
      <c r="KV22" s="152"/>
      <c r="KW22" s="152"/>
      <c r="KX22" s="152"/>
      <c r="KY22" s="152"/>
      <c r="KZ22" s="152"/>
      <c r="LA22" s="152"/>
      <c r="LB22" s="152"/>
      <c r="LC22" s="152"/>
      <c r="LD22" s="152"/>
      <c r="LE22" s="152"/>
      <c r="LF22" s="152"/>
      <c r="LG22" s="152"/>
      <c r="LH22" s="152"/>
      <c r="LI22" s="152"/>
      <c r="LJ22" s="152"/>
      <c r="LK22" s="152"/>
      <c r="LL22" s="152"/>
      <c r="LM22" s="152"/>
      <c r="LN22" s="152"/>
      <c r="LO22" s="152"/>
      <c r="LP22" s="152"/>
      <c r="LQ22" s="152"/>
      <c r="LR22" s="152"/>
      <c r="LS22" s="152"/>
      <c r="LT22" s="152"/>
      <c r="LU22" s="152"/>
      <c r="LV22" s="152"/>
      <c r="LW22" s="152"/>
      <c r="LX22" s="152"/>
      <c r="LY22" s="152"/>
      <c r="LZ22" s="152"/>
      <c r="MA22" s="152"/>
      <c r="MB22" s="152"/>
      <c r="MC22" s="152"/>
      <c r="MD22" s="152"/>
      <c r="ME22" s="152"/>
      <c r="MF22" s="152"/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  <c r="ZL22" s="152"/>
      <c r="ZM22" s="152"/>
      <c r="ZN22" s="152"/>
      <c r="ZO22" s="152"/>
      <c r="ZP22" s="152"/>
      <c r="ZQ22" s="152"/>
      <c r="ZR22" s="152"/>
      <c r="ZS22" s="152"/>
      <c r="ZT22" s="152"/>
      <c r="ZU22" s="152"/>
      <c r="ZV22" s="152"/>
      <c r="ZW22" s="152"/>
      <c r="ZX22" s="152"/>
      <c r="ZY22" s="152"/>
      <c r="ZZ22" s="152"/>
      <c r="AAA22" s="152"/>
      <c r="AAB22" s="152"/>
      <c r="AAC22" s="152"/>
      <c r="AAD22" s="152"/>
      <c r="AAE22" s="152"/>
      <c r="AAF22" s="152"/>
      <c r="AAG22" s="152"/>
      <c r="AAH22" s="152"/>
      <c r="AAI22" s="152"/>
      <c r="AAJ22" s="152"/>
      <c r="AAK22" s="152"/>
      <c r="AAL22" s="152"/>
      <c r="AAM22" s="152"/>
      <c r="AAN22" s="152"/>
      <c r="AAO22" s="152"/>
      <c r="AAP22" s="152"/>
      <c r="AAQ22" s="152"/>
      <c r="AAR22" s="152"/>
      <c r="AAS22" s="152"/>
      <c r="AAT22" s="152"/>
      <c r="AAU22" s="152"/>
      <c r="AAV22" s="152"/>
      <c r="AAW22" s="152"/>
      <c r="AAX22" s="152"/>
      <c r="AAY22" s="152"/>
      <c r="AAZ22" s="152"/>
      <c r="ABA22" s="152"/>
      <c r="ABB22" s="152"/>
      <c r="ABC22" s="152"/>
      <c r="ABD22" s="152"/>
      <c r="ABE22" s="152"/>
      <c r="ABF22" s="152"/>
      <c r="ABG22" s="152"/>
      <c r="ABH22" s="152"/>
      <c r="ABI22" s="152"/>
      <c r="ABJ22" s="152"/>
      <c r="ABK22" s="152"/>
      <c r="ABL22" s="152"/>
      <c r="ABM22" s="152"/>
      <c r="ABN22" s="152"/>
      <c r="ABO22" s="152"/>
      <c r="ABP22" s="152"/>
      <c r="ABQ22" s="152"/>
      <c r="ABR22" s="152"/>
      <c r="ABS22" s="152"/>
      <c r="ABT22" s="152"/>
      <c r="ABU22" s="152"/>
      <c r="ABV22" s="152"/>
      <c r="ABW22" s="152"/>
      <c r="ABX22" s="152"/>
      <c r="ABY22" s="152"/>
      <c r="ABZ22" s="152"/>
      <c r="ACA22" s="152"/>
      <c r="ACB22" s="152"/>
      <c r="ACC22" s="152"/>
      <c r="ACD22" s="152"/>
      <c r="ACE22" s="152"/>
      <c r="ACF22" s="152"/>
      <c r="ACG22" s="152"/>
      <c r="ACH22" s="152"/>
      <c r="ACI22" s="152"/>
      <c r="ACJ22" s="152"/>
      <c r="ACK22" s="152"/>
      <c r="ACL22" s="152"/>
      <c r="ACM22" s="152"/>
      <c r="ACN22" s="152"/>
      <c r="ACO22" s="152"/>
      <c r="ACP22" s="152"/>
      <c r="ACQ22" s="152"/>
      <c r="ACR22" s="152"/>
      <c r="ACS22" s="152"/>
      <c r="ACT22" s="152"/>
      <c r="ACU22" s="152"/>
      <c r="ACV22" s="152"/>
      <c r="ACW22" s="152"/>
      <c r="ACX22" s="152"/>
      <c r="ACY22" s="152"/>
      <c r="ACZ22" s="152"/>
      <c r="ADA22" s="152"/>
      <c r="ADB22" s="152"/>
      <c r="ADC22" s="152"/>
      <c r="ADD22" s="152"/>
      <c r="ADE22" s="152"/>
      <c r="ADF22" s="152"/>
      <c r="ADG22" s="152"/>
      <c r="ADH22" s="152"/>
      <c r="ADI22" s="152"/>
      <c r="ADJ22" s="152"/>
      <c r="ADK22" s="152"/>
      <c r="ADL22" s="152"/>
      <c r="ADM22" s="152"/>
      <c r="ADN22" s="152"/>
      <c r="ADO22" s="152"/>
      <c r="ADP22" s="152"/>
      <c r="ADQ22" s="152"/>
      <c r="ADR22" s="152"/>
      <c r="ADS22" s="152"/>
      <c r="ADT22" s="152"/>
      <c r="ADU22" s="152"/>
      <c r="ADV22" s="152"/>
      <c r="ADW22" s="152"/>
      <c r="ADX22" s="152"/>
      <c r="ADY22" s="152"/>
      <c r="ADZ22" s="152"/>
      <c r="AEA22" s="152"/>
      <c r="AEB22" s="152"/>
      <c r="AEC22" s="152"/>
      <c r="AED22" s="152"/>
      <c r="AEE22" s="152"/>
      <c r="AEF22" s="152"/>
      <c r="AEG22" s="152"/>
      <c r="AEH22" s="152"/>
      <c r="AEI22" s="152"/>
      <c r="AEJ22" s="152"/>
      <c r="AEK22" s="152"/>
      <c r="AEL22" s="152"/>
      <c r="AEM22" s="152"/>
      <c r="AEN22" s="152"/>
      <c r="AEO22" s="152"/>
      <c r="AEP22" s="152"/>
      <c r="AEQ22" s="152"/>
      <c r="AER22" s="152"/>
      <c r="AES22" s="152"/>
      <c r="AET22" s="152"/>
      <c r="AEU22" s="152"/>
      <c r="AEV22" s="152"/>
      <c r="AEW22" s="152"/>
      <c r="AEX22" s="152"/>
      <c r="AEY22" s="152"/>
      <c r="AEZ22" s="152"/>
      <c r="AFA22" s="152"/>
      <c r="AFB22" s="152"/>
      <c r="AFC22" s="152"/>
      <c r="AFD22" s="152"/>
      <c r="AFE22" s="152"/>
      <c r="AFF22" s="152"/>
      <c r="AFG22" s="152"/>
      <c r="AFH22" s="152"/>
      <c r="AFI22" s="152"/>
      <c r="AFJ22" s="152"/>
      <c r="AFK22" s="152"/>
      <c r="AFL22" s="152"/>
      <c r="AFM22" s="152"/>
      <c r="AFN22" s="152"/>
      <c r="AFO22" s="152"/>
      <c r="AFP22" s="152"/>
      <c r="AFQ22" s="152"/>
      <c r="AFR22" s="152"/>
      <c r="AFS22" s="152"/>
      <c r="AFT22" s="152"/>
      <c r="AFU22" s="152"/>
      <c r="AFV22" s="152"/>
      <c r="AFW22" s="152"/>
      <c r="AFX22" s="152"/>
      <c r="AFY22" s="152"/>
      <c r="AFZ22" s="152"/>
      <c r="AGA22" s="152"/>
      <c r="AGB22" s="152"/>
      <c r="AGC22" s="152"/>
      <c r="AGD22" s="152"/>
      <c r="AGE22" s="152"/>
      <c r="AGF22" s="152"/>
      <c r="AGG22" s="152"/>
      <c r="AGH22" s="152"/>
      <c r="AGI22" s="152"/>
      <c r="AGJ22" s="152"/>
      <c r="AGK22" s="152"/>
      <c r="AGL22" s="152"/>
      <c r="AGM22" s="152"/>
      <c r="AGN22" s="152"/>
      <c r="AGO22" s="152"/>
      <c r="AGP22" s="152"/>
      <c r="AGQ22" s="152"/>
      <c r="AGR22" s="152"/>
      <c r="AGS22" s="152"/>
      <c r="AGT22" s="152"/>
      <c r="AGU22" s="152"/>
      <c r="AGV22" s="152"/>
      <c r="AGW22" s="152"/>
      <c r="AGX22" s="152"/>
      <c r="AGY22" s="152"/>
      <c r="AGZ22" s="152"/>
      <c r="AHA22" s="152"/>
      <c r="AHB22" s="152"/>
      <c r="AHC22" s="152"/>
      <c r="AHD22" s="152"/>
      <c r="AHE22" s="152"/>
      <c r="AHF22" s="152"/>
      <c r="AHG22" s="152"/>
      <c r="AHH22" s="152"/>
      <c r="AHI22" s="152"/>
      <c r="AHJ22" s="152"/>
      <c r="AHK22" s="152"/>
      <c r="AHL22" s="152"/>
      <c r="AHM22" s="152"/>
      <c r="AHN22" s="152"/>
      <c r="AHO22" s="152"/>
      <c r="AHP22" s="152"/>
      <c r="AHQ22" s="152"/>
      <c r="AHR22" s="152"/>
      <c r="AHS22" s="152"/>
      <c r="AHT22" s="152"/>
      <c r="AHU22" s="152"/>
      <c r="AHV22" s="152"/>
      <c r="AHW22" s="152"/>
      <c r="AHX22" s="152"/>
      <c r="AHY22" s="152"/>
      <c r="AHZ22" s="152"/>
      <c r="AIA22" s="152"/>
      <c r="AIB22" s="152"/>
      <c r="AIC22" s="152"/>
      <c r="AID22" s="152"/>
      <c r="AIE22" s="152"/>
      <c r="AIF22" s="152"/>
    </row>
    <row r="23" spans="1:916" s="313" customFormat="1" ht="12.75" x14ac:dyDescent="0.2">
      <c r="A23" s="306"/>
      <c r="B23" s="314" t="s">
        <v>451</v>
      </c>
      <c r="C23" s="495"/>
      <c r="D23" s="148"/>
      <c r="E23" s="307"/>
      <c r="F23" s="308"/>
      <c r="G23" s="309"/>
      <c r="H23" s="310">
        <f t="shared" ref="H23:T23" si="9">H22-H6</f>
        <v>4451721.8085999992</v>
      </c>
      <c r="I23" s="310">
        <f t="shared" si="9"/>
        <v>6512419.4600000009</v>
      </c>
      <c r="J23" s="310">
        <f t="shared" si="9"/>
        <v>22386884.18</v>
      </c>
      <c r="K23" s="310">
        <f t="shared" si="9"/>
        <v>11580545.939999998</v>
      </c>
      <c r="L23" s="310">
        <f t="shared" si="9"/>
        <v>33967430.120000005</v>
      </c>
      <c r="M23" s="311">
        <f t="shared" si="9"/>
        <v>0</v>
      </c>
      <c r="N23" s="310">
        <f t="shared" si="9"/>
        <v>28899308.640000004</v>
      </c>
      <c r="O23" s="310">
        <f t="shared" si="9"/>
        <v>40479849.579999998</v>
      </c>
      <c r="P23" s="310">
        <f t="shared" si="9"/>
        <v>2129.0806899999734</v>
      </c>
      <c r="Q23" s="310">
        <f t="shared" si="9"/>
        <v>27059277.752808992</v>
      </c>
      <c r="R23" s="310">
        <f t="shared" si="9"/>
        <v>37902480.880149819</v>
      </c>
      <c r="S23" s="310">
        <f t="shared" si="9"/>
        <v>44198948.822337322</v>
      </c>
      <c r="T23" s="310">
        <f t="shared" si="9"/>
        <v>8047451.2845716635</v>
      </c>
      <c r="U23" s="497">
        <f>S23/Q23</f>
        <v>1.6334119937014608</v>
      </c>
      <c r="V23" s="497">
        <f>(S23*1.1+T23)/R23</f>
        <v>1.4950550379096645</v>
      </c>
      <c r="W23" s="20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52"/>
      <c r="MF23" s="152"/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  <c r="ZL23" s="152"/>
      <c r="ZM23" s="152"/>
      <c r="ZN23" s="152"/>
      <c r="ZO23" s="152"/>
      <c r="ZP23" s="152"/>
      <c r="ZQ23" s="152"/>
      <c r="ZR23" s="152"/>
      <c r="ZS23" s="152"/>
      <c r="ZT23" s="152"/>
      <c r="ZU23" s="152"/>
      <c r="ZV23" s="152"/>
      <c r="ZW23" s="152"/>
      <c r="ZX23" s="152"/>
      <c r="ZY23" s="152"/>
      <c r="ZZ23" s="152"/>
      <c r="AAA23" s="152"/>
      <c r="AAB23" s="152"/>
      <c r="AAC23" s="152"/>
      <c r="AAD23" s="152"/>
      <c r="AAE23" s="152"/>
      <c r="AAF23" s="152"/>
      <c r="AAG23" s="152"/>
      <c r="AAH23" s="152"/>
      <c r="AAI23" s="152"/>
      <c r="AAJ23" s="152"/>
      <c r="AAK23" s="152"/>
      <c r="AAL23" s="152"/>
      <c r="AAM23" s="152"/>
      <c r="AAN23" s="152"/>
      <c r="AAO23" s="152"/>
      <c r="AAP23" s="152"/>
      <c r="AAQ23" s="152"/>
      <c r="AAR23" s="152"/>
      <c r="AAS23" s="152"/>
      <c r="AAT23" s="152"/>
      <c r="AAU23" s="152"/>
      <c r="AAV23" s="152"/>
      <c r="AAW23" s="152"/>
      <c r="AAX23" s="152"/>
      <c r="AAY23" s="152"/>
      <c r="AAZ23" s="152"/>
      <c r="ABA23" s="152"/>
      <c r="ABB23" s="152"/>
      <c r="ABC23" s="152"/>
      <c r="ABD23" s="152"/>
      <c r="ABE23" s="152"/>
      <c r="ABF23" s="152"/>
      <c r="ABG23" s="152"/>
      <c r="ABH23" s="152"/>
      <c r="ABI23" s="152"/>
      <c r="ABJ23" s="152"/>
      <c r="ABK23" s="152"/>
      <c r="ABL23" s="152"/>
      <c r="ABM23" s="152"/>
      <c r="ABN23" s="152"/>
      <c r="ABO23" s="152"/>
      <c r="ABP23" s="152"/>
      <c r="ABQ23" s="152"/>
      <c r="ABR23" s="152"/>
      <c r="ABS23" s="152"/>
      <c r="ABT23" s="152"/>
      <c r="ABU23" s="152"/>
      <c r="ABV23" s="152"/>
      <c r="ABW23" s="152"/>
      <c r="ABX23" s="152"/>
      <c r="ABY23" s="152"/>
      <c r="ABZ23" s="152"/>
      <c r="ACA23" s="152"/>
      <c r="ACB23" s="152"/>
      <c r="ACC23" s="152"/>
      <c r="ACD23" s="152"/>
      <c r="ACE23" s="152"/>
      <c r="ACF23" s="152"/>
      <c r="ACG23" s="152"/>
      <c r="ACH23" s="152"/>
      <c r="ACI23" s="152"/>
      <c r="ACJ23" s="152"/>
      <c r="ACK23" s="152"/>
      <c r="ACL23" s="152"/>
      <c r="ACM23" s="152"/>
      <c r="ACN23" s="152"/>
      <c r="ACO23" s="152"/>
      <c r="ACP23" s="152"/>
      <c r="ACQ23" s="152"/>
      <c r="ACR23" s="152"/>
      <c r="ACS23" s="152"/>
      <c r="ACT23" s="152"/>
      <c r="ACU23" s="152"/>
      <c r="ACV23" s="152"/>
      <c r="ACW23" s="152"/>
      <c r="ACX23" s="152"/>
      <c r="ACY23" s="152"/>
      <c r="ACZ23" s="152"/>
      <c r="ADA23" s="152"/>
      <c r="ADB23" s="152"/>
      <c r="ADC23" s="152"/>
      <c r="ADD23" s="152"/>
      <c r="ADE23" s="152"/>
      <c r="ADF23" s="152"/>
      <c r="ADG23" s="152"/>
      <c r="ADH23" s="152"/>
      <c r="ADI23" s="152"/>
      <c r="ADJ23" s="152"/>
      <c r="ADK23" s="152"/>
      <c r="ADL23" s="152"/>
      <c r="ADM23" s="152"/>
      <c r="ADN23" s="152"/>
      <c r="ADO23" s="152"/>
      <c r="ADP23" s="152"/>
      <c r="ADQ23" s="152"/>
      <c r="ADR23" s="152"/>
      <c r="ADS23" s="152"/>
      <c r="ADT23" s="152"/>
      <c r="ADU23" s="152"/>
      <c r="ADV23" s="152"/>
      <c r="ADW23" s="152"/>
      <c r="ADX23" s="152"/>
      <c r="ADY23" s="152"/>
      <c r="ADZ23" s="152"/>
      <c r="AEA23" s="152"/>
      <c r="AEB23" s="152"/>
      <c r="AEC23" s="152"/>
      <c r="AED23" s="152"/>
      <c r="AEE23" s="152"/>
      <c r="AEF23" s="152"/>
      <c r="AEG23" s="152"/>
      <c r="AEH23" s="152"/>
      <c r="AEI23" s="152"/>
      <c r="AEJ23" s="152"/>
      <c r="AEK23" s="152"/>
      <c r="AEL23" s="152"/>
      <c r="AEM23" s="152"/>
      <c r="AEN23" s="152"/>
      <c r="AEO23" s="152"/>
      <c r="AEP23" s="152"/>
      <c r="AEQ23" s="152"/>
      <c r="AER23" s="152"/>
      <c r="AES23" s="152"/>
      <c r="AET23" s="152"/>
      <c r="AEU23" s="152"/>
      <c r="AEV23" s="152"/>
      <c r="AEW23" s="152"/>
      <c r="AEX23" s="152"/>
      <c r="AEY23" s="152"/>
      <c r="AEZ23" s="152"/>
      <c r="AFA23" s="152"/>
      <c r="AFB23" s="152"/>
      <c r="AFC23" s="152"/>
      <c r="AFD23" s="152"/>
      <c r="AFE23" s="152"/>
      <c r="AFF23" s="152"/>
      <c r="AFG23" s="152"/>
      <c r="AFH23" s="152"/>
      <c r="AFI23" s="152"/>
      <c r="AFJ23" s="152"/>
      <c r="AFK23" s="152"/>
      <c r="AFL23" s="152"/>
      <c r="AFM23" s="152"/>
      <c r="AFN23" s="152"/>
      <c r="AFO23" s="152"/>
      <c r="AFP23" s="152"/>
      <c r="AFQ23" s="152"/>
      <c r="AFR23" s="152"/>
      <c r="AFS23" s="152"/>
      <c r="AFT23" s="152"/>
      <c r="AFU23" s="152"/>
      <c r="AFV23" s="152"/>
      <c r="AFW23" s="152"/>
      <c r="AFX23" s="152"/>
      <c r="AFY23" s="152"/>
      <c r="AFZ23" s="152"/>
      <c r="AGA23" s="152"/>
      <c r="AGB23" s="152"/>
      <c r="AGC23" s="152"/>
      <c r="AGD23" s="152"/>
      <c r="AGE23" s="152"/>
      <c r="AGF23" s="152"/>
      <c r="AGG23" s="152"/>
      <c r="AGH23" s="152"/>
      <c r="AGI23" s="152"/>
      <c r="AGJ23" s="152"/>
      <c r="AGK23" s="152"/>
      <c r="AGL23" s="152"/>
      <c r="AGM23" s="152"/>
      <c r="AGN23" s="152"/>
      <c r="AGO23" s="152"/>
      <c r="AGP23" s="152"/>
      <c r="AGQ23" s="152"/>
      <c r="AGR23" s="152"/>
      <c r="AGS23" s="152"/>
      <c r="AGT23" s="152"/>
      <c r="AGU23" s="152"/>
      <c r="AGV23" s="152"/>
      <c r="AGW23" s="152"/>
      <c r="AGX23" s="152"/>
      <c r="AGY23" s="152"/>
      <c r="AGZ23" s="152"/>
      <c r="AHA23" s="152"/>
      <c r="AHB23" s="152"/>
      <c r="AHC23" s="152"/>
      <c r="AHD23" s="152"/>
      <c r="AHE23" s="152"/>
      <c r="AHF23" s="152"/>
      <c r="AHG23" s="152"/>
      <c r="AHH23" s="152"/>
      <c r="AHI23" s="152"/>
      <c r="AHJ23" s="152"/>
      <c r="AHK23" s="152"/>
      <c r="AHL23" s="152"/>
      <c r="AHM23" s="152"/>
      <c r="AHN23" s="152"/>
      <c r="AHO23" s="152"/>
      <c r="AHP23" s="152"/>
      <c r="AHQ23" s="152"/>
      <c r="AHR23" s="152"/>
      <c r="AHS23" s="152"/>
      <c r="AHT23" s="152"/>
      <c r="AHU23" s="152"/>
      <c r="AHV23" s="152"/>
      <c r="AHW23" s="152"/>
      <c r="AHX23" s="152"/>
      <c r="AHY23" s="152"/>
      <c r="AHZ23" s="152"/>
      <c r="AIA23" s="152"/>
      <c r="AIB23" s="152"/>
      <c r="AIC23" s="152"/>
      <c r="AID23" s="152"/>
      <c r="AIE23" s="152"/>
      <c r="AIF23" s="152"/>
    </row>
    <row r="24" spans="1:916" s="20" customFormat="1" ht="12.75" x14ac:dyDescent="0.2">
      <c r="B24" s="300" t="s">
        <v>134</v>
      </c>
      <c r="C24" s="492" t="s">
        <v>535</v>
      </c>
      <c r="D24" s="499"/>
      <c r="E24" s="315"/>
      <c r="F24" s="135"/>
      <c r="G24" s="316"/>
      <c r="H24" s="249">
        <f>SUM(H25:H27)</f>
        <v>782000</v>
      </c>
      <c r="I24" s="250">
        <f t="shared" ref="I24:T24" si="10">SUM(I25:I27)</f>
        <v>2142816</v>
      </c>
      <c r="J24" s="250">
        <f t="shared" si="10"/>
        <v>3464020</v>
      </c>
      <c r="K24" s="250">
        <f t="shared" si="10"/>
        <v>7725210</v>
      </c>
      <c r="L24" s="250">
        <f t="shared" si="10"/>
        <v>11189230</v>
      </c>
      <c r="M24" s="250">
        <f t="shared" si="10"/>
        <v>0</v>
      </c>
      <c r="N24" s="251">
        <f t="shared" si="10"/>
        <v>5629956</v>
      </c>
      <c r="O24" s="250">
        <f t="shared" si="10"/>
        <v>13332046</v>
      </c>
      <c r="P24" s="250">
        <f t="shared" si="10"/>
        <v>0</v>
      </c>
      <c r="Q24" s="252">
        <f t="shared" si="10"/>
        <v>5271494.3820224721</v>
      </c>
      <c r="R24" s="252">
        <f t="shared" si="10"/>
        <v>12483189.138576778</v>
      </c>
      <c r="S24" s="250">
        <f t="shared" si="10"/>
        <v>11128558.935059519</v>
      </c>
      <c r="T24" s="250">
        <f t="shared" si="10"/>
        <v>0</v>
      </c>
      <c r="U24" s="124">
        <f>IFERROR(S24/Q24,0)</f>
        <v>2.1110823854828644</v>
      </c>
      <c r="V24" s="124">
        <f>IFERROR(((S24*1.1)+(T24))/R24,0)</f>
        <v>0.9806320077884465</v>
      </c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52"/>
      <c r="MF24" s="152"/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  <c r="ZL24" s="152"/>
      <c r="ZM24" s="152"/>
      <c r="ZN24" s="152"/>
      <c r="ZO24" s="152"/>
      <c r="ZP24" s="152"/>
      <c r="ZQ24" s="152"/>
      <c r="ZR24" s="152"/>
      <c r="ZS24" s="152"/>
      <c r="ZT24" s="152"/>
      <c r="ZU24" s="152"/>
      <c r="ZV24" s="152"/>
      <c r="ZW24" s="152"/>
      <c r="ZX24" s="152"/>
      <c r="ZY24" s="152"/>
      <c r="ZZ24" s="152"/>
      <c r="AAA24" s="152"/>
      <c r="AAB24" s="152"/>
      <c r="AAC24" s="152"/>
      <c r="AAD24" s="152"/>
      <c r="AAE24" s="152"/>
      <c r="AAF24" s="152"/>
      <c r="AAG24" s="152"/>
      <c r="AAH24" s="152"/>
      <c r="AAI24" s="152"/>
      <c r="AAJ24" s="152"/>
      <c r="AAK24" s="152"/>
      <c r="AAL24" s="152"/>
      <c r="AAM24" s="152"/>
      <c r="AAN24" s="152"/>
      <c r="AAO24" s="152"/>
      <c r="AAP24" s="152"/>
      <c r="AAQ24" s="152"/>
      <c r="AAR24" s="152"/>
      <c r="AAS24" s="152"/>
      <c r="AAT24" s="152"/>
      <c r="AAU24" s="152"/>
      <c r="AAV24" s="152"/>
      <c r="AAW24" s="152"/>
      <c r="AAX24" s="152"/>
      <c r="AAY24" s="152"/>
      <c r="AAZ24" s="152"/>
      <c r="ABA24" s="152"/>
      <c r="ABB24" s="152"/>
      <c r="ABC24" s="152"/>
      <c r="ABD24" s="152"/>
      <c r="ABE24" s="152"/>
      <c r="ABF24" s="152"/>
      <c r="ABG24" s="152"/>
      <c r="ABH24" s="152"/>
      <c r="ABI24" s="152"/>
      <c r="ABJ24" s="152"/>
      <c r="ABK24" s="152"/>
      <c r="ABL24" s="152"/>
      <c r="ABM24" s="152"/>
      <c r="ABN24" s="152"/>
      <c r="ABO24" s="152"/>
      <c r="ABP24" s="152"/>
      <c r="ABQ24" s="152"/>
      <c r="ABR24" s="152"/>
      <c r="ABS24" s="152"/>
      <c r="ABT24" s="152"/>
      <c r="ABU24" s="152"/>
      <c r="ABV24" s="152"/>
      <c r="ABW24" s="152"/>
      <c r="ABX24" s="152"/>
      <c r="ABY24" s="152"/>
      <c r="ABZ24" s="152"/>
      <c r="ACA24" s="152"/>
      <c r="ACB24" s="152"/>
      <c r="ACC24" s="152"/>
      <c r="ACD24" s="152"/>
      <c r="ACE24" s="152"/>
      <c r="ACF24" s="152"/>
      <c r="ACG24" s="152"/>
      <c r="ACH24" s="152"/>
      <c r="ACI24" s="152"/>
      <c r="ACJ24" s="152"/>
      <c r="ACK24" s="152"/>
      <c r="ACL24" s="152"/>
      <c r="ACM24" s="152"/>
      <c r="ACN24" s="152"/>
      <c r="ACO24" s="152"/>
      <c r="ACP24" s="152"/>
      <c r="ACQ24" s="152"/>
      <c r="ACR24" s="152"/>
      <c r="ACS24" s="152"/>
      <c r="ACT24" s="152"/>
      <c r="ACU24" s="152"/>
      <c r="ACV24" s="152"/>
      <c r="ACW24" s="152"/>
      <c r="ACX24" s="152"/>
      <c r="ACY24" s="152"/>
      <c r="ACZ24" s="152"/>
      <c r="ADA24" s="152"/>
      <c r="ADB24" s="152"/>
      <c r="ADC24" s="152"/>
      <c r="ADD24" s="152"/>
      <c r="ADE24" s="152"/>
      <c r="ADF24" s="152"/>
      <c r="ADG24" s="152"/>
      <c r="ADH24" s="152"/>
      <c r="ADI24" s="152"/>
      <c r="ADJ24" s="152"/>
      <c r="ADK24" s="152"/>
      <c r="ADL24" s="152"/>
      <c r="ADM24" s="152"/>
      <c r="ADN24" s="152"/>
      <c r="ADO24" s="152"/>
      <c r="ADP24" s="152"/>
      <c r="ADQ24" s="152"/>
      <c r="ADR24" s="152"/>
      <c r="ADS24" s="152"/>
      <c r="ADT24" s="152"/>
      <c r="ADU24" s="152"/>
      <c r="ADV24" s="152"/>
      <c r="ADW24" s="152"/>
      <c r="ADX24" s="152"/>
      <c r="ADY24" s="152"/>
      <c r="ADZ24" s="152"/>
      <c r="AEA24" s="152"/>
      <c r="AEB24" s="152"/>
      <c r="AEC24" s="152"/>
      <c r="AED24" s="152"/>
      <c r="AEE24" s="152"/>
      <c r="AEF24" s="152"/>
      <c r="AEG24" s="152"/>
      <c r="AEH24" s="152"/>
      <c r="AEI24" s="152"/>
      <c r="AEJ24" s="152"/>
      <c r="AEK24" s="152"/>
      <c r="AEL24" s="152"/>
      <c r="AEM24" s="152"/>
      <c r="AEN24" s="152"/>
      <c r="AEO24" s="152"/>
      <c r="AEP24" s="152"/>
      <c r="AEQ24" s="152"/>
      <c r="AER24" s="152"/>
      <c r="AES24" s="152"/>
      <c r="AET24" s="152"/>
      <c r="AEU24" s="152"/>
      <c r="AEV24" s="152"/>
      <c r="AEW24" s="152"/>
      <c r="AEX24" s="152"/>
      <c r="AEY24" s="152"/>
      <c r="AEZ24" s="152"/>
      <c r="AFA24" s="152"/>
      <c r="AFB24" s="152"/>
      <c r="AFC24" s="152"/>
      <c r="AFD24" s="152"/>
      <c r="AFE24" s="152"/>
      <c r="AFF24" s="152"/>
      <c r="AFG24" s="152"/>
      <c r="AFH24" s="152"/>
      <c r="AFI24" s="152"/>
      <c r="AFJ24" s="152"/>
      <c r="AFK24" s="152"/>
      <c r="AFL24" s="152"/>
      <c r="AFM24" s="152"/>
      <c r="AFN24" s="152"/>
      <c r="AFO24" s="152"/>
      <c r="AFP24" s="152"/>
      <c r="AFQ24" s="152"/>
      <c r="AFR24" s="152"/>
      <c r="AFS24" s="152"/>
      <c r="AFT24" s="152"/>
      <c r="AFU24" s="152"/>
      <c r="AFV24" s="152"/>
      <c r="AFW24" s="152"/>
      <c r="AFX24" s="152"/>
      <c r="AFY24" s="152"/>
      <c r="AFZ24" s="152"/>
      <c r="AGA24" s="152"/>
      <c r="AGB24" s="152"/>
      <c r="AGC24" s="152"/>
      <c r="AGD24" s="152"/>
      <c r="AGE24" s="152"/>
      <c r="AGF24" s="152"/>
      <c r="AGG24" s="152"/>
      <c r="AGH24" s="152"/>
      <c r="AGI24" s="152"/>
      <c r="AGJ24" s="152"/>
      <c r="AGK24" s="152"/>
      <c r="AGL24" s="152"/>
      <c r="AGM24" s="152"/>
      <c r="AGN24" s="152"/>
      <c r="AGO24" s="152"/>
      <c r="AGP24" s="152"/>
      <c r="AGQ24" s="152"/>
      <c r="AGR24" s="152"/>
      <c r="AGS24" s="152"/>
      <c r="AGT24" s="152"/>
      <c r="AGU24" s="152"/>
      <c r="AGV24" s="152"/>
      <c r="AGW24" s="152"/>
      <c r="AGX24" s="152"/>
      <c r="AGY24" s="152"/>
      <c r="AGZ24" s="152"/>
      <c r="AHA24" s="152"/>
      <c r="AHB24" s="152"/>
      <c r="AHC24" s="152"/>
      <c r="AHD24" s="152"/>
      <c r="AHE24" s="152"/>
      <c r="AHF24" s="152"/>
      <c r="AHG24" s="152"/>
      <c r="AHH24" s="152"/>
      <c r="AHI24" s="152"/>
      <c r="AHJ24" s="152"/>
      <c r="AHK24" s="152"/>
      <c r="AHL24" s="152"/>
      <c r="AHM24" s="152"/>
      <c r="AHN24" s="152"/>
      <c r="AHO24" s="152"/>
      <c r="AHP24" s="152"/>
      <c r="AHQ24" s="152"/>
      <c r="AHR24" s="152"/>
      <c r="AHS24" s="152"/>
      <c r="AHT24" s="152"/>
      <c r="AHU24" s="152"/>
      <c r="AHV24" s="152"/>
      <c r="AHW24" s="152"/>
      <c r="AHX24" s="152"/>
      <c r="AHY24" s="152"/>
      <c r="AHZ24" s="152"/>
      <c r="AIA24" s="152"/>
      <c r="AIB24" s="152"/>
      <c r="AIC24" s="152"/>
      <c r="AID24" s="152"/>
      <c r="AIE24" s="152"/>
      <c r="AIF24" s="152"/>
    </row>
    <row r="25" spans="1:916" s="20" customFormat="1" ht="12.75" x14ac:dyDescent="0.2">
      <c r="B25" s="300" t="s">
        <v>134</v>
      </c>
      <c r="C25" s="137" t="s">
        <v>385</v>
      </c>
      <c r="D25" s="499"/>
      <c r="E25" s="315"/>
      <c r="F25" s="135">
        <f>'CI Retrofit {G}'!A$16</f>
        <v>18.16</v>
      </c>
      <c r="G25" s="316" t="s">
        <v>366</v>
      </c>
      <c r="H25" s="249">
        <f>'CI Retrofit {G}'!A$10</f>
        <v>580000</v>
      </c>
      <c r="I25" s="250">
        <f>'CI Retrofit {G}'!A$8</f>
        <v>1504576</v>
      </c>
      <c r="J25" s="250">
        <f>'CI Retrofit {G}'!A$12</f>
        <v>3360500</v>
      </c>
      <c r="K25" s="250">
        <f>'CI Retrofit {G}'!A$14</f>
        <v>7594730</v>
      </c>
      <c r="L25" s="250">
        <f>SUM('CI Retrofit {G}'!Q$5:Q$1000)</f>
        <v>10955230</v>
      </c>
      <c r="M25" s="250"/>
      <c r="N25" s="251">
        <f>'CI Retrofit {G}'!A$18</f>
        <v>4865076</v>
      </c>
      <c r="O25" s="250">
        <f>'CI Retrofit {G}'!A$20</f>
        <v>12459806</v>
      </c>
      <c r="P25" s="250">
        <f>SUM('CI Retrofit {G}'!R$5:R$1000)</f>
        <v>0</v>
      </c>
      <c r="Q25" s="252">
        <f t="shared" ref="Q25:Q30" si="11">N25/(1+ElecDiscountRate)^1</f>
        <v>4555314.6067415727</v>
      </c>
      <c r="R25" s="252">
        <f t="shared" ref="R25:R30" si="12">O25/(1+ElecDiscountRate)^1</f>
        <v>11666485.018726591</v>
      </c>
      <c r="S25" s="250">
        <f>SUM('CI Retrofit {G}'!AM$5:AM$1000)</f>
        <v>9895647.2587079462</v>
      </c>
      <c r="T25" s="250">
        <f>SUM('CI Retrofit {G}'!AD$5:AD$1000)</f>
        <v>0</v>
      </c>
      <c r="U25" s="124">
        <f t="shared" ref="U25:U30" si="13">IFERROR(S25/Q25,0)</f>
        <v>2.1723301490665485</v>
      </c>
      <c r="V25" s="124">
        <f t="shared" ref="V25:V30" si="14">IFERROR(((S25*1.1)+(T25))/R25,0)</f>
        <v>0.93303269726110483</v>
      </c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</row>
    <row r="26" spans="1:916" s="20" customFormat="1" ht="12.75" x14ac:dyDescent="0.2">
      <c r="B26" s="300" t="s">
        <v>134</v>
      </c>
      <c r="C26" s="137" t="s">
        <v>320</v>
      </c>
      <c r="D26" s="499"/>
      <c r="E26" s="315"/>
      <c r="F26" s="135">
        <f>'CBA {G}'!A$16</f>
        <v>5</v>
      </c>
      <c r="G26" s="316" t="s">
        <v>366</v>
      </c>
      <c r="H26" s="249">
        <f>'CBA {G}'!A$10</f>
        <v>150000</v>
      </c>
      <c r="I26" s="250">
        <f>'CBA {G}'!A$8</f>
        <v>368884.6</v>
      </c>
      <c r="J26" s="250">
        <f>'CBA {G}'!A$12</f>
        <v>0</v>
      </c>
      <c r="K26" s="250">
        <f>'CBA {G}'!A$14</f>
        <v>0</v>
      </c>
      <c r="L26" s="250">
        <f>SUM('CBA {G}'!Q$5:Q$1000)</f>
        <v>0</v>
      </c>
      <c r="M26" s="250"/>
      <c r="N26" s="251">
        <f>'CBA {G}'!A$18</f>
        <v>368884.6</v>
      </c>
      <c r="O26" s="250">
        <f>'CBA {G}'!A$20</f>
        <v>368884.6</v>
      </c>
      <c r="P26" s="250">
        <f>SUM('CBA {G}'!R$5:R$1000)</f>
        <v>0</v>
      </c>
      <c r="Q26" s="252">
        <f t="shared" si="11"/>
        <v>345397.56554307113</v>
      </c>
      <c r="R26" s="252">
        <f t="shared" si="12"/>
        <v>345397.56554307113</v>
      </c>
      <c r="S26" s="250">
        <f>SUM('CBA {G}'!AM$5:AM$1000)</f>
        <v>876349.75089195825</v>
      </c>
      <c r="T26" s="250">
        <f>SUM('CBA {G}'!AD$5:AD$1000)</f>
        <v>0</v>
      </c>
      <c r="U26" s="124">
        <f>IFERROR(S26/Q26,0)</f>
        <v>2.5372204043015389</v>
      </c>
      <c r="V26" s="124">
        <f>IFERROR(((S26*1.1)+(T26))/R26,0)</f>
        <v>2.7909424447316931</v>
      </c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</row>
    <row r="27" spans="1:916" s="20" customFormat="1" ht="12.75" x14ac:dyDescent="0.2">
      <c r="B27" s="300" t="s">
        <v>134</v>
      </c>
      <c r="C27" s="137" t="s">
        <v>531</v>
      </c>
      <c r="D27" s="499"/>
      <c r="E27" s="315"/>
      <c r="F27" s="135">
        <f>IFERROR('Industrial EM {G}'!A$16,0)</f>
        <v>6.7</v>
      </c>
      <c r="G27" s="316" t="s">
        <v>366</v>
      </c>
      <c r="H27" s="249">
        <f>'Industrial EM {G}'!A$10</f>
        <v>52000</v>
      </c>
      <c r="I27" s="250">
        <f>'Industrial EM {G}'!A$8</f>
        <v>269355.40000000002</v>
      </c>
      <c r="J27" s="250">
        <f>'Industrial EM {G}'!A$12</f>
        <v>103520</v>
      </c>
      <c r="K27" s="250">
        <f>'Industrial EM {G}'!A$14</f>
        <v>130480</v>
      </c>
      <c r="L27" s="250">
        <f>SUM('Industrial EM {G}'!Q$5:Q$1000)</f>
        <v>234000</v>
      </c>
      <c r="M27" s="250"/>
      <c r="N27" s="251">
        <f>'Industrial EM {G}'!A$18</f>
        <v>395995.4</v>
      </c>
      <c r="O27" s="250">
        <f>'Industrial EM {G}'!A$20</f>
        <v>503355.4</v>
      </c>
      <c r="P27" s="250">
        <f>SUM('Industrial EM {G}'!R$5:R$1000)</f>
        <v>0</v>
      </c>
      <c r="Q27" s="252">
        <f t="shared" si="11"/>
        <v>370782.20973782771</v>
      </c>
      <c r="R27" s="252">
        <f t="shared" si="12"/>
        <v>471306.55430711608</v>
      </c>
      <c r="S27" s="250">
        <f>SUM('Industrial EM {G}'!AM$5:AM$1000)</f>
        <v>356561.92545961594</v>
      </c>
      <c r="T27" s="250">
        <f>SUM('Industrial EM {G}'!AD$5:AD$1000)</f>
        <v>0</v>
      </c>
      <c r="U27" s="124">
        <f>IFERROR(S27/Q27,0)</f>
        <v>0.96164787871492907</v>
      </c>
      <c r="V27" s="124">
        <f>IFERROR(((S27*1.1)+(T27))/R27,0)</f>
        <v>0.83219321781380884</v>
      </c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</row>
    <row r="28" spans="1:916" s="20" customFormat="1" ht="12.75" x14ac:dyDescent="0.2">
      <c r="B28" s="300" t="s">
        <v>117</v>
      </c>
      <c r="C28" s="165" t="s">
        <v>386</v>
      </c>
      <c r="D28" s="165"/>
      <c r="E28" s="315"/>
      <c r="F28" s="135">
        <f>'CI New Construction {G}'!A$16</f>
        <v>19.309999999999999</v>
      </c>
      <c r="G28" s="316" t="s">
        <v>366</v>
      </c>
      <c r="H28" s="249">
        <f>'CI New Construction {G}'!A$10</f>
        <v>40000</v>
      </c>
      <c r="I28" s="250">
        <f>'CI New Construction {G}'!A$8</f>
        <v>228989.09999999998</v>
      </c>
      <c r="J28" s="250">
        <f>'CI New Construction {G}'!A$12</f>
        <v>292000</v>
      </c>
      <c r="K28" s="250">
        <f>'CI New Construction {G}'!A$14</f>
        <v>137240</v>
      </c>
      <c r="L28" s="250">
        <f>SUM('CI New Construction {G}'!Q$5:Q$1000)</f>
        <v>429240</v>
      </c>
      <c r="M28" s="250"/>
      <c r="N28" s="251">
        <f>'CI New Construction {G}'!A$18</f>
        <v>520989.1</v>
      </c>
      <c r="O28" s="250">
        <f>'CI New Construction {G}'!A$20</f>
        <v>658229.1</v>
      </c>
      <c r="P28" s="250">
        <f>SUM('CI New Construction {G}'!R$5:R$1000)</f>
        <v>0</v>
      </c>
      <c r="Q28" s="252">
        <f t="shared" si="11"/>
        <v>487817.50936329586</v>
      </c>
      <c r="R28" s="252">
        <f t="shared" si="12"/>
        <v>616319.38202247187</v>
      </c>
      <c r="S28" s="250">
        <f>SUM('CI New Construction {G}'!AM$5:AM$1000)</f>
        <v>712481.62763867714</v>
      </c>
      <c r="T28" s="250">
        <f>SUM('CI New Construction {G}'!AD$5:AD$1000)</f>
        <v>0</v>
      </c>
      <c r="U28" s="124">
        <f t="shared" si="13"/>
        <v>1.4605495169056459</v>
      </c>
      <c r="V28" s="124">
        <f t="shared" si="14"/>
        <v>1.2716293098404765</v>
      </c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</row>
    <row r="29" spans="1:916" s="20" customFormat="1" ht="12.75" x14ac:dyDescent="0.2">
      <c r="B29" s="300" t="s">
        <v>106</v>
      </c>
      <c r="C29" s="165" t="s">
        <v>387</v>
      </c>
      <c r="D29" s="165"/>
      <c r="E29" s="315"/>
      <c r="F29" s="135">
        <f>'Com SEM {G}'!A$16</f>
        <v>3</v>
      </c>
      <c r="G29" s="316" t="s">
        <v>452</v>
      </c>
      <c r="H29" s="249">
        <f>'Com SEM {G}'!A$10</f>
        <v>740000</v>
      </c>
      <c r="I29" s="250">
        <f>'Com SEM {G}'!A$8</f>
        <v>1223842.8999999999</v>
      </c>
      <c r="J29" s="250">
        <f>'Com SEM {G}'!A$12</f>
        <v>345000</v>
      </c>
      <c r="K29" s="250">
        <f>'Com SEM {G}'!A$14</f>
        <v>100050</v>
      </c>
      <c r="L29" s="250">
        <f>SUM('Com SEM {G}'!Q$5:Q$1000)</f>
        <v>445050</v>
      </c>
      <c r="M29" s="250"/>
      <c r="N29" s="251">
        <f>'Com SEM {G}'!A$18</f>
        <v>1568842.9</v>
      </c>
      <c r="O29" s="250">
        <f>'Com SEM {G}'!A$20</f>
        <v>1668892.9</v>
      </c>
      <c r="P29" s="250">
        <f>SUM('Com SEM {G}'!R$5:R$1000)</f>
        <v>0</v>
      </c>
      <c r="Q29" s="252">
        <f t="shared" si="11"/>
        <v>1468954.0262172283</v>
      </c>
      <c r="R29" s="252">
        <f t="shared" si="12"/>
        <v>1562633.8014981272</v>
      </c>
      <c r="S29" s="250">
        <f>SUM('Com SEM {G}'!AM$5:AM$1000)</f>
        <v>0</v>
      </c>
      <c r="T29" s="250">
        <f>SUM('Com SEM {G}'!AD$5:AD$1000)</f>
        <v>0</v>
      </c>
      <c r="U29" s="124">
        <f t="shared" si="13"/>
        <v>0</v>
      </c>
      <c r="V29" s="124">
        <f t="shared" si="14"/>
        <v>0</v>
      </c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</row>
    <row r="30" spans="1:916" s="20" customFormat="1" x14ac:dyDescent="0.25">
      <c r="B30" s="304" t="s">
        <v>106</v>
      </c>
      <c r="C30" s="165" t="s">
        <v>388</v>
      </c>
      <c r="D30" s="165"/>
      <c r="E30" s="315"/>
      <c r="F30" s="135">
        <f>IFERROR('P4P {G}'!A$16,0)</f>
        <v>16</v>
      </c>
      <c r="G30" s="316" t="s">
        <v>452</v>
      </c>
      <c r="H30" s="249">
        <f>'P4P {G}'!A$10</f>
        <v>26004</v>
      </c>
      <c r="I30" s="250">
        <f>'P4P {G}'!A$8</f>
        <v>173467.5</v>
      </c>
      <c r="J30" s="250">
        <f>'P4P {G}'!A$12</f>
        <v>182028</v>
      </c>
      <c r="K30" s="250">
        <f>'P4P {G}'!A$14</f>
        <v>236636.39999999997</v>
      </c>
      <c r="L30" s="250">
        <f>SUM('P4P {G}'!Q$5:Q$1000)</f>
        <v>418664.39999999997</v>
      </c>
      <c r="M30" s="250"/>
      <c r="N30" s="251">
        <f>'P4P {G}'!A$18</f>
        <v>381499.5</v>
      </c>
      <c r="O30" s="250">
        <f>'P4P {G}'!A$20</f>
        <v>592131.89999999991</v>
      </c>
      <c r="P30" s="250">
        <f>SUM('P4P {G}'!R$5:R$1000)</f>
        <v>0</v>
      </c>
      <c r="Q30" s="252">
        <f t="shared" si="11"/>
        <v>357209.26966292132</v>
      </c>
      <c r="R30" s="252">
        <f t="shared" si="12"/>
        <v>554430.61797752802</v>
      </c>
      <c r="S30" s="250">
        <f>SUM('P4P {G}'!AM$5:AM$1000)</f>
        <v>403612.9221055361</v>
      </c>
      <c r="T30" s="250">
        <f>SUM('P4P {G}'!AD$5:AD$1000)</f>
        <v>0</v>
      </c>
      <c r="U30" s="124">
        <f t="shared" si="13"/>
        <v>1.1299060701487489</v>
      </c>
      <c r="V30" s="124">
        <f t="shared" si="14"/>
        <v>0.80077506530147069</v>
      </c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</row>
    <row r="31" spans="1:916" s="20" customFormat="1" x14ac:dyDescent="0.25">
      <c r="B31" s="296" t="s">
        <v>31</v>
      </c>
      <c r="C31" s="494" t="s">
        <v>453</v>
      </c>
      <c r="D31" s="297"/>
      <c r="E31" s="317"/>
      <c r="F31" s="296"/>
      <c r="G31" s="296"/>
      <c r="H31" s="318">
        <f>SUM(H32:H35)</f>
        <v>955627.1</v>
      </c>
      <c r="I31" s="319">
        <f>SUM(I32:I35)</f>
        <v>3339182.45</v>
      </c>
      <c r="J31" s="296">
        <f>SUM(J32:J35)</f>
        <v>3713144</v>
      </c>
      <c r="K31" s="318">
        <f>SUM(K32:K35)</f>
        <v>1868281</v>
      </c>
      <c r="L31" s="318">
        <f>SUM(L32:L35)</f>
        <v>5581425</v>
      </c>
      <c r="M31" s="296"/>
      <c r="N31" s="318">
        <f t="shared" ref="N31:T31" si="15">SUM(N32:N35)</f>
        <v>7052326.4499999993</v>
      </c>
      <c r="O31" s="296">
        <f t="shared" si="15"/>
        <v>8920607.4499999993</v>
      </c>
      <c r="P31" s="321">
        <f>SUM(P32:P35)</f>
        <v>626439.94559999998</v>
      </c>
      <c r="Q31" s="320">
        <f t="shared" si="15"/>
        <v>6603301.9194756551</v>
      </c>
      <c r="R31" s="320">
        <f t="shared" si="15"/>
        <v>8352628.6985018719</v>
      </c>
      <c r="S31" s="296">
        <f t="shared" si="15"/>
        <v>12911999.672725575</v>
      </c>
      <c r="T31" s="321">
        <f t="shared" si="15"/>
        <v>5114479.0037143361</v>
      </c>
      <c r="U31" s="496">
        <f>S31/Q31</f>
        <v>1.9553853254298679</v>
      </c>
      <c r="V31" s="496">
        <f>(S31*1.1+T31)/R31</f>
        <v>2.3127663566773045</v>
      </c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  <c r="ZL31" s="152"/>
      <c r="ZM31" s="152"/>
      <c r="ZN31" s="152"/>
      <c r="ZO31" s="152"/>
      <c r="ZP31" s="152"/>
      <c r="ZQ31" s="152"/>
      <c r="ZR31" s="152"/>
      <c r="ZS31" s="152"/>
      <c r="ZT31" s="152"/>
      <c r="ZU31" s="152"/>
      <c r="ZV31" s="152"/>
      <c r="ZW31" s="152"/>
      <c r="ZX31" s="152"/>
      <c r="ZY31" s="152"/>
      <c r="ZZ31" s="152"/>
      <c r="AAA31" s="152"/>
      <c r="AAB31" s="152"/>
      <c r="AAC31" s="152"/>
      <c r="AAD31" s="152"/>
      <c r="AAE31" s="152"/>
      <c r="AAF31" s="152"/>
      <c r="AAG31" s="152"/>
      <c r="AAH31" s="152"/>
      <c r="AAI31" s="152"/>
      <c r="AAJ31" s="152"/>
      <c r="AAK31" s="152"/>
      <c r="AAL31" s="152"/>
      <c r="AAM31" s="152"/>
      <c r="AAN31" s="152"/>
      <c r="AAO31" s="152"/>
      <c r="AAP31" s="152"/>
      <c r="AAQ31" s="152"/>
      <c r="AAR31" s="152"/>
      <c r="AAS31" s="152"/>
      <c r="AAT31" s="152"/>
      <c r="AAU31" s="152"/>
      <c r="AAV31" s="152"/>
      <c r="AAW31" s="152"/>
      <c r="AAX31" s="152"/>
      <c r="AAY31" s="152"/>
      <c r="AAZ31" s="152"/>
      <c r="ABA31" s="152"/>
      <c r="ABB31" s="152"/>
      <c r="ABC31" s="152"/>
      <c r="ABD31" s="152"/>
      <c r="ABE31" s="152"/>
      <c r="ABF31" s="152"/>
      <c r="ABG31" s="152"/>
      <c r="ABH31" s="152"/>
      <c r="ABI31" s="152"/>
      <c r="ABJ31" s="152"/>
      <c r="ABK31" s="152"/>
      <c r="ABL31" s="152"/>
      <c r="ABM31" s="152"/>
      <c r="ABN31" s="152"/>
      <c r="ABO31" s="152"/>
      <c r="ABP31" s="152"/>
      <c r="ABQ31" s="152"/>
      <c r="ABR31" s="152"/>
      <c r="ABS31" s="152"/>
      <c r="ABT31" s="152"/>
      <c r="ABU31" s="152"/>
      <c r="ABV31" s="152"/>
      <c r="ABW31" s="152"/>
      <c r="ABX31" s="152"/>
      <c r="ABY31" s="152"/>
      <c r="ABZ31" s="152"/>
      <c r="ACA31" s="152"/>
      <c r="ACB31" s="152"/>
      <c r="ACC31" s="152"/>
      <c r="ACD31" s="152"/>
      <c r="ACE31" s="152"/>
      <c r="ACF31" s="152"/>
      <c r="ACG31" s="152"/>
      <c r="ACH31" s="152"/>
      <c r="ACI31" s="152"/>
      <c r="ACJ31" s="152"/>
      <c r="ACK31" s="152"/>
      <c r="ACL31" s="152"/>
      <c r="ACM31" s="152"/>
      <c r="ACN31" s="152"/>
      <c r="ACO31" s="152"/>
      <c r="ACP31" s="152"/>
      <c r="ACQ31" s="152"/>
      <c r="ACR31" s="152"/>
      <c r="ACS31" s="152"/>
      <c r="ACT31" s="152"/>
      <c r="ACU31" s="152"/>
      <c r="ACV31" s="152"/>
      <c r="ACW31" s="152"/>
      <c r="ACX31" s="152"/>
      <c r="ACY31" s="152"/>
      <c r="ACZ31" s="152"/>
      <c r="ADA31" s="152"/>
      <c r="ADB31" s="152"/>
      <c r="ADC31" s="152"/>
      <c r="ADD31" s="152"/>
      <c r="ADE31" s="152"/>
      <c r="ADF31" s="152"/>
      <c r="ADG31" s="152"/>
      <c r="ADH31" s="152"/>
      <c r="ADI31" s="152"/>
      <c r="ADJ31" s="152"/>
      <c r="ADK31" s="152"/>
      <c r="ADL31" s="152"/>
      <c r="ADM31" s="152"/>
      <c r="ADN31" s="152"/>
      <c r="ADO31" s="152"/>
      <c r="ADP31" s="152"/>
      <c r="ADQ31" s="152"/>
      <c r="ADR31" s="152"/>
      <c r="ADS31" s="152"/>
      <c r="ADT31" s="152"/>
      <c r="ADU31" s="152"/>
      <c r="ADV31" s="152"/>
      <c r="ADW31" s="152"/>
      <c r="ADX31" s="152"/>
      <c r="ADY31" s="152"/>
      <c r="ADZ31" s="152"/>
      <c r="AEA31" s="152"/>
      <c r="AEB31" s="152"/>
      <c r="AEC31" s="152"/>
      <c r="AED31" s="152"/>
      <c r="AEE31" s="152"/>
      <c r="AEF31" s="152"/>
      <c r="AEG31" s="152"/>
      <c r="AEH31" s="152"/>
      <c r="AEI31" s="152"/>
      <c r="AEJ31" s="152"/>
      <c r="AEK31" s="152"/>
      <c r="AEL31" s="152"/>
      <c r="AEM31" s="152"/>
      <c r="AEN31" s="152"/>
      <c r="AEO31" s="152"/>
      <c r="AEP31" s="152"/>
      <c r="AEQ31" s="152"/>
      <c r="AER31" s="152"/>
      <c r="AES31" s="152"/>
      <c r="AET31" s="152"/>
      <c r="AEU31" s="152"/>
      <c r="AEV31" s="152"/>
      <c r="AEW31" s="152"/>
      <c r="AEX31" s="152"/>
      <c r="AEY31" s="152"/>
      <c r="AEZ31" s="152"/>
      <c r="AFA31" s="152"/>
      <c r="AFB31" s="152"/>
      <c r="AFC31" s="152"/>
      <c r="AFD31" s="152"/>
      <c r="AFE31" s="152"/>
      <c r="AFF31" s="152"/>
      <c r="AFG31" s="152"/>
      <c r="AFH31" s="152"/>
      <c r="AFI31" s="152"/>
      <c r="AFJ31" s="152"/>
      <c r="AFK31" s="152"/>
      <c r="AFL31" s="152"/>
      <c r="AFM31" s="152"/>
      <c r="AFN31" s="152"/>
      <c r="AFO31" s="152"/>
      <c r="AFP31" s="152"/>
      <c r="AFQ31" s="152"/>
      <c r="AFR31" s="152"/>
      <c r="AFS31" s="152"/>
      <c r="AFT31" s="152"/>
      <c r="AFU31" s="152"/>
      <c r="AFV31" s="152"/>
      <c r="AFW31" s="152"/>
      <c r="AFX31" s="152"/>
      <c r="AFY31" s="152"/>
      <c r="AFZ31" s="152"/>
      <c r="AGA31" s="152"/>
      <c r="AGB31" s="152"/>
      <c r="AGC31" s="152"/>
      <c r="AGD31" s="152"/>
      <c r="AGE31" s="152"/>
      <c r="AGF31" s="152"/>
      <c r="AGG31" s="152"/>
      <c r="AGH31" s="152"/>
      <c r="AGI31" s="152"/>
      <c r="AGJ31" s="152"/>
      <c r="AGK31" s="152"/>
      <c r="AGL31" s="152"/>
      <c r="AGM31" s="152"/>
      <c r="AGN31" s="152"/>
      <c r="AGO31" s="152"/>
      <c r="AGP31" s="152"/>
      <c r="AGQ31" s="152"/>
      <c r="AGR31" s="152"/>
      <c r="AGS31" s="152"/>
      <c r="AGT31" s="152"/>
      <c r="AGU31" s="152"/>
      <c r="AGV31" s="152"/>
      <c r="AGW31" s="152"/>
      <c r="AGX31" s="152"/>
      <c r="AGY31" s="152"/>
      <c r="AGZ31" s="152"/>
      <c r="AHA31" s="152"/>
      <c r="AHB31" s="152"/>
      <c r="AHC31" s="152"/>
      <c r="AHD31" s="152"/>
      <c r="AHE31" s="152"/>
      <c r="AHF31" s="152"/>
      <c r="AHG31" s="152"/>
      <c r="AHH31" s="152"/>
      <c r="AHI31" s="152"/>
      <c r="AHJ31" s="152"/>
      <c r="AHK31" s="152"/>
      <c r="AHL31" s="152"/>
      <c r="AHM31" s="152"/>
      <c r="AHN31" s="152"/>
      <c r="AHO31" s="152"/>
      <c r="AHP31" s="152"/>
      <c r="AHQ31" s="152"/>
      <c r="AHR31" s="152"/>
      <c r="AHS31" s="152"/>
      <c r="AHT31" s="152"/>
      <c r="AHU31" s="152"/>
      <c r="AHV31" s="152"/>
      <c r="AHW31" s="152"/>
      <c r="AHX31" s="152"/>
      <c r="AHY31" s="152"/>
      <c r="AHZ31" s="152"/>
      <c r="AIA31" s="152"/>
      <c r="AIB31" s="152"/>
      <c r="AIC31" s="152"/>
      <c r="AID31" s="152"/>
      <c r="AIE31" s="152"/>
      <c r="AIF31" s="152"/>
    </row>
    <row r="32" spans="1:916" s="20" customFormat="1" ht="13.5" customHeight="1" x14ac:dyDescent="0.2">
      <c r="A32" s="322"/>
      <c r="B32" s="300" t="s">
        <v>31</v>
      </c>
      <c r="C32" s="137" t="s">
        <v>788</v>
      </c>
      <c r="D32" s="137"/>
      <c r="E32" s="315"/>
      <c r="F32" s="135">
        <f>'Commercial Foodservice {G}'!A$16</f>
        <v>12</v>
      </c>
      <c r="G32" s="316" t="s">
        <v>452</v>
      </c>
      <c r="H32" s="249">
        <f>'Commercial Foodservice {G}'!A$10</f>
        <v>324300</v>
      </c>
      <c r="I32" s="250">
        <f>'Commercial Foodservice {G}'!A$8</f>
        <v>1644655.5499999998</v>
      </c>
      <c r="J32" s="250">
        <f>'Commercial Foodservice {G}'!A$12</f>
        <v>1322026</v>
      </c>
      <c r="K32" s="250">
        <f>'Commercial Foodservice {G}'!A$14</f>
        <v>-184876</v>
      </c>
      <c r="L32" s="250">
        <f>SUM('Commercial Foodservice {G}'!Q$5:Q$999)</f>
        <v>1137150</v>
      </c>
      <c r="M32" s="250"/>
      <c r="N32" s="251">
        <f>'Commercial Foodservice {G}'!A$18</f>
        <v>2966681.55</v>
      </c>
      <c r="O32" s="250">
        <f>'Commercial Foodservice {G}'!A$20</f>
        <v>2781805.55</v>
      </c>
      <c r="P32" s="250">
        <f>SUM('Commercial Foodservice {G}'!R$5:R$999)</f>
        <v>624102</v>
      </c>
      <c r="Q32" s="252">
        <f t="shared" ref="Q32:R35" si="16">N32/(1+ElecDiscountRate)^1</f>
        <v>2777791.7134831459</v>
      </c>
      <c r="R32" s="252">
        <f t="shared" si="16"/>
        <v>2604686.8445692882</v>
      </c>
      <c r="S32" s="250">
        <f>SUM('Commercial Foodservice {G}'!AM$5:AM$999)</f>
        <v>3994394.916127733</v>
      </c>
      <c r="T32" s="250">
        <f>SUM('Commercial Foodservice {G}'!AD$5:AD$999)</f>
        <v>5010316.8493479611</v>
      </c>
      <c r="U32" s="124">
        <f>IFERROR(S32/Q32,0)</f>
        <v>1.4379749556956725</v>
      </c>
      <c r="V32" s="124">
        <f>IFERROR(((S32*1.1)+(T32))/R32,0)</f>
        <v>3.6104728968458937</v>
      </c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</row>
    <row r="33" spans="1:916" s="20" customFormat="1" ht="12.75" x14ac:dyDescent="0.2">
      <c r="A33" s="322"/>
      <c r="B33" s="300" t="s">
        <v>31</v>
      </c>
      <c r="C33" s="137" t="s">
        <v>454</v>
      </c>
      <c r="D33" s="137"/>
      <c r="E33" s="315"/>
      <c r="F33" s="135">
        <f>'Commercial HVAC {G}'!A$16</f>
        <v>33.13741360716255</v>
      </c>
      <c r="G33" s="316" t="s">
        <v>366</v>
      </c>
      <c r="H33" s="249">
        <f>'Commercial HVAC {G}'!A$10</f>
        <v>45157.1</v>
      </c>
      <c r="I33" s="250">
        <f>'Commercial HVAC {G}'!A$8</f>
        <v>89664.799999999988</v>
      </c>
      <c r="J33" s="250">
        <f>'Commercial HVAC {G}'!A$12</f>
        <v>154700</v>
      </c>
      <c r="K33" s="250">
        <f>'Commercial HVAC {G}'!A$14</f>
        <v>164615</v>
      </c>
      <c r="L33" s="250">
        <f>SUM('Commercial HVAC {G}'!Q$5:Q$999)</f>
        <v>319315</v>
      </c>
      <c r="M33" s="250"/>
      <c r="N33" s="251">
        <f>'Commercial HVAC {G}'!A$18</f>
        <v>244364.79999999999</v>
      </c>
      <c r="O33" s="250">
        <f>'Commercial HVAC {G}'!A$20</f>
        <v>408979.8</v>
      </c>
      <c r="P33" s="250">
        <f>SUM('Commercial HVAC {G}'!R$5:R$999)</f>
        <v>31.08</v>
      </c>
      <c r="Q33" s="252">
        <f t="shared" si="16"/>
        <v>228805.99250936328</v>
      </c>
      <c r="R33" s="252">
        <f t="shared" si="16"/>
        <v>382939.88764044939</v>
      </c>
      <c r="S33" s="250">
        <f>SUM('Commercial HVAC {G}'!AM$5:AM$999)</f>
        <v>1316362.4054949703</v>
      </c>
      <c r="T33" s="250">
        <f>SUM('Commercial HVAC {G}'!AD$5:AD$999)</f>
        <v>104162.15436637448</v>
      </c>
      <c r="U33" s="124">
        <f>IFERROR(S33/Q33,0)</f>
        <v>5.7531815100563923</v>
      </c>
      <c r="V33" s="124">
        <f>IFERROR(((S33*1.1)+(T33))/R33,0)</f>
        <v>4.0532753325195507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</row>
    <row r="34" spans="1:916" s="20" customFormat="1" ht="12.75" x14ac:dyDescent="0.2">
      <c r="A34" s="322"/>
      <c r="B34" s="300" t="s">
        <v>31</v>
      </c>
      <c r="C34" s="137" t="s">
        <v>394</v>
      </c>
      <c r="D34" s="137"/>
      <c r="E34" s="315"/>
      <c r="F34" s="135">
        <f>'Commercial Midstream {G}'!A$16</f>
        <v>13</v>
      </c>
      <c r="G34" s="316" t="s">
        <v>366</v>
      </c>
      <c r="H34" s="249">
        <f>'Commercial Midstream {G}'!A$10</f>
        <v>527670</v>
      </c>
      <c r="I34" s="250">
        <f>'Commercial Midstream {G}'!A$8</f>
        <v>1599582.1</v>
      </c>
      <c r="J34" s="250">
        <f>'Commercial Midstream {G}'!A$12</f>
        <v>1521018</v>
      </c>
      <c r="K34" s="250">
        <f>'Commercial Midstream {G}'!A$14</f>
        <v>1888542</v>
      </c>
      <c r="L34" s="250">
        <f>SUM('Commercial Midstream {G}'!Q$5:Q$1000)</f>
        <v>3409560</v>
      </c>
      <c r="M34" s="250"/>
      <c r="N34" s="251">
        <f>'Commercial Midstream {G}'!A$18</f>
        <v>3120600.1</v>
      </c>
      <c r="O34" s="250">
        <f>'Commercial Midstream {G}'!A$20</f>
        <v>5009142.0999999996</v>
      </c>
      <c r="P34" s="250">
        <f>SUM('Commercial Midstream {G}'!R$5:R$1000)</f>
        <v>2.8056000000000001</v>
      </c>
      <c r="Q34" s="252">
        <f t="shared" si="16"/>
        <v>2921910.2059925091</v>
      </c>
      <c r="R34" s="252">
        <f t="shared" si="16"/>
        <v>4690207.9588014977</v>
      </c>
      <c r="S34" s="250">
        <f>SUM('Commercial Midstream {G}'!AM$5:AM$1000)</f>
        <v>6953390.9473517314</v>
      </c>
      <c r="T34" s="250">
        <f>SUM('Commercial Midstream {G}'!AD$5:AD$1000)</f>
        <v>0</v>
      </c>
      <c r="U34" s="124">
        <f>IFERROR(S34/Q34,0)</f>
        <v>2.379741490033167</v>
      </c>
      <c r="V34" s="124">
        <f>IFERROR(((S34*1.1)+(T34))/R34,0)</f>
        <v>1.6307869734717277</v>
      </c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</row>
    <row r="35" spans="1:916" s="20" customFormat="1" ht="12.75" x14ac:dyDescent="0.2">
      <c r="A35" s="322"/>
      <c r="B35" s="300" t="s">
        <v>31</v>
      </c>
      <c r="C35" s="137" t="s">
        <v>395</v>
      </c>
      <c r="D35" s="137"/>
      <c r="E35" s="315"/>
      <c r="F35" s="135">
        <f>'SBDI {G}'!A$16</f>
        <v>9.615384615384615</v>
      </c>
      <c r="G35" s="316" t="s">
        <v>265</v>
      </c>
      <c r="H35" s="249">
        <f>'SBDI {G}'!A$10</f>
        <v>58500</v>
      </c>
      <c r="I35" s="250">
        <f>'SBDI {G}'!A$8</f>
        <v>5280</v>
      </c>
      <c r="J35" s="250">
        <f>'SBDI {G}'!A$12</f>
        <v>715400</v>
      </c>
      <c r="K35" s="250">
        <f>'SBDI {G}'!A$14</f>
        <v>0</v>
      </c>
      <c r="L35" s="250">
        <f>SUM('SBDI {G}'!Q$5:Q$999)</f>
        <v>715400</v>
      </c>
      <c r="M35" s="250"/>
      <c r="N35" s="251">
        <f>'SBDI {G}'!A$18</f>
        <v>720680</v>
      </c>
      <c r="O35" s="250">
        <f>'SBDI {G}'!A$20</f>
        <v>720680</v>
      </c>
      <c r="P35" s="250">
        <f>SUM('SBDI {G}'!R$5:R$999)</f>
        <v>2304.0600000000004</v>
      </c>
      <c r="Q35" s="252">
        <f t="shared" si="16"/>
        <v>674794.00749063666</v>
      </c>
      <c r="R35" s="252">
        <f t="shared" si="16"/>
        <v>674794.00749063666</v>
      </c>
      <c r="S35" s="250">
        <f>SUM('SBDI {G}'!AM$5:AM$999)</f>
        <v>647851.40375114011</v>
      </c>
      <c r="T35" s="250">
        <f>SUM('SBDI {G}'!AD$5:AD$999)</f>
        <v>0</v>
      </c>
      <c r="U35" s="124">
        <f>IFERROR(S35/Q35,0)</f>
        <v>0.96007284676446925</v>
      </c>
      <c r="V35" s="124">
        <f>IFERROR(((S35*1.1)+(T35))/R35,0)</f>
        <v>1.0560801314409163</v>
      </c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</row>
    <row r="36" spans="1:916" s="20" customFormat="1" ht="12.75" x14ac:dyDescent="0.2">
      <c r="B36" s="307" t="s">
        <v>455</v>
      </c>
      <c r="C36" s="308"/>
      <c r="D36" s="307"/>
      <c r="E36" s="307"/>
      <c r="F36" s="323"/>
      <c r="G36" s="323"/>
      <c r="H36" s="324">
        <f>SUM(H25:H30,H32:H35)</f>
        <v>2543631.1</v>
      </c>
      <c r="I36" s="325">
        <f>SUM(I25:I30,I32:I35)</f>
        <v>7108297.9499999993</v>
      </c>
      <c r="J36" s="325">
        <f>SUM(J25:J30,J32:J35)</f>
        <v>7996192</v>
      </c>
      <c r="K36" s="325">
        <f>SUM(K25:K30,K32:K35)</f>
        <v>10067417.4</v>
      </c>
      <c r="L36" s="325">
        <f>SUM(L25:L30,L32:L35)</f>
        <v>18063609.399999999</v>
      </c>
      <c r="M36" s="326"/>
      <c r="N36" s="324">
        <f>SUM(N25:N30,N32:N35)</f>
        <v>15153613.950000001</v>
      </c>
      <c r="O36" s="325">
        <f>SUM(O25:O30,O32:O35)</f>
        <v>25171907.350000001</v>
      </c>
      <c r="P36" s="325">
        <f t="shared" ref="P36:T36" si="17">SUM(P25:P29,P32:P35)</f>
        <v>626439.94559999998</v>
      </c>
      <c r="Q36" s="325">
        <f>SUM(Q25:Q30,Q32:Q35)</f>
        <v>14188777.106741572</v>
      </c>
      <c r="R36" s="325">
        <f>SUM(R25:R30,R32:R35)</f>
        <v>23569201.638576776</v>
      </c>
      <c r="S36" s="325">
        <f>SUM(S25:S30,S32:S35)</f>
        <v>25156653.157529306</v>
      </c>
      <c r="T36" s="325">
        <f t="shared" si="17"/>
        <v>5114479.0037143361</v>
      </c>
      <c r="U36" s="497">
        <f>S36/Q36</f>
        <v>1.7729965710418076</v>
      </c>
      <c r="V36" s="497">
        <f>(S36*1.1+T36)/R36</f>
        <v>1.3910864686792339</v>
      </c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</row>
    <row r="37" spans="1:916" s="313" customFormat="1" x14ac:dyDescent="0.25">
      <c r="A37" s="299"/>
      <c r="B37" s="300" t="s">
        <v>456</v>
      </c>
      <c r="C37" s="327" t="s">
        <v>457</v>
      </c>
      <c r="D37" s="327"/>
      <c r="E37" s="328"/>
      <c r="F37" s="316">
        <v>5</v>
      </c>
      <c r="G37" s="329" t="s">
        <v>260</v>
      </c>
      <c r="H37" s="330">
        <f>'G245 NEEA GAS'!A$10</f>
        <v>0</v>
      </c>
      <c r="I37" s="250">
        <f>'G245 NEEA GAS'!A$8</f>
        <v>3180472</v>
      </c>
      <c r="J37" s="250">
        <f>'G245 NEEA GAS'!A$12</f>
        <v>0</v>
      </c>
      <c r="K37" s="250">
        <f>'G245 NEEA GAS'!A$14</f>
        <v>0</v>
      </c>
      <c r="L37" s="250">
        <f>SUM('G245 NEEA GAS'!Q$5:Q$999)</f>
        <v>0</v>
      </c>
      <c r="M37" s="333"/>
      <c r="N37" s="251">
        <f>'G245 NEEA GAS'!A$18</f>
        <v>3180472</v>
      </c>
      <c r="O37" s="250">
        <f>'G245 NEEA GAS'!A$20</f>
        <v>3180472</v>
      </c>
      <c r="P37" s="250">
        <f>SUM('SBDI {G}'!R$5:R$999)</f>
        <v>2304.0600000000004</v>
      </c>
      <c r="Q37" s="252">
        <f>N37/(1+ElecDiscountRate)^1</f>
        <v>2977970.0374531834</v>
      </c>
      <c r="R37" s="252">
        <f>O37/(1+ElecDiscountRate)^1</f>
        <v>2977970.0374531834</v>
      </c>
      <c r="S37" s="250">
        <f>SUM('G245 NEEA GAS'!AM$5:AM$999)</f>
        <v>0</v>
      </c>
      <c r="T37" s="250">
        <f>SUM('G245 NEEA GAS'!AD$5:AD$999)</f>
        <v>0</v>
      </c>
      <c r="U37" s="498">
        <f>S37/Q37</f>
        <v>0</v>
      </c>
      <c r="V37" s="498">
        <f>((S37*1.1)+(T37))/R37</f>
        <v>0</v>
      </c>
      <c r="W37" s="20"/>
      <c r="X37" s="152">
        <v>18230660</v>
      </c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</row>
    <row r="38" spans="1:916" s="313" customFormat="1" x14ac:dyDescent="0.25">
      <c r="A38" s="299"/>
      <c r="B38" s="304" t="s">
        <v>167</v>
      </c>
      <c r="C38" s="327" t="s">
        <v>406</v>
      </c>
      <c r="D38" s="327"/>
      <c r="E38" s="328"/>
      <c r="F38" s="316">
        <f>IFERROR('TDSM {G}'!A$16,0)</f>
        <v>0</v>
      </c>
      <c r="G38" s="329" t="s">
        <v>265</v>
      </c>
      <c r="H38" s="330">
        <f>'TDSM {G}'!A$10</f>
        <v>0</v>
      </c>
      <c r="I38" s="214">
        <f>'TDSM {G}'!A$8</f>
        <v>505652</v>
      </c>
      <c r="J38" s="214">
        <f>'TDSM {G}'!A$12</f>
        <v>0</v>
      </c>
      <c r="K38" s="331">
        <f>'TDSM {G}'!A$14</f>
        <v>0</v>
      </c>
      <c r="L38" s="332">
        <f>SUM('TDSM {G}'!Q$5:Q$999)</f>
        <v>0</v>
      </c>
      <c r="M38" s="333"/>
      <c r="N38" s="334">
        <f>'TDSM {G}'!A$18</f>
        <v>563902</v>
      </c>
      <c r="O38" s="333">
        <f>'TDSM {G}'!A$20</f>
        <v>505652</v>
      </c>
      <c r="P38" s="336">
        <f>SUM('TDSM {G}'!R$5:R$999)</f>
        <v>0</v>
      </c>
      <c r="Q38" s="335">
        <f>N38/(1+ElecDiscountRate)^1</f>
        <v>527998.12734082399</v>
      </c>
      <c r="R38" s="335">
        <f>O38/(1+ElecDiscountRate)^1</f>
        <v>473456.92883895128</v>
      </c>
      <c r="S38" s="335">
        <f>SUM('TDSM {G}'!AM$5:AM$999)</f>
        <v>0</v>
      </c>
      <c r="T38" s="336">
        <f>SUM('TDSM {G}'!AD$5:AD$999)</f>
        <v>0</v>
      </c>
      <c r="U38" s="498">
        <f>S38/Q38</f>
        <v>0</v>
      </c>
      <c r="V38" s="498">
        <f>((S38*1.1)+(T38))/R38</f>
        <v>0</v>
      </c>
      <c r="W38" s="20"/>
      <c r="X38" s="152">
        <v>18230218</v>
      </c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</row>
    <row r="39" spans="1:916" s="20" customFormat="1" ht="12.75" x14ac:dyDescent="0.2">
      <c r="B39" s="307" t="s">
        <v>458</v>
      </c>
      <c r="C39" s="308"/>
      <c r="D39" s="307"/>
      <c r="E39" s="307"/>
      <c r="F39" s="323"/>
      <c r="G39" s="323"/>
      <c r="H39" s="337">
        <v>0</v>
      </c>
      <c r="I39" s="338">
        <f t="shared" ref="I39:N39" si="18">SUM(I37:I38)</f>
        <v>3686124</v>
      </c>
      <c r="J39" s="338">
        <f t="shared" si="18"/>
        <v>0</v>
      </c>
      <c r="K39" s="338">
        <f t="shared" si="18"/>
        <v>0</v>
      </c>
      <c r="L39" s="338">
        <f t="shared" si="18"/>
        <v>0</v>
      </c>
      <c r="M39" s="338">
        <f t="shared" si="18"/>
        <v>0</v>
      </c>
      <c r="N39" s="338">
        <f t="shared" si="18"/>
        <v>3744374</v>
      </c>
      <c r="O39" s="338">
        <f t="shared" ref="O39:T39" si="19">SUM(O37:O38)</f>
        <v>3686124</v>
      </c>
      <c r="P39" s="338">
        <f>SUM(P37:P38)</f>
        <v>2304.0600000000004</v>
      </c>
      <c r="Q39" s="338">
        <f t="shared" si="19"/>
        <v>3505968.1647940073</v>
      </c>
      <c r="R39" s="338">
        <f t="shared" si="19"/>
        <v>3451426.9662921345</v>
      </c>
      <c r="S39" s="338">
        <f t="shared" si="19"/>
        <v>0</v>
      </c>
      <c r="T39" s="338">
        <f t="shared" si="19"/>
        <v>0</v>
      </c>
      <c r="U39" s="497">
        <f>S39/Q39</f>
        <v>0</v>
      </c>
      <c r="V39" s="497">
        <f>(S39*1.1+T39)/R39</f>
        <v>0</v>
      </c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</row>
    <row r="40" spans="1:916" s="20" customFormat="1" x14ac:dyDescent="0.25">
      <c r="A40" s="299"/>
      <c r="B40" s="300" t="s">
        <v>323</v>
      </c>
      <c r="C40" s="122" t="s">
        <v>399</v>
      </c>
      <c r="D40" s="339"/>
      <c r="E40" s="328"/>
      <c r="F40" s="161"/>
      <c r="G40" s="316"/>
      <c r="H40" s="316">
        <f>'G249 Res Gas Pilot'!A10</f>
        <v>0</v>
      </c>
      <c r="I40" s="214">
        <f>'G249 Res Gas Pilot'!A8</f>
        <v>0</v>
      </c>
      <c r="J40" s="214">
        <v>0</v>
      </c>
      <c r="K40" s="214">
        <v>0</v>
      </c>
      <c r="L40" s="340">
        <v>0</v>
      </c>
      <c r="M40" s="333"/>
      <c r="N40" s="341">
        <f>I40</f>
        <v>0</v>
      </c>
      <c r="O40" s="333">
        <f>SUM(I40:K40)</f>
        <v>0</v>
      </c>
      <c r="P40" s="250">
        <f>SUM('G249 Res Gas Pilot'!R$5:R$1000)</f>
        <v>0</v>
      </c>
      <c r="Q40" s="335">
        <f>N40/(1+GasDiscountRate)^1</f>
        <v>0</v>
      </c>
      <c r="R40" s="335">
        <f>O40/(1+GasDiscountRate)^1</f>
        <v>0</v>
      </c>
      <c r="S40" s="250">
        <f>SUM('G249 Res Gas Pilot'!AM$5:AM$1000)</f>
        <v>0</v>
      </c>
      <c r="T40" s="250">
        <f>SUM('G249 Res Gas Pilot'!AD$5:AD$1000)</f>
        <v>0</v>
      </c>
      <c r="U40" s="498">
        <f>IFERROR(S40/Q40,0)</f>
        <v>0</v>
      </c>
      <c r="V40" s="498">
        <f>IFERROR(((S40*1.1)+(T40))/R40,0)</f>
        <v>0</v>
      </c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</row>
    <row r="41" spans="1:916" s="343" customFormat="1" x14ac:dyDescent="0.25">
      <c r="A41" s="20"/>
      <c r="B41" s="304" t="s">
        <v>323</v>
      </c>
      <c r="C41" s="122" t="s">
        <v>459</v>
      </c>
      <c r="D41" s="339"/>
      <c r="E41" s="328"/>
      <c r="F41" s="161"/>
      <c r="G41" s="342"/>
      <c r="H41" s="316">
        <f>'G249 Com Gas Pilot'!A10</f>
        <v>0</v>
      </c>
      <c r="I41" s="214">
        <f>'G249 Com Gas Pilot'!A8</f>
        <v>0</v>
      </c>
      <c r="J41" s="214">
        <v>0</v>
      </c>
      <c r="K41" s="214">
        <v>0</v>
      </c>
      <c r="L41" s="340">
        <v>0</v>
      </c>
      <c r="M41" s="333"/>
      <c r="N41" s="341">
        <f>I41</f>
        <v>0</v>
      </c>
      <c r="O41" s="333">
        <f>SUM(I41:K41)</f>
        <v>0</v>
      </c>
      <c r="P41" s="250">
        <f>SUM('G249 Com Gas Pilot'!R$5:R$1000)</f>
        <v>0</v>
      </c>
      <c r="Q41" s="335">
        <f>N41/(1+GasDiscountRate)^1</f>
        <v>0</v>
      </c>
      <c r="R41" s="335">
        <f>O41/(1+GasDiscountRate)^1</f>
        <v>0</v>
      </c>
      <c r="S41" s="250">
        <f>SUM('G249 Com Gas Pilot'!AM$5:AM$1000)</f>
        <v>0</v>
      </c>
      <c r="T41" s="250">
        <f>SUM('G249 Com Gas Pilot'!AD$5:AD$1000)</f>
        <v>0</v>
      </c>
      <c r="U41" s="498">
        <f>IFERROR(S41/Q41,0)</f>
        <v>0</v>
      </c>
      <c r="V41" s="498">
        <f>IFERROR(((S41*1.1)+(T41))/R41,0)</f>
        <v>0</v>
      </c>
      <c r="W41" s="20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</row>
    <row r="42" spans="1:916" s="20" customFormat="1" ht="12.75" x14ac:dyDescent="0.2">
      <c r="B42" s="307" t="s">
        <v>401</v>
      </c>
      <c r="C42" s="307"/>
      <c r="D42" s="307"/>
      <c r="E42" s="344"/>
      <c r="F42" s="307"/>
      <c r="G42" s="323"/>
      <c r="H42" s="325">
        <f>SUM(H40:H41)</f>
        <v>0</v>
      </c>
      <c r="I42" s="345">
        <f t="shared" ref="I42:T42" si="20">SUM(I40:I41)</f>
        <v>0</v>
      </c>
      <c r="J42" s="346">
        <f t="shared" si="20"/>
        <v>0</v>
      </c>
      <c r="K42" s="346">
        <f t="shared" si="20"/>
        <v>0</v>
      </c>
      <c r="L42" s="346">
        <f t="shared" si="20"/>
        <v>0</v>
      </c>
      <c r="M42" s="346">
        <f t="shared" si="20"/>
        <v>0</v>
      </c>
      <c r="N42" s="347">
        <f t="shared" si="20"/>
        <v>0</v>
      </c>
      <c r="O42" s="345">
        <f t="shared" si="20"/>
        <v>0</v>
      </c>
      <c r="P42" s="346">
        <f>SUM(P40:P41)</f>
        <v>0</v>
      </c>
      <c r="Q42" s="345">
        <f t="shared" si="20"/>
        <v>0</v>
      </c>
      <c r="R42" s="345">
        <f t="shared" si="20"/>
        <v>0</v>
      </c>
      <c r="S42" s="346">
        <f t="shared" si="20"/>
        <v>0</v>
      </c>
      <c r="T42" s="346">
        <f t="shared" si="20"/>
        <v>0</v>
      </c>
      <c r="U42" s="497" t="e">
        <f>S42/Q42</f>
        <v>#DIV/0!</v>
      </c>
      <c r="V42" s="497" t="e">
        <f>(S42*1.1+T42)/R42</f>
        <v>#DIV/0!</v>
      </c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</row>
    <row r="43" spans="1:916" s="93" customFormat="1" x14ac:dyDescent="0.25">
      <c r="B43" s="182"/>
      <c r="C43" s="348" t="s">
        <v>408</v>
      </c>
      <c r="D43" s="348"/>
      <c r="E43" s="349"/>
      <c r="F43" s="349"/>
      <c r="G43" s="350"/>
      <c r="H43" s="351"/>
      <c r="I43" s="352"/>
      <c r="J43" s="353"/>
      <c r="K43" s="354"/>
      <c r="L43" s="354"/>
      <c r="M43" s="354"/>
      <c r="N43" s="355"/>
      <c r="O43" s="356"/>
      <c r="P43" s="356"/>
      <c r="Q43" s="356"/>
      <c r="R43" s="356"/>
      <c r="S43" s="357"/>
      <c r="T43" s="358"/>
      <c r="U43" s="359"/>
      <c r="V43" s="359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</row>
    <row r="44" spans="1:916" s="93" customFormat="1" x14ac:dyDescent="0.25">
      <c r="B44" s="182"/>
      <c r="C44" s="183" t="s">
        <v>409</v>
      </c>
      <c r="D44" s="182">
        <v>18231005</v>
      </c>
      <c r="E44" s="182"/>
      <c r="F44" s="182"/>
      <c r="G44" s="184"/>
      <c r="H44" s="182"/>
      <c r="I44" s="185">
        <f>SUMIF('Program Costs'!D:D,'Gas CE'!D44,'Program Costs'!N:N)</f>
        <v>349144.9</v>
      </c>
      <c r="J44" s="185"/>
      <c r="K44" s="182"/>
      <c r="L44" s="182"/>
      <c r="M44" s="182"/>
      <c r="N44" s="341">
        <f>I44</f>
        <v>349144.9</v>
      </c>
      <c r="O44" s="185">
        <f t="shared" ref="O44:O56" si="21">I44</f>
        <v>349144.9</v>
      </c>
      <c r="P44" s="186"/>
      <c r="Q44" s="187">
        <f t="shared" ref="Q44:Q56" si="22">N44/(1+ElecDiscountRate)^1</f>
        <v>326914.70037453185</v>
      </c>
      <c r="R44" s="187">
        <f t="shared" ref="R44:R56" si="23">O44/(1+ElecDiscountRate)^1</f>
        <v>326914.70037453185</v>
      </c>
      <c r="S44" s="182"/>
      <c r="T44" s="188"/>
      <c r="U44" s="182"/>
      <c r="V44" s="189"/>
      <c r="W44" s="97"/>
      <c r="X44">
        <v>18231005</v>
      </c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</row>
    <row r="45" spans="1:916" s="93" customFormat="1" x14ac:dyDescent="0.25">
      <c r="B45" s="182"/>
      <c r="C45" s="190" t="s">
        <v>410</v>
      </c>
      <c r="D45" s="191">
        <v>18230659</v>
      </c>
      <c r="E45" s="192"/>
      <c r="F45" s="192"/>
      <c r="G45" s="193"/>
      <c r="H45" s="194"/>
      <c r="I45" s="185">
        <f>SUMIF('Program Costs'!D:D,'Gas CE'!D45,'Program Costs'!N:N)</f>
        <v>316433</v>
      </c>
      <c r="J45" s="185"/>
      <c r="K45" s="195"/>
      <c r="L45" s="195"/>
      <c r="M45" s="195"/>
      <c r="N45" s="341">
        <f t="shared" ref="N45:N56" si="24">I45</f>
        <v>316433</v>
      </c>
      <c r="O45" s="185">
        <f t="shared" si="21"/>
        <v>316433</v>
      </c>
      <c r="P45" s="196"/>
      <c r="Q45" s="187">
        <f t="shared" si="22"/>
        <v>296285.58052434458</v>
      </c>
      <c r="R45" s="187">
        <f t="shared" si="23"/>
        <v>296285.58052434458</v>
      </c>
      <c r="S45" s="197"/>
      <c r="T45" s="197"/>
      <c r="U45" s="198"/>
      <c r="V45" s="198"/>
      <c r="W45" s="97"/>
      <c r="X45">
        <v>18230659</v>
      </c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</row>
    <row r="46" spans="1:916" s="93" customFormat="1" x14ac:dyDescent="0.25">
      <c r="B46" s="182"/>
      <c r="C46" s="199" t="s">
        <v>411</v>
      </c>
      <c r="D46" s="200">
        <v>18230668</v>
      </c>
      <c r="E46" s="192"/>
      <c r="F46" s="192"/>
      <c r="G46" s="193"/>
      <c r="H46" s="194"/>
      <c r="I46" s="185">
        <f>SUMIF('Program Costs'!D:D,'Gas CE'!D46,'Program Costs'!N:N)</f>
        <v>319536.7</v>
      </c>
      <c r="J46" s="185"/>
      <c r="K46" s="195"/>
      <c r="L46" s="195"/>
      <c r="M46" s="195"/>
      <c r="N46" s="341">
        <f t="shared" si="24"/>
        <v>319536.7</v>
      </c>
      <c r="O46" s="185">
        <f t="shared" si="21"/>
        <v>319536.7</v>
      </c>
      <c r="P46" s="187"/>
      <c r="Q46" s="187">
        <f t="shared" si="22"/>
        <v>299191.66666666669</v>
      </c>
      <c r="R46" s="187">
        <f t="shared" si="23"/>
        <v>299191.66666666669</v>
      </c>
      <c r="S46" s="197"/>
      <c r="T46" s="197"/>
      <c r="U46" s="198"/>
      <c r="V46" s="198"/>
      <c r="W46" s="97"/>
      <c r="X46">
        <v>18230668</v>
      </c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</row>
    <row r="47" spans="1:916" s="93" customFormat="1" x14ac:dyDescent="0.25">
      <c r="B47" s="182"/>
      <c r="C47" s="183" t="s">
        <v>412</v>
      </c>
      <c r="D47" s="182">
        <v>18230688</v>
      </c>
      <c r="E47" s="182"/>
      <c r="F47" s="182"/>
      <c r="G47" s="182"/>
      <c r="H47" s="182"/>
      <c r="I47" s="185">
        <f>SUMIF('Program Costs'!D:D,'Gas CE'!D47,'Program Costs'!N:N)</f>
        <v>385938.8</v>
      </c>
      <c r="J47" s="185"/>
      <c r="K47" s="182"/>
      <c r="L47" s="182"/>
      <c r="M47" s="182"/>
      <c r="N47" s="341">
        <f t="shared" si="24"/>
        <v>385938.8</v>
      </c>
      <c r="O47" s="185">
        <f t="shared" si="21"/>
        <v>385938.8</v>
      </c>
      <c r="P47" s="186"/>
      <c r="Q47" s="187">
        <f t="shared" si="22"/>
        <v>361365.91760299623</v>
      </c>
      <c r="R47" s="187">
        <f t="shared" si="23"/>
        <v>361365.91760299623</v>
      </c>
      <c r="S47" s="182"/>
      <c r="T47" s="188"/>
      <c r="U47" s="182"/>
      <c r="V47" s="189"/>
      <c r="W47" s="97"/>
      <c r="X47">
        <v>18230688</v>
      </c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916" s="205" customFormat="1" x14ac:dyDescent="0.25">
      <c r="A48" s="201"/>
      <c r="B48" s="182"/>
      <c r="C48" s="202" t="s">
        <v>413</v>
      </c>
      <c r="D48" s="203">
        <v>18230698</v>
      </c>
      <c r="E48" s="182"/>
      <c r="F48" s="182"/>
      <c r="G48" s="182"/>
      <c r="H48" s="182"/>
      <c r="I48" s="185">
        <f>SUMIF('Program Costs'!D:D,'Gas CE'!D48,'Program Costs'!N:N)</f>
        <v>52000</v>
      </c>
      <c r="J48" s="185"/>
      <c r="K48" s="182"/>
      <c r="L48" s="182"/>
      <c r="M48" s="182"/>
      <c r="N48" s="341">
        <f t="shared" si="24"/>
        <v>52000</v>
      </c>
      <c r="O48" s="185">
        <f t="shared" si="21"/>
        <v>52000</v>
      </c>
      <c r="P48" s="186"/>
      <c r="Q48" s="187">
        <f t="shared" si="22"/>
        <v>48689.138576779027</v>
      </c>
      <c r="R48" s="187">
        <f t="shared" si="23"/>
        <v>48689.138576779027</v>
      </c>
      <c r="S48" s="182"/>
      <c r="T48" s="188"/>
      <c r="U48" s="182"/>
      <c r="V48" s="189"/>
      <c r="W48" s="204"/>
      <c r="X48">
        <v>18230698</v>
      </c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</row>
    <row r="49" spans="1:916" s="93" customFormat="1" x14ac:dyDescent="0.25">
      <c r="B49" s="182"/>
      <c r="C49" s="202" t="s">
        <v>414</v>
      </c>
      <c r="D49" s="203">
        <v>18231031</v>
      </c>
      <c r="E49" s="182"/>
      <c r="F49" s="182"/>
      <c r="G49" s="182"/>
      <c r="H49" s="182"/>
      <c r="I49" s="185">
        <f>SUMIF('Program Costs'!D:D,'Gas CE'!D49,'Program Costs'!N:N)</f>
        <v>-1760</v>
      </c>
      <c r="J49" s="185"/>
      <c r="K49" s="182"/>
      <c r="L49" s="182"/>
      <c r="M49" s="182"/>
      <c r="N49" s="341">
        <f t="shared" si="24"/>
        <v>-1760</v>
      </c>
      <c r="O49" s="185">
        <f t="shared" si="21"/>
        <v>-1760</v>
      </c>
      <c r="P49" s="186"/>
      <c r="Q49" s="187">
        <f t="shared" si="22"/>
        <v>-1647.940074906367</v>
      </c>
      <c r="R49" s="187">
        <f t="shared" si="23"/>
        <v>-1647.940074906367</v>
      </c>
      <c r="S49" s="182"/>
      <c r="T49" s="188"/>
      <c r="U49" s="182"/>
      <c r="V49" s="189"/>
      <c r="W49" s="97"/>
      <c r="X49">
        <v>18231031</v>
      </c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916" s="93" customFormat="1" x14ac:dyDescent="0.25">
      <c r="B50" s="182"/>
      <c r="C50" s="202" t="s">
        <v>415</v>
      </c>
      <c r="D50" s="203">
        <v>18230667</v>
      </c>
      <c r="E50" s="182"/>
      <c r="F50" s="182"/>
      <c r="G50" s="182"/>
      <c r="H50" s="182"/>
      <c r="I50" s="185">
        <f>SUMIF('Program Costs'!D:D,'Gas CE'!D50,'Program Costs'!N:N)</f>
        <v>1268092</v>
      </c>
      <c r="J50" s="185"/>
      <c r="K50" s="182"/>
      <c r="L50" s="182"/>
      <c r="M50" s="182"/>
      <c r="N50" s="341">
        <f t="shared" si="24"/>
        <v>1268092</v>
      </c>
      <c r="O50" s="185">
        <f t="shared" si="21"/>
        <v>1268092</v>
      </c>
      <c r="P50" s="186"/>
      <c r="Q50" s="187">
        <f t="shared" si="22"/>
        <v>1187352.0599250935</v>
      </c>
      <c r="R50" s="187">
        <f t="shared" si="23"/>
        <v>1187352.0599250935</v>
      </c>
      <c r="S50" s="182"/>
      <c r="T50" s="188"/>
      <c r="U50" s="182"/>
      <c r="V50" s="189"/>
      <c r="W50" s="97"/>
      <c r="X50">
        <v>18230667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916" s="93" customFormat="1" x14ac:dyDescent="0.25">
      <c r="B51" s="182"/>
      <c r="C51" s="206" t="s">
        <v>416</v>
      </c>
      <c r="D51" s="207">
        <v>18230704</v>
      </c>
      <c r="E51" s="192"/>
      <c r="F51" s="192"/>
      <c r="G51" s="193"/>
      <c r="H51" s="194"/>
      <c r="I51" s="185">
        <f>SUMIF('Program Costs'!D:D,'Gas CE'!D51,'Program Costs'!N:N)</f>
        <v>508781.2</v>
      </c>
      <c r="J51" s="185"/>
      <c r="K51" s="195"/>
      <c r="L51" s="195"/>
      <c r="M51" s="195"/>
      <c r="N51" s="341">
        <f t="shared" si="24"/>
        <v>508781.2</v>
      </c>
      <c r="O51" s="185">
        <f t="shared" si="21"/>
        <v>508781.2</v>
      </c>
      <c r="P51" s="187"/>
      <c r="Q51" s="187">
        <f t="shared" si="22"/>
        <v>476386.89138576778</v>
      </c>
      <c r="R51" s="187">
        <f t="shared" si="23"/>
        <v>476386.89138576778</v>
      </c>
      <c r="S51" s="197"/>
      <c r="T51" s="197"/>
      <c r="U51" s="198"/>
      <c r="V51" s="198"/>
      <c r="W51" s="97"/>
      <c r="X51">
        <v>18230704</v>
      </c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916" s="93" customFormat="1" x14ac:dyDescent="0.25">
      <c r="B52" s="182"/>
      <c r="C52" s="206" t="s">
        <v>2022</v>
      </c>
      <c r="D52" s="207">
        <v>18239998</v>
      </c>
      <c r="E52" s="192"/>
      <c r="F52" s="192"/>
      <c r="G52" s="193"/>
      <c r="H52" s="194"/>
      <c r="I52" s="185">
        <f>SUMIF('Program Costs'!D:D,'Gas CE'!D52,'Program Costs'!N:N)</f>
        <v>87270</v>
      </c>
      <c r="J52" s="185"/>
      <c r="K52" s="195"/>
      <c r="L52" s="195"/>
      <c r="M52" s="195"/>
      <c r="N52" s="341">
        <f t="shared" ref="N52" si="25">I52</f>
        <v>87270</v>
      </c>
      <c r="O52" s="185">
        <f t="shared" ref="O52" si="26">I52</f>
        <v>87270</v>
      </c>
      <c r="P52" s="187"/>
      <c r="Q52" s="187">
        <f t="shared" ref="Q52" si="27">N52/(1+ElecDiscountRate)^1</f>
        <v>81713.483146067418</v>
      </c>
      <c r="R52" s="187">
        <f t="shared" ref="R52" si="28">O52/(1+ElecDiscountRate)^1</f>
        <v>81713.483146067418</v>
      </c>
      <c r="S52" s="197"/>
      <c r="T52" s="197"/>
      <c r="U52" s="198"/>
      <c r="V52" s="198"/>
      <c r="W52" s="97"/>
      <c r="X52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916" s="93" customFormat="1" x14ac:dyDescent="0.25">
      <c r="A53" s="125"/>
      <c r="B53" s="182"/>
      <c r="C53" s="183" t="s">
        <v>417</v>
      </c>
      <c r="D53" s="182">
        <v>18230657</v>
      </c>
      <c r="E53" s="182"/>
      <c r="F53" s="182"/>
      <c r="G53" s="182"/>
      <c r="H53" s="182"/>
      <c r="I53" s="185">
        <f>SUMIF('Program Costs'!D:D,'Gas CE'!D53,'Program Costs'!N:N)</f>
        <v>395049.5</v>
      </c>
      <c r="J53" s="185"/>
      <c r="K53" s="182"/>
      <c r="L53" s="182"/>
      <c r="M53" s="182"/>
      <c r="N53" s="341">
        <f t="shared" si="24"/>
        <v>395049.5</v>
      </c>
      <c r="O53" s="185">
        <f t="shared" si="21"/>
        <v>395049.5</v>
      </c>
      <c r="P53" s="186"/>
      <c r="Q53" s="187">
        <f t="shared" si="22"/>
        <v>369896.5355805243</v>
      </c>
      <c r="R53" s="187">
        <f t="shared" si="23"/>
        <v>369896.5355805243</v>
      </c>
      <c r="S53" s="182"/>
      <c r="T53" s="188"/>
      <c r="U53" s="182"/>
      <c r="V53" s="189"/>
      <c r="W53" s="97"/>
      <c r="X53">
        <v>18230657</v>
      </c>
      <c r="Y53"/>
      <c r="Z53"/>
      <c r="AA53"/>
      <c r="AB53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916" s="93" customFormat="1" x14ac:dyDescent="0.25">
      <c r="B54" s="182"/>
      <c r="C54" s="206" t="s">
        <v>418</v>
      </c>
      <c r="D54" s="360" t="s">
        <v>460</v>
      </c>
      <c r="E54" s="192"/>
      <c r="F54" s="192"/>
      <c r="G54" s="193"/>
      <c r="H54" s="194"/>
      <c r="I54" s="185">
        <f>SUMIF('Program Costs'!D:D,'Gas CE'!X54,'Program Costs'!N:N)+SUMIF('Program Costs'!D:D,'Gas CE'!Y54,'Program Costs'!N:N)+SUMIF('Program Costs'!D:D,'Gas CE'!Z54,'Program Costs'!N:N)+SUMIF('Program Costs'!D:D,'Gas CE'!AA54,'Program Costs'!N:N)</f>
        <v>1252898.54</v>
      </c>
      <c r="J54" s="185"/>
      <c r="K54" s="195"/>
      <c r="L54" s="195"/>
      <c r="M54" s="195"/>
      <c r="N54" s="341">
        <f t="shared" si="24"/>
        <v>1252898.54</v>
      </c>
      <c r="O54" s="185">
        <f t="shared" si="21"/>
        <v>1252898.54</v>
      </c>
      <c r="P54" s="187"/>
      <c r="Q54" s="187">
        <f t="shared" si="22"/>
        <v>1173125.9737827715</v>
      </c>
      <c r="R54" s="187">
        <f t="shared" si="23"/>
        <v>1173125.9737827715</v>
      </c>
      <c r="S54" s="197"/>
      <c r="T54" s="197"/>
      <c r="U54" s="198"/>
      <c r="V54" s="198"/>
      <c r="W54" s="97"/>
      <c r="X54">
        <v>18230665</v>
      </c>
      <c r="Y54">
        <v>18230737</v>
      </c>
      <c r="Z54">
        <v>18230690</v>
      </c>
      <c r="AA54">
        <v>18230662</v>
      </c>
      <c r="AB54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</row>
    <row r="55" spans="1:916" s="93" customFormat="1" x14ac:dyDescent="0.25">
      <c r="B55" s="182"/>
      <c r="C55" s="183" t="s">
        <v>419</v>
      </c>
      <c r="D55" s="182">
        <v>18230732</v>
      </c>
      <c r="E55" s="192"/>
      <c r="F55" s="192"/>
      <c r="G55" s="193"/>
      <c r="H55" s="194"/>
      <c r="I55" s="185">
        <f>SUMIF('Program Costs'!D:D,'Gas CE'!D55,'Program Costs'!N:N)</f>
        <v>652820.4</v>
      </c>
      <c r="J55" s="185"/>
      <c r="K55" s="209"/>
      <c r="L55" s="209"/>
      <c r="M55" s="209"/>
      <c r="N55" s="341">
        <f t="shared" si="24"/>
        <v>652820.4</v>
      </c>
      <c r="O55" s="185">
        <f t="shared" si="21"/>
        <v>652820.4</v>
      </c>
      <c r="P55" s="210"/>
      <c r="Q55" s="187">
        <f t="shared" si="22"/>
        <v>611255.05617977527</v>
      </c>
      <c r="R55" s="187">
        <f t="shared" si="23"/>
        <v>611255.05617977527</v>
      </c>
      <c r="S55" s="210"/>
      <c r="T55" s="185"/>
      <c r="U55" s="198"/>
      <c r="V55" s="198"/>
      <c r="W55" s="97"/>
      <c r="X55">
        <v>18230732</v>
      </c>
      <c r="Y55"/>
      <c r="Z55"/>
      <c r="AA55"/>
      <c r="AB55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916" s="93" customFormat="1" x14ac:dyDescent="0.25">
      <c r="B56" s="182"/>
      <c r="C56" s="206" t="s">
        <v>420</v>
      </c>
      <c r="D56" s="207">
        <v>18230675</v>
      </c>
      <c r="E56" s="192"/>
      <c r="F56" s="192"/>
      <c r="G56" s="193"/>
      <c r="H56" s="194"/>
      <c r="I56" s="185">
        <f>SUMIF('Program Costs'!D:D,'Gas CE'!D56,'Program Costs'!N:N)</f>
        <v>230333.2</v>
      </c>
      <c r="J56" s="185"/>
      <c r="K56" s="195"/>
      <c r="L56" s="195"/>
      <c r="M56" s="195"/>
      <c r="N56" s="341">
        <f t="shared" si="24"/>
        <v>230333.2</v>
      </c>
      <c r="O56" s="185">
        <f t="shared" si="21"/>
        <v>230333.2</v>
      </c>
      <c r="P56" s="187"/>
      <c r="Q56" s="187">
        <f t="shared" si="22"/>
        <v>215667.79026217229</v>
      </c>
      <c r="R56" s="187">
        <f t="shared" si="23"/>
        <v>215667.79026217229</v>
      </c>
      <c r="S56" s="197"/>
      <c r="T56" s="197"/>
      <c r="U56" s="198"/>
      <c r="V56" s="198"/>
      <c r="W56" s="97"/>
      <c r="X56">
        <v>18230675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916" s="93" customFormat="1" x14ac:dyDescent="0.25">
      <c r="B57" s="128"/>
      <c r="C57" s="128" t="s">
        <v>421</v>
      </c>
      <c r="D57" s="128"/>
      <c r="E57" s="128"/>
      <c r="F57" s="128"/>
      <c r="G57" s="128"/>
      <c r="H57" s="128">
        <f>SUM(H51:H56)</f>
        <v>0</v>
      </c>
      <c r="I57" s="212">
        <f>SUM(I44:I56)</f>
        <v>5816538.2400000012</v>
      </c>
      <c r="J57" s="128">
        <f>SUM(J44:J56)</f>
        <v>0</v>
      </c>
      <c r="K57" s="128">
        <f>SUM(K51:K56)</f>
        <v>0</v>
      </c>
      <c r="L57" s="128">
        <f>SUM(L51:L56)</f>
        <v>0</v>
      </c>
      <c r="M57" s="128">
        <f>SUM(M51:M56)</f>
        <v>0</v>
      </c>
      <c r="N57" s="361">
        <f>SUM(N44:N56)</f>
        <v>5816538.2400000012</v>
      </c>
      <c r="O57" s="212">
        <f>SUM(O44:O56)</f>
        <v>5816538.2400000012</v>
      </c>
      <c r="P57" s="212">
        <f>SUM(P44:P56)</f>
        <v>0</v>
      </c>
      <c r="Q57" s="212">
        <f>SUM(Q44:Q56)</f>
        <v>5446196.8539325828</v>
      </c>
      <c r="R57" s="212">
        <f>SUM(R44:R56)</f>
        <v>5446196.8539325828</v>
      </c>
      <c r="S57" s="128">
        <f>SUM(S51:S56)</f>
        <v>0</v>
      </c>
      <c r="T57" s="128">
        <f>SUM(T51:T56)</f>
        <v>0</v>
      </c>
      <c r="U57" s="128"/>
      <c r="V57" s="128"/>
      <c r="W57" s="97"/>
      <c r="X5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</row>
    <row r="58" spans="1:916" s="93" customFormat="1" x14ac:dyDescent="0.25">
      <c r="B58" s="362"/>
      <c r="C58" s="199" t="s">
        <v>422</v>
      </c>
      <c r="D58" s="363">
        <v>18230703</v>
      </c>
      <c r="E58" s="364"/>
      <c r="F58" s="365"/>
      <c r="G58" s="151"/>
      <c r="H58" s="258"/>
      <c r="I58" s="185">
        <f>SUMIF('Program Costs'!D:D,'Gas CE'!D58,'Program Costs'!N:N)</f>
        <v>164648.4</v>
      </c>
      <c r="J58" s="256"/>
      <c r="K58" s="366"/>
      <c r="L58" s="366"/>
      <c r="M58" s="366"/>
      <c r="N58" s="367">
        <f>I58</f>
        <v>164648.4</v>
      </c>
      <c r="O58" s="213">
        <f>I58</f>
        <v>164648.4</v>
      </c>
      <c r="P58" s="259"/>
      <c r="Q58" s="368">
        <f t="shared" ref="Q58:R63" si="29">N58/(1+ElecDiscountRate)^1</f>
        <v>154165.16853932582</v>
      </c>
      <c r="R58" s="368">
        <f t="shared" si="29"/>
        <v>154165.16853932582</v>
      </c>
      <c r="S58" s="369"/>
      <c r="T58" s="370"/>
      <c r="U58" s="371"/>
      <c r="V58" s="371"/>
      <c r="W58" s="97"/>
      <c r="X58" s="97">
        <v>18230703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916" s="93" customFormat="1" x14ac:dyDescent="0.25">
      <c r="A59" s="125"/>
      <c r="B59" s="362"/>
      <c r="C59" s="199" t="s">
        <v>423</v>
      </c>
      <c r="D59" s="363">
        <v>18230679</v>
      </c>
      <c r="E59" s="364"/>
      <c r="F59" s="365"/>
      <c r="G59" s="151"/>
      <c r="H59" s="258"/>
      <c r="I59" s="185">
        <f>SUMIF('Program Costs'!D:D,'Gas CE'!D59,'Program Costs'!N:N)</f>
        <v>220997.2</v>
      </c>
      <c r="J59" s="256"/>
      <c r="K59" s="366"/>
      <c r="L59" s="366"/>
      <c r="M59" s="366"/>
      <c r="N59" s="367">
        <f>I59</f>
        <v>220997.2</v>
      </c>
      <c r="O59" s="213">
        <f>I59</f>
        <v>220997.2</v>
      </c>
      <c r="P59" s="259"/>
      <c r="Q59" s="368">
        <f t="shared" si="29"/>
        <v>206926.21722846443</v>
      </c>
      <c r="R59" s="368">
        <f t="shared" si="29"/>
        <v>206926.21722846443</v>
      </c>
      <c r="S59" s="369"/>
      <c r="T59" s="370"/>
      <c r="U59" s="371"/>
      <c r="V59" s="371"/>
      <c r="W59" s="97"/>
      <c r="X59" s="97">
        <v>18230679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916" s="167" customFormat="1" x14ac:dyDescent="0.25">
      <c r="A60" s="93"/>
      <c r="B60" s="362"/>
      <c r="C60" s="199" t="s">
        <v>424</v>
      </c>
      <c r="D60" s="363">
        <v>18230669</v>
      </c>
      <c r="E60" s="364"/>
      <c r="F60" s="365"/>
      <c r="G60" s="151"/>
      <c r="H60" s="258"/>
      <c r="I60" s="185">
        <f>SUMIF('Program Costs'!D:D,'Gas CE'!D60,'Program Costs'!N:N)</f>
        <v>68210</v>
      </c>
      <c r="J60" s="256"/>
      <c r="K60" s="366"/>
      <c r="L60" s="366"/>
      <c r="M60" s="366"/>
      <c r="N60" s="367">
        <f>I60</f>
        <v>68210</v>
      </c>
      <c r="O60" s="213">
        <f>I60</f>
        <v>68210</v>
      </c>
      <c r="P60" s="259"/>
      <c r="Q60" s="368">
        <f t="shared" si="29"/>
        <v>63867.041198501865</v>
      </c>
      <c r="R60" s="368">
        <f t="shared" si="29"/>
        <v>63867.041198501865</v>
      </c>
      <c r="S60" s="369"/>
      <c r="T60" s="370"/>
      <c r="U60" s="371"/>
      <c r="V60" s="371"/>
      <c r="W60" s="97"/>
      <c r="X60" s="97">
        <v>18230669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916" s="215" customFormat="1" ht="14.1" customHeight="1" x14ac:dyDescent="0.25">
      <c r="A61" s="93"/>
      <c r="B61" s="362"/>
      <c r="C61" s="199" t="s">
        <v>425</v>
      </c>
      <c r="D61" s="363">
        <v>18230699</v>
      </c>
      <c r="E61" s="364"/>
      <c r="F61" s="365"/>
      <c r="G61" s="151"/>
      <c r="H61" s="258"/>
      <c r="I61" s="185">
        <f>SUMIF('Program Costs'!D:D,'Gas CE'!D61,'Program Costs'!N:N)</f>
        <v>618154.19999999995</v>
      </c>
      <c r="J61" s="256"/>
      <c r="K61" s="366"/>
      <c r="L61" s="366"/>
      <c r="M61" s="366"/>
      <c r="N61" s="367">
        <f>I61</f>
        <v>618154.19999999995</v>
      </c>
      <c r="O61" s="213">
        <f>I61</f>
        <v>618154.19999999995</v>
      </c>
      <c r="P61" s="259"/>
      <c r="Q61" s="368">
        <f t="shared" si="29"/>
        <v>578796.06741573021</v>
      </c>
      <c r="R61" s="368">
        <f t="shared" si="29"/>
        <v>578796.06741573021</v>
      </c>
      <c r="S61" s="369"/>
      <c r="T61" s="370"/>
      <c r="U61" s="371"/>
      <c r="V61" s="371"/>
      <c r="W61" s="97"/>
      <c r="X61" s="97">
        <v>18230699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916" s="215" customFormat="1" ht="14.1" customHeight="1" x14ac:dyDescent="0.25">
      <c r="A62" s="93"/>
      <c r="B62" s="362"/>
      <c r="C62" s="199" t="s">
        <v>2026</v>
      </c>
      <c r="D62" s="363">
        <v>18230262</v>
      </c>
      <c r="E62" s="364"/>
      <c r="F62" s="365"/>
      <c r="G62" s="151"/>
      <c r="H62" s="258"/>
      <c r="I62" s="185">
        <f>SUMIF('Program Costs'!D:D,'Gas CE'!D62,'Program Costs'!N:N)</f>
        <v>14000</v>
      </c>
      <c r="J62" s="256"/>
      <c r="K62" s="366"/>
      <c r="L62" s="366"/>
      <c r="M62" s="366"/>
      <c r="N62" s="367">
        <f>I62</f>
        <v>14000</v>
      </c>
      <c r="O62" s="213">
        <f>I62</f>
        <v>14000</v>
      </c>
      <c r="P62" s="259"/>
      <c r="Q62" s="368">
        <f t="shared" ref="Q62" si="30">N62/(1+ElecDiscountRate)^1</f>
        <v>13108.614232209737</v>
      </c>
      <c r="R62" s="368">
        <f t="shared" ref="R62" si="31">O62/(1+ElecDiscountRate)^1</f>
        <v>13108.614232209737</v>
      </c>
      <c r="S62" s="369"/>
      <c r="T62" s="370"/>
      <c r="U62" s="371"/>
      <c r="V62" s="371"/>
      <c r="W62" s="97"/>
      <c r="X62" s="97">
        <v>18230699</v>
      </c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916" s="220" customFormat="1" x14ac:dyDescent="0.25">
      <c r="A63" s="216"/>
      <c r="B63" s="128"/>
      <c r="C63" s="128" t="s">
        <v>427</v>
      </c>
      <c r="D63" s="128"/>
      <c r="E63" s="128"/>
      <c r="F63" s="128"/>
      <c r="G63" s="128"/>
      <c r="H63" s="128">
        <f t="shared" ref="H63:P63" si="32">SUM(H58:H61)</f>
        <v>0</v>
      </c>
      <c r="I63" s="212">
        <f>SUM(I58:I62)</f>
        <v>1086009.7999999998</v>
      </c>
      <c r="J63" s="212">
        <f t="shared" ref="J63:R63" si="33">SUM(J58:J62)</f>
        <v>0</v>
      </c>
      <c r="K63" s="212">
        <f t="shared" si="33"/>
        <v>0</v>
      </c>
      <c r="L63" s="212">
        <f t="shared" si="33"/>
        <v>0</v>
      </c>
      <c r="M63" s="212">
        <f t="shared" si="33"/>
        <v>0</v>
      </c>
      <c r="N63" s="212">
        <f t="shared" si="33"/>
        <v>1086009.7999999998</v>
      </c>
      <c r="O63" s="212">
        <f t="shared" si="33"/>
        <v>1086009.7999999998</v>
      </c>
      <c r="P63" s="212">
        <f t="shared" si="33"/>
        <v>0</v>
      </c>
      <c r="Q63" s="212">
        <f t="shared" si="33"/>
        <v>1016863.1086142322</v>
      </c>
      <c r="R63" s="212">
        <f t="shared" si="33"/>
        <v>1016863.1086142322</v>
      </c>
      <c r="S63" s="128">
        <f>SUM(S58:S61)</f>
        <v>0</v>
      </c>
      <c r="T63" s="128">
        <f>SUM(T58:T61)</f>
        <v>0</v>
      </c>
      <c r="U63" s="128"/>
      <c r="V63" s="12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916" s="20" customFormat="1" ht="12.75" x14ac:dyDescent="0.2">
      <c r="B64" s="307" t="s">
        <v>461</v>
      </c>
      <c r="C64" s="307"/>
      <c r="D64" s="307"/>
      <c r="E64" s="344"/>
      <c r="F64" s="308"/>
      <c r="G64" s="309"/>
      <c r="H64" s="372">
        <f>SUM(H61:H61)</f>
        <v>0</v>
      </c>
      <c r="I64" s="312">
        <f>I57+I63</f>
        <v>6902548.040000001</v>
      </c>
      <c r="J64" s="312">
        <f t="shared" ref="J64:T64" si="34">J57+J63</f>
        <v>0</v>
      </c>
      <c r="K64" s="312">
        <f t="shared" si="34"/>
        <v>0</v>
      </c>
      <c r="L64" s="312">
        <f t="shared" si="34"/>
        <v>0</v>
      </c>
      <c r="M64" s="312">
        <f t="shared" si="34"/>
        <v>0</v>
      </c>
      <c r="N64" s="338">
        <f t="shared" si="34"/>
        <v>6902548.040000001</v>
      </c>
      <c r="O64" s="312">
        <f t="shared" si="34"/>
        <v>6902548.040000001</v>
      </c>
      <c r="P64" s="312">
        <f t="shared" si="34"/>
        <v>0</v>
      </c>
      <c r="Q64" s="312">
        <f t="shared" si="34"/>
        <v>6463059.9625468152</v>
      </c>
      <c r="R64" s="312">
        <f t="shared" si="34"/>
        <v>6463059.9625468152</v>
      </c>
      <c r="S64" s="312">
        <f t="shared" si="34"/>
        <v>0</v>
      </c>
      <c r="T64" s="312">
        <f t="shared" si="34"/>
        <v>0</v>
      </c>
      <c r="U64" s="312"/>
      <c r="V64" s="31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  <c r="IW64" s="152"/>
      <c r="IX64" s="152"/>
      <c r="IY64" s="152"/>
      <c r="IZ64" s="152"/>
      <c r="JA64" s="152"/>
      <c r="JB64" s="152"/>
      <c r="JC64" s="152"/>
      <c r="JD64" s="152"/>
      <c r="JE64" s="152"/>
      <c r="JF64" s="152"/>
      <c r="JG64" s="152"/>
      <c r="JH64" s="152"/>
      <c r="JI64" s="152"/>
      <c r="JJ64" s="152"/>
      <c r="JK64" s="152"/>
      <c r="JL64" s="152"/>
      <c r="JM64" s="152"/>
      <c r="JN64" s="152"/>
      <c r="JO64" s="152"/>
      <c r="JP64" s="152"/>
      <c r="JQ64" s="152"/>
      <c r="JR64" s="152"/>
      <c r="JS64" s="152"/>
      <c r="JT64" s="152"/>
      <c r="JU64" s="152"/>
      <c r="JV64" s="152"/>
      <c r="JW64" s="152"/>
      <c r="JX64" s="152"/>
      <c r="JY64" s="152"/>
      <c r="JZ64" s="152"/>
      <c r="KA64" s="152"/>
      <c r="KB64" s="152"/>
      <c r="KC64" s="152"/>
      <c r="KD64" s="152"/>
      <c r="KE64" s="152"/>
      <c r="KF64" s="152"/>
      <c r="KG64" s="152"/>
      <c r="KH64" s="152"/>
      <c r="KI64" s="152"/>
      <c r="KJ64" s="152"/>
      <c r="KK64" s="152"/>
      <c r="KL64" s="152"/>
      <c r="KM64" s="152"/>
      <c r="KN64" s="152"/>
      <c r="KO64" s="152"/>
      <c r="KP64" s="152"/>
      <c r="KQ64" s="152"/>
      <c r="KR64" s="152"/>
      <c r="KS64" s="152"/>
      <c r="KT64" s="152"/>
      <c r="KU64" s="152"/>
      <c r="KV64" s="152"/>
      <c r="KW64" s="152"/>
      <c r="KX64" s="152"/>
      <c r="KY64" s="152"/>
      <c r="KZ64" s="152"/>
      <c r="LA64" s="152"/>
      <c r="LB64" s="152"/>
      <c r="LC64" s="152"/>
      <c r="LD64" s="152"/>
      <c r="LE64" s="152"/>
      <c r="LF64" s="152"/>
      <c r="LG64" s="152"/>
      <c r="LH64" s="152"/>
      <c r="LI64" s="152"/>
      <c r="LJ64" s="152"/>
      <c r="LK64" s="152"/>
      <c r="LL64" s="152"/>
      <c r="LM64" s="152"/>
      <c r="LN64" s="152"/>
      <c r="LO64" s="152"/>
      <c r="LP64" s="152"/>
      <c r="LQ64" s="152"/>
      <c r="LR64" s="152"/>
      <c r="LS64" s="152"/>
      <c r="LT64" s="152"/>
      <c r="LU64" s="152"/>
      <c r="LV64" s="152"/>
      <c r="LW64" s="152"/>
      <c r="LX64" s="152"/>
      <c r="LY64" s="152"/>
      <c r="LZ64" s="152"/>
      <c r="MA64" s="152"/>
      <c r="MB64" s="152"/>
      <c r="MC64" s="152"/>
      <c r="MD64" s="152"/>
      <c r="ME64" s="152"/>
      <c r="MF64" s="152"/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  <c r="ZL64" s="152"/>
      <c r="ZM64" s="152"/>
      <c r="ZN64" s="152"/>
      <c r="ZO64" s="152"/>
      <c r="ZP64" s="152"/>
      <c r="ZQ64" s="152"/>
      <c r="ZR64" s="152"/>
      <c r="ZS64" s="152"/>
      <c r="ZT64" s="152"/>
      <c r="ZU64" s="152"/>
      <c r="ZV64" s="152"/>
      <c r="ZW64" s="152"/>
      <c r="ZX64" s="152"/>
      <c r="ZY64" s="152"/>
      <c r="ZZ64" s="152"/>
      <c r="AAA64" s="152"/>
      <c r="AAB64" s="152"/>
      <c r="AAC64" s="152"/>
      <c r="AAD64" s="152"/>
      <c r="AAE64" s="152"/>
      <c r="AAF64" s="152"/>
      <c r="AAG64" s="152"/>
      <c r="AAH64" s="152"/>
      <c r="AAI64" s="152"/>
      <c r="AAJ64" s="152"/>
      <c r="AAK64" s="152"/>
      <c r="AAL64" s="152"/>
      <c r="AAM64" s="152"/>
      <c r="AAN64" s="152"/>
      <c r="AAO64" s="152"/>
      <c r="AAP64" s="152"/>
      <c r="AAQ64" s="152"/>
      <c r="AAR64" s="152"/>
      <c r="AAS64" s="152"/>
      <c r="AAT64" s="152"/>
      <c r="AAU64" s="152"/>
      <c r="AAV64" s="152"/>
      <c r="AAW64" s="152"/>
      <c r="AAX64" s="152"/>
      <c r="AAY64" s="152"/>
      <c r="AAZ64" s="152"/>
      <c r="ABA64" s="152"/>
      <c r="ABB64" s="152"/>
      <c r="ABC64" s="152"/>
      <c r="ABD64" s="152"/>
      <c r="ABE64" s="152"/>
      <c r="ABF64" s="152"/>
      <c r="ABG64" s="152"/>
      <c r="ABH64" s="152"/>
      <c r="ABI64" s="152"/>
      <c r="ABJ64" s="152"/>
      <c r="ABK64" s="152"/>
      <c r="ABL64" s="152"/>
      <c r="ABM64" s="152"/>
      <c r="ABN64" s="152"/>
      <c r="ABO64" s="152"/>
      <c r="ABP64" s="152"/>
      <c r="ABQ64" s="152"/>
      <c r="ABR64" s="152"/>
      <c r="ABS64" s="152"/>
      <c r="ABT64" s="152"/>
      <c r="ABU64" s="152"/>
      <c r="ABV64" s="152"/>
      <c r="ABW64" s="152"/>
      <c r="ABX64" s="152"/>
      <c r="ABY64" s="152"/>
      <c r="ABZ64" s="152"/>
      <c r="ACA64" s="152"/>
      <c r="ACB64" s="152"/>
      <c r="ACC64" s="152"/>
      <c r="ACD64" s="152"/>
      <c r="ACE64" s="152"/>
      <c r="ACF64" s="152"/>
      <c r="ACG64" s="152"/>
      <c r="ACH64" s="152"/>
      <c r="ACI64" s="152"/>
      <c r="ACJ64" s="152"/>
      <c r="ACK64" s="152"/>
      <c r="ACL64" s="152"/>
      <c r="ACM64" s="152"/>
      <c r="ACN64" s="152"/>
      <c r="ACO64" s="152"/>
      <c r="ACP64" s="152"/>
      <c r="ACQ64" s="152"/>
      <c r="ACR64" s="152"/>
      <c r="ACS64" s="152"/>
      <c r="ACT64" s="152"/>
      <c r="ACU64" s="152"/>
      <c r="ACV64" s="152"/>
      <c r="ACW64" s="152"/>
      <c r="ACX64" s="152"/>
      <c r="ACY64" s="152"/>
      <c r="ACZ64" s="152"/>
      <c r="ADA64" s="152"/>
      <c r="ADB64" s="152"/>
      <c r="ADC64" s="152"/>
      <c r="ADD64" s="152"/>
      <c r="ADE64" s="152"/>
      <c r="ADF64" s="152"/>
      <c r="ADG64" s="152"/>
      <c r="ADH64" s="152"/>
      <c r="ADI64" s="152"/>
      <c r="ADJ64" s="152"/>
      <c r="ADK64" s="152"/>
      <c r="ADL64" s="152"/>
      <c r="ADM64" s="152"/>
      <c r="ADN64" s="152"/>
      <c r="ADO64" s="152"/>
      <c r="ADP64" s="152"/>
      <c r="ADQ64" s="152"/>
      <c r="ADR64" s="152"/>
      <c r="ADS64" s="152"/>
      <c r="ADT64" s="152"/>
      <c r="ADU64" s="152"/>
      <c r="ADV64" s="152"/>
      <c r="ADW64" s="152"/>
      <c r="ADX64" s="152"/>
      <c r="ADY64" s="152"/>
      <c r="ADZ64" s="152"/>
      <c r="AEA64" s="152"/>
      <c r="AEB64" s="152"/>
      <c r="AEC64" s="152"/>
      <c r="AED64" s="152"/>
      <c r="AEE64" s="152"/>
      <c r="AEF64" s="152"/>
      <c r="AEG64" s="152"/>
      <c r="AEH64" s="152"/>
      <c r="AEI64" s="152"/>
      <c r="AEJ64" s="152"/>
      <c r="AEK64" s="152"/>
      <c r="AEL64" s="152"/>
      <c r="AEM64" s="152"/>
      <c r="AEN64" s="152"/>
      <c r="AEO64" s="152"/>
      <c r="AEP64" s="152"/>
      <c r="AEQ64" s="152"/>
      <c r="AER64" s="152"/>
      <c r="AES64" s="152"/>
      <c r="AET64" s="152"/>
      <c r="AEU64" s="152"/>
      <c r="AEV64" s="152"/>
      <c r="AEW64" s="152"/>
      <c r="AEX64" s="152"/>
      <c r="AEY64" s="152"/>
      <c r="AEZ64" s="152"/>
      <c r="AFA64" s="152"/>
      <c r="AFB64" s="152"/>
      <c r="AFC64" s="152"/>
      <c r="AFD64" s="152"/>
      <c r="AFE64" s="152"/>
      <c r="AFF64" s="152"/>
      <c r="AFG64" s="152"/>
      <c r="AFH64" s="152"/>
      <c r="AFI64" s="152"/>
      <c r="AFJ64" s="152"/>
      <c r="AFK64" s="152"/>
      <c r="AFL64" s="152"/>
      <c r="AFM64" s="152"/>
      <c r="AFN64" s="152"/>
      <c r="AFO64" s="152"/>
      <c r="AFP64" s="152"/>
      <c r="AFQ64" s="152"/>
      <c r="AFR64" s="152"/>
      <c r="AFS64" s="152"/>
      <c r="AFT64" s="152"/>
      <c r="AFU64" s="152"/>
      <c r="AFV64" s="152"/>
      <c r="AFW64" s="152"/>
      <c r="AFX64" s="152"/>
      <c r="AFY64" s="152"/>
      <c r="AFZ64" s="152"/>
      <c r="AGA64" s="152"/>
      <c r="AGB64" s="152"/>
      <c r="AGC64" s="152"/>
      <c r="AGD64" s="152"/>
      <c r="AGE64" s="152"/>
      <c r="AGF64" s="152"/>
      <c r="AGG64" s="152"/>
      <c r="AGH64" s="152"/>
      <c r="AGI64" s="152"/>
      <c r="AGJ64" s="152"/>
      <c r="AGK64" s="152"/>
      <c r="AGL64" s="152"/>
      <c r="AGM64" s="152"/>
      <c r="AGN64" s="152"/>
      <c r="AGO64" s="152"/>
      <c r="AGP64" s="152"/>
      <c r="AGQ64" s="152"/>
      <c r="AGR64" s="152"/>
      <c r="AGS64" s="152"/>
      <c r="AGT64" s="152"/>
      <c r="AGU64" s="152"/>
      <c r="AGV64" s="152"/>
      <c r="AGW64" s="152"/>
      <c r="AGX64" s="152"/>
      <c r="AGY64" s="152"/>
      <c r="AGZ64" s="152"/>
      <c r="AHA64" s="152"/>
      <c r="AHB64" s="152"/>
      <c r="AHC64" s="152"/>
      <c r="AHD64" s="152"/>
      <c r="AHE64" s="152"/>
      <c r="AHF64" s="152"/>
      <c r="AHG64" s="152"/>
      <c r="AHH64" s="152"/>
      <c r="AHI64" s="152"/>
      <c r="AHJ64" s="152"/>
      <c r="AHK64" s="152"/>
      <c r="AHL64" s="152"/>
      <c r="AHM64" s="152"/>
      <c r="AHN64" s="152"/>
      <c r="AHO64" s="152"/>
      <c r="AHP64" s="152"/>
      <c r="AHQ64" s="152"/>
      <c r="AHR64" s="152"/>
      <c r="AHS64" s="152"/>
      <c r="AHT64" s="152"/>
      <c r="AHU64" s="152"/>
      <c r="AHV64" s="152"/>
      <c r="AHW64" s="152"/>
      <c r="AHX64" s="152"/>
      <c r="AHY64" s="152"/>
      <c r="AHZ64" s="152"/>
      <c r="AIA64" s="152"/>
      <c r="AIB64" s="152"/>
      <c r="AIC64" s="152"/>
      <c r="AID64" s="152"/>
      <c r="AIE64" s="152"/>
      <c r="AIF64" s="152"/>
    </row>
    <row r="65" spans="1:916" s="277" customFormat="1" x14ac:dyDescent="0.25">
      <c r="A65" s="221"/>
      <c r="B65" s="373" t="s">
        <v>462</v>
      </c>
      <c r="C65" s="373"/>
      <c r="D65" s="373"/>
      <c r="E65" s="373"/>
      <c r="F65" s="373"/>
      <c r="G65" s="373"/>
      <c r="H65" s="374">
        <f t="shared" ref="H65:T65" si="35">SUM(H23,H36,H39,H42,H64)</f>
        <v>6995352.9085999988</v>
      </c>
      <c r="I65" s="374">
        <f t="shared" si="35"/>
        <v>24209389.450000003</v>
      </c>
      <c r="J65" s="374">
        <f t="shared" si="35"/>
        <v>30383076.18</v>
      </c>
      <c r="K65" s="374">
        <f t="shared" si="35"/>
        <v>21647963.339999996</v>
      </c>
      <c r="L65" s="374">
        <f t="shared" si="35"/>
        <v>52031039.520000003</v>
      </c>
      <c r="M65" s="374">
        <f t="shared" si="35"/>
        <v>0</v>
      </c>
      <c r="N65" s="375">
        <f t="shared" si="35"/>
        <v>54699844.630000003</v>
      </c>
      <c r="O65" s="374">
        <f t="shared" si="35"/>
        <v>76240428.970000014</v>
      </c>
      <c r="P65" s="374">
        <f t="shared" si="35"/>
        <v>630873.08629000001</v>
      </c>
      <c r="Q65" s="374">
        <f t="shared" si="35"/>
        <v>51217082.986891389</v>
      </c>
      <c r="R65" s="374">
        <f t="shared" si="35"/>
        <v>71386169.447565541</v>
      </c>
      <c r="S65" s="374">
        <f t="shared" si="35"/>
        <v>69355601.979866624</v>
      </c>
      <c r="T65" s="374">
        <f t="shared" si="35"/>
        <v>13161930.288286</v>
      </c>
      <c r="U65" s="376">
        <f>S65/Q65</f>
        <v>1.3541497862659935</v>
      </c>
      <c r="V65" s="376">
        <f>(S65*1.1+T65)/R65</f>
        <v>1.2530871618184281</v>
      </c>
      <c r="W65" s="221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  <c r="IU65" s="230"/>
      <c r="IV65" s="230"/>
      <c r="IW65" s="230"/>
      <c r="IX65" s="230"/>
      <c r="IY65" s="230"/>
      <c r="IZ65" s="230"/>
      <c r="JA65" s="230"/>
      <c r="JB65" s="230"/>
      <c r="JC65" s="230"/>
      <c r="JD65" s="230"/>
      <c r="JE65" s="230"/>
      <c r="JF65" s="230"/>
      <c r="JG65" s="230"/>
      <c r="JH65" s="230"/>
      <c r="JI65" s="230"/>
      <c r="JJ65" s="230"/>
      <c r="JK65" s="230"/>
      <c r="JL65" s="230"/>
      <c r="JM65" s="230"/>
      <c r="JN65" s="230"/>
      <c r="JO65" s="230"/>
      <c r="JP65" s="230"/>
      <c r="JQ65" s="230"/>
      <c r="JR65" s="230"/>
      <c r="JS65" s="230"/>
      <c r="JT65" s="230"/>
      <c r="JU65" s="230"/>
      <c r="JV65" s="230"/>
      <c r="JW65" s="230"/>
      <c r="JX65" s="230"/>
      <c r="JY65" s="230"/>
      <c r="JZ65" s="230"/>
      <c r="KA65" s="230"/>
      <c r="KB65" s="230"/>
      <c r="KC65" s="230"/>
      <c r="KD65" s="230"/>
      <c r="KE65" s="230"/>
      <c r="KF65" s="230"/>
      <c r="KG65" s="230"/>
      <c r="KH65" s="230"/>
      <c r="KI65" s="230"/>
      <c r="KJ65" s="230"/>
      <c r="KK65" s="230"/>
      <c r="KL65" s="230"/>
      <c r="KM65" s="230"/>
      <c r="KN65" s="230"/>
      <c r="KO65" s="230"/>
      <c r="KP65" s="230"/>
      <c r="KQ65" s="230"/>
      <c r="KR65" s="230"/>
      <c r="KS65" s="230"/>
      <c r="KT65" s="230"/>
      <c r="KU65" s="230"/>
      <c r="KV65" s="230"/>
      <c r="KW65" s="230"/>
      <c r="KX65" s="230"/>
      <c r="KY65" s="230"/>
      <c r="KZ65" s="230"/>
      <c r="LA65" s="230"/>
      <c r="LB65" s="230"/>
      <c r="LC65" s="230"/>
      <c r="LD65" s="230"/>
      <c r="LE65" s="230"/>
      <c r="LF65" s="230"/>
      <c r="LG65" s="230"/>
      <c r="LH65" s="230"/>
      <c r="LI65" s="230"/>
      <c r="LJ65" s="230"/>
      <c r="LK65" s="230"/>
      <c r="LL65" s="230"/>
      <c r="LM65" s="230"/>
      <c r="LN65" s="230"/>
      <c r="LO65" s="230"/>
      <c r="LP65" s="230"/>
      <c r="LQ65" s="230"/>
      <c r="LR65" s="230"/>
      <c r="LS65" s="230"/>
      <c r="LT65" s="230"/>
      <c r="LU65" s="230"/>
      <c r="LV65" s="230"/>
      <c r="LW65" s="230"/>
      <c r="LX65" s="230"/>
      <c r="LY65" s="230"/>
      <c r="LZ65" s="230"/>
      <c r="MA65" s="230"/>
      <c r="MB65" s="230"/>
      <c r="MC65" s="230"/>
      <c r="MD65" s="230"/>
      <c r="ME65" s="230"/>
      <c r="MF65" s="230"/>
      <c r="MG65" s="230"/>
      <c r="MH65" s="230"/>
      <c r="MI65" s="230"/>
      <c r="MJ65" s="230"/>
      <c r="MK65" s="230"/>
      <c r="ML65" s="230"/>
      <c r="MM65" s="230"/>
      <c r="MN65" s="230"/>
      <c r="MO65" s="230"/>
      <c r="MP65" s="230"/>
      <c r="MQ65" s="230"/>
      <c r="MR65" s="230"/>
      <c r="MS65" s="230"/>
      <c r="MT65" s="230"/>
      <c r="MU65" s="230"/>
      <c r="MV65" s="230"/>
      <c r="MW65" s="230"/>
      <c r="MX65" s="230"/>
      <c r="MY65" s="230"/>
      <c r="MZ65" s="230"/>
      <c r="NA65" s="230"/>
      <c r="NB65" s="230"/>
      <c r="NC65" s="230"/>
      <c r="ND65" s="230"/>
      <c r="NE65" s="230"/>
      <c r="NF65" s="230"/>
      <c r="NG65" s="230"/>
      <c r="NH65" s="230"/>
      <c r="NI65" s="230"/>
      <c r="NJ65" s="230"/>
      <c r="NK65" s="230"/>
      <c r="NL65" s="230"/>
      <c r="NM65" s="230"/>
      <c r="NN65" s="230"/>
      <c r="NO65" s="230"/>
      <c r="NP65" s="230"/>
      <c r="NQ65" s="230"/>
      <c r="NR65" s="230"/>
      <c r="NS65" s="230"/>
      <c r="NT65" s="230"/>
      <c r="NU65" s="230"/>
      <c r="NV65" s="230"/>
      <c r="NW65" s="230"/>
      <c r="NX65" s="230"/>
      <c r="NY65" s="230"/>
      <c r="NZ65" s="230"/>
      <c r="OA65" s="230"/>
      <c r="OB65" s="230"/>
      <c r="OC65" s="230"/>
      <c r="OD65" s="230"/>
      <c r="OE65" s="230"/>
      <c r="OF65" s="230"/>
      <c r="OG65" s="230"/>
      <c r="OH65" s="230"/>
      <c r="OI65" s="230"/>
      <c r="OJ65" s="230"/>
      <c r="OK65" s="230"/>
      <c r="OL65" s="230"/>
      <c r="OM65" s="230"/>
      <c r="ON65" s="230"/>
      <c r="OO65" s="230"/>
      <c r="OP65" s="230"/>
      <c r="OQ65" s="230"/>
      <c r="OR65" s="230"/>
      <c r="OS65" s="230"/>
      <c r="OT65" s="230"/>
      <c r="OU65" s="230"/>
      <c r="OV65" s="230"/>
      <c r="OW65" s="230"/>
      <c r="OX65" s="230"/>
      <c r="OY65" s="230"/>
      <c r="OZ65" s="230"/>
      <c r="PA65" s="230"/>
      <c r="PB65" s="230"/>
      <c r="PC65" s="230"/>
      <c r="PD65" s="230"/>
      <c r="PE65" s="230"/>
      <c r="PF65" s="230"/>
      <c r="PG65" s="230"/>
      <c r="PH65" s="230"/>
      <c r="PI65" s="230"/>
      <c r="PJ65" s="230"/>
      <c r="PK65" s="230"/>
      <c r="PL65" s="230"/>
      <c r="PM65" s="230"/>
      <c r="PN65" s="230"/>
      <c r="PO65" s="230"/>
      <c r="PP65" s="230"/>
      <c r="PQ65" s="230"/>
      <c r="PR65" s="230"/>
      <c r="PS65" s="230"/>
      <c r="PT65" s="230"/>
      <c r="PU65" s="230"/>
      <c r="PV65" s="230"/>
      <c r="PW65" s="230"/>
      <c r="PX65" s="230"/>
      <c r="PY65" s="230"/>
      <c r="PZ65" s="230"/>
      <c r="QA65" s="230"/>
      <c r="QB65" s="230"/>
      <c r="QC65" s="230"/>
      <c r="QD65" s="230"/>
      <c r="QE65" s="230"/>
      <c r="QF65" s="230"/>
      <c r="QG65" s="230"/>
      <c r="QH65" s="230"/>
      <c r="QI65" s="230"/>
      <c r="QJ65" s="230"/>
      <c r="QK65" s="230"/>
      <c r="QL65" s="230"/>
      <c r="QM65" s="230"/>
      <c r="QN65" s="230"/>
      <c r="QO65" s="230"/>
      <c r="QP65" s="230"/>
      <c r="QQ65" s="230"/>
      <c r="QR65" s="230"/>
      <c r="QS65" s="230"/>
      <c r="QT65" s="230"/>
      <c r="QU65" s="230"/>
      <c r="QV65" s="230"/>
      <c r="QW65" s="230"/>
      <c r="QX65" s="230"/>
      <c r="QY65" s="230"/>
      <c r="QZ65" s="230"/>
      <c r="RA65" s="230"/>
      <c r="RB65" s="230"/>
      <c r="RC65" s="230"/>
      <c r="RD65" s="230"/>
      <c r="RE65" s="230"/>
      <c r="RF65" s="230"/>
      <c r="RG65" s="230"/>
      <c r="RH65" s="230"/>
      <c r="RI65" s="230"/>
      <c r="RJ65" s="230"/>
      <c r="RK65" s="230"/>
      <c r="RL65" s="230"/>
      <c r="RM65" s="230"/>
      <c r="RN65" s="230"/>
      <c r="RO65" s="230"/>
      <c r="RP65" s="230"/>
      <c r="RQ65" s="230"/>
      <c r="RR65" s="230"/>
      <c r="RS65" s="230"/>
      <c r="RT65" s="230"/>
      <c r="RU65" s="230"/>
      <c r="RV65" s="230"/>
      <c r="RW65" s="230"/>
      <c r="RX65" s="230"/>
      <c r="RY65" s="230"/>
      <c r="RZ65" s="230"/>
      <c r="SA65" s="230"/>
      <c r="SB65" s="230"/>
      <c r="SC65" s="230"/>
      <c r="SD65" s="230"/>
      <c r="SE65" s="230"/>
      <c r="SF65" s="230"/>
      <c r="SG65" s="230"/>
      <c r="SH65" s="230"/>
      <c r="SI65" s="230"/>
      <c r="SJ65" s="230"/>
      <c r="SK65" s="230"/>
      <c r="SL65" s="230"/>
      <c r="SM65" s="230"/>
      <c r="SN65" s="230"/>
      <c r="SO65" s="230"/>
      <c r="SP65" s="230"/>
      <c r="SQ65" s="230"/>
      <c r="SR65" s="230"/>
      <c r="SS65" s="230"/>
      <c r="ST65" s="230"/>
      <c r="SU65" s="230"/>
      <c r="SV65" s="230"/>
      <c r="SW65" s="230"/>
      <c r="SX65" s="230"/>
      <c r="SY65" s="230"/>
      <c r="SZ65" s="230"/>
      <c r="TA65" s="230"/>
      <c r="TB65" s="230"/>
      <c r="TC65" s="230"/>
      <c r="TD65" s="230"/>
      <c r="TE65" s="230"/>
      <c r="TF65" s="230"/>
      <c r="TG65" s="230"/>
      <c r="TH65" s="230"/>
      <c r="TI65" s="230"/>
      <c r="TJ65" s="230"/>
      <c r="TK65" s="230"/>
      <c r="TL65" s="230"/>
      <c r="TM65" s="230"/>
      <c r="TN65" s="230"/>
      <c r="TO65" s="230"/>
      <c r="TP65" s="230"/>
      <c r="TQ65" s="230"/>
      <c r="TR65" s="230"/>
      <c r="TS65" s="230"/>
      <c r="TT65" s="230"/>
      <c r="TU65" s="230"/>
      <c r="TV65" s="230"/>
      <c r="TW65" s="230"/>
      <c r="TX65" s="230"/>
      <c r="TY65" s="230"/>
      <c r="TZ65" s="230"/>
      <c r="UA65" s="230"/>
      <c r="UB65" s="230"/>
      <c r="UC65" s="230"/>
      <c r="UD65" s="230"/>
      <c r="UE65" s="230"/>
      <c r="UF65" s="230"/>
      <c r="UG65" s="230"/>
      <c r="UH65" s="230"/>
      <c r="UI65" s="230"/>
      <c r="UJ65" s="230"/>
      <c r="UK65" s="230"/>
      <c r="UL65" s="230"/>
      <c r="UM65" s="230"/>
      <c r="UN65" s="230"/>
      <c r="UO65" s="230"/>
      <c r="UP65" s="230"/>
      <c r="UQ65" s="230"/>
      <c r="UR65" s="230"/>
      <c r="US65" s="230"/>
      <c r="UT65" s="230"/>
      <c r="UU65" s="230"/>
      <c r="UV65" s="230"/>
      <c r="UW65" s="230"/>
      <c r="UX65" s="230"/>
      <c r="UY65" s="230"/>
      <c r="UZ65" s="230"/>
      <c r="VA65" s="230"/>
      <c r="VB65" s="230"/>
      <c r="VC65" s="230"/>
      <c r="VD65" s="230"/>
      <c r="VE65" s="230"/>
      <c r="VF65" s="230"/>
      <c r="VG65" s="230"/>
      <c r="VH65" s="230"/>
      <c r="VI65" s="230"/>
      <c r="VJ65" s="230"/>
      <c r="VK65" s="230"/>
      <c r="VL65" s="230"/>
      <c r="VM65" s="230"/>
      <c r="VN65" s="230"/>
      <c r="VO65" s="230"/>
      <c r="VP65" s="230"/>
      <c r="VQ65" s="230"/>
      <c r="VR65" s="230"/>
      <c r="VS65" s="230"/>
      <c r="VT65" s="230"/>
      <c r="VU65" s="230"/>
      <c r="VV65" s="230"/>
      <c r="VW65" s="230"/>
      <c r="VX65" s="230"/>
      <c r="VY65" s="230"/>
      <c r="VZ65" s="230"/>
      <c r="WA65" s="230"/>
      <c r="WB65" s="230"/>
      <c r="WC65" s="230"/>
      <c r="WD65" s="230"/>
      <c r="WE65" s="230"/>
      <c r="WF65" s="230"/>
      <c r="WG65" s="230"/>
      <c r="WH65" s="230"/>
      <c r="WI65" s="230"/>
      <c r="WJ65" s="230"/>
      <c r="WK65" s="230"/>
      <c r="WL65" s="230"/>
      <c r="WM65" s="230"/>
      <c r="WN65" s="230"/>
      <c r="WO65" s="230"/>
      <c r="WP65" s="230"/>
      <c r="WQ65" s="230"/>
      <c r="WR65" s="230"/>
      <c r="WS65" s="230"/>
      <c r="WT65" s="230"/>
      <c r="WU65" s="230"/>
      <c r="WV65" s="230"/>
      <c r="WW65" s="230"/>
      <c r="WX65" s="230"/>
      <c r="WY65" s="230"/>
      <c r="WZ65" s="230"/>
      <c r="XA65" s="230"/>
      <c r="XB65" s="230"/>
      <c r="XC65" s="230"/>
      <c r="XD65" s="230"/>
      <c r="XE65" s="230"/>
      <c r="XF65" s="230"/>
      <c r="XG65" s="230"/>
      <c r="XH65" s="230"/>
      <c r="XI65" s="230"/>
      <c r="XJ65" s="230"/>
      <c r="XK65" s="230"/>
      <c r="XL65" s="230"/>
      <c r="XM65" s="230"/>
      <c r="XN65" s="230"/>
      <c r="XO65" s="230"/>
      <c r="XP65" s="230"/>
      <c r="XQ65" s="230"/>
      <c r="XR65" s="230"/>
      <c r="XS65" s="230"/>
      <c r="XT65" s="230"/>
      <c r="XU65" s="230"/>
      <c r="XV65" s="230"/>
      <c r="XW65" s="230"/>
      <c r="XX65" s="230"/>
      <c r="XY65" s="230"/>
      <c r="XZ65" s="230"/>
      <c r="YA65" s="230"/>
      <c r="YB65" s="230"/>
      <c r="YC65" s="230"/>
      <c r="YD65" s="230"/>
      <c r="YE65" s="230"/>
      <c r="YF65" s="230"/>
      <c r="YG65" s="230"/>
      <c r="YH65" s="230"/>
      <c r="YI65" s="230"/>
      <c r="YJ65" s="230"/>
      <c r="YK65" s="230"/>
      <c r="YL65" s="230"/>
      <c r="YM65" s="230"/>
      <c r="YN65" s="230"/>
      <c r="YO65" s="230"/>
      <c r="YP65" s="230"/>
      <c r="YQ65" s="230"/>
      <c r="YR65" s="230"/>
      <c r="YS65" s="230"/>
      <c r="YT65" s="230"/>
      <c r="YU65" s="230"/>
      <c r="YV65" s="230"/>
      <c r="YW65" s="230"/>
      <c r="YX65" s="230"/>
      <c r="YY65" s="230"/>
      <c r="YZ65" s="230"/>
      <c r="ZA65" s="230"/>
      <c r="ZB65" s="230"/>
      <c r="ZC65" s="230"/>
      <c r="ZD65" s="230"/>
      <c r="ZE65" s="230"/>
      <c r="ZF65" s="230"/>
      <c r="ZG65" s="230"/>
      <c r="ZH65" s="230"/>
      <c r="ZI65" s="230"/>
      <c r="ZJ65" s="230"/>
      <c r="ZK65" s="230"/>
      <c r="ZL65" s="230"/>
      <c r="ZM65" s="230"/>
      <c r="ZN65" s="230"/>
      <c r="ZO65" s="230"/>
      <c r="ZP65" s="230"/>
      <c r="ZQ65" s="230"/>
      <c r="ZR65" s="230"/>
      <c r="ZS65" s="230"/>
      <c r="ZT65" s="230"/>
      <c r="ZU65" s="230"/>
      <c r="ZV65" s="230"/>
      <c r="ZW65" s="230"/>
      <c r="ZX65" s="230"/>
      <c r="ZY65" s="230"/>
      <c r="ZZ65" s="230"/>
      <c r="AAA65" s="230"/>
      <c r="AAB65" s="230"/>
      <c r="AAC65" s="230"/>
      <c r="AAD65" s="230"/>
      <c r="AAE65" s="230"/>
      <c r="AAF65" s="230"/>
      <c r="AAG65" s="230"/>
      <c r="AAH65" s="230"/>
      <c r="AAI65" s="230"/>
      <c r="AAJ65" s="230"/>
      <c r="AAK65" s="230"/>
      <c r="AAL65" s="230"/>
      <c r="AAM65" s="230"/>
      <c r="AAN65" s="230"/>
      <c r="AAO65" s="230"/>
      <c r="AAP65" s="230"/>
      <c r="AAQ65" s="230"/>
      <c r="AAR65" s="230"/>
      <c r="AAS65" s="230"/>
      <c r="AAT65" s="230"/>
      <c r="AAU65" s="230"/>
      <c r="AAV65" s="230"/>
      <c r="AAW65" s="230"/>
      <c r="AAX65" s="230"/>
      <c r="AAY65" s="230"/>
      <c r="AAZ65" s="230"/>
      <c r="ABA65" s="230"/>
      <c r="ABB65" s="230"/>
      <c r="ABC65" s="230"/>
      <c r="ABD65" s="230"/>
      <c r="ABE65" s="230"/>
      <c r="ABF65" s="230"/>
      <c r="ABG65" s="230"/>
      <c r="ABH65" s="230"/>
      <c r="ABI65" s="230"/>
      <c r="ABJ65" s="230"/>
      <c r="ABK65" s="230"/>
      <c r="ABL65" s="230"/>
      <c r="ABM65" s="230"/>
      <c r="ABN65" s="230"/>
      <c r="ABO65" s="230"/>
      <c r="ABP65" s="230"/>
      <c r="ABQ65" s="230"/>
      <c r="ABR65" s="230"/>
      <c r="ABS65" s="230"/>
      <c r="ABT65" s="230"/>
      <c r="ABU65" s="230"/>
      <c r="ABV65" s="230"/>
      <c r="ABW65" s="230"/>
      <c r="ABX65" s="230"/>
      <c r="ABY65" s="230"/>
      <c r="ABZ65" s="230"/>
      <c r="ACA65" s="230"/>
      <c r="ACB65" s="230"/>
      <c r="ACC65" s="230"/>
      <c r="ACD65" s="230"/>
      <c r="ACE65" s="230"/>
      <c r="ACF65" s="230"/>
      <c r="ACG65" s="230"/>
      <c r="ACH65" s="230"/>
      <c r="ACI65" s="230"/>
      <c r="ACJ65" s="230"/>
      <c r="ACK65" s="230"/>
      <c r="ACL65" s="230"/>
      <c r="ACM65" s="230"/>
      <c r="ACN65" s="230"/>
      <c r="ACO65" s="230"/>
      <c r="ACP65" s="230"/>
      <c r="ACQ65" s="230"/>
      <c r="ACR65" s="230"/>
      <c r="ACS65" s="230"/>
      <c r="ACT65" s="230"/>
      <c r="ACU65" s="230"/>
      <c r="ACV65" s="230"/>
      <c r="ACW65" s="230"/>
      <c r="ACX65" s="230"/>
      <c r="ACY65" s="230"/>
      <c r="ACZ65" s="230"/>
      <c r="ADA65" s="230"/>
      <c r="ADB65" s="230"/>
      <c r="ADC65" s="230"/>
      <c r="ADD65" s="230"/>
      <c r="ADE65" s="230"/>
      <c r="ADF65" s="230"/>
      <c r="ADG65" s="230"/>
      <c r="ADH65" s="230"/>
      <c r="ADI65" s="230"/>
      <c r="ADJ65" s="230"/>
      <c r="ADK65" s="230"/>
      <c r="ADL65" s="230"/>
      <c r="ADM65" s="230"/>
      <c r="ADN65" s="230"/>
      <c r="ADO65" s="230"/>
      <c r="ADP65" s="230"/>
      <c r="ADQ65" s="230"/>
      <c r="ADR65" s="230"/>
      <c r="ADS65" s="230"/>
      <c r="ADT65" s="230"/>
      <c r="ADU65" s="230"/>
      <c r="ADV65" s="230"/>
      <c r="ADW65" s="230"/>
      <c r="ADX65" s="230"/>
      <c r="ADY65" s="230"/>
      <c r="ADZ65" s="230"/>
      <c r="AEA65" s="230"/>
      <c r="AEB65" s="230"/>
      <c r="AEC65" s="230"/>
      <c r="AED65" s="230"/>
      <c r="AEE65" s="230"/>
      <c r="AEF65" s="230"/>
      <c r="AEG65" s="230"/>
      <c r="AEH65" s="230"/>
      <c r="AEI65" s="230"/>
      <c r="AEJ65" s="230"/>
      <c r="AEK65" s="230"/>
      <c r="AEL65" s="230"/>
      <c r="AEM65" s="230"/>
      <c r="AEN65" s="230"/>
      <c r="AEO65" s="230"/>
      <c r="AEP65" s="230"/>
      <c r="AEQ65" s="230"/>
      <c r="AER65" s="230"/>
      <c r="AES65" s="230"/>
      <c r="AET65" s="230"/>
      <c r="AEU65" s="230"/>
      <c r="AEV65" s="230"/>
      <c r="AEW65" s="230"/>
      <c r="AEX65" s="230"/>
      <c r="AEY65" s="230"/>
      <c r="AEZ65" s="230"/>
      <c r="AFA65" s="230"/>
      <c r="AFB65" s="230"/>
      <c r="AFC65" s="230"/>
      <c r="AFD65" s="230"/>
      <c r="AFE65" s="230"/>
      <c r="AFF65" s="230"/>
      <c r="AFG65" s="230"/>
      <c r="AFH65" s="230"/>
      <c r="AFI65" s="230"/>
      <c r="AFJ65" s="230"/>
      <c r="AFK65" s="230"/>
      <c r="AFL65" s="230"/>
      <c r="AFM65" s="230"/>
      <c r="AFN65" s="230"/>
      <c r="AFO65" s="230"/>
      <c r="AFP65" s="230"/>
      <c r="AFQ65" s="230"/>
      <c r="AFR65" s="230"/>
      <c r="AFS65" s="230"/>
      <c r="AFT65" s="230"/>
      <c r="AFU65" s="230"/>
      <c r="AFV65" s="230"/>
      <c r="AFW65" s="230"/>
      <c r="AFX65" s="230"/>
      <c r="AFY65" s="230"/>
      <c r="AFZ65" s="230"/>
      <c r="AGA65" s="230"/>
      <c r="AGB65" s="230"/>
      <c r="AGC65" s="230"/>
      <c r="AGD65" s="230"/>
      <c r="AGE65" s="230"/>
      <c r="AGF65" s="230"/>
      <c r="AGG65" s="230"/>
      <c r="AGH65" s="230"/>
      <c r="AGI65" s="230"/>
      <c r="AGJ65" s="230"/>
      <c r="AGK65" s="230"/>
      <c r="AGL65" s="230"/>
      <c r="AGM65" s="230"/>
      <c r="AGN65" s="230"/>
      <c r="AGO65" s="230"/>
      <c r="AGP65" s="230"/>
      <c r="AGQ65" s="230"/>
      <c r="AGR65" s="230"/>
      <c r="AGS65" s="230"/>
      <c r="AGT65" s="230"/>
      <c r="AGU65" s="230"/>
      <c r="AGV65" s="230"/>
      <c r="AGW65" s="230"/>
      <c r="AGX65" s="230"/>
      <c r="AGY65" s="230"/>
      <c r="AGZ65" s="230"/>
      <c r="AHA65" s="230"/>
      <c r="AHB65" s="230"/>
      <c r="AHC65" s="230"/>
      <c r="AHD65" s="230"/>
      <c r="AHE65" s="230"/>
      <c r="AHF65" s="230"/>
      <c r="AHG65" s="230"/>
      <c r="AHH65" s="230"/>
      <c r="AHI65" s="230"/>
      <c r="AHJ65" s="230"/>
      <c r="AHK65" s="230"/>
      <c r="AHL65" s="230"/>
      <c r="AHM65" s="230"/>
      <c r="AHN65" s="230"/>
      <c r="AHO65" s="230"/>
      <c r="AHP65" s="230"/>
      <c r="AHQ65" s="230"/>
      <c r="AHR65" s="230"/>
      <c r="AHS65" s="230"/>
      <c r="AHT65" s="230"/>
      <c r="AHU65" s="230"/>
      <c r="AHV65" s="230"/>
      <c r="AHW65" s="230"/>
      <c r="AHX65" s="230"/>
      <c r="AHY65" s="230"/>
      <c r="AHZ65" s="230"/>
      <c r="AIA65" s="230"/>
      <c r="AIB65" s="230"/>
      <c r="AIC65" s="230"/>
      <c r="AID65" s="230"/>
      <c r="AIE65" s="230"/>
      <c r="AIF65" s="230"/>
    </row>
    <row r="66" spans="1:916" s="93" customFormat="1" x14ac:dyDescent="0.25">
      <c r="B66" s="173"/>
      <c r="C66" s="174" t="s">
        <v>429</v>
      </c>
      <c r="D66" s="174"/>
      <c r="E66" s="175"/>
      <c r="F66" s="175"/>
      <c r="G66" s="176"/>
      <c r="H66" s="232"/>
      <c r="I66" s="233"/>
      <c r="J66" s="234"/>
      <c r="K66" s="177"/>
      <c r="L66" s="177"/>
      <c r="M66" s="177"/>
      <c r="N66" s="235"/>
      <c r="O66" s="178"/>
      <c r="P66" s="178"/>
      <c r="Q66" s="178"/>
      <c r="R66" s="178"/>
      <c r="S66" s="179"/>
      <c r="T66" s="180"/>
      <c r="U66" s="181"/>
      <c r="V66" s="181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916" s="238" customFormat="1" x14ac:dyDescent="0.25">
      <c r="A67" s="93"/>
      <c r="B67" s="182"/>
      <c r="C67" s="236" t="s">
        <v>430</v>
      </c>
      <c r="D67" s="236"/>
      <c r="E67" s="236"/>
      <c r="F67" s="192"/>
      <c r="G67" s="193"/>
      <c r="H67" s="194"/>
      <c r="I67" s="185">
        <f>SUMIF('Program Costs'!D:D,'Gas CE'!D67,'Program Costs'!O:O)</f>
        <v>0</v>
      </c>
      <c r="J67" s="195"/>
      <c r="K67" s="195"/>
      <c r="L67" s="195" t="s">
        <v>298</v>
      </c>
      <c r="M67" s="195"/>
      <c r="N67" s="331">
        <f>I67</f>
        <v>0</v>
      </c>
      <c r="O67" s="214">
        <f>I67</f>
        <v>0</v>
      </c>
      <c r="P67" s="187">
        <v>0</v>
      </c>
      <c r="Q67" s="187">
        <f>N67/(1+ElecDiscountRate)^1</f>
        <v>0</v>
      </c>
      <c r="R67" s="187">
        <f>O67/(1+ElecDiscountRate)^1</f>
        <v>0</v>
      </c>
      <c r="S67" s="237"/>
      <c r="T67" s="197"/>
      <c r="U67" s="198"/>
      <c r="V67" s="198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916" x14ac:dyDescent="0.25">
      <c r="B68" s="182"/>
      <c r="C68" s="236" t="s">
        <v>431</v>
      </c>
      <c r="D68" s="236">
        <v>18230266</v>
      </c>
      <c r="E68" s="236"/>
      <c r="F68" s="192"/>
      <c r="G68" s="193"/>
      <c r="H68" s="194"/>
      <c r="I68" s="185">
        <f>SUMIF('Program Costs'!D:D,'Gas CE'!D68,'Program Costs'!O:O)</f>
        <v>360000</v>
      </c>
      <c r="J68" s="195"/>
      <c r="K68" s="195"/>
      <c r="L68" s="195"/>
      <c r="M68" s="195"/>
      <c r="N68" s="185">
        <f>SUMIF('Program Costs'!D:D,'Gas CE'!D68,'Program Costs'!N:N)</f>
        <v>360000</v>
      </c>
      <c r="O68" s="214">
        <f>I68</f>
        <v>360000</v>
      </c>
      <c r="P68" s="187"/>
      <c r="Q68" s="187">
        <f>N68/(1+ElecDiscountRate)^1</f>
        <v>337078.65168539324</v>
      </c>
      <c r="R68" s="187">
        <f>O68/(1+ElecDiscountRate)^1</f>
        <v>337078.65168539324</v>
      </c>
      <c r="S68" s="237"/>
      <c r="T68" s="197"/>
      <c r="U68" s="198"/>
      <c r="V68" s="198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  <c r="PJ68" s="239"/>
      <c r="PK68" s="239"/>
      <c r="PL68" s="239"/>
      <c r="PM68" s="239"/>
      <c r="PN68" s="239"/>
      <c r="PO68" s="239"/>
      <c r="PP68" s="239"/>
      <c r="PQ68" s="239"/>
      <c r="PR68" s="239"/>
      <c r="PS68" s="239"/>
      <c r="PT68" s="239"/>
      <c r="PU68" s="239"/>
      <c r="PV68" s="239"/>
      <c r="PW68" s="239"/>
      <c r="PX68" s="239"/>
      <c r="PY68" s="239"/>
      <c r="PZ68" s="239"/>
      <c r="QA68" s="239"/>
      <c r="QB68" s="239"/>
      <c r="QC68" s="239"/>
      <c r="QD68" s="239"/>
      <c r="QE68" s="239"/>
      <c r="QF68" s="239"/>
      <c r="QG68" s="239"/>
      <c r="QH68" s="239"/>
      <c r="QI68" s="239"/>
      <c r="QJ68" s="239"/>
      <c r="QK68" s="239"/>
      <c r="QL68" s="239"/>
      <c r="QM68" s="239"/>
      <c r="QN68" s="239"/>
      <c r="QO68" s="239"/>
      <c r="QP68" s="239"/>
      <c r="QQ68" s="239"/>
      <c r="QR68" s="239"/>
      <c r="QS68" s="239"/>
      <c r="QT68" s="239"/>
      <c r="QU68" s="239"/>
      <c r="QV68" s="239"/>
      <c r="QW68" s="239"/>
      <c r="QX68" s="239"/>
      <c r="QY68" s="239"/>
      <c r="QZ68" s="239"/>
      <c r="RA68" s="239"/>
      <c r="RB68" s="239"/>
      <c r="RC68" s="239"/>
      <c r="RD68" s="239"/>
      <c r="RE68" s="239"/>
      <c r="RF68" s="239"/>
      <c r="RG68" s="239"/>
      <c r="RH68" s="239"/>
      <c r="RI68" s="239"/>
      <c r="RJ68" s="239"/>
      <c r="RK68" s="239"/>
      <c r="RL68" s="239"/>
      <c r="RM68" s="239"/>
      <c r="RN68" s="239"/>
      <c r="RO68" s="239"/>
      <c r="RP68" s="239"/>
      <c r="RQ68" s="239"/>
      <c r="RR68" s="239"/>
      <c r="RS68" s="239"/>
      <c r="RT68" s="239"/>
      <c r="RU68" s="239"/>
      <c r="RV68" s="239"/>
      <c r="RW68" s="239"/>
      <c r="RX68" s="239"/>
      <c r="RY68" s="239"/>
      <c r="RZ68" s="239"/>
      <c r="SA68" s="239"/>
      <c r="SB68" s="239"/>
      <c r="SC68" s="239"/>
      <c r="SD68" s="239"/>
      <c r="SE68" s="239"/>
      <c r="SF68" s="239"/>
      <c r="SG68" s="239"/>
      <c r="SH68" s="239"/>
      <c r="SI68" s="239"/>
      <c r="SJ68" s="239"/>
      <c r="SK68" s="239"/>
      <c r="SL68" s="239"/>
      <c r="SM68" s="239"/>
      <c r="SN68" s="239"/>
      <c r="SO68" s="239"/>
      <c r="SP68" s="239"/>
      <c r="SQ68" s="239"/>
      <c r="SR68" s="239"/>
      <c r="SS68" s="239"/>
      <c r="ST68" s="239"/>
      <c r="SU68" s="239"/>
      <c r="SV68" s="239"/>
      <c r="SW68" s="239"/>
      <c r="SX68" s="239"/>
      <c r="SY68" s="239"/>
      <c r="SZ68" s="239"/>
      <c r="TA68" s="239"/>
      <c r="TB68" s="239"/>
      <c r="TC68" s="239"/>
      <c r="TD68" s="239"/>
      <c r="TE68" s="239"/>
      <c r="TF68" s="239"/>
      <c r="TG68" s="239"/>
      <c r="TH68" s="239"/>
      <c r="TI68" s="239"/>
      <c r="TJ68" s="239"/>
      <c r="TK68" s="239"/>
      <c r="TL68" s="239"/>
      <c r="TM68" s="239"/>
      <c r="TN68" s="239"/>
      <c r="TO68" s="239"/>
      <c r="TP68" s="239"/>
      <c r="TQ68" s="239"/>
      <c r="TR68" s="239"/>
      <c r="TS68" s="239"/>
      <c r="TT68" s="239"/>
      <c r="TU68" s="239"/>
      <c r="TV68" s="239"/>
      <c r="TW68" s="239"/>
      <c r="TX68" s="239"/>
      <c r="TY68" s="239"/>
      <c r="TZ68" s="239"/>
      <c r="UA68" s="239"/>
      <c r="UB68" s="239"/>
      <c r="UC68" s="239"/>
      <c r="UD68" s="239"/>
      <c r="UE68" s="239"/>
      <c r="UF68" s="239"/>
      <c r="UG68" s="239"/>
      <c r="UH68" s="239"/>
      <c r="UI68" s="239"/>
      <c r="UJ68" s="239"/>
      <c r="UK68" s="239"/>
      <c r="UL68" s="239"/>
      <c r="UM68" s="239"/>
      <c r="UN68" s="239"/>
      <c r="UO68" s="239"/>
      <c r="UP68" s="239"/>
      <c r="UQ68" s="239"/>
      <c r="UR68" s="239"/>
      <c r="US68" s="239"/>
      <c r="UT68" s="239"/>
      <c r="UU68" s="239"/>
      <c r="UV68" s="239"/>
      <c r="UW68" s="239"/>
      <c r="UX68" s="239"/>
      <c r="UY68" s="239"/>
      <c r="UZ68" s="239"/>
      <c r="VA68" s="239"/>
      <c r="VB68" s="239"/>
      <c r="VC68" s="239"/>
      <c r="VD68" s="239"/>
      <c r="VE68" s="239"/>
      <c r="VF68" s="239"/>
      <c r="VG68" s="239"/>
      <c r="VH68" s="239"/>
      <c r="VI68" s="239"/>
      <c r="VJ68" s="239"/>
      <c r="VK68" s="239"/>
      <c r="VL68" s="239"/>
      <c r="VM68" s="239"/>
      <c r="VN68" s="239"/>
      <c r="VO68" s="239"/>
      <c r="VP68" s="239"/>
      <c r="VQ68" s="239"/>
      <c r="VR68" s="239"/>
      <c r="VS68" s="239"/>
      <c r="VT68" s="239"/>
      <c r="VU68" s="239"/>
      <c r="VV68" s="239"/>
      <c r="VW68" s="239"/>
      <c r="VX68" s="239"/>
      <c r="VY68" s="239"/>
      <c r="VZ68" s="239"/>
      <c r="WA68" s="239"/>
      <c r="WB68" s="239"/>
      <c r="WC68" s="239"/>
      <c r="WD68" s="239"/>
      <c r="WE68" s="239"/>
      <c r="WF68" s="239"/>
      <c r="WG68" s="239"/>
      <c r="WH68" s="239"/>
      <c r="WI68" s="239"/>
      <c r="WJ68" s="239"/>
      <c r="WK68" s="239"/>
      <c r="WL68" s="239"/>
      <c r="WM68" s="239"/>
      <c r="WN68" s="239"/>
      <c r="WO68" s="239"/>
      <c r="WP68" s="239"/>
      <c r="WQ68" s="239"/>
      <c r="WR68" s="239"/>
      <c r="WS68" s="239"/>
      <c r="WT68" s="239"/>
      <c r="WU68" s="239"/>
      <c r="WV68" s="239"/>
      <c r="WW68" s="239"/>
      <c r="WX68" s="239"/>
      <c r="WY68" s="239"/>
      <c r="WZ68" s="239"/>
      <c r="XA68" s="239"/>
      <c r="XB68" s="239"/>
      <c r="XC68" s="239"/>
      <c r="XD68" s="239"/>
      <c r="XE68" s="239"/>
      <c r="XF68" s="239"/>
      <c r="XG68" s="239"/>
      <c r="XH68" s="239"/>
      <c r="XI68" s="239"/>
      <c r="XJ68" s="239"/>
      <c r="XK68" s="239"/>
      <c r="XL68" s="239"/>
      <c r="XM68" s="239"/>
      <c r="XN68" s="239"/>
      <c r="XO68" s="239"/>
      <c r="XP68" s="239"/>
      <c r="XQ68" s="239"/>
      <c r="XR68" s="239"/>
      <c r="XS68" s="239"/>
      <c r="XT68" s="239"/>
      <c r="XU68" s="239"/>
      <c r="XV68" s="239"/>
      <c r="XW68" s="239"/>
      <c r="XX68" s="239"/>
      <c r="XY68" s="239"/>
      <c r="XZ68" s="239"/>
      <c r="YA68" s="239"/>
      <c r="YB68" s="239"/>
      <c r="YC68" s="239"/>
      <c r="YD68" s="239"/>
      <c r="YE68" s="239"/>
      <c r="YF68" s="239"/>
      <c r="YG68" s="239"/>
      <c r="YH68" s="239"/>
      <c r="YI68" s="239"/>
      <c r="YJ68" s="239"/>
      <c r="YK68" s="239"/>
      <c r="YL68" s="239"/>
      <c r="YM68" s="239"/>
      <c r="YN68" s="239"/>
      <c r="YO68" s="239"/>
      <c r="YP68" s="239"/>
      <c r="YQ68" s="239"/>
      <c r="YR68" s="239"/>
      <c r="YS68" s="239"/>
      <c r="YT68" s="239"/>
      <c r="YU68" s="239"/>
      <c r="YV68" s="239"/>
      <c r="YW68" s="239"/>
      <c r="YX68" s="239"/>
      <c r="YY68" s="239"/>
      <c r="YZ68" s="239"/>
      <c r="ZA68" s="239"/>
      <c r="ZB68" s="239"/>
      <c r="ZC68" s="239"/>
      <c r="ZD68" s="239"/>
      <c r="ZE68" s="239"/>
      <c r="ZF68" s="239"/>
      <c r="ZG68" s="239"/>
      <c r="ZH68" s="239"/>
      <c r="ZI68" s="239"/>
      <c r="ZJ68" s="239"/>
      <c r="ZK68" s="239"/>
      <c r="ZL68" s="239"/>
      <c r="ZM68" s="239"/>
      <c r="ZN68" s="239"/>
      <c r="ZO68" s="239"/>
      <c r="ZP68" s="239"/>
      <c r="ZQ68" s="239"/>
      <c r="ZR68" s="239"/>
      <c r="ZS68" s="239"/>
      <c r="ZT68" s="239"/>
      <c r="ZU68" s="239"/>
      <c r="ZV68" s="239"/>
      <c r="ZW68" s="239"/>
      <c r="ZX68" s="239"/>
      <c r="ZY68" s="239"/>
      <c r="ZZ68" s="239"/>
      <c r="AAA68" s="239"/>
      <c r="AAB68" s="239"/>
      <c r="AAC68" s="239"/>
      <c r="AAD68" s="239"/>
      <c r="AAE68" s="239"/>
      <c r="AAF68" s="239"/>
      <c r="AAG68" s="239"/>
      <c r="AAH68" s="239"/>
      <c r="AAI68" s="239"/>
      <c r="AAJ68" s="239"/>
      <c r="AAK68" s="239"/>
      <c r="AAL68" s="239"/>
      <c r="AAM68" s="239"/>
      <c r="AAN68" s="239"/>
      <c r="AAO68" s="239"/>
      <c r="AAP68" s="239"/>
      <c r="AAQ68" s="239"/>
      <c r="AAR68" s="239"/>
      <c r="AAS68" s="239"/>
      <c r="AAT68" s="239"/>
      <c r="AAU68" s="239"/>
      <c r="AAV68" s="239"/>
      <c r="AAW68" s="239"/>
      <c r="AAX68" s="239"/>
      <c r="AAY68" s="239"/>
      <c r="AAZ68" s="239"/>
      <c r="ABA68" s="239"/>
      <c r="ABB68" s="239"/>
      <c r="ABC68" s="239"/>
      <c r="ABD68" s="239"/>
      <c r="ABE68" s="239"/>
      <c r="ABF68" s="239"/>
      <c r="ABG68" s="239"/>
      <c r="ABH68" s="239"/>
      <c r="ABI68" s="239"/>
      <c r="ABJ68" s="239"/>
      <c r="ABK68" s="239"/>
      <c r="ABL68" s="239"/>
      <c r="ABM68" s="239"/>
      <c r="ABN68" s="239"/>
      <c r="ABO68" s="239"/>
      <c r="ABP68" s="239"/>
      <c r="ABQ68" s="239"/>
      <c r="ABR68" s="239"/>
      <c r="ABS68" s="239"/>
      <c r="ABT68" s="239"/>
      <c r="ABU68" s="239"/>
      <c r="ABV68" s="239"/>
      <c r="ABW68" s="239"/>
      <c r="ABX68" s="239"/>
      <c r="ABY68" s="239"/>
      <c r="ABZ68" s="239"/>
      <c r="ACA68" s="239"/>
      <c r="ACB68" s="239"/>
      <c r="ACC68" s="239"/>
      <c r="ACD68" s="239"/>
      <c r="ACE68" s="239"/>
      <c r="ACF68" s="239"/>
      <c r="ACG68" s="239"/>
      <c r="ACH68" s="239"/>
      <c r="ACI68" s="239"/>
      <c r="ACJ68" s="239"/>
      <c r="ACK68" s="239"/>
      <c r="ACL68" s="239"/>
      <c r="ACM68" s="239"/>
      <c r="ACN68" s="239"/>
      <c r="ACO68" s="239"/>
      <c r="ACP68" s="239"/>
      <c r="ACQ68" s="239"/>
      <c r="ACR68" s="239"/>
      <c r="ACS68" s="239"/>
      <c r="ACT68" s="239"/>
      <c r="ACU68" s="239"/>
      <c r="ACV68" s="239"/>
      <c r="ACW68" s="239"/>
      <c r="ACX68" s="239"/>
      <c r="ACY68" s="239"/>
      <c r="ACZ68" s="239"/>
      <c r="ADA68" s="239"/>
      <c r="ADB68" s="239"/>
      <c r="ADC68" s="239"/>
      <c r="ADD68" s="239"/>
      <c r="ADE68" s="239"/>
      <c r="ADF68" s="239"/>
      <c r="ADG68" s="239"/>
      <c r="ADH68" s="239"/>
      <c r="ADI68" s="239"/>
      <c r="ADJ68" s="239"/>
      <c r="ADK68" s="239"/>
      <c r="ADL68" s="239"/>
      <c r="ADM68" s="239"/>
      <c r="ADN68" s="239"/>
      <c r="ADO68" s="239"/>
      <c r="ADP68" s="239"/>
      <c r="ADQ68" s="239"/>
      <c r="ADR68" s="239"/>
      <c r="ADS68" s="239"/>
      <c r="ADT68" s="239"/>
      <c r="ADU68" s="239"/>
      <c r="ADV68" s="239"/>
      <c r="ADW68" s="239"/>
      <c r="ADX68" s="239"/>
      <c r="ADY68" s="239"/>
      <c r="ADZ68" s="239"/>
      <c r="AEA68" s="239"/>
      <c r="AEB68" s="239"/>
      <c r="AEC68" s="239"/>
      <c r="AED68" s="239"/>
      <c r="AEE68" s="239"/>
      <c r="AEF68" s="239"/>
      <c r="AEG68" s="239"/>
      <c r="AEH68" s="239"/>
      <c r="AEI68" s="239"/>
      <c r="AEJ68" s="239"/>
      <c r="AEK68" s="239"/>
      <c r="AEL68" s="239"/>
      <c r="AEM68" s="239"/>
      <c r="AEN68" s="239"/>
      <c r="AEO68" s="239"/>
      <c r="AEP68" s="239"/>
      <c r="AEQ68" s="239"/>
      <c r="AER68" s="239"/>
      <c r="AES68" s="239"/>
      <c r="AET68" s="239"/>
      <c r="AEU68" s="239"/>
      <c r="AEV68" s="239"/>
      <c r="AEW68" s="239"/>
      <c r="AEX68" s="239"/>
      <c r="AEY68" s="239"/>
      <c r="AEZ68" s="239"/>
      <c r="AFA68" s="239"/>
      <c r="AFB68" s="239"/>
      <c r="AFC68" s="239"/>
      <c r="AFD68" s="239"/>
      <c r="AFE68" s="239"/>
      <c r="AFF68" s="239"/>
      <c r="AFG68" s="239"/>
      <c r="AFH68" s="239"/>
      <c r="AFI68" s="239"/>
      <c r="AFJ68" s="239"/>
      <c r="AFK68" s="239"/>
      <c r="AFL68" s="239"/>
      <c r="AFM68" s="239"/>
      <c r="AFN68" s="239"/>
      <c r="AFO68" s="239"/>
      <c r="AFP68" s="239"/>
      <c r="AFQ68" s="239"/>
      <c r="AFR68" s="239"/>
      <c r="AFS68" s="239"/>
      <c r="AFT68" s="239"/>
      <c r="AFU68" s="239"/>
      <c r="AFV68" s="239"/>
      <c r="AFW68" s="239"/>
      <c r="AFX68" s="239"/>
      <c r="AFY68" s="239"/>
      <c r="AFZ68" s="239"/>
      <c r="AGA68" s="239"/>
      <c r="AGB68" s="239"/>
      <c r="AGC68" s="239"/>
      <c r="AGD68" s="239"/>
      <c r="AGE68" s="239"/>
      <c r="AGF68" s="239"/>
      <c r="AGG68" s="239"/>
      <c r="AGH68" s="239"/>
      <c r="AGI68" s="239"/>
      <c r="AGJ68" s="239"/>
      <c r="AGK68" s="239"/>
      <c r="AGL68" s="239"/>
      <c r="AGM68" s="239"/>
      <c r="AGN68" s="239"/>
      <c r="AGO68" s="239"/>
      <c r="AGP68" s="239"/>
      <c r="AGQ68" s="239"/>
      <c r="AGR68" s="239"/>
      <c r="AGS68" s="239"/>
      <c r="AGT68" s="239"/>
      <c r="AGU68" s="239"/>
      <c r="AGV68" s="239"/>
      <c r="AGW68" s="239"/>
      <c r="AGX68" s="239"/>
      <c r="AGY68" s="239"/>
      <c r="AGZ68" s="239"/>
      <c r="AHA68" s="239"/>
      <c r="AHB68" s="239"/>
      <c r="AHC68" s="239"/>
      <c r="AHD68" s="239"/>
      <c r="AHE68" s="239"/>
      <c r="AHF68" s="239"/>
      <c r="AHG68" s="239"/>
      <c r="AHH68" s="239"/>
      <c r="AHI68" s="239"/>
      <c r="AHJ68" s="239"/>
      <c r="AHK68" s="239"/>
      <c r="AHL68" s="239"/>
      <c r="AHM68" s="239"/>
      <c r="AHN68" s="239"/>
      <c r="AHO68" s="239"/>
      <c r="AHP68" s="239"/>
      <c r="AHQ68" s="239"/>
      <c r="AHR68" s="239"/>
      <c r="AHS68" s="239"/>
      <c r="AHT68" s="239"/>
      <c r="AHU68" s="239"/>
      <c r="AHV68" s="239"/>
      <c r="AHW68" s="239"/>
      <c r="AHX68" s="239"/>
      <c r="AHY68" s="239"/>
      <c r="AHZ68" s="239"/>
      <c r="AIA68" s="239"/>
      <c r="AIB68" s="239"/>
      <c r="AIC68" s="239"/>
      <c r="AID68" s="239"/>
      <c r="AIE68" s="239"/>
      <c r="AIF68" s="239"/>
    </row>
    <row r="69" spans="1:916" ht="15.75" x14ac:dyDescent="0.25">
      <c r="A69" s="240"/>
      <c r="B69" s="217"/>
      <c r="C69" s="217" t="s">
        <v>463</v>
      </c>
      <c r="D69" s="217"/>
      <c r="E69" s="217"/>
      <c r="F69" s="217"/>
      <c r="G69" s="217"/>
      <c r="H69" s="217"/>
      <c r="I69" s="219">
        <f>SUM(I67:I68)</f>
        <v>360000</v>
      </c>
      <c r="J69" s="217">
        <f>SUM(J67:J68)</f>
        <v>0</v>
      </c>
      <c r="K69" s="217">
        <f>SUM(K67)</f>
        <v>0</v>
      </c>
      <c r="L69" s="217">
        <f>SUM(L67)</f>
        <v>0</v>
      </c>
      <c r="M69" s="217">
        <f>SUM(M67)</f>
        <v>0</v>
      </c>
      <c r="N69" s="377">
        <f>SUM(N67:N68)</f>
        <v>360000</v>
      </c>
      <c r="O69" s="219">
        <f>SUM(O67:O68)</f>
        <v>360000</v>
      </c>
      <c r="P69" s="219">
        <f>SUM(P67:P67)</f>
        <v>0</v>
      </c>
      <c r="Q69" s="219">
        <f>SUM(Q67:Q68)</f>
        <v>337078.65168539324</v>
      </c>
      <c r="R69" s="219">
        <f>SUM(R67:R68)</f>
        <v>337078.65168539324</v>
      </c>
      <c r="S69" s="217">
        <f>SUM(S67)</f>
        <v>0</v>
      </c>
      <c r="T69" s="217">
        <f>SUM(T67)</f>
        <v>0</v>
      </c>
      <c r="U69" s="217"/>
      <c r="V69" s="217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239"/>
      <c r="ET69" s="239"/>
      <c r="EU69" s="239"/>
      <c r="EV69" s="239"/>
      <c r="EW69" s="239"/>
      <c r="EX69" s="239"/>
      <c r="EY69" s="239"/>
      <c r="EZ69" s="239"/>
      <c r="FA69" s="239"/>
      <c r="FB69" s="239"/>
      <c r="FC69" s="239"/>
      <c r="FD69" s="239"/>
      <c r="FE69" s="239"/>
      <c r="FF69" s="239"/>
      <c r="FG69" s="239"/>
      <c r="FH69" s="239"/>
      <c r="FI69" s="239"/>
      <c r="FJ69" s="239"/>
      <c r="FK69" s="239"/>
      <c r="FL69" s="239"/>
      <c r="FM69" s="239"/>
      <c r="FN69" s="239"/>
      <c r="FO69" s="239"/>
      <c r="FP69" s="239"/>
      <c r="FQ69" s="239"/>
      <c r="FR69" s="239"/>
      <c r="FS69" s="239"/>
      <c r="FT69" s="239"/>
      <c r="FU69" s="239"/>
      <c r="FV69" s="239"/>
      <c r="FW69" s="239"/>
      <c r="FX69" s="239"/>
      <c r="FY69" s="239"/>
      <c r="FZ69" s="239"/>
      <c r="GA69" s="239"/>
      <c r="GB69" s="239"/>
      <c r="GC69" s="239"/>
      <c r="GD69" s="239"/>
      <c r="GE69" s="239"/>
      <c r="GF69" s="239"/>
      <c r="GG69" s="239"/>
      <c r="GH69" s="239"/>
      <c r="GI69" s="239"/>
      <c r="GJ69" s="239"/>
      <c r="GK69" s="239"/>
      <c r="GL69" s="239"/>
      <c r="GM69" s="239"/>
      <c r="GN69" s="239"/>
      <c r="GO69" s="239"/>
      <c r="GP69" s="239"/>
      <c r="GQ69" s="239"/>
      <c r="GR69" s="239"/>
      <c r="GS69" s="239"/>
      <c r="GT69" s="239"/>
      <c r="GU69" s="239"/>
      <c r="GV69" s="239"/>
      <c r="GW69" s="239"/>
      <c r="GX69" s="239"/>
      <c r="GY69" s="239"/>
      <c r="GZ69" s="239"/>
      <c r="HA69" s="239"/>
      <c r="HB69" s="239"/>
      <c r="HC69" s="239"/>
      <c r="HD69" s="239"/>
      <c r="HE69" s="239"/>
      <c r="HF69" s="239"/>
      <c r="HG69" s="239"/>
      <c r="HH69" s="239"/>
      <c r="HI69" s="239"/>
      <c r="HJ69" s="239"/>
      <c r="HK69" s="239"/>
      <c r="HL69" s="239"/>
      <c r="HM69" s="239"/>
      <c r="HN69" s="239"/>
      <c r="HO69" s="239"/>
      <c r="HP69" s="239"/>
      <c r="HQ69" s="239"/>
      <c r="HR69" s="239"/>
      <c r="HS69" s="239"/>
      <c r="HT69" s="239"/>
      <c r="HU69" s="239"/>
      <c r="HV69" s="239"/>
      <c r="HW69" s="239"/>
      <c r="HX69" s="239"/>
      <c r="HY69" s="239"/>
      <c r="HZ69" s="239"/>
      <c r="IA69" s="239"/>
      <c r="IB69" s="239"/>
      <c r="IC69" s="239"/>
      <c r="ID69" s="239"/>
      <c r="IE69" s="239"/>
      <c r="IF69" s="239"/>
      <c r="IG69" s="239"/>
      <c r="IH69" s="239"/>
      <c r="II69" s="239"/>
      <c r="IJ69" s="239"/>
      <c r="IK69" s="239"/>
      <c r="IL69" s="239"/>
      <c r="IM69" s="239"/>
      <c r="IN69" s="239"/>
      <c r="IO69" s="239"/>
      <c r="IP69" s="239"/>
      <c r="IQ69" s="239"/>
      <c r="IR69" s="239"/>
      <c r="IS69" s="239"/>
      <c r="IT69" s="239"/>
      <c r="IU69" s="239"/>
      <c r="IV69" s="239"/>
      <c r="IW69" s="239"/>
      <c r="IX69" s="239"/>
      <c r="IY69" s="239"/>
      <c r="IZ69" s="239"/>
      <c r="JA69" s="239"/>
      <c r="JB69" s="239"/>
      <c r="JC69" s="239"/>
      <c r="JD69" s="239"/>
      <c r="JE69" s="239"/>
      <c r="JF69" s="239"/>
      <c r="JG69" s="239"/>
      <c r="JH69" s="239"/>
      <c r="JI69" s="239"/>
      <c r="JJ69" s="239"/>
      <c r="JK69" s="239"/>
      <c r="JL69" s="239"/>
      <c r="JM69" s="239"/>
      <c r="JN69" s="239"/>
      <c r="JO69" s="239"/>
      <c r="JP69" s="239"/>
      <c r="JQ69" s="239"/>
      <c r="JR69" s="239"/>
      <c r="JS69" s="239"/>
      <c r="JT69" s="239"/>
      <c r="JU69" s="239"/>
      <c r="JV69" s="239"/>
      <c r="JW69" s="239"/>
      <c r="JX69" s="239"/>
      <c r="JY69" s="239"/>
      <c r="JZ69" s="239"/>
      <c r="KA69" s="239"/>
      <c r="KB69" s="239"/>
      <c r="KC69" s="239"/>
      <c r="KD69" s="239"/>
      <c r="KE69" s="239"/>
      <c r="KF69" s="239"/>
      <c r="KG69" s="239"/>
      <c r="KH69" s="239"/>
      <c r="KI69" s="239"/>
      <c r="KJ69" s="239"/>
      <c r="KK69" s="239"/>
      <c r="KL69" s="239"/>
      <c r="KM69" s="239"/>
      <c r="KN69" s="239"/>
      <c r="KO69" s="239"/>
      <c r="KP69" s="239"/>
      <c r="KQ69" s="239"/>
      <c r="KR69" s="239"/>
      <c r="KS69" s="239"/>
      <c r="KT69" s="239"/>
      <c r="KU69" s="239"/>
      <c r="KV69" s="239"/>
      <c r="KW69" s="239"/>
      <c r="KX69" s="239"/>
      <c r="KY69" s="239"/>
      <c r="KZ69" s="239"/>
      <c r="LA69" s="239"/>
      <c r="LB69" s="239"/>
      <c r="LC69" s="239"/>
      <c r="LD69" s="239"/>
      <c r="LE69" s="239"/>
      <c r="LF69" s="239"/>
      <c r="LG69" s="239"/>
      <c r="LH69" s="239"/>
      <c r="LI69" s="239"/>
      <c r="LJ69" s="239"/>
      <c r="LK69" s="239"/>
      <c r="LL69" s="239"/>
      <c r="LM69" s="239"/>
      <c r="LN69" s="239"/>
      <c r="LO69" s="239"/>
      <c r="LP69" s="239"/>
      <c r="LQ69" s="239"/>
      <c r="LR69" s="239"/>
      <c r="LS69" s="239"/>
      <c r="LT69" s="239"/>
      <c r="LU69" s="239"/>
      <c r="LV69" s="239"/>
      <c r="LW69" s="239"/>
      <c r="LX69" s="239"/>
      <c r="LY69" s="239"/>
      <c r="LZ69" s="239"/>
      <c r="MA69" s="239"/>
      <c r="MB69" s="239"/>
      <c r="MC69" s="239"/>
      <c r="MD69" s="239"/>
      <c r="ME69" s="239"/>
      <c r="MF69" s="239"/>
      <c r="MG69" s="239"/>
      <c r="MH69" s="239"/>
      <c r="MI69" s="239"/>
      <c r="MJ69" s="239"/>
      <c r="MK69" s="239"/>
      <c r="ML69" s="239"/>
      <c r="MM69" s="239"/>
      <c r="MN69" s="239"/>
      <c r="MO69" s="239"/>
      <c r="MP69" s="239"/>
      <c r="MQ69" s="239"/>
      <c r="MR69" s="239"/>
      <c r="MS69" s="239"/>
      <c r="MT69" s="239"/>
      <c r="MU69" s="239"/>
      <c r="MV69" s="239"/>
      <c r="MW69" s="239"/>
      <c r="MX69" s="239"/>
      <c r="MY69" s="239"/>
      <c r="MZ69" s="239"/>
      <c r="NA69" s="239"/>
      <c r="NB69" s="239"/>
      <c r="NC69" s="239"/>
      <c r="ND69" s="239"/>
      <c r="NE69" s="239"/>
      <c r="NF69" s="239"/>
      <c r="NG69" s="239"/>
      <c r="NH69" s="239"/>
      <c r="NI69" s="239"/>
      <c r="NJ69" s="239"/>
      <c r="NK69" s="239"/>
      <c r="NL69" s="239"/>
      <c r="NM69" s="239"/>
      <c r="NN69" s="239"/>
      <c r="NO69" s="239"/>
      <c r="NP69" s="239"/>
      <c r="NQ69" s="239"/>
      <c r="NR69" s="239"/>
      <c r="NS69" s="239"/>
      <c r="NT69" s="239"/>
      <c r="NU69" s="239"/>
      <c r="NV69" s="239"/>
      <c r="NW69" s="239"/>
      <c r="NX69" s="239"/>
      <c r="NY69" s="239"/>
      <c r="NZ69" s="239"/>
      <c r="OA69" s="239"/>
      <c r="OB69" s="239"/>
      <c r="OC69" s="239"/>
      <c r="OD69" s="239"/>
      <c r="OE69" s="239"/>
      <c r="OF69" s="239"/>
      <c r="OG69" s="239"/>
      <c r="OH69" s="239"/>
      <c r="OI69" s="239"/>
      <c r="OJ69" s="239"/>
      <c r="OK69" s="239"/>
      <c r="OL69" s="239"/>
      <c r="OM69" s="239"/>
      <c r="ON69" s="239"/>
      <c r="OO69" s="239"/>
      <c r="OP69" s="239"/>
      <c r="OQ69" s="239"/>
      <c r="OR69" s="239"/>
      <c r="OS69" s="239"/>
      <c r="OT69" s="239"/>
      <c r="OU69" s="239"/>
      <c r="OV69" s="239"/>
      <c r="OW69" s="239"/>
      <c r="OX69" s="239"/>
      <c r="OY69" s="239"/>
      <c r="OZ69" s="239"/>
      <c r="PA69" s="239"/>
      <c r="PB69" s="239"/>
      <c r="PC69" s="239"/>
      <c r="PD69" s="239"/>
      <c r="PE69" s="239"/>
      <c r="PF69" s="239"/>
      <c r="PG69" s="239"/>
      <c r="PH69" s="239"/>
      <c r="PI69" s="239"/>
      <c r="PJ69" s="239"/>
      <c r="PK69" s="239"/>
      <c r="PL69" s="239"/>
      <c r="PM69" s="239"/>
      <c r="PN69" s="239"/>
      <c r="PO69" s="239"/>
      <c r="PP69" s="239"/>
      <c r="PQ69" s="239"/>
      <c r="PR69" s="239"/>
      <c r="PS69" s="239"/>
      <c r="PT69" s="239"/>
      <c r="PU69" s="239"/>
      <c r="PV69" s="239"/>
      <c r="PW69" s="239"/>
      <c r="PX69" s="239"/>
      <c r="PY69" s="239"/>
      <c r="PZ69" s="239"/>
      <c r="QA69" s="239"/>
      <c r="QB69" s="239"/>
      <c r="QC69" s="239"/>
      <c r="QD69" s="239"/>
      <c r="QE69" s="239"/>
      <c r="QF69" s="239"/>
      <c r="QG69" s="239"/>
      <c r="QH69" s="239"/>
      <c r="QI69" s="239"/>
      <c r="QJ69" s="239"/>
      <c r="QK69" s="239"/>
      <c r="QL69" s="239"/>
      <c r="QM69" s="239"/>
      <c r="QN69" s="239"/>
      <c r="QO69" s="239"/>
      <c r="QP69" s="239"/>
      <c r="QQ69" s="239"/>
      <c r="QR69" s="239"/>
      <c r="QS69" s="239"/>
      <c r="QT69" s="239"/>
      <c r="QU69" s="239"/>
      <c r="QV69" s="239"/>
      <c r="QW69" s="239"/>
      <c r="QX69" s="239"/>
      <c r="QY69" s="239"/>
      <c r="QZ69" s="239"/>
      <c r="RA69" s="239"/>
      <c r="RB69" s="239"/>
      <c r="RC69" s="239"/>
      <c r="RD69" s="239"/>
      <c r="RE69" s="239"/>
      <c r="RF69" s="239"/>
      <c r="RG69" s="239"/>
      <c r="RH69" s="239"/>
      <c r="RI69" s="239"/>
      <c r="RJ69" s="239"/>
      <c r="RK69" s="239"/>
      <c r="RL69" s="239"/>
      <c r="RM69" s="239"/>
      <c r="RN69" s="239"/>
      <c r="RO69" s="239"/>
      <c r="RP69" s="239"/>
      <c r="RQ69" s="239"/>
      <c r="RR69" s="239"/>
      <c r="RS69" s="239"/>
      <c r="RT69" s="239"/>
      <c r="RU69" s="239"/>
      <c r="RV69" s="239"/>
      <c r="RW69" s="239"/>
      <c r="RX69" s="239"/>
      <c r="RY69" s="239"/>
      <c r="RZ69" s="239"/>
      <c r="SA69" s="239"/>
      <c r="SB69" s="239"/>
      <c r="SC69" s="239"/>
      <c r="SD69" s="239"/>
      <c r="SE69" s="239"/>
      <c r="SF69" s="239"/>
      <c r="SG69" s="239"/>
      <c r="SH69" s="239"/>
      <c r="SI69" s="239"/>
      <c r="SJ69" s="239"/>
      <c r="SK69" s="239"/>
      <c r="SL69" s="239"/>
      <c r="SM69" s="239"/>
      <c r="SN69" s="239"/>
      <c r="SO69" s="239"/>
      <c r="SP69" s="239"/>
      <c r="SQ69" s="239"/>
      <c r="SR69" s="239"/>
      <c r="SS69" s="239"/>
      <c r="ST69" s="239"/>
      <c r="SU69" s="239"/>
      <c r="SV69" s="239"/>
      <c r="SW69" s="239"/>
      <c r="SX69" s="239"/>
      <c r="SY69" s="239"/>
      <c r="SZ69" s="239"/>
      <c r="TA69" s="239"/>
      <c r="TB69" s="239"/>
      <c r="TC69" s="239"/>
      <c r="TD69" s="239"/>
      <c r="TE69" s="239"/>
      <c r="TF69" s="239"/>
      <c r="TG69" s="239"/>
      <c r="TH69" s="239"/>
      <c r="TI69" s="239"/>
      <c r="TJ69" s="239"/>
      <c r="TK69" s="239"/>
      <c r="TL69" s="239"/>
      <c r="TM69" s="239"/>
      <c r="TN69" s="239"/>
      <c r="TO69" s="239"/>
      <c r="TP69" s="239"/>
      <c r="TQ69" s="239"/>
      <c r="TR69" s="239"/>
      <c r="TS69" s="239"/>
      <c r="TT69" s="239"/>
      <c r="TU69" s="239"/>
      <c r="TV69" s="239"/>
      <c r="TW69" s="239"/>
      <c r="TX69" s="239"/>
      <c r="TY69" s="239"/>
      <c r="TZ69" s="239"/>
      <c r="UA69" s="239"/>
      <c r="UB69" s="239"/>
      <c r="UC69" s="239"/>
      <c r="UD69" s="239"/>
      <c r="UE69" s="239"/>
      <c r="UF69" s="239"/>
      <c r="UG69" s="239"/>
      <c r="UH69" s="239"/>
      <c r="UI69" s="239"/>
      <c r="UJ69" s="239"/>
      <c r="UK69" s="239"/>
      <c r="UL69" s="239"/>
      <c r="UM69" s="239"/>
      <c r="UN69" s="239"/>
      <c r="UO69" s="239"/>
      <c r="UP69" s="239"/>
      <c r="UQ69" s="239"/>
      <c r="UR69" s="239"/>
      <c r="US69" s="239"/>
      <c r="UT69" s="239"/>
      <c r="UU69" s="239"/>
      <c r="UV69" s="239"/>
      <c r="UW69" s="239"/>
      <c r="UX69" s="239"/>
      <c r="UY69" s="239"/>
      <c r="UZ69" s="239"/>
      <c r="VA69" s="239"/>
      <c r="VB69" s="239"/>
      <c r="VC69" s="239"/>
      <c r="VD69" s="239"/>
      <c r="VE69" s="239"/>
      <c r="VF69" s="239"/>
      <c r="VG69" s="239"/>
      <c r="VH69" s="239"/>
      <c r="VI69" s="239"/>
      <c r="VJ69" s="239"/>
      <c r="VK69" s="239"/>
      <c r="VL69" s="239"/>
      <c r="VM69" s="239"/>
      <c r="VN69" s="239"/>
      <c r="VO69" s="239"/>
      <c r="VP69" s="239"/>
      <c r="VQ69" s="239"/>
      <c r="VR69" s="239"/>
      <c r="VS69" s="239"/>
      <c r="VT69" s="239"/>
      <c r="VU69" s="239"/>
      <c r="VV69" s="239"/>
      <c r="VW69" s="239"/>
      <c r="VX69" s="239"/>
      <c r="VY69" s="239"/>
      <c r="VZ69" s="239"/>
      <c r="WA69" s="239"/>
      <c r="WB69" s="239"/>
      <c r="WC69" s="239"/>
      <c r="WD69" s="239"/>
      <c r="WE69" s="239"/>
      <c r="WF69" s="239"/>
      <c r="WG69" s="239"/>
      <c r="WH69" s="239"/>
      <c r="WI69" s="239"/>
      <c r="WJ69" s="239"/>
      <c r="WK69" s="239"/>
      <c r="WL69" s="239"/>
      <c r="WM69" s="239"/>
      <c r="WN69" s="239"/>
      <c r="WO69" s="239"/>
      <c r="WP69" s="239"/>
      <c r="WQ69" s="239"/>
      <c r="WR69" s="239"/>
      <c r="WS69" s="239"/>
      <c r="WT69" s="239"/>
      <c r="WU69" s="239"/>
      <c r="WV69" s="239"/>
      <c r="WW69" s="239"/>
      <c r="WX69" s="239"/>
      <c r="WY69" s="239"/>
      <c r="WZ69" s="239"/>
      <c r="XA69" s="239"/>
      <c r="XB69" s="239"/>
      <c r="XC69" s="239"/>
      <c r="XD69" s="239"/>
      <c r="XE69" s="239"/>
      <c r="XF69" s="239"/>
      <c r="XG69" s="239"/>
      <c r="XH69" s="239"/>
      <c r="XI69" s="239"/>
      <c r="XJ69" s="239"/>
      <c r="XK69" s="239"/>
      <c r="XL69" s="239"/>
      <c r="XM69" s="239"/>
      <c r="XN69" s="239"/>
      <c r="XO69" s="239"/>
      <c r="XP69" s="239"/>
      <c r="XQ69" s="239"/>
      <c r="XR69" s="239"/>
      <c r="XS69" s="239"/>
      <c r="XT69" s="239"/>
      <c r="XU69" s="239"/>
      <c r="XV69" s="239"/>
      <c r="XW69" s="239"/>
      <c r="XX69" s="239"/>
      <c r="XY69" s="239"/>
      <c r="XZ69" s="239"/>
      <c r="YA69" s="239"/>
      <c r="YB69" s="239"/>
      <c r="YC69" s="239"/>
      <c r="YD69" s="239"/>
      <c r="YE69" s="239"/>
      <c r="YF69" s="239"/>
      <c r="YG69" s="239"/>
      <c r="YH69" s="239"/>
      <c r="YI69" s="239"/>
      <c r="YJ69" s="239"/>
      <c r="YK69" s="239"/>
      <c r="YL69" s="239"/>
      <c r="YM69" s="239"/>
      <c r="YN69" s="239"/>
      <c r="YO69" s="239"/>
      <c r="YP69" s="239"/>
      <c r="YQ69" s="239"/>
      <c r="YR69" s="239"/>
      <c r="YS69" s="239"/>
      <c r="YT69" s="239"/>
      <c r="YU69" s="239"/>
      <c r="YV69" s="239"/>
      <c r="YW69" s="239"/>
      <c r="YX69" s="239"/>
      <c r="YY69" s="239"/>
      <c r="YZ69" s="239"/>
      <c r="ZA69" s="239"/>
      <c r="ZB69" s="239"/>
      <c r="ZC69" s="239"/>
      <c r="ZD69" s="239"/>
      <c r="ZE69" s="239"/>
      <c r="ZF69" s="239"/>
      <c r="ZG69" s="239"/>
      <c r="ZH69" s="239"/>
      <c r="ZI69" s="239"/>
      <c r="ZJ69" s="239"/>
      <c r="ZK69" s="239"/>
      <c r="ZL69" s="239"/>
      <c r="ZM69" s="239"/>
      <c r="ZN69" s="239"/>
      <c r="ZO69" s="239"/>
      <c r="ZP69" s="239"/>
      <c r="ZQ69" s="239"/>
      <c r="ZR69" s="239"/>
      <c r="ZS69" s="239"/>
      <c r="ZT69" s="239"/>
      <c r="ZU69" s="239"/>
      <c r="ZV69" s="239"/>
      <c r="ZW69" s="239"/>
      <c r="ZX69" s="239"/>
      <c r="ZY69" s="239"/>
      <c r="ZZ69" s="239"/>
      <c r="AAA69" s="239"/>
      <c r="AAB69" s="239"/>
      <c r="AAC69" s="239"/>
      <c r="AAD69" s="239"/>
      <c r="AAE69" s="239"/>
      <c r="AAF69" s="239"/>
      <c r="AAG69" s="239"/>
      <c r="AAH69" s="239"/>
      <c r="AAI69" s="239"/>
      <c r="AAJ69" s="239"/>
      <c r="AAK69" s="239"/>
      <c r="AAL69" s="239"/>
      <c r="AAM69" s="239"/>
      <c r="AAN69" s="239"/>
      <c r="AAO69" s="239"/>
      <c r="AAP69" s="239"/>
      <c r="AAQ69" s="239"/>
      <c r="AAR69" s="239"/>
      <c r="AAS69" s="239"/>
      <c r="AAT69" s="239"/>
      <c r="AAU69" s="239"/>
      <c r="AAV69" s="239"/>
      <c r="AAW69" s="239"/>
      <c r="AAX69" s="239"/>
      <c r="AAY69" s="239"/>
      <c r="AAZ69" s="239"/>
      <c r="ABA69" s="239"/>
      <c r="ABB69" s="239"/>
      <c r="ABC69" s="239"/>
      <c r="ABD69" s="239"/>
      <c r="ABE69" s="239"/>
      <c r="ABF69" s="239"/>
      <c r="ABG69" s="239"/>
      <c r="ABH69" s="239"/>
      <c r="ABI69" s="239"/>
      <c r="ABJ69" s="239"/>
      <c r="ABK69" s="239"/>
      <c r="ABL69" s="239"/>
      <c r="ABM69" s="239"/>
      <c r="ABN69" s="239"/>
      <c r="ABO69" s="239"/>
      <c r="ABP69" s="239"/>
      <c r="ABQ69" s="239"/>
      <c r="ABR69" s="239"/>
      <c r="ABS69" s="239"/>
      <c r="ABT69" s="239"/>
      <c r="ABU69" s="239"/>
      <c r="ABV69" s="239"/>
      <c r="ABW69" s="239"/>
      <c r="ABX69" s="239"/>
      <c r="ABY69" s="239"/>
      <c r="ABZ69" s="239"/>
      <c r="ACA69" s="239"/>
      <c r="ACB69" s="239"/>
      <c r="ACC69" s="239"/>
      <c r="ACD69" s="239"/>
      <c r="ACE69" s="239"/>
      <c r="ACF69" s="239"/>
      <c r="ACG69" s="239"/>
      <c r="ACH69" s="239"/>
      <c r="ACI69" s="239"/>
      <c r="ACJ69" s="239"/>
      <c r="ACK69" s="239"/>
      <c r="ACL69" s="239"/>
      <c r="ACM69" s="239"/>
      <c r="ACN69" s="239"/>
      <c r="ACO69" s="239"/>
      <c r="ACP69" s="239"/>
      <c r="ACQ69" s="239"/>
      <c r="ACR69" s="239"/>
      <c r="ACS69" s="239"/>
      <c r="ACT69" s="239"/>
      <c r="ACU69" s="239"/>
      <c r="ACV69" s="239"/>
      <c r="ACW69" s="239"/>
      <c r="ACX69" s="239"/>
      <c r="ACY69" s="239"/>
      <c r="ACZ69" s="239"/>
      <c r="ADA69" s="239"/>
      <c r="ADB69" s="239"/>
      <c r="ADC69" s="239"/>
      <c r="ADD69" s="239"/>
      <c r="ADE69" s="239"/>
      <c r="ADF69" s="239"/>
      <c r="ADG69" s="239"/>
      <c r="ADH69" s="239"/>
      <c r="ADI69" s="239"/>
      <c r="ADJ69" s="239"/>
      <c r="ADK69" s="239"/>
      <c r="ADL69" s="239"/>
      <c r="ADM69" s="239"/>
      <c r="ADN69" s="239"/>
      <c r="ADO69" s="239"/>
      <c r="ADP69" s="239"/>
      <c r="ADQ69" s="239"/>
      <c r="ADR69" s="239"/>
      <c r="ADS69" s="239"/>
      <c r="ADT69" s="239"/>
      <c r="ADU69" s="239"/>
      <c r="ADV69" s="239"/>
      <c r="ADW69" s="239"/>
      <c r="ADX69" s="239"/>
      <c r="ADY69" s="239"/>
      <c r="ADZ69" s="239"/>
      <c r="AEA69" s="239"/>
      <c r="AEB69" s="239"/>
      <c r="AEC69" s="239"/>
      <c r="AED69" s="239"/>
      <c r="AEE69" s="239"/>
      <c r="AEF69" s="239"/>
      <c r="AEG69" s="239"/>
      <c r="AEH69" s="239"/>
      <c r="AEI69" s="239"/>
      <c r="AEJ69" s="239"/>
      <c r="AEK69" s="239"/>
      <c r="AEL69" s="239"/>
      <c r="AEM69" s="239"/>
      <c r="AEN69" s="239"/>
      <c r="AEO69" s="239"/>
      <c r="AEP69" s="239"/>
      <c r="AEQ69" s="239"/>
      <c r="AER69" s="239"/>
      <c r="AES69" s="239"/>
      <c r="AET69" s="239"/>
      <c r="AEU69" s="239"/>
      <c r="AEV69" s="239"/>
      <c r="AEW69" s="239"/>
      <c r="AEX69" s="239"/>
      <c r="AEY69" s="239"/>
      <c r="AEZ69" s="239"/>
      <c r="AFA69" s="239"/>
      <c r="AFB69" s="239"/>
      <c r="AFC69" s="239"/>
      <c r="AFD69" s="239"/>
      <c r="AFE69" s="239"/>
      <c r="AFF69" s="239"/>
      <c r="AFG69" s="239"/>
      <c r="AFH69" s="239"/>
      <c r="AFI69" s="239"/>
      <c r="AFJ69" s="239"/>
      <c r="AFK69" s="239"/>
      <c r="AFL69" s="239"/>
      <c r="AFM69" s="239"/>
      <c r="AFN69" s="239"/>
      <c r="AFO69" s="239"/>
      <c r="AFP69" s="239"/>
      <c r="AFQ69" s="239"/>
      <c r="AFR69" s="239"/>
      <c r="AFS69" s="239"/>
      <c r="AFT69" s="239"/>
      <c r="AFU69" s="239"/>
      <c r="AFV69" s="239"/>
      <c r="AFW69" s="239"/>
      <c r="AFX69" s="239"/>
      <c r="AFY69" s="239"/>
      <c r="AFZ69" s="239"/>
      <c r="AGA69" s="239"/>
      <c r="AGB69" s="239"/>
      <c r="AGC69" s="239"/>
      <c r="AGD69" s="239"/>
      <c r="AGE69" s="239"/>
      <c r="AGF69" s="239"/>
      <c r="AGG69" s="239"/>
      <c r="AGH69" s="239"/>
      <c r="AGI69" s="239"/>
      <c r="AGJ69" s="239"/>
      <c r="AGK69" s="239"/>
      <c r="AGL69" s="239"/>
      <c r="AGM69" s="239"/>
      <c r="AGN69" s="239"/>
      <c r="AGO69" s="239"/>
      <c r="AGP69" s="239"/>
      <c r="AGQ69" s="239"/>
      <c r="AGR69" s="239"/>
      <c r="AGS69" s="239"/>
      <c r="AGT69" s="239"/>
      <c r="AGU69" s="239"/>
      <c r="AGV69" s="239"/>
      <c r="AGW69" s="239"/>
      <c r="AGX69" s="239"/>
      <c r="AGY69" s="239"/>
      <c r="AGZ69" s="239"/>
      <c r="AHA69" s="239"/>
      <c r="AHB69" s="239"/>
      <c r="AHC69" s="239"/>
      <c r="AHD69" s="239"/>
      <c r="AHE69" s="239"/>
      <c r="AHF69" s="239"/>
      <c r="AHG69" s="239"/>
      <c r="AHH69" s="239"/>
      <c r="AHI69" s="239"/>
      <c r="AHJ69" s="239"/>
      <c r="AHK69" s="239"/>
      <c r="AHL69" s="239"/>
      <c r="AHM69" s="239"/>
      <c r="AHN69" s="239"/>
      <c r="AHO69" s="239"/>
      <c r="AHP69" s="239"/>
      <c r="AHQ69" s="239"/>
      <c r="AHR69" s="239"/>
      <c r="AHS69" s="239"/>
      <c r="AHT69" s="239"/>
      <c r="AHU69" s="239"/>
      <c r="AHV69" s="239"/>
      <c r="AHW69" s="239"/>
      <c r="AHX69" s="239"/>
      <c r="AHY69" s="239"/>
      <c r="AHZ69" s="239"/>
      <c r="AIA69" s="239"/>
      <c r="AIB69" s="239"/>
      <c r="AIC69" s="239"/>
      <c r="AID69" s="239"/>
      <c r="AIE69" s="239"/>
      <c r="AIF69" s="239"/>
    </row>
    <row r="70" spans="1:916" x14ac:dyDescent="0.25">
      <c r="C70" s="378"/>
      <c r="D70" s="378"/>
      <c r="E70" s="378"/>
      <c r="L70" s="379"/>
      <c r="N70" s="379"/>
      <c r="O70" s="379"/>
      <c r="W70" s="97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  <c r="PJ70" s="239"/>
      <c r="PK70" s="239"/>
      <c r="PL70" s="239"/>
      <c r="PM70" s="239"/>
      <c r="PN70" s="239"/>
      <c r="PO70" s="239"/>
      <c r="PP70" s="239"/>
      <c r="PQ70" s="239"/>
      <c r="PR70" s="239"/>
      <c r="PS70" s="239"/>
      <c r="PT70" s="239"/>
      <c r="PU70" s="239"/>
      <c r="PV70" s="239"/>
      <c r="PW70" s="239"/>
      <c r="PX70" s="239"/>
      <c r="PY70" s="239"/>
      <c r="PZ70" s="239"/>
      <c r="QA70" s="239"/>
      <c r="QB70" s="239"/>
      <c r="QC70" s="239"/>
      <c r="QD70" s="239"/>
      <c r="QE70" s="239"/>
      <c r="QF70" s="239"/>
      <c r="QG70" s="239"/>
      <c r="QH70" s="239"/>
      <c r="QI70" s="239"/>
      <c r="QJ70" s="239"/>
      <c r="QK70" s="239"/>
      <c r="QL70" s="239"/>
      <c r="QM70" s="239"/>
      <c r="QN70" s="239"/>
      <c r="QO70" s="239"/>
      <c r="QP70" s="239"/>
      <c r="QQ70" s="239"/>
      <c r="QR70" s="239"/>
      <c r="QS70" s="239"/>
      <c r="QT70" s="239"/>
      <c r="QU70" s="239"/>
      <c r="QV70" s="239"/>
      <c r="QW70" s="239"/>
      <c r="QX70" s="239"/>
      <c r="QY70" s="239"/>
      <c r="QZ70" s="239"/>
      <c r="RA70" s="239"/>
      <c r="RB70" s="239"/>
      <c r="RC70" s="239"/>
      <c r="RD70" s="239"/>
      <c r="RE70" s="239"/>
      <c r="RF70" s="239"/>
      <c r="RG70" s="239"/>
      <c r="RH70" s="239"/>
      <c r="RI70" s="239"/>
      <c r="RJ70" s="239"/>
      <c r="RK70" s="239"/>
      <c r="RL70" s="239"/>
      <c r="RM70" s="239"/>
      <c r="RN70" s="239"/>
      <c r="RO70" s="239"/>
      <c r="RP70" s="239"/>
      <c r="RQ70" s="239"/>
      <c r="RR70" s="239"/>
      <c r="RS70" s="239"/>
      <c r="RT70" s="239"/>
      <c r="RU70" s="239"/>
      <c r="RV70" s="239"/>
      <c r="RW70" s="239"/>
      <c r="RX70" s="239"/>
      <c r="RY70" s="239"/>
      <c r="RZ70" s="239"/>
      <c r="SA70" s="239"/>
      <c r="SB70" s="239"/>
      <c r="SC70" s="239"/>
      <c r="SD70" s="239"/>
      <c r="SE70" s="239"/>
      <c r="SF70" s="239"/>
      <c r="SG70" s="239"/>
      <c r="SH70" s="239"/>
      <c r="SI70" s="239"/>
      <c r="SJ70" s="239"/>
      <c r="SK70" s="239"/>
      <c r="SL70" s="239"/>
      <c r="SM70" s="239"/>
      <c r="SN70" s="239"/>
      <c r="SO70" s="239"/>
      <c r="SP70" s="239"/>
      <c r="SQ70" s="239"/>
      <c r="SR70" s="239"/>
      <c r="SS70" s="239"/>
      <c r="ST70" s="239"/>
      <c r="SU70" s="239"/>
      <c r="SV70" s="239"/>
      <c r="SW70" s="239"/>
      <c r="SX70" s="239"/>
      <c r="SY70" s="239"/>
      <c r="SZ70" s="239"/>
      <c r="TA70" s="239"/>
      <c r="TB70" s="239"/>
      <c r="TC70" s="239"/>
      <c r="TD70" s="239"/>
      <c r="TE70" s="239"/>
      <c r="TF70" s="239"/>
      <c r="TG70" s="239"/>
      <c r="TH70" s="239"/>
      <c r="TI70" s="239"/>
      <c r="TJ70" s="239"/>
      <c r="TK70" s="239"/>
      <c r="TL70" s="239"/>
      <c r="TM70" s="239"/>
      <c r="TN70" s="239"/>
      <c r="TO70" s="239"/>
      <c r="TP70" s="239"/>
      <c r="TQ70" s="239"/>
      <c r="TR70" s="239"/>
      <c r="TS70" s="239"/>
      <c r="TT70" s="239"/>
      <c r="TU70" s="239"/>
      <c r="TV70" s="239"/>
      <c r="TW70" s="239"/>
      <c r="TX70" s="239"/>
      <c r="TY70" s="239"/>
      <c r="TZ70" s="239"/>
      <c r="UA70" s="239"/>
      <c r="UB70" s="239"/>
      <c r="UC70" s="239"/>
      <c r="UD70" s="239"/>
      <c r="UE70" s="239"/>
      <c r="UF70" s="239"/>
      <c r="UG70" s="239"/>
      <c r="UH70" s="239"/>
      <c r="UI70" s="239"/>
      <c r="UJ70" s="239"/>
      <c r="UK70" s="239"/>
      <c r="UL70" s="239"/>
      <c r="UM70" s="239"/>
      <c r="UN70" s="239"/>
      <c r="UO70" s="239"/>
      <c r="UP70" s="239"/>
      <c r="UQ70" s="239"/>
      <c r="UR70" s="239"/>
      <c r="US70" s="239"/>
      <c r="UT70" s="239"/>
      <c r="UU70" s="239"/>
      <c r="UV70" s="239"/>
      <c r="UW70" s="239"/>
      <c r="UX70" s="239"/>
      <c r="UY70" s="239"/>
      <c r="UZ70" s="239"/>
      <c r="VA70" s="239"/>
      <c r="VB70" s="239"/>
      <c r="VC70" s="239"/>
      <c r="VD70" s="239"/>
      <c r="VE70" s="239"/>
      <c r="VF70" s="239"/>
      <c r="VG70" s="239"/>
      <c r="VH70" s="239"/>
      <c r="VI70" s="239"/>
      <c r="VJ70" s="239"/>
      <c r="VK70" s="239"/>
      <c r="VL70" s="239"/>
      <c r="VM70" s="239"/>
      <c r="VN70" s="239"/>
      <c r="VO70" s="239"/>
      <c r="VP70" s="239"/>
      <c r="VQ70" s="239"/>
      <c r="VR70" s="239"/>
      <c r="VS70" s="239"/>
      <c r="VT70" s="239"/>
      <c r="VU70" s="239"/>
      <c r="VV70" s="239"/>
      <c r="VW70" s="239"/>
      <c r="VX70" s="239"/>
      <c r="VY70" s="239"/>
      <c r="VZ70" s="239"/>
      <c r="WA70" s="239"/>
      <c r="WB70" s="239"/>
      <c r="WC70" s="239"/>
      <c r="WD70" s="239"/>
      <c r="WE70" s="239"/>
      <c r="WF70" s="239"/>
      <c r="WG70" s="239"/>
      <c r="WH70" s="239"/>
      <c r="WI70" s="239"/>
      <c r="WJ70" s="239"/>
      <c r="WK70" s="239"/>
      <c r="WL70" s="239"/>
      <c r="WM70" s="239"/>
      <c r="WN70" s="239"/>
      <c r="WO70" s="239"/>
      <c r="WP70" s="239"/>
      <c r="WQ70" s="239"/>
      <c r="WR70" s="239"/>
      <c r="WS70" s="239"/>
      <c r="WT70" s="239"/>
      <c r="WU70" s="239"/>
      <c r="WV70" s="239"/>
      <c r="WW70" s="239"/>
      <c r="WX70" s="239"/>
      <c r="WY70" s="239"/>
      <c r="WZ70" s="239"/>
      <c r="XA70" s="239"/>
      <c r="XB70" s="239"/>
      <c r="XC70" s="239"/>
      <c r="XD70" s="239"/>
      <c r="XE70" s="239"/>
      <c r="XF70" s="239"/>
      <c r="XG70" s="239"/>
      <c r="XH70" s="239"/>
      <c r="XI70" s="239"/>
      <c r="XJ70" s="239"/>
      <c r="XK70" s="239"/>
      <c r="XL70" s="239"/>
      <c r="XM70" s="239"/>
      <c r="XN70" s="239"/>
      <c r="XO70" s="239"/>
      <c r="XP70" s="239"/>
      <c r="XQ70" s="239"/>
      <c r="XR70" s="239"/>
      <c r="XS70" s="239"/>
      <c r="XT70" s="239"/>
      <c r="XU70" s="239"/>
      <c r="XV70" s="239"/>
      <c r="XW70" s="239"/>
      <c r="XX70" s="239"/>
      <c r="XY70" s="239"/>
      <c r="XZ70" s="239"/>
      <c r="YA70" s="239"/>
      <c r="YB70" s="239"/>
      <c r="YC70" s="239"/>
      <c r="YD70" s="239"/>
      <c r="YE70" s="239"/>
      <c r="YF70" s="239"/>
      <c r="YG70" s="239"/>
      <c r="YH70" s="239"/>
      <c r="YI70" s="239"/>
      <c r="YJ70" s="239"/>
      <c r="YK70" s="239"/>
      <c r="YL70" s="239"/>
      <c r="YM70" s="239"/>
      <c r="YN70" s="239"/>
      <c r="YO70" s="239"/>
      <c r="YP70" s="239"/>
      <c r="YQ70" s="239"/>
      <c r="YR70" s="239"/>
      <c r="YS70" s="239"/>
      <c r="YT70" s="239"/>
      <c r="YU70" s="239"/>
      <c r="YV70" s="239"/>
      <c r="YW70" s="239"/>
      <c r="YX70" s="239"/>
      <c r="YY70" s="239"/>
      <c r="YZ70" s="239"/>
      <c r="ZA70" s="239"/>
      <c r="ZB70" s="239"/>
      <c r="ZC70" s="239"/>
      <c r="ZD70" s="239"/>
      <c r="ZE70" s="239"/>
      <c r="ZF70" s="239"/>
      <c r="ZG70" s="239"/>
      <c r="ZH70" s="239"/>
      <c r="ZI70" s="239"/>
      <c r="ZJ70" s="239"/>
      <c r="ZK70" s="239"/>
      <c r="ZL70" s="239"/>
      <c r="ZM70" s="239"/>
      <c r="ZN70" s="239"/>
      <c r="ZO70" s="239"/>
      <c r="ZP70" s="239"/>
      <c r="ZQ70" s="239"/>
      <c r="ZR70" s="239"/>
      <c r="ZS70" s="239"/>
      <c r="ZT70" s="239"/>
      <c r="ZU70" s="239"/>
      <c r="ZV70" s="239"/>
      <c r="ZW70" s="239"/>
      <c r="ZX70" s="239"/>
      <c r="ZY70" s="239"/>
      <c r="ZZ70" s="239"/>
      <c r="AAA70" s="239"/>
      <c r="AAB70" s="239"/>
      <c r="AAC70" s="239"/>
      <c r="AAD70" s="239"/>
      <c r="AAE70" s="239"/>
      <c r="AAF70" s="239"/>
      <c r="AAG70" s="239"/>
      <c r="AAH70" s="239"/>
      <c r="AAI70" s="239"/>
      <c r="AAJ70" s="239"/>
      <c r="AAK70" s="239"/>
      <c r="AAL70" s="239"/>
      <c r="AAM70" s="239"/>
      <c r="AAN70" s="239"/>
      <c r="AAO70" s="239"/>
      <c r="AAP70" s="239"/>
      <c r="AAQ70" s="239"/>
      <c r="AAR70" s="239"/>
      <c r="AAS70" s="239"/>
      <c r="AAT70" s="239"/>
      <c r="AAU70" s="239"/>
      <c r="AAV70" s="239"/>
      <c r="AAW70" s="239"/>
      <c r="AAX70" s="239"/>
      <c r="AAY70" s="239"/>
      <c r="AAZ70" s="239"/>
      <c r="ABA70" s="239"/>
      <c r="ABB70" s="239"/>
      <c r="ABC70" s="239"/>
      <c r="ABD70" s="239"/>
      <c r="ABE70" s="239"/>
      <c r="ABF70" s="239"/>
      <c r="ABG70" s="239"/>
      <c r="ABH70" s="239"/>
      <c r="ABI70" s="239"/>
      <c r="ABJ70" s="239"/>
      <c r="ABK70" s="239"/>
      <c r="ABL70" s="239"/>
      <c r="ABM70" s="239"/>
      <c r="ABN70" s="239"/>
      <c r="ABO70" s="239"/>
      <c r="ABP70" s="239"/>
      <c r="ABQ70" s="239"/>
      <c r="ABR70" s="239"/>
      <c r="ABS70" s="239"/>
      <c r="ABT70" s="239"/>
      <c r="ABU70" s="239"/>
      <c r="ABV70" s="239"/>
      <c r="ABW70" s="239"/>
      <c r="ABX70" s="239"/>
      <c r="ABY70" s="239"/>
      <c r="ABZ70" s="239"/>
      <c r="ACA70" s="239"/>
      <c r="ACB70" s="239"/>
      <c r="ACC70" s="239"/>
      <c r="ACD70" s="239"/>
      <c r="ACE70" s="239"/>
      <c r="ACF70" s="239"/>
      <c r="ACG70" s="239"/>
      <c r="ACH70" s="239"/>
      <c r="ACI70" s="239"/>
      <c r="ACJ70" s="239"/>
      <c r="ACK70" s="239"/>
      <c r="ACL70" s="239"/>
      <c r="ACM70" s="239"/>
      <c r="ACN70" s="239"/>
      <c r="ACO70" s="239"/>
      <c r="ACP70" s="239"/>
      <c r="ACQ70" s="239"/>
      <c r="ACR70" s="239"/>
      <c r="ACS70" s="239"/>
      <c r="ACT70" s="239"/>
      <c r="ACU70" s="239"/>
      <c r="ACV70" s="239"/>
      <c r="ACW70" s="239"/>
      <c r="ACX70" s="239"/>
      <c r="ACY70" s="239"/>
      <c r="ACZ70" s="239"/>
      <c r="ADA70" s="239"/>
      <c r="ADB70" s="239"/>
      <c r="ADC70" s="239"/>
      <c r="ADD70" s="239"/>
      <c r="ADE70" s="239"/>
      <c r="ADF70" s="239"/>
      <c r="ADG70" s="239"/>
      <c r="ADH70" s="239"/>
      <c r="ADI70" s="239"/>
      <c r="ADJ70" s="239"/>
      <c r="ADK70" s="239"/>
      <c r="ADL70" s="239"/>
      <c r="ADM70" s="239"/>
      <c r="ADN70" s="239"/>
      <c r="ADO70" s="239"/>
      <c r="ADP70" s="239"/>
      <c r="ADQ70" s="239"/>
      <c r="ADR70" s="239"/>
      <c r="ADS70" s="239"/>
      <c r="ADT70" s="239"/>
      <c r="ADU70" s="239"/>
      <c r="ADV70" s="239"/>
      <c r="ADW70" s="239"/>
      <c r="ADX70" s="239"/>
      <c r="ADY70" s="239"/>
      <c r="ADZ70" s="239"/>
      <c r="AEA70" s="239"/>
      <c r="AEB70" s="239"/>
      <c r="AEC70" s="239"/>
      <c r="AED70" s="239"/>
      <c r="AEE70" s="239"/>
      <c r="AEF70" s="239"/>
      <c r="AEG70" s="239"/>
      <c r="AEH70" s="239"/>
      <c r="AEI70" s="239"/>
      <c r="AEJ70" s="239"/>
      <c r="AEK70" s="239"/>
      <c r="AEL70" s="239"/>
      <c r="AEM70" s="239"/>
      <c r="AEN70" s="239"/>
      <c r="AEO70" s="239"/>
      <c r="AEP70" s="239"/>
      <c r="AEQ70" s="239"/>
      <c r="AER70" s="239"/>
      <c r="AES70" s="239"/>
      <c r="AET70" s="239"/>
      <c r="AEU70" s="239"/>
      <c r="AEV70" s="239"/>
      <c r="AEW70" s="239"/>
      <c r="AEX70" s="239"/>
      <c r="AEY70" s="239"/>
      <c r="AEZ70" s="239"/>
      <c r="AFA70" s="239"/>
      <c r="AFB70" s="239"/>
      <c r="AFC70" s="239"/>
      <c r="AFD70" s="239"/>
      <c r="AFE70" s="239"/>
      <c r="AFF70" s="239"/>
      <c r="AFG70" s="239"/>
      <c r="AFH70" s="239"/>
      <c r="AFI70" s="239"/>
      <c r="AFJ70" s="239"/>
      <c r="AFK70" s="239"/>
      <c r="AFL70" s="239"/>
      <c r="AFM70" s="239"/>
      <c r="AFN70" s="239"/>
      <c r="AFO70" s="239"/>
      <c r="AFP70" s="239"/>
      <c r="AFQ70" s="239"/>
      <c r="AFR70" s="239"/>
      <c r="AFS70" s="239"/>
      <c r="AFT70" s="239"/>
      <c r="AFU70" s="239"/>
      <c r="AFV70" s="239"/>
      <c r="AFW70" s="239"/>
      <c r="AFX70" s="239"/>
      <c r="AFY70" s="239"/>
      <c r="AFZ70" s="239"/>
      <c r="AGA70" s="239"/>
      <c r="AGB70" s="239"/>
      <c r="AGC70" s="239"/>
      <c r="AGD70" s="239"/>
      <c r="AGE70" s="239"/>
      <c r="AGF70" s="239"/>
      <c r="AGG70" s="239"/>
      <c r="AGH70" s="239"/>
      <c r="AGI70" s="239"/>
      <c r="AGJ70" s="239"/>
      <c r="AGK70" s="239"/>
      <c r="AGL70" s="239"/>
      <c r="AGM70" s="239"/>
      <c r="AGN70" s="239"/>
      <c r="AGO70" s="239"/>
      <c r="AGP70" s="239"/>
      <c r="AGQ70" s="239"/>
      <c r="AGR70" s="239"/>
      <c r="AGS70" s="239"/>
      <c r="AGT70" s="239"/>
      <c r="AGU70" s="239"/>
      <c r="AGV70" s="239"/>
      <c r="AGW70" s="239"/>
      <c r="AGX70" s="239"/>
      <c r="AGY70" s="239"/>
      <c r="AGZ70" s="239"/>
      <c r="AHA70" s="239"/>
      <c r="AHB70" s="239"/>
      <c r="AHC70" s="239"/>
      <c r="AHD70" s="239"/>
      <c r="AHE70" s="239"/>
      <c r="AHF70" s="239"/>
      <c r="AHG70" s="239"/>
      <c r="AHH70" s="239"/>
      <c r="AHI70" s="239"/>
      <c r="AHJ70" s="239"/>
      <c r="AHK70" s="239"/>
      <c r="AHL70" s="239"/>
      <c r="AHM70" s="239"/>
      <c r="AHN70" s="239"/>
      <c r="AHO70" s="239"/>
      <c r="AHP70" s="239"/>
      <c r="AHQ70" s="239"/>
      <c r="AHR70" s="239"/>
      <c r="AHS70" s="239"/>
      <c r="AHT70" s="239"/>
      <c r="AHU70" s="239"/>
      <c r="AHV70" s="239"/>
      <c r="AHW70" s="239"/>
      <c r="AHX70" s="239"/>
      <c r="AHY70" s="239"/>
      <c r="AHZ70" s="239"/>
      <c r="AIA70" s="239"/>
      <c r="AIB70" s="239"/>
      <c r="AIC70" s="239"/>
      <c r="AID70" s="239"/>
      <c r="AIE70" s="239"/>
      <c r="AIF70" s="239"/>
    </row>
    <row r="71" spans="1:916" x14ac:dyDescent="0.25">
      <c r="J71" s="379"/>
      <c r="K71" s="379"/>
      <c r="L71" s="379"/>
      <c r="O71" s="379"/>
      <c r="W71" s="97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  <c r="PJ71" s="239"/>
      <c r="PK71" s="239"/>
      <c r="PL71" s="239"/>
      <c r="PM71" s="239"/>
      <c r="PN71" s="239"/>
      <c r="PO71" s="239"/>
      <c r="PP71" s="239"/>
      <c r="PQ71" s="239"/>
      <c r="PR71" s="239"/>
      <c r="PS71" s="239"/>
      <c r="PT71" s="239"/>
      <c r="PU71" s="239"/>
      <c r="PV71" s="239"/>
      <c r="PW71" s="239"/>
      <c r="PX71" s="239"/>
      <c r="PY71" s="239"/>
      <c r="PZ71" s="239"/>
      <c r="QA71" s="239"/>
      <c r="QB71" s="239"/>
      <c r="QC71" s="239"/>
      <c r="QD71" s="239"/>
      <c r="QE71" s="239"/>
      <c r="QF71" s="239"/>
      <c r="QG71" s="239"/>
      <c r="QH71" s="239"/>
      <c r="QI71" s="239"/>
      <c r="QJ71" s="239"/>
      <c r="QK71" s="239"/>
      <c r="QL71" s="239"/>
      <c r="QM71" s="239"/>
      <c r="QN71" s="239"/>
      <c r="QO71" s="239"/>
      <c r="QP71" s="239"/>
      <c r="QQ71" s="239"/>
      <c r="QR71" s="239"/>
      <c r="QS71" s="239"/>
      <c r="QT71" s="239"/>
      <c r="QU71" s="239"/>
      <c r="QV71" s="239"/>
      <c r="QW71" s="239"/>
      <c r="QX71" s="239"/>
      <c r="QY71" s="239"/>
      <c r="QZ71" s="239"/>
      <c r="RA71" s="239"/>
      <c r="RB71" s="239"/>
      <c r="RC71" s="239"/>
      <c r="RD71" s="239"/>
      <c r="RE71" s="239"/>
      <c r="RF71" s="239"/>
      <c r="RG71" s="239"/>
      <c r="RH71" s="239"/>
      <c r="RI71" s="239"/>
      <c r="RJ71" s="239"/>
      <c r="RK71" s="239"/>
      <c r="RL71" s="239"/>
      <c r="RM71" s="239"/>
      <c r="RN71" s="239"/>
      <c r="RO71" s="239"/>
      <c r="RP71" s="239"/>
      <c r="RQ71" s="239"/>
      <c r="RR71" s="239"/>
      <c r="RS71" s="239"/>
      <c r="RT71" s="239"/>
      <c r="RU71" s="239"/>
      <c r="RV71" s="239"/>
      <c r="RW71" s="239"/>
      <c r="RX71" s="239"/>
      <c r="RY71" s="239"/>
      <c r="RZ71" s="239"/>
      <c r="SA71" s="239"/>
      <c r="SB71" s="239"/>
      <c r="SC71" s="239"/>
      <c r="SD71" s="239"/>
      <c r="SE71" s="239"/>
      <c r="SF71" s="239"/>
      <c r="SG71" s="239"/>
      <c r="SH71" s="239"/>
      <c r="SI71" s="239"/>
      <c r="SJ71" s="239"/>
      <c r="SK71" s="239"/>
      <c r="SL71" s="239"/>
      <c r="SM71" s="239"/>
      <c r="SN71" s="239"/>
      <c r="SO71" s="239"/>
      <c r="SP71" s="239"/>
      <c r="SQ71" s="239"/>
      <c r="SR71" s="239"/>
      <c r="SS71" s="239"/>
      <c r="ST71" s="239"/>
      <c r="SU71" s="239"/>
      <c r="SV71" s="239"/>
      <c r="SW71" s="239"/>
      <c r="SX71" s="239"/>
      <c r="SY71" s="239"/>
      <c r="SZ71" s="239"/>
      <c r="TA71" s="239"/>
      <c r="TB71" s="239"/>
      <c r="TC71" s="239"/>
      <c r="TD71" s="239"/>
      <c r="TE71" s="239"/>
      <c r="TF71" s="239"/>
      <c r="TG71" s="239"/>
      <c r="TH71" s="239"/>
      <c r="TI71" s="239"/>
      <c r="TJ71" s="239"/>
      <c r="TK71" s="239"/>
      <c r="TL71" s="239"/>
      <c r="TM71" s="239"/>
      <c r="TN71" s="239"/>
      <c r="TO71" s="239"/>
      <c r="TP71" s="239"/>
      <c r="TQ71" s="239"/>
      <c r="TR71" s="239"/>
      <c r="TS71" s="239"/>
      <c r="TT71" s="239"/>
      <c r="TU71" s="239"/>
      <c r="TV71" s="239"/>
      <c r="TW71" s="239"/>
      <c r="TX71" s="239"/>
      <c r="TY71" s="239"/>
      <c r="TZ71" s="239"/>
      <c r="UA71" s="239"/>
      <c r="UB71" s="239"/>
      <c r="UC71" s="239"/>
      <c r="UD71" s="239"/>
      <c r="UE71" s="239"/>
      <c r="UF71" s="239"/>
      <c r="UG71" s="239"/>
      <c r="UH71" s="239"/>
      <c r="UI71" s="239"/>
      <c r="UJ71" s="239"/>
      <c r="UK71" s="239"/>
      <c r="UL71" s="239"/>
      <c r="UM71" s="239"/>
      <c r="UN71" s="239"/>
      <c r="UO71" s="239"/>
      <c r="UP71" s="239"/>
      <c r="UQ71" s="239"/>
      <c r="UR71" s="239"/>
      <c r="US71" s="239"/>
      <c r="UT71" s="239"/>
      <c r="UU71" s="239"/>
      <c r="UV71" s="239"/>
      <c r="UW71" s="239"/>
      <c r="UX71" s="239"/>
      <c r="UY71" s="239"/>
      <c r="UZ71" s="239"/>
      <c r="VA71" s="239"/>
      <c r="VB71" s="239"/>
      <c r="VC71" s="239"/>
      <c r="VD71" s="239"/>
      <c r="VE71" s="239"/>
      <c r="VF71" s="239"/>
      <c r="VG71" s="239"/>
      <c r="VH71" s="239"/>
      <c r="VI71" s="239"/>
      <c r="VJ71" s="239"/>
      <c r="VK71" s="239"/>
      <c r="VL71" s="239"/>
      <c r="VM71" s="239"/>
      <c r="VN71" s="239"/>
      <c r="VO71" s="239"/>
      <c r="VP71" s="239"/>
      <c r="VQ71" s="239"/>
      <c r="VR71" s="239"/>
      <c r="VS71" s="239"/>
      <c r="VT71" s="239"/>
      <c r="VU71" s="239"/>
      <c r="VV71" s="239"/>
      <c r="VW71" s="239"/>
      <c r="VX71" s="239"/>
      <c r="VY71" s="239"/>
      <c r="VZ71" s="239"/>
      <c r="WA71" s="239"/>
      <c r="WB71" s="239"/>
      <c r="WC71" s="239"/>
      <c r="WD71" s="239"/>
      <c r="WE71" s="239"/>
      <c r="WF71" s="239"/>
      <c r="WG71" s="239"/>
      <c r="WH71" s="239"/>
      <c r="WI71" s="239"/>
      <c r="WJ71" s="239"/>
      <c r="WK71" s="239"/>
      <c r="WL71" s="239"/>
      <c r="WM71" s="239"/>
      <c r="WN71" s="239"/>
      <c r="WO71" s="239"/>
      <c r="WP71" s="239"/>
      <c r="WQ71" s="239"/>
      <c r="WR71" s="239"/>
      <c r="WS71" s="239"/>
      <c r="WT71" s="239"/>
      <c r="WU71" s="239"/>
      <c r="WV71" s="239"/>
      <c r="WW71" s="239"/>
      <c r="WX71" s="239"/>
      <c r="WY71" s="239"/>
      <c r="WZ71" s="239"/>
      <c r="XA71" s="239"/>
      <c r="XB71" s="239"/>
      <c r="XC71" s="239"/>
      <c r="XD71" s="239"/>
      <c r="XE71" s="239"/>
      <c r="XF71" s="239"/>
      <c r="XG71" s="239"/>
      <c r="XH71" s="239"/>
      <c r="XI71" s="239"/>
      <c r="XJ71" s="239"/>
      <c r="XK71" s="239"/>
      <c r="XL71" s="239"/>
      <c r="XM71" s="239"/>
      <c r="XN71" s="239"/>
      <c r="XO71" s="239"/>
      <c r="XP71" s="239"/>
      <c r="XQ71" s="239"/>
      <c r="XR71" s="239"/>
      <c r="XS71" s="239"/>
      <c r="XT71" s="239"/>
      <c r="XU71" s="239"/>
      <c r="XV71" s="239"/>
      <c r="XW71" s="239"/>
      <c r="XX71" s="239"/>
      <c r="XY71" s="239"/>
      <c r="XZ71" s="239"/>
      <c r="YA71" s="239"/>
      <c r="YB71" s="239"/>
      <c r="YC71" s="239"/>
      <c r="YD71" s="239"/>
      <c r="YE71" s="239"/>
      <c r="YF71" s="239"/>
      <c r="YG71" s="239"/>
      <c r="YH71" s="239"/>
      <c r="YI71" s="239"/>
      <c r="YJ71" s="239"/>
      <c r="YK71" s="239"/>
      <c r="YL71" s="239"/>
      <c r="YM71" s="239"/>
      <c r="YN71" s="239"/>
      <c r="YO71" s="239"/>
      <c r="YP71" s="239"/>
      <c r="YQ71" s="239"/>
      <c r="YR71" s="239"/>
      <c r="YS71" s="239"/>
      <c r="YT71" s="239"/>
      <c r="YU71" s="239"/>
      <c r="YV71" s="239"/>
      <c r="YW71" s="239"/>
      <c r="YX71" s="239"/>
      <c r="YY71" s="239"/>
      <c r="YZ71" s="239"/>
      <c r="ZA71" s="239"/>
      <c r="ZB71" s="239"/>
      <c r="ZC71" s="239"/>
      <c r="ZD71" s="239"/>
      <c r="ZE71" s="239"/>
      <c r="ZF71" s="239"/>
      <c r="ZG71" s="239"/>
      <c r="ZH71" s="239"/>
      <c r="ZI71" s="239"/>
      <c r="ZJ71" s="239"/>
      <c r="ZK71" s="239"/>
      <c r="ZL71" s="239"/>
      <c r="ZM71" s="239"/>
      <c r="ZN71" s="239"/>
      <c r="ZO71" s="239"/>
      <c r="ZP71" s="239"/>
      <c r="ZQ71" s="239"/>
      <c r="ZR71" s="239"/>
      <c r="ZS71" s="239"/>
      <c r="ZT71" s="239"/>
      <c r="ZU71" s="239"/>
      <c r="ZV71" s="239"/>
      <c r="ZW71" s="239"/>
      <c r="ZX71" s="239"/>
      <c r="ZY71" s="239"/>
      <c r="ZZ71" s="239"/>
      <c r="AAA71" s="239"/>
      <c r="AAB71" s="239"/>
      <c r="AAC71" s="239"/>
      <c r="AAD71" s="239"/>
      <c r="AAE71" s="239"/>
      <c r="AAF71" s="239"/>
      <c r="AAG71" s="239"/>
      <c r="AAH71" s="239"/>
      <c r="AAI71" s="239"/>
      <c r="AAJ71" s="239"/>
      <c r="AAK71" s="239"/>
      <c r="AAL71" s="239"/>
      <c r="AAM71" s="239"/>
      <c r="AAN71" s="239"/>
      <c r="AAO71" s="239"/>
      <c r="AAP71" s="239"/>
      <c r="AAQ71" s="239"/>
      <c r="AAR71" s="239"/>
      <c r="AAS71" s="239"/>
      <c r="AAT71" s="239"/>
      <c r="AAU71" s="239"/>
      <c r="AAV71" s="239"/>
      <c r="AAW71" s="239"/>
      <c r="AAX71" s="239"/>
      <c r="AAY71" s="239"/>
      <c r="AAZ71" s="239"/>
      <c r="ABA71" s="239"/>
      <c r="ABB71" s="239"/>
      <c r="ABC71" s="239"/>
      <c r="ABD71" s="239"/>
      <c r="ABE71" s="239"/>
      <c r="ABF71" s="239"/>
      <c r="ABG71" s="239"/>
      <c r="ABH71" s="239"/>
      <c r="ABI71" s="239"/>
      <c r="ABJ71" s="239"/>
      <c r="ABK71" s="239"/>
      <c r="ABL71" s="239"/>
      <c r="ABM71" s="239"/>
      <c r="ABN71" s="239"/>
      <c r="ABO71" s="239"/>
      <c r="ABP71" s="239"/>
      <c r="ABQ71" s="239"/>
      <c r="ABR71" s="239"/>
      <c r="ABS71" s="239"/>
      <c r="ABT71" s="239"/>
      <c r="ABU71" s="239"/>
      <c r="ABV71" s="239"/>
      <c r="ABW71" s="239"/>
      <c r="ABX71" s="239"/>
      <c r="ABY71" s="239"/>
      <c r="ABZ71" s="239"/>
      <c r="ACA71" s="239"/>
      <c r="ACB71" s="239"/>
      <c r="ACC71" s="239"/>
      <c r="ACD71" s="239"/>
      <c r="ACE71" s="239"/>
      <c r="ACF71" s="239"/>
      <c r="ACG71" s="239"/>
      <c r="ACH71" s="239"/>
      <c r="ACI71" s="239"/>
      <c r="ACJ71" s="239"/>
      <c r="ACK71" s="239"/>
      <c r="ACL71" s="239"/>
      <c r="ACM71" s="239"/>
      <c r="ACN71" s="239"/>
      <c r="ACO71" s="239"/>
      <c r="ACP71" s="239"/>
      <c r="ACQ71" s="239"/>
      <c r="ACR71" s="239"/>
      <c r="ACS71" s="239"/>
      <c r="ACT71" s="239"/>
      <c r="ACU71" s="239"/>
      <c r="ACV71" s="239"/>
      <c r="ACW71" s="239"/>
      <c r="ACX71" s="239"/>
      <c r="ACY71" s="239"/>
      <c r="ACZ71" s="239"/>
      <c r="ADA71" s="239"/>
      <c r="ADB71" s="239"/>
      <c r="ADC71" s="239"/>
      <c r="ADD71" s="239"/>
      <c r="ADE71" s="239"/>
      <c r="ADF71" s="239"/>
      <c r="ADG71" s="239"/>
      <c r="ADH71" s="239"/>
      <c r="ADI71" s="239"/>
      <c r="ADJ71" s="239"/>
      <c r="ADK71" s="239"/>
      <c r="ADL71" s="239"/>
      <c r="ADM71" s="239"/>
      <c r="ADN71" s="239"/>
      <c r="ADO71" s="239"/>
      <c r="ADP71" s="239"/>
      <c r="ADQ71" s="239"/>
      <c r="ADR71" s="239"/>
      <c r="ADS71" s="239"/>
      <c r="ADT71" s="239"/>
      <c r="ADU71" s="239"/>
      <c r="ADV71" s="239"/>
      <c r="ADW71" s="239"/>
      <c r="ADX71" s="239"/>
      <c r="ADY71" s="239"/>
      <c r="ADZ71" s="239"/>
      <c r="AEA71" s="239"/>
      <c r="AEB71" s="239"/>
      <c r="AEC71" s="239"/>
      <c r="AED71" s="239"/>
      <c r="AEE71" s="239"/>
      <c r="AEF71" s="239"/>
      <c r="AEG71" s="239"/>
      <c r="AEH71" s="239"/>
      <c r="AEI71" s="239"/>
      <c r="AEJ71" s="239"/>
      <c r="AEK71" s="239"/>
      <c r="AEL71" s="239"/>
      <c r="AEM71" s="239"/>
      <c r="AEN71" s="239"/>
      <c r="AEO71" s="239"/>
      <c r="AEP71" s="239"/>
      <c r="AEQ71" s="239"/>
      <c r="AER71" s="239"/>
      <c r="AES71" s="239"/>
      <c r="AET71" s="239"/>
      <c r="AEU71" s="239"/>
      <c r="AEV71" s="239"/>
      <c r="AEW71" s="239"/>
      <c r="AEX71" s="239"/>
      <c r="AEY71" s="239"/>
      <c r="AEZ71" s="239"/>
      <c r="AFA71" s="239"/>
      <c r="AFB71" s="239"/>
      <c r="AFC71" s="239"/>
      <c r="AFD71" s="239"/>
      <c r="AFE71" s="239"/>
      <c r="AFF71" s="239"/>
      <c r="AFG71" s="239"/>
      <c r="AFH71" s="239"/>
      <c r="AFI71" s="239"/>
      <c r="AFJ71" s="239"/>
      <c r="AFK71" s="239"/>
      <c r="AFL71" s="239"/>
      <c r="AFM71" s="239"/>
      <c r="AFN71" s="239"/>
      <c r="AFO71" s="239"/>
      <c r="AFP71" s="239"/>
      <c r="AFQ71" s="239"/>
      <c r="AFR71" s="239"/>
      <c r="AFS71" s="239"/>
      <c r="AFT71" s="239"/>
      <c r="AFU71" s="239"/>
      <c r="AFV71" s="239"/>
      <c r="AFW71" s="239"/>
      <c r="AFX71" s="239"/>
      <c r="AFY71" s="239"/>
      <c r="AFZ71" s="239"/>
      <c r="AGA71" s="239"/>
      <c r="AGB71" s="239"/>
      <c r="AGC71" s="239"/>
      <c r="AGD71" s="239"/>
      <c r="AGE71" s="239"/>
      <c r="AGF71" s="239"/>
      <c r="AGG71" s="239"/>
      <c r="AGH71" s="239"/>
      <c r="AGI71" s="239"/>
      <c r="AGJ71" s="239"/>
      <c r="AGK71" s="239"/>
      <c r="AGL71" s="239"/>
      <c r="AGM71" s="239"/>
      <c r="AGN71" s="239"/>
      <c r="AGO71" s="239"/>
      <c r="AGP71" s="239"/>
      <c r="AGQ71" s="239"/>
      <c r="AGR71" s="239"/>
      <c r="AGS71" s="239"/>
      <c r="AGT71" s="239"/>
      <c r="AGU71" s="239"/>
      <c r="AGV71" s="239"/>
      <c r="AGW71" s="239"/>
      <c r="AGX71" s="239"/>
      <c r="AGY71" s="239"/>
      <c r="AGZ71" s="239"/>
      <c r="AHA71" s="239"/>
      <c r="AHB71" s="239"/>
      <c r="AHC71" s="239"/>
      <c r="AHD71" s="239"/>
      <c r="AHE71" s="239"/>
      <c r="AHF71" s="239"/>
      <c r="AHG71" s="239"/>
      <c r="AHH71" s="239"/>
      <c r="AHI71" s="239"/>
      <c r="AHJ71" s="239"/>
      <c r="AHK71" s="239"/>
      <c r="AHL71" s="239"/>
      <c r="AHM71" s="239"/>
      <c r="AHN71" s="239"/>
      <c r="AHO71" s="239"/>
      <c r="AHP71" s="239"/>
      <c r="AHQ71" s="239"/>
      <c r="AHR71" s="239"/>
      <c r="AHS71" s="239"/>
      <c r="AHT71" s="239"/>
      <c r="AHU71" s="239"/>
      <c r="AHV71" s="239"/>
      <c r="AHW71" s="239"/>
      <c r="AHX71" s="239"/>
      <c r="AHY71" s="239"/>
      <c r="AHZ71" s="239"/>
      <c r="AIA71" s="239"/>
      <c r="AIB71" s="239"/>
      <c r="AIC71" s="239"/>
      <c r="AID71" s="239"/>
      <c r="AIE71" s="239"/>
      <c r="AIF71" s="239"/>
    </row>
    <row r="72" spans="1:916" x14ac:dyDescent="0.25">
      <c r="B72" s="378"/>
      <c r="H72" s="244"/>
      <c r="I72" s="242"/>
      <c r="J72" s="93"/>
      <c r="Q72" s="147"/>
      <c r="R72" s="381"/>
      <c r="S72" s="93"/>
      <c r="T72" s="97"/>
      <c r="U72" s="97"/>
      <c r="V72" s="97"/>
      <c r="W72" s="9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  <c r="HJ72" s="239"/>
      <c r="HK72" s="239"/>
      <c r="HL72" s="239"/>
      <c r="HM72" s="239"/>
      <c r="HN72" s="239"/>
      <c r="HO72" s="239"/>
      <c r="HP72" s="239"/>
      <c r="HQ72" s="239"/>
      <c r="HR72" s="239"/>
      <c r="HS72" s="239"/>
      <c r="HT72" s="239"/>
      <c r="HU72" s="239"/>
      <c r="HV72" s="239"/>
      <c r="HW72" s="239"/>
      <c r="HX72" s="239"/>
      <c r="HY72" s="239"/>
      <c r="HZ72" s="239"/>
      <c r="IA72" s="239"/>
      <c r="IB72" s="239"/>
      <c r="IC72" s="239"/>
      <c r="ID72" s="239"/>
      <c r="IE72" s="239"/>
      <c r="IF72" s="239"/>
      <c r="IG72" s="239"/>
      <c r="IH72" s="239"/>
      <c r="II72" s="239"/>
      <c r="IJ72" s="239"/>
      <c r="IK72" s="239"/>
      <c r="IL72" s="239"/>
      <c r="IM72" s="239"/>
      <c r="IN72" s="239"/>
      <c r="IO72" s="239"/>
      <c r="IP72" s="239"/>
      <c r="IQ72" s="239"/>
      <c r="IR72" s="239"/>
      <c r="IS72" s="239"/>
      <c r="IT72" s="239"/>
      <c r="IU72" s="239"/>
      <c r="IV72" s="239"/>
      <c r="IW72" s="239"/>
      <c r="IX72" s="239"/>
      <c r="IY72" s="239"/>
      <c r="IZ72" s="239"/>
      <c r="JA72" s="239"/>
      <c r="JB72" s="239"/>
      <c r="JC72" s="239"/>
      <c r="JD72" s="239"/>
      <c r="JE72" s="239"/>
      <c r="JF72" s="239"/>
      <c r="JG72" s="239"/>
      <c r="JH72" s="239"/>
      <c r="JI72" s="239"/>
      <c r="JJ72" s="239"/>
      <c r="JK72" s="239"/>
      <c r="JL72" s="239"/>
      <c r="JM72" s="239"/>
      <c r="JN72" s="239"/>
      <c r="JO72" s="239"/>
      <c r="JP72" s="239"/>
      <c r="JQ72" s="239"/>
      <c r="JR72" s="239"/>
      <c r="JS72" s="239"/>
      <c r="JT72" s="239"/>
      <c r="JU72" s="239"/>
      <c r="JV72" s="239"/>
      <c r="JW72" s="239"/>
      <c r="JX72" s="239"/>
      <c r="JY72" s="239"/>
      <c r="JZ72" s="239"/>
      <c r="KA72" s="239"/>
      <c r="KB72" s="239"/>
      <c r="KC72" s="239"/>
      <c r="KD72" s="239"/>
      <c r="KE72" s="239"/>
      <c r="KF72" s="239"/>
      <c r="KG72" s="239"/>
      <c r="KH72" s="239"/>
      <c r="KI72" s="239"/>
      <c r="KJ72" s="239"/>
      <c r="KK72" s="239"/>
      <c r="KL72" s="239"/>
      <c r="KM72" s="239"/>
      <c r="KN72" s="239"/>
      <c r="KO72" s="239"/>
      <c r="KP72" s="239"/>
      <c r="KQ72" s="239"/>
      <c r="KR72" s="239"/>
      <c r="KS72" s="239"/>
      <c r="KT72" s="239"/>
      <c r="KU72" s="239"/>
      <c r="KV72" s="239"/>
      <c r="KW72" s="239"/>
      <c r="KX72" s="239"/>
      <c r="KY72" s="239"/>
      <c r="KZ72" s="239"/>
      <c r="LA72" s="239"/>
      <c r="LB72" s="239"/>
      <c r="LC72" s="239"/>
      <c r="LD72" s="239"/>
      <c r="LE72" s="239"/>
      <c r="LF72" s="239"/>
      <c r="LG72" s="239"/>
      <c r="LH72" s="239"/>
      <c r="LI72" s="239"/>
      <c r="LJ72" s="239"/>
      <c r="LK72" s="239"/>
      <c r="LL72" s="239"/>
      <c r="LM72" s="239"/>
      <c r="LN72" s="239"/>
      <c r="LO72" s="239"/>
      <c r="LP72" s="239"/>
      <c r="LQ72" s="239"/>
      <c r="LR72" s="239"/>
      <c r="LS72" s="239"/>
      <c r="LT72" s="239"/>
      <c r="LU72" s="239"/>
      <c r="LV72" s="239"/>
      <c r="LW72" s="239"/>
      <c r="LX72" s="239"/>
      <c r="LY72" s="239"/>
      <c r="LZ72" s="239"/>
      <c r="MA72" s="239"/>
      <c r="MB72" s="239"/>
      <c r="MC72" s="239"/>
      <c r="MD72" s="239"/>
      <c r="ME72" s="239"/>
      <c r="MF72" s="239"/>
      <c r="MG72" s="239"/>
      <c r="MH72" s="239"/>
      <c r="MI72" s="239"/>
      <c r="MJ72" s="239"/>
      <c r="MK72" s="239"/>
      <c r="ML72" s="239"/>
      <c r="MM72" s="239"/>
      <c r="MN72" s="239"/>
      <c r="MO72" s="239"/>
      <c r="MP72" s="239"/>
      <c r="MQ72" s="239"/>
      <c r="MR72" s="239"/>
      <c r="MS72" s="239"/>
      <c r="MT72" s="239"/>
      <c r="MU72" s="239"/>
      <c r="MV72" s="239"/>
      <c r="MW72" s="239"/>
      <c r="MX72" s="239"/>
      <c r="MY72" s="239"/>
      <c r="MZ72" s="239"/>
      <c r="NA72" s="239"/>
      <c r="NB72" s="239"/>
      <c r="NC72" s="239"/>
      <c r="ND72" s="239"/>
      <c r="NE72" s="239"/>
      <c r="NF72" s="239"/>
      <c r="NG72" s="239"/>
 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     <c r="NR72" s="239"/>
      <c r="NS72" s="239"/>
      <c r="NT72" s="239"/>
      <c r="NU72" s="239"/>
      <c r="NV72" s="239"/>
      <c r="NW72" s="239"/>
      <c r="NX72" s="239"/>
      <c r="NY72" s="239"/>
      <c r="NZ72" s="239"/>
      <c r="OA72" s="239"/>
      <c r="OB72" s="239"/>
      <c r="OC72" s="239"/>
      <c r="OD72" s="239"/>
      <c r="OE72" s="239"/>
      <c r="OF72" s="239"/>
      <c r="OG72" s="239"/>
      <c r="OH72" s="239"/>
      <c r="OI72" s="239"/>
      <c r="OJ72" s="239"/>
      <c r="OK72" s="239"/>
      <c r="OL72" s="239"/>
      <c r="OM72" s="239"/>
      <c r="ON72" s="239"/>
      <c r="OO72" s="239"/>
      <c r="OP72" s="239"/>
      <c r="OQ72" s="239"/>
      <c r="OR72" s="239"/>
      <c r="OS72" s="239"/>
      <c r="OT72" s="239"/>
      <c r="OU72" s="239"/>
      <c r="OV72" s="239"/>
      <c r="OW72" s="239"/>
      <c r="OX72" s="239"/>
      <c r="OY72" s="239"/>
      <c r="OZ72" s="239"/>
      <c r="PA72" s="239"/>
      <c r="PB72" s="239"/>
      <c r="PC72" s="239"/>
      <c r="PD72" s="239"/>
      <c r="PE72" s="239"/>
      <c r="PF72" s="239"/>
      <c r="PG72" s="239"/>
      <c r="PH72" s="239"/>
      <c r="PI72" s="239"/>
      <c r="PJ72" s="239"/>
      <c r="PK72" s="239"/>
      <c r="PL72" s="239"/>
      <c r="PM72" s="239"/>
      <c r="PN72" s="239"/>
      <c r="PO72" s="239"/>
      <c r="PP72" s="239"/>
      <c r="PQ72" s="239"/>
      <c r="PR72" s="239"/>
      <c r="PS72" s="239"/>
      <c r="PT72" s="239"/>
      <c r="PU72" s="239"/>
      <c r="PV72" s="239"/>
      <c r="PW72" s="239"/>
      <c r="PX72" s="239"/>
      <c r="PY72" s="239"/>
      <c r="PZ72" s="239"/>
      <c r="QA72" s="239"/>
      <c r="QB72" s="239"/>
      <c r="QC72" s="239"/>
      <c r="QD72" s="239"/>
      <c r="QE72" s="239"/>
      <c r="QF72" s="239"/>
      <c r="QG72" s="239"/>
      <c r="QH72" s="239"/>
      <c r="QI72" s="239"/>
      <c r="QJ72" s="239"/>
      <c r="QK72" s="239"/>
      <c r="QL72" s="239"/>
      <c r="QM72" s="239"/>
      <c r="QN72" s="239"/>
      <c r="QO72" s="239"/>
      <c r="QP72" s="239"/>
      <c r="QQ72" s="239"/>
      <c r="QR72" s="239"/>
      <c r="QS72" s="239"/>
      <c r="QT72" s="239"/>
      <c r="QU72" s="239"/>
      <c r="QV72" s="239"/>
      <c r="QW72" s="239"/>
      <c r="QX72" s="239"/>
      <c r="QY72" s="239"/>
      <c r="QZ72" s="239"/>
      <c r="RA72" s="239"/>
      <c r="RB72" s="239"/>
      <c r="RC72" s="239"/>
      <c r="RD72" s="239"/>
      <c r="RE72" s="239"/>
      <c r="RF72" s="239"/>
      <c r="RG72" s="239"/>
      <c r="RH72" s="239"/>
      <c r="RI72" s="239"/>
      <c r="RJ72" s="239"/>
      <c r="RK72" s="239"/>
      <c r="RL72" s="239"/>
      <c r="RM72" s="239"/>
      <c r="RN72" s="239"/>
      <c r="RO72" s="239"/>
      <c r="RP72" s="239"/>
      <c r="RQ72" s="239"/>
      <c r="RR72" s="239"/>
      <c r="RS72" s="239"/>
      <c r="RT72" s="239"/>
      <c r="RU72" s="239"/>
      <c r="RV72" s="239"/>
      <c r="RW72" s="239"/>
      <c r="RX72" s="239"/>
      <c r="RY72" s="239"/>
      <c r="RZ72" s="239"/>
      <c r="SA72" s="239"/>
      <c r="SB72" s="239"/>
      <c r="SC72" s="239"/>
      <c r="SD72" s="239"/>
      <c r="SE72" s="239"/>
      <c r="SF72" s="239"/>
      <c r="SG72" s="239"/>
      <c r="SH72" s="239"/>
      <c r="SI72" s="239"/>
      <c r="SJ72" s="239"/>
      <c r="SK72" s="239"/>
      <c r="SL72" s="239"/>
      <c r="SM72" s="239"/>
      <c r="SN72" s="239"/>
      <c r="SO72" s="239"/>
      <c r="SP72" s="239"/>
      <c r="SQ72" s="239"/>
      <c r="SR72" s="239"/>
      <c r="SS72" s="239"/>
      <c r="ST72" s="239"/>
      <c r="SU72" s="239"/>
      <c r="SV72" s="239"/>
      <c r="SW72" s="239"/>
      <c r="SX72" s="239"/>
      <c r="SY72" s="239"/>
      <c r="SZ72" s="239"/>
      <c r="TA72" s="239"/>
      <c r="TB72" s="239"/>
      <c r="TC72" s="239"/>
      <c r="TD72" s="239"/>
      <c r="TE72" s="239"/>
      <c r="TF72" s="239"/>
      <c r="TG72" s="239"/>
      <c r="TH72" s="239"/>
      <c r="TI72" s="239"/>
      <c r="TJ72" s="239"/>
      <c r="TK72" s="239"/>
      <c r="TL72" s="239"/>
      <c r="TM72" s="239"/>
      <c r="TN72" s="239"/>
      <c r="TO72" s="239"/>
      <c r="TP72" s="239"/>
      <c r="TQ72" s="239"/>
      <c r="TR72" s="239"/>
      <c r="TS72" s="239"/>
      <c r="TT72" s="239"/>
      <c r="TU72" s="239"/>
      <c r="TV72" s="239"/>
      <c r="TW72" s="239"/>
      <c r="TX72" s="239"/>
      <c r="TY72" s="239"/>
      <c r="TZ72" s="239"/>
      <c r="UA72" s="239"/>
      <c r="UB72" s="239"/>
      <c r="UC72" s="239"/>
      <c r="UD72" s="239"/>
      <c r="UE72" s="239"/>
      <c r="UF72" s="239"/>
      <c r="UG72" s="239"/>
      <c r="UH72" s="239"/>
      <c r="UI72" s="239"/>
      <c r="UJ72" s="239"/>
      <c r="UK72" s="239"/>
      <c r="UL72" s="239"/>
      <c r="UM72" s="239"/>
      <c r="UN72" s="239"/>
      <c r="UO72" s="239"/>
      <c r="UP72" s="239"/>
      <c r="UQ72" s="239"/>
      <c r="UR72" s="239"/>
      <c r="US72" s="239"/>
      <c r="UT72" s="239"/>
      <c r="UU72" s="239"/>
      <c r="UV72" s="239"/>
      <c r="UW72" s="239"/>
      <c r="UX72" s="239"/>
      <c r="UY72" s="239"/>
      <c r="UZ72" s="239"/>
      <c r="VA72" s="239"/>
      <c r="VB72" s="239"/>
      <c r="VC72" s="239"/>
      <c r="VD72" s="239"/>
      <c r="VE72" s="239"/>
      <c r="VF72" s="239"/>
      <c r="VG72" s="239"/>
      <c r="VH72" s="239"/>
      <c r="VI72" s="239"/>
      <c r="VJ72" s="239"/>
      <c r="VK72" s="239"/>
      <c r="VL72" s="239"/>
      <c r="VM72" s="239"/>
      <c r="VN72" s="239"/>
      <c r="VO72" s="239"/>
      <c r="VP72" s="239"/>
      <c r="VQ72" s="239"/>
      <c r="VR72" s="239"/>
      <c r="VS72" s="239"/>
      <c r="VT72" s="239"/>
      <c r="VU72" s="239"/>
      <c r="VV72" s="239"/>
      <c r="VW72" s="239"/>
      <c r="VX72" s="239"/>
      <c r="VY72" s="239"/>
      <c r="VZ72" s="239"/>
      <c r="WA72" s="239"/>
      <c r="WB72" s="239"/>
      <c r="WC72" s="239"/>
      <c r="WD72" s="239"/>
      <c r="WE72" s="239"/>
      <c r="WF72" s="239"/>
      <c r="WG72" s="239"/>
      <c r="WH72" s="239"/>
      <c r="WI72" s="239"/>
      <c r="WJ72" s="239"/>
      <c r="WK72" s="239"/>
      <c r="WL72" s="239"/>
      <c r="WM72" s="239"/>
      <c r="WN72" s="239"/>
      <c r="WO72" s="239"/>
      <c r="WP72" s="239"/>
      <c r="WQ72" s="239"/>
      <c r="WR72" s="239"/>
      <c r="WS72" s="239"/>
      <c r="WT72" s="239"/>
      <c r="WU72" s="239"/>
      <c r="WV72" s="239"/>
      <c r="WW72" s="239"/>
      <c r="WX72" s="239"/>
      <c r="WY72" s="239"/>
      <c r="WZ72" s="239"/>
      <c r="XA72" s="239"/>
      <c r="XB72" s="239"/>
      <c r="XC72" s="239"/>
      <c r="XD72" s="239"/>
      <c r="XE72" s="239"/>
      <c r="XF72" s="239"/>
      <c r="XG72" s="239"/>
      <c r="XH72" s="239"/>
      <c r="XI72" s="239"/>
      <c r="XJ72" s="239"/>
      <c r="XK72" s="239"/>
      <c r="XL72" s="239"/>
      <c r="XM72" s="239"/>
      <c r="XN72" s="239"/>
      <c r="XO72" s="239"/>
      <c r="XP72" s="239"/>
      <c r="XQ72" s="239"/>
      <c r="XR72" s="239"/>
      <c r="XS72" s="239"/>
      <c r="XT72" s="239"/>
      <c r="XU72" s="239"/>
      <c r="XV72" s="239"/>
      <c r="XW72" s="239"/>
      <c r="XX72" s="239"/>
      <c r="XY72" s="239"/>
      <c r="XZ72" s="239"/>
      <c r="YA72" s="239"/>
      <c r="YB72" s="239"/>
      <c r="YC72" s="239"/>
      <c r="YD72" s="239"/>
      <c r="YE72" s="239"/>
      <c r="YF72" s="239"/>
      <c r="YG72" s="239"/>
      <c r="YH72" s="239"/>
      <c r="YI72" s="239"/>
      <c r="YJ72" s="239"/>
      <c r="YK72" s="239"/>
      <c r="YL72" s="239"/>
      <c r="YM72" s="239"/>
      <c r="YN72" s="239"/>
      <c r="YO72" s="239"/>
      <c r="YP72" s="239"/>
      <c r="YQ72" s="239"/>
      <c r="YR72" s="239"/>
      <c r="YS72" s="239"/>
      <c r="YT72" s="239"/>
      <c r="YU72" s="239"/>
      <c r="YV72" s="239"/>
      <c r="YW72" s="239"/>
      <c r="YX72" s="239"/>
      <c r="YY72" s="239"/>
      <c r="YZ72" s="239"/>
      <c r="ZA72" s="239"/>
      <c r="ZB72" s="239"/>
      <c r="ZC72" s="239"/>
      <c r="ZD72" s="239"/>
      <c r="ZE72" s="239"/>
      <c r="ZF72" s="239"/>
      <c r="ZG72" s="239"/>
      <c r="ZH72" s="239"/>
      <c r="ZI72" s="239"/>
      <c r="ZJ72" s="239"/>
      <c r="ZK72" s="239"/>
      <c r="ZL72" s="239"/>
      <c r="ZM72" s="239"/>
      <c r="ZN72" s="239"/>
      <c r="ZO72" s="239"/>
      <c r="ZP72" s="239"/>
      <c r="ZQ72" s="239"/>
      <c r="ZR72" s="239"/>
      <c r="ZS72" s="239"/>
      <c r="ZT72" s="239"/>
      <c r="ZU72" s="239"/>
      <c r="ZV72" s="239"/>
      <c r="ZW72" s="239"/>
      <c r="ZX72" s="239"/>
      <c r="ZY72" s="239"/>
      <c r="ZZ72" s="239"/>
      <c r="AAA72" s="239"/>
      <c r="AAB72" s="239"/>
      <c r="AAC72" s="239"/>
      <c r="AAD72" s="239"/>
      <c r="AAE72" s="239"/>
      <c r="AAF72" s="239"/>
      <c r="AAG72" s="239"/>
      <c r="AAH72" s="239"/>
      <c r="AAI72" s="239"/>
      <c r="AAJ72" s="239"/>
      <c r="AAK72" s="239"/>
      <c r="AAL72" s="239"/>
      <c r="AAM72" s="239"/>
      <c r="AAN72" s="239"/>
      <c r="AAO72" s="239"/>
      <c r="AAP72" s="239"/>
      <c r="AAQ72" s="239"/>
      <c r="AAR72" s="239"/>
      <c r="AAS72" s="239"/>
      <c r="AAT72" s="239"/>
      <c r="AAU72" s="239"/>
      <c r="AAV72" s="239"/>
      <c r="AAW72" s="239"/>
      <c r="AAX72" s="239"/>
      <c r="AAY72" s="239"/>
      <c r="AAZ72" s="239"/>
      <c r="ABA72" s="239"/>
      <c r="ABB72" s="239"/>
      <c r="ABC72" s="239"/>
      <c r="ABD72" s="239"/>
      <c r="ABE72" s="239"/>
      <c r="ABF72" s="239"/>
      <c r="ABG72" s="239"/>
      <c r="ABH72" s="239"/>
      <c r="ABI72" s="239"/>
      <c r="ABJ72" s="239"/>
      <c r="ABK72" s="239"/>
      <c r="ABL72" s="239"/>
      <c r="ABM72" s="239"/>
      <c r="ABN72" s="239"/>
      <c r="ABO72" s="239"/>
      <c r="ABP72" s="239"/>
      <c r="ABQ72" s="239"/>
      <c r="ABR72" s="239"/>
      <c r="ABS72" s="239"/>
      <c r="ABT72" s="239"/>
      <c r="ABU72" s="239"/>
      <c r="ABV72" s="239"/>
      <c r="ABW72" s="239"/>
      <c r="ABX72" s="239"/>
      <c r="ABY72" s="239"/>
      <c r="ABZ72" s="239"/>
      <c r="ACA72" s="239"/>
      <c r="ACB72" s="239"/>
      <c r="ACC72" s="239"/>
      <c r="ACD72" s="239"/>
      <c r="ACE72" s="239"/>
      <c r="ACF72" s="239"/>
      <c r="ACG72" s="239"/>
      <c r="ACH72" s="239"/>
      <c r="ACI72" s="239"/>
      <c r="ACJ72" s="239"/>
      <c r="ACK72" s="239"/>
      <c r="ACL72" s="239"/>
      <c r="ACM72" s="239"/>
      <c r="ACN72" s="239"/>
      <c r="ACO72" s="239"/>
      <c r="ACP72" s="239"/>
      <c r="ACQ72" s="239"/>
      <c r="ACR72" s="239"/>
      <c r="ACS72" s="239"/>
      <c r="ACT72" s="239"/>
      <c r="ACU72" s="239"/>
      <c r="ACV72" s="239"/>
      <c r="ACW72" s="239"/>
      <c r="ACX72" s="239"/>
      <c r="ACY72" s="239"/>
      <c r="ACZ72" s="239"/>
      <c r="ADA72" s="239"/>
      <c r="ADB72" s="239"/>
      <c r="ADC72" s="239"/>
      <c r="ADD72" s="239"/>
      <c r="ADE72" s="239"/>
      <c r="ADF72" s="239"/>
      <c r="ADG72" s="239"/>
      <c r="ADH72" s="239"/>
      <c r="ADI72" s="239"/>
      <c r="ADJ72" s="239"/>
      <c r="ADK72" s="239"/>
      <c r="ADL72" s="239"/>
      <c r="ADM72" s="239"/>
      <c r="ADN72" s="239"/>
      <c r="ADO72" s="239"/>
      <c r="ADP72" s="239"/>
      <c r="ADQ72" s="239"/>
      <c r="ADR72" s="239"/>
      <c r="ADS72" s="239"/>
      <c r="ADT72" s="239"/>
      <c r="ADU72" s="239"/>
      <c r="ADV72" s="239"/>
      <c r="ADW72" s="239"/>
      <c r="ADX72" s="239"/>
      <c r="ADY72" s="239"/>
      <c r="ADZ72" s="239"/>
      <c r="AEA72" s="239"/>
      <c r="AEB72" s="239"/>
      <c r="AEC72" s="239"/>
      <c r="AED72" s="239"/>
      <c r="AEE72" s="239"/>
      <c r="AEF72" s="239"/>
      <c r="AEG72" s="239"/>
      <c r="AEH72" s="239"/>
      <c r="AEI72" s="239"/>
      <c r="AEJ72" s="239"/>
      <c r="AEK72" s="239"/>
      <c r="AEL72" s="239"/>
      <c r="AEM72" s="239"/>
      <c r="AEN72" s="239"/>
      <c r="AEO72" s="239"/>
      <c r="AEP72" s="239"/>
      <c r="AEQ72" s="239"/>
      <c r="AER72" s="239"/>
      <c r="AES72" s="239"/>
      <c r="AET72" s="239"/>
      <c r="AEU72" s="239"/>
      <c r="AEV72" s="239"/>
      <c r="AEW72" s="239"/>
      <c r="AEX72" s="239"/>
      <c r="AEY72" s="239"/>
      <c r="AEZ72" s="239"/>
      <c r="AFA72" s="239"/>
      <c r="AFB72" s="239"/>
      <c r="AFC72" s="239"/>
      <c r="AFD72" s="239"/>
      <c r="AFE72" s="239"/>
      <c r="AFF72" s="239"/>
      <c r="AFG72" s="239"/>
      <c r="AFH72" s="239"/>
      <c r="AFI72" s="239"/>
      <c r="AFJ72" s="239"/>
      <c r="AFK72" s="239"/>
      <c r="AFL72" s="239"/>
      <c r="AFM72" s="239"/>
      <c r="AFN72" s="239"/>
      <c r="AFO72" s="239"/>
      <c r="AFP72" s="239"/>
      <c r="AFQ72" s="239"/>
      <c r="AFR72" s="239"/>
      <c r="AFS72" s="239"/>
      <c r="AFT72" s="239"/>
      <c r="AFU72" s="239"/>
      <c r="AFV72" s="239"/>
      <c r="AFW72" s="239"/>
      <c r="AFX72" s="239"/>
      <c r="AFY72" s="239"/>
      <c r="AFZ72" s="239"/>
      <c r="AGA72" s="239"/>
      <c r="AGB72" s="239"/>
      <c r="AGC72" s="239"/>
      <c r="AGD72" s="239"/>
      <c r="AGE72" s="239"/>
      <c r="AGF72" s="239"/>
      <c r="AGG72" s="239"/>
      <c r="AGH72" s="239"/>
      <c r="AGI72" s="239"/>
      <c r="AGJ72" s="239"/>
      <c r="AGK72" s="239"/>
      <c r="AGL72" s="239"/>
      <c r="AGM72" s="239"/>
      <c r="AGN72" s="239"/>
      <c r="AGO72" s="239"/>
      <c r="AGP72" s="239"/>
      <c r="AGQ72" s="239"/>
      <c r="AGR72" s="239"/>
      <c r="AGS72" s="239"/>
      <c r="AGT72" s="239"/>
      <c r="AGU72" s="239"/>
      <c r="AGV72" s="239"/>
      <c r="AGW72" s="239"/>
      <c r="AGX72" s="239"/>
      <c r="AGY72" s="239"/>
      <c r="AGZ72" s="239"/>
      <c r="AHA72" s="239"/>
      <c r="AHB72" s="239"/>
      <c r="AHC72" s="239"/>
      <c r="AHD72" s="239"/>
      <c r="AHE72" s="239"/>
      <c r="AHF72" s="239"/>
      <c r="AHG72" s="239"/>
      <c r="AHH72" s="239"/>
      <c r="AHI72" s="239"/>
      <c r="AHJ72" s="239"/>
      <c r="AHK72" s="239"/>
      <c r="AHL72" s="239"/>
      <c r="AHM72" s="239"/>
      <c r="AHN72" s="239"/>
      <c r="AHO72" s="239"/>
      <c r="AHP72" s="239"/>
      <c r="AHQ72" s="239"/>
      <c r="AHR72" s="239"/>
      <c r="AHS72" s="239"/>
      <c r="AHT72" s="239"/>
      <c r="AHU72" s="239"/>
      <c r="AHV72" s="239"/>
      <c r="AHW72" s="239"/>
      <c r="AHX72" s="239"/>
      <c r="AHY72" s="239"/>
      <c r="AHZ72" s="239"/>
      <c r="AIA72" s="239"/>
      <c r="AIB72" s="239"/>
      <c r="AIC72" s="239"/>
      <c r="AID72" s="239"/>
      <c r="AIE72" s="239"/>
      <c r="AIF72" s="239"/>
    </row>
    <row r="73" spans="1:916" x14ac:dyDescent="0.25">
      <c r="H73" s="244"/>
      <c r="I73" s="242"/>
      <c r="J73" s="93"/>
      <c r="Q73" s="93"/>
      <c r="R73" s="381"/>
      <c r="S73" s="93"/>
      <c r="T73" s="97"/>
      <c r="U73" s="97"/>
      <c r="V73" s="97"/>
      <c r="W73" s="97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239"/>
      <c r="FW73" s="239"/>
      <c r="FX73" s="239"/>
      <c r="FY73" s="239"/>
      <c r="FZ73" s="239"/>
      <c r="GA73" s="239"/>
      <c r="GB73" s="239"/>
      <c r="GC73" s="239"/>
      <c r="GD73" s="239"/>
      <c r="GE73" s="239"/>
      <c r="GF73" s="239"/>
      <c r="GG73" s="239"/>
      <c r="GH73" s="239"/>
      <c r="GI73" s="239"/>
      <c r="GJ73" s="239"/>
      <c r="GK73" s="239"/>
      <c r="GL73" s="239"/>
      <c r="GM73" s="239"/>
      <c r="GN73" s="239"/>
      <c r="GO73" s="239"/>
      <c r="GP73" s="239"/>
      <c r="GQ73" s="239"/>
      <c r="GR73" s="239"/>
      <c r="GS73" s="239"/>
      <c r="GT73" s="239"/>
      <c r="GU73" s="239"/>
      <c r="GV73" s="239"/>
      <c r="GW73" s="239"/>
      <c r="GX73" s="239"/>
      <c r="GY73" s="239"/>
      <c r="GZ73" s="239"/>
      <c r="HA73" s="239"/>
      <c r="HB73" s="239"/>
      <c r="HC73" s="239"/>
      <c r="HD73" s="239"/>
      <c r="HE73" s="239"/>
      <c r="HF73" s="239"/>
      <c r="HG73" s="239"/>
      <c r="HH73" s="239"/>
      <c r="HI73" s="239"/>
      <c r="HJ73" s="239"/>
      <c r="HK73" s="239"/>
      <c r="HL73" s="239"/>
      <c r="HM73" s="239"/>
      <c r="HN73" s="239"/>
      <c r="HO73" s="239"/>
      <c r="HP73" s="239"/>
      <c r="HQ73" s="239"/>
      <c r="HR73" s="239"/>
      <c r="HS73" s="239"/>
      <c r="HT73" s="239"/>
      <c r="HU73" s="239"/>
      <c r="HV73" s="239"/>
      <c r="HW73" s="239"/>
      <c r="HX73" s="239"/>
      <c r="HY73" s="239"/>
      <c r="HZ73" s="239"/>
      <c r="IA73" s="239"/>
      <c r="IB73" s="239"/>
      <c r="IC73" s="239"/>
      <c r="ID73" s="239"/>
      <c r="IE73" s="239"/>
      <c r="IF73" s="239"/>
      <c r="IG73" s="239"/>
      <c r="IH73" s="239"/>
      <c r="II73" s="239"/>
      <c r="IJ73" s="239"/>
      <c r="IK73" s="239"/>
      <c r="IL73" s="239"/>
      <c r="IM73" s="239"/>
      <c r="IN73" s="239"/>
      <c r="IO73" s="239"/>
      <c r="IP73" s="239"/>
      <c r="IQ73" s="239"/>
      <c r="IR73" s="239"/>
      <c r="IS73" s="239"/>
      <c r="IT73" s="239"/>
      <c r="IU73" s="239"/>
      <c r="IV73" s="239"/>
      <c r="IW73" s="239"/>
      <c r="IX73" s="239"/>
      <c r="IY73" s="239"/>
      <c r="IZ73" s="239"/>
      <c r="JA73" s="239"/>
      <c r="JB73" s="239"/>
      <c r="JC73" s="239"/>
      <c r="JD73" s="239"/>
      <c r="JE73" s="239"/>
      <c r="JF73" s="239"/>
      <c r="JG73" s="239"/>
      <c r="JH73" s="239"/>
      <c r="JI73" s="239"/>
      <c r="JJ73" s="239"/>
      <c r="JK73" s="239"/>
      <c r="JL73" s="239"/>
      <c r="JM73" s="239"/>
      <c r="JN73" s="239"/>
      <c r="JO73" s="239"/>
      <c r="JP73" s="239"/>
      <c r="JQ73" s="239"/>
      <c r="JR73" s="239"/>
      <c r="JS73" s="239"/>
      <c r="JT73" s="239"/>
      <c r="JU73" s="239"/>
      <c r="JV73" s="239"/>
      <c r="JW73" s="239"/>
      <c r="JX73" s="239"/>
      <c r="JY73" s="239"/>
      <c r="JZ73" s="239"/>
      <c r="KA73" s="239"/>
      <c r="KB73" s="239"/>
      <c r="KC73" s="239"/>
      <c r="KD73" s="239"/>
      <c r="KE73" s="239"/>
      <c r="KF73" s="239"/>
      <c r="KG73" s="239"/>
      <c r="KH73" s="239"/>
      <c r="KI73" s="239"/>
      <c r="KJ73" s="239"/>
      <c r="KK73" s="239"/>
      <c r="KL73" s="239"/>
      <c r="KM73" s="239"/>
      <c r="KN73" s="239"/>
      <c r="KO73" s="239"/>
      <c r="KP73" s="239"/>
      <c r="KQ73" s="239"/>
      <c r="KR73" s="239"/>
      <c r="KS73" s="239"/>
      <c r="KT73" s="239"/>
      <c r="KU73" s="239"/>
      <c r="KV73" s="239"/>
      <c r="KW73" s="239"/>
      <c r="KX73" s="239"/>
      <c r="KY73" s="239"/>
      <c r="KZ73" s="239"/>
      <c r="LA73" s="239"/>
      <c r="LB73" s="239"/>
      <c r="LC73" s="239"/>
      <c r="LD73" s="239"/>
      <c r="LE73" s="239"/>
      <c r="LF73" s="239"/>
      <c r="LG73" s="239"/>
      <c r="LH73" s="239"/>
      <c r="LI73" s="239"/>
      <c r="LJ73" s="239"/>
      <c r="LK73" s="239"/>
      <c r="LL73" s="239"/>
      <c r="LM73" s="239"/>
      <c r="LN73" s="239"/>
      <c r="LO73" s="239"/>
      <c r="LP73" s="239"/>
      <c r="LQ73" s="239"/>
      <c r="LR73" s="239"/>
      <c r="LS73" s="239"/>
      <c r="LT73" s="239"/>
      <c r="LU73" s="239"/>
      <c r="LV73" s="239"/>
      <c r="LW73" s="239"/>
      <c r="LX73" s="239"/>
      <c r="LY73" s="239"/>
      <c r="LZ73" s="239"/>
      <c r="MA73" s="239"/>
      <c r="MB73" s="239"/>
      <c r="MC73" s="239"/>
      <c r="MD73" s="239"/>
      <c r="ME73" s="239"/>
      <c r="MF73" s="239"/>
      <c r="MG73" s="239"/>
      <c r="MH73" s="239"/>
      <c r="MI73" s="239"/>
      <c r="MJ73" s="239"/>
      <c r="MK73" s="239"/>
      <c r="ML73" s="239"/>
      <c r="MM73" s="239"/>
      <c r="MN73" s="239"/>
      <c r="MO73" s="239"/>
      <c r="MP73" s="239"/>
      <c r="MQ73" s="239"/>
      <c r="MR73" s="239"/>
      <c r="MS73" s="239"/>
      <c r="MT73" s="239"/>
      <c r="MU73" s="239"/>
      <c r="MV73" s="239"/>
      <c r="MW73" s="239"/>
      <c r="MX73" s="239"/>
      <c r="MY73" s="239"/>
      <c r="MZ73" s="239"/>
      <c r="NA73" s="239"/>
      <c r="NB73" s="239"/>
      <c r="NC73" s="239"/>
      <c r="ND73" s="239"/>
      <c r="NE73" s="239"/>
      <c r="NF73" s="239"/>
      <c r="NG73" s="239"/>
      <c r="NH73" s="239"/>
      <c r="NI73" s="239"/>
      <c r="NJ73" s="239"/>
      <c r="NK73" s="239"/>
      <c r="NL73" s="239"/>
      <c r="NM73" s="239"/>
      <c r="NN73" s="239"/>
      <c r="NO73" s="239"/>
      <c r="NP73" s="239"/>
      <c r="NQ73" s="239"/>
      <c r="NR73" s="239"/>
      <c r="NS73" s="239"/>
      <c r="NT73" s="239"/>
      <c r="NU73" s="239"/>
      <c r="NV73" s="239"/>
      <c r="NW73" s="239"/>
      <c r="NX73" s="239"/>
      <c r="NY73" s="239"/>
      <c r="NZ73" s="239"/>
      <c r="OA73" s="239"/>
      <c r="OB73" s="239"/>
      <c r="OC73" s="239"/>
      <c r="OD73" s="239"/>
      <c r="OE73" s="239"/>
      <c r="OF73" s="239"/>
      <c r="OG73" s="239"/>
      <c r="OH73" s="239"/>
      <c r="OI73" s="239"/>
      <c r="OJ73" s="239"/>
      <c r="OK73" s="239"/>
      <c r="OL73" s="239"/>
      <c r="OM73" s="239"/>
      <c r="ON73" s="239"/>
      <c r="OO73" s="239"/>
      <c r="OP73" s="239"/>
      <c r="OQ73" s="239"/>
      <c r="OR73" s="239"/>
      <c r="OS73" s="239"/>
      <c r="OT73" s="239"/>
      <c r="OU73" s="239"/>
      <c r="OV73" s="239"/>
      <c r="OW73" s="239"/>
      <c r="OX73" s="239"/>
      <c r="OY73" s="239"/>
      <c r="OZ73" s="239"/>
      <c r="PA73" s="239"/>
      <c r="PB73" s="239"/>
      <c r="PC73" s="239"/>
      <c r="PD73" s="239"/>
      <c r="PE73" s="239"/>
      <c r="PF73" s="239"/>
      <c r="PG73" s="239"/>
      <c r="PH73" s="239"/>
      <c r="PI73" s="239"/>
      <c r="PJ73" s="239"/>
      <c r="PK73" s="239"/>
      <c r="PL73" s="239"/>
      <c r="PM73" s="239"/>
      <c r="PN73" s="239"/>
      <c r="PO73" s="239"/>
      <c r="PP73" s="239"/>
      <c r="PQ73" s="239"/>
      <c r="PR73" s="239"/>
      <c r="PS73" s="239"/>
      <c r="PT73" s="239"/>
      <c r="PU73" s="239"/>
      <c r="PV73" s="239"/>
      <c r="PW73" s="239"/>
      <c r="PX73" s="239"/>
      <c r="PY73" s="239"/>
      <c r="PZ73" s="239"/>
      <c r="QA73" s="239"/>
      <c r="QB73" s="239"/>
      <c r="QC73" s="239"/>
      <c r="QD73" s="239"/>
      <c r="QE73" s="239"/>
      <c r="QF73" s="239"/>
      <c r="QG73" s="239"/>
      <c r="QH73" s="239"/>
      <c r="QI73" s="239"/>
      <c r="QJ73" s="239"/>
      <c r="QK73" s="239"/>
      <c r="QL73" s="239"/>
      <c r="QM73" s="239"/>
      <c r="QN73" s="239"/>
      <c r="QO73" s="239"/>
      <c r="QP73" s="239"/>
      <c r="QQ73" s="239"/>
      <c r="QR73" s="239"/>
      <c r="QS73" s="239"/>
      <c r="QT73" s="239"/>
      <c r="QU73" s="239"/>
      <c r="QV73" s="239"/>
      <c r="QW73" s="239"/>
      <c r="QX73" s="239"/>
      <c r="QY73" s="239"/>
      <c r="QZ73" s="239"/>
      <c r="RA73" s="239"/>
      <c r="RB73" s="239"/>
      <c r="RC73" s="239"/>
      <c r="RD73" s="239"/>
      <c r="RE73" s="239"/>
      <c r="RF73" s="239"/>
      <c r="RG73" s="239"/>
      <c r="RH73" s="239"/>
      <c r="RI73" s="239"/>
      <c r="RJ73" s="239"/>
      <c r="RK73" s="239"/>
      <c r="RL73" s="239"/>
      <c r="RM73" s="239"/>
      <c r="RN73" s="239"/>
      <c r="RO73" s="239"/>
      <c r="RP73" s="239"/>
      <c r="RQ73" s="239"/>
      <c r="RR73" s="239"/>
      <c r="RS73" s="239"/>
      <c r="RT73" s="239"/>
      <c r="RU73" s="239"/>
      <c r="RV73" s="239"/>
      <c r="RW73" s="239"/>
      <c r="RX73" s="239"/>
      <c r="RY73" s="239"/>
      <c r="RZ73" s="239"/>
      <c r="SA73" s="239"/>
      <c r="SB73" s="239"/>
      <c r="SC73" s="239"/>
      <c r="SD73" s="239"/>
      <c r="SE73" s="239"/>
      <c r="SF73" s="239"/>
      <c r="SG73" s="239"/>
      <c r="SH73" s="239"/>
      <c r="SI73" s="239"/>
      <c r="SJ73" s="239"/>
      <c r="SK73" s="239"/>
      <c r="SL73" s="239"/>
      <c r="SM73" s="239"/>
      <c r="SN73" s="239"/>
      <c r="SO73" s="239"/>
      <c r="SP73" s="239"/>
      <c r="SQ73" s="239"/>
      <c r="SR73" s="239"/>
      <c r="SS73" s="239"/>
      <c r="ST73" s="239"/>
      <c r="SU73" s="239"/>
      <c r="SV73" s="239"/>
      <c r="SW73" s="239"/>
      <c r="SX73" s="239"/>
      <c r="SY73" s="239"/>
      <c r="SZ73" s="239"/>
      <c r="TA73" s="239"/>
      <c r="TB73" s="239"/>
      <c r="TC73" s="239"/>
      <c r="TD73" s="239"/>
      <c r="TE73" s="239"/>
      <c r="TF73" s="239"/>
      <c r="TG73" s="239"/>
      <c r="TH73" s="239"/>
      <c r="TI73" s="239"/>
      <c r="TJ73" s="239"/>
      <c r="TK73" s="239"/>
      <c r="TL73" s="239"/>
      <c r="TM73" s="239"/>
      <c r="TN73" s="239"/>
      <c r="TO73" s="239"/>
      <c r="TP73" s="239"/>
      <c r="TQ73" s="239"/>
      <c r="TR73" s="239"/>
      <c r="TS73" s="239"/>
      <c r="TT73" s="239"/>
      <c r="TU73" s="239"/>
      <c r="TV73" s="239"/>
      <c r="TW73" s="239"/>
      <c r="TX73" s="239"/>
      <c r="TY73" s="239"/>
      <c r="TZ73" s="239"/>
      <c r="UA73" s="239"/>
      <c r="UB73" s="239"/>
      <c r="UC73" s="239"/>
      <c r="UD73" s="239"/>
      <c r="UE73" s="239"/>
      <c r="UF73" s="239"/>
      <c r="UG73" s="239"/>
      <c r="UH73" s="239"/>
      <c r="UI73" s="239"/>
      <c r="UJ73" s="239"/>
      <c r="UK73" s="239"/>
      <c r="UL73" s="239"/>
      <c r="UM73" s="239"/>
      <c r="UN73" s="239"/>
      <c r="UO73" s="239"/>
      <c r="UP73" s="239"/>
      <c r="UQ73" s="239"/>
      <c r="UR73" s="239"/>
      <c r="US73" s="239"/>
      <c r="UT73" s="239"/>
      <c r="UU73" s="239"/>
      <c r="UV73" s="239"/>
      <c r="UW73" s="239"/>
      <c r="UX73" s="239"/>
      <c r="UY73" s="239"/>
      <c r="UZ73" s="239"/>
      <c r="VA73" s="239"/>
      <c r="VB73" s="239"/>
      <c r="VC73" s="239"/>
      <c r="VD73" s="239"/>
      <c r="VE73" s="239"/>
      <c r="VF73" s="239"/>
      <c r="VG73" s="239"/>
      <c r="VH73" s="239"/>
      <c r="VI73" s="239"/>
      <c r="VJ73" s="239"/>
      <c r="VK73" s="239"/>
      <c r="VL73" s="239"/>
      <c r="VM73" s="239"/>
      <c r="VN73" s="239"/>
      <c r="VO73" s="239"/>
      <c r="VP73" s="239"/>
      <c r="VQ73" s="239"/>
      <c r="VR73" s="239"/>
      <c r="VS73" s="239"/>
      <c r="VT73" s="239"/>
      <c r="VU73" s="239"/>
      <c r="VV73" s="239"/>
      <c r="VW73" s="239"/>
      <c r="VX73" s="239"/>
      <c r="VY73" s="239"/>
      <c r="VZ73" s="239"/>
      <c r="WA73" s="239"/>
      <c r="WB73" s="239"/>
      <c r="WC73" s="239"/>
      <c r="WD73" s="239"/>
      <c r="WE73" s="239"/>
      <c r="WF73" s="239"/>
      <c r="WG73" s="239"/>
      <c r="WH73" s="239"/>
      <c r="WI73" s="239"/>
      <c r="WJ73" s="239"/>
      <c r="WK73" s="239"/>
      <c r="WL73" s="239"/>
      <c r="WM73" s="239"/>
      <c r="WN73" s="239"/>
      <c r="WO73" s="239"/>
      <c r="WP73" s="239"/>
      <c r="WQ73" s="239"/>
      <c r="WR73" s="239"/>
      <c r="WS73" s="239"/>
      <c r="WT73" s="239"/>
      <c r="WU73" s="239"/>
      <c r="WV73" s="239"/>
      <c r="WW73" s="239"/>
      <c r="WX73" s="239"/>
      <c r="WY73" s="239"/>
      <c r="WZ73" s="239"/>
      <c r="XA73" s="239"/>
      <c r="XB73" s="239"/>
      <c r="XC73" s="239"/>
      <c r="XD73" s="239"/>
      <c r="XE73" s="239"/>
      <c r="XF73" s="239"/>
      <c r="XG73" s="239"/>
      <c r="XH73" s="239"/>
      <c r="XI73" s="239"/>
      <c r="XJ73" s="239"/>
      <c r="XK73" s="239"/>
      <c r="XL73" s="239"/>
      <c r="XM73" s="239"/>
      <c r="XN73" s="239"/>
      <c r="XO73" s="239"/>
      <c r="XP73" s="239"/>
      <c r="XQ73" s="239"/>
      <c r="XR73" s="239"/>
      <c r="XS73" s="239"/>
      <c r="XT73" s="239"/>
      <c r="XU73" s="239"/>
      <c r="XV73" s="239"/>
      <c r="XW73" s="239"/>
      <c r="XX73" s="239"/>
      <c r="XY73" s="239"/>
      <c r="XZ73" s="239"/>
      <c r="YA73" s="239"/>
      <c r="YB73" s="239"/>
      <c r="YC73" s="239"/>
      <c r="YD73" s="239"/>
      <c r="YE73" s="239"/>
      <c r="YF73" s="239"/>
      <c r="YG73" s="239"/>
      <c r="YH73" s="239"/>
      <c r="YI73" s="239"/>
      <c r="YJ73" s="239"/>
      <c r="YK73" s="239"/>
      <c r="YL73" s="239"/>
      <c r="YM73" s="239"/>
      <c r="YN73" s="239"/>
      <c r="YO73" s="239"/>
      <c r="YP73" s="239"/>
      <c r="YQ73" s="239"/>
      <c r="YR73" s="239"/>
      <c r="YS73" s="239"/>
      <c r="YT73" s="239"/>
      <c r="YU73" s="239"/>
      <c r="YV73" s="239"/>
      <c r="YW73" s="239"/>
      <c r="YX73" s="239"/>
      <c r="YY73" s="239"/>
      <c r="YZ73" s="239"/>
      <c r="ZA73" s="239"/>
      <c r="ZB73" s="239"/>
      <c r="ZC73" s="239"/>
      <c r="ZD73" s="239"/>
      <c r="ZE73" s="239"/>
      <c r="ZF73" s="239"/>
      <c r="ZG73" s="239"/>
      <c r="ZH73" s="239"/>
      <c r="ZI73" s="239"/>
      <c r="ZJ73" s="239"/>
      <c r="ZK73" s="239"/>
      <c r="ZL73" s="239"/>
      <c r="ZM73" s="239"/>
      <c r="ZN73" s="239"/>
      <c r="ZO73" s="239"/>
      <c r="ZP73" s="239"/>
      <c r="ZQ73" s="239"/>
      <c r="ZR73" s="239"/>
      <c r="ZS73" s="239"/>
      <c r="ZT73" s="239"/>
      <c r="ZU73" s="239"/>
      <c r="ZV73" s="239"/>
      <c r="ZW73" s="239"/>
      <c r="ZX73" s="239"/>
      <c r="ZY73" s="239"/>
      <c r="ZZ73" s="239"/>
      <c r="AAA73" s="239"/>
      <c r="AAB73" s="239"/>
      <c r="AAC73" s="239"/>
      <c r="AAD73" s="239"/>
      <c r="AAE73" s="239"/>
      <c r="AAF73" s="239"/>
      <c r="AAG73" s="239"/>
      <c r="AAH73" s="239"/>
      <c r="AAI73" s="239"/>
      <c r="AAJ73" s="239"/>
      <c r="AAK73" s="239"/>
      <c r="AAL73" s="239"/>
      <c r="AAM73" s="239"/>
      <c r="AAN73" s="239"/>
      <c r="AAO73" s="239"/>
      <c r="AAP73" s="239"/>
      <c r="AAQ73" s="239"/>
      <c r="AAR73" s="239"/>
      <c r="AAS73" s="239"/>
      <c r="AAT73" s="239"/>
      <c r="AAU73" s="239"/>
      <c r="AAV73" s="239"/>
      <c r="AAW73" s="239"/>
      <c r="AAX73" s="239"/>
      <c r="AAY73" s="239"/>
      <c r="AAZ73" s="239"/>
      <c r="ABA73" s="239"/>
      <c r="ABB73" s="239"/>
      <c r="ABC73" s="239"/>
      <c r="ABD73" s="239"/>
      <c r="ABE73" s="239"/>
      <c r="ABF73" s="239"/>
      <c r="ABG73" s="239"/>
      <c r="ABH73" s="239"/>
      <c r="ABI73" s="239"/>
      <c r="ABJ73" s="239"/>
      <c r="ABK73" s="239"/>
      <c r="ABL73" s="239"/>
      <c r="ABM73" s="239"/>
      <c r="ABN73" s="239"/>
      <c r="ABO73" s="239"/>
      <c r="ABP73" s="239"/>
      <c r="ABQ73" s="239"/>
      <c r="ABR73" s="239"/>
      <c r="ABS73" s="239"/>
      <c r="ABT73" s="239"/>
      <c r="ABU73" s="239"/>
      <c r="ABV73" s="239"/>
      <c r="ABW73" s="239"/>
      <c r="ABX73" s="239"/>
      <c r="ABY73" s="239"/>
      <c r="ABZ73" s="239"/>
      <c r="ACA73" s="239"/>
      <c r="ACB73" s="239"/>
      <c r="ACC73" s="239"/>
      <c r="ACD73" s="239"/>
      <c r="ACE73" s="239"/>
      <c r="ACF73" s="239"/>
      <c r="ACG73" s="239"/>
      <c r="ACH73" s="239"/>
      <c r="ACI73" s="239"/>
      <c r="ACJ73" s="239"/>
      <c r="ACK73" s="239"/>
      <c r="ACL73" s="239"/>
      <c r="ACM73" s="239"/>
      <c r="ACN73" s="239"/>
      <c r="ACO73" s="239"/>
      <c r="ACP73" s="239"/>
      <c r="ACQ73" s="239"/>
      <c r="ACR73" s="239"/>
      <c r="ACS73" s="239"/>
      <c r="ACT73" s="239"/>
      <c r="ACU73" s="239"/>
      <c r="ACV73" s="239"/>
      <c r="ACW73" s="239"/>
      <c r="ACX73" s="239"/>
      <c r="ACY73" s="239"/>
      <c r="ACZ73" s="239"/>
      <c r="ADA73" s="239"/>
      <c r="ADB73" s="239"/>
      <c r="ADC73" s="239"/>
      <c r="ADD73" s="239"/>
      <c r="ADE73" s="239"/>
      <c r="ADF73" s="239"/>
      <c r="ADG73" s="239"/>
      <c r="ADH73" s="239"/>
      <c r="ADI73" s="239"/>
      <c r="ADJ73" s="239"/>
      <c r="ADK73" s="239"/>
      <c r="ADL73" s="239"/>
      <c r="ADM73" s="239"/>
      <c r="ADN73" s="239"/>
      <c r="ADO73" s="239"/>
      <c r="ADP73" s="239"/>
      <c r="ADQ73" s="239"/>
      <c r="ADR73" s="239"/>
      <c r="ADS73" s="239"/>
      <c r="ADT73" s="239"/>
      <c r="ADU73" s="239"/>
      <c r="ADV73" s="239"/>
      <c r="ADW73" s="239"/>
      <c r="ADX73" s="239"/>
      <c r="ADY73" s="239"/>
      <c r="ADZ73" s="239"/>
      <c r="AEA73" s="239"/>
      <c r="AEB73" s="239"/>
      <c r="AEC73" s="239"/>
      <c r="AED73" s="239"/>
      <c r="AEE73" s="239"/>
      <c r="AEF73" s="239"/>
      <c r="AEG73" s="239"/>
      <c r="AEH73" s="239"/>
      <c r="AEI73" s="239"/>
      <c r="AEJ73" s="239"/>
      <c r="AEK73" s="239"/>
      <c r="AEL73" s="239"/>
      <c r="AEM73" s="239"/>
      <c r="AEN73" s="239"/>
      <c r="AEO73" s="239"/>
      <c r="AEP73" s="239"/>
      <c r="AEQ73" s="239"/>
      <c r="AER73" s="239"/>
      <c r="AES73" s="239"/>
      <c r="AET73" s="239"/>
      <c r="AEU73" s="239"/>
      <c r="AEV73" s="239"/>
      <c r="AEW73" s="239"/>
      <c r="AEX73" s="239"/>
      <c r="AEY73" s="239"/>
      <c r="AEZ73" s="239"/>
      <c r="AFA73" s="239"/>
      <c r="AFB73" s="239"/>
      <c r="AFC73" s="239"/>
      <c r="AFD73" s="239"/>
      <c r="AFE73" s="239"/>
      <c r="AFF73" s="239"/>
      <c r="AFG73" s="239"/>
      <c r="AFH73" s="239"/>
      <c r="AFI73" s="239"/>
      <c r="AFJ73" s="239"/>
      <c r="AFK73" s="239"/>
      <c r="AFL73" s="239"/>
      <c r="AFM73" s="239"/>
      <c r="AFN73" s="239"/>
      <c r="AFO73" s="239"/>
      <c r="AFP73" s="239"/>
      <c r="AFQ73" s="239"/>
      <c r="AFR73" s="239"/>
      <c r="AFS73" s="239"/>
      <c r="AFT73" s="239"/>
      <c r="AFU73" s="239"/>
      <c r="AFV73" s="239"/>
      <c r="AFW73" s="239"/>
      <c r="AFX73" s="239"/>
      <c r="AFY73" s="239"/>
      <c r="AFZ73" s="239"/>
      <c r="AGA73" s="239"/>
      <c r="AGB73" s="239"/>
      <c r="AGC73" s="239"/>
      <c r="AGD73" s="239"/>
      <c r="AGE73" s="239"/>
      <c r="AGF73" s="239"/>
      <c r="AGG73" s="239"/>
      <c r="AGH73" s="239"/>
      <c r="AGI73" s="239"/>
      <c r="AGJ73" s="239"/>
      <c r="AGK73" s="239"/>
      <c r="AGL73" s="239"/>
      <c r="AGM73" s="239"/>
      <c r="AGN73" s="239"/>
      <c r="AGO73" s="239"/>
      <c r="AGP73" s="239"/>
      <c r="AGQ73" s="239"/>
      <c r="AGR73" s="239"/>
      <c r="AGS73" s="239"/>
      <c r="AGT73" s="239"/>
      <c r="AGU73" s="239"/>
      <c r="AGV73" s="239"/>
      <c r="AGW73" s="239"/>
      <c r="AGX73" s="239"/>
      <c r="AGY73" s="239"/>
      <c r="AGZ73" s="239"/>
      <c r="AHA73" s="239"/>
      <c r="AHB73" s="239"/>
      <c r="AHC73" s="239"/>
      <c r="AHD73" s="239"/>
      <c r="AHE73" s="239"/>
      <c r="AHF73" s="239"/>
      <c r="AHG73" s="239"/>
      <c r="AHH73" s="239"/>
      <c r="AHI73" s="239"/>
      <c r="AHJ73" s="239"/>
      <c r="AHK73" s="239"/>
      <c r="AHL73" s="239"/>
      <c r="AHM73" s="239"/>
      <c r="AHN73" s="239"/>
      <c r="AHO73" s="239"/>
      <c r="AHP73" s="239"/>
      <c r="AHQ73" s="239"/>
      <c r="AHR73" s="239"/>
      <c r="AHS73" s="239"/>
      <c r="AHT73" s="239"/>
      <c r="AHU73" s="239"/>
      <c r="AHV73" s="239"/>
      <c r="AHW73" s="239"/>
      <c r="AHX73" s="239"/>
      <c r="AHY73" s="239"/>
      <c r="AHZ73" s="239"/>
      <c r="AIA73" s="239"/>
      <c r="AIB73" s="239"/>
      <c r="AIC73" s="239"/>
      <c r="AID73" s="239"/>
      <c r="AIE73" s="239"/>
      <c r="AIF73" s="239"/>
    </row>
    <row r="74" spans="1:916" x14ac:dyDescent="0.25">
      <c r="B74" s="378"/>
      <c r="H74" s="244"/>
      <c r="I74" s="242"/>
      <c r="J74" s="93"/>
      <c r="N74" s="379"/>
      <c r="Q74" s="93"/>
      <c r="R74" s="93"/>
      <c r="S74" s="93"/>
      <c r="T74" s="97"/>
      <c r="U74" s="97"/>
      <c r="V74" s="97"/>
      <c r="W74" s="97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  <c r="PJ74" s="239"/>
      <c r="PK74" s="239"/>
      <c r="PL74" s="239"/>
      <c r="PM74" s="239"/>
      <c r="PN74" s="239"/>
      <c r="PO74" s="239"/>
      <c r="PP74" s="239"/>
      <c r="PQ74" s="239"/>
      <c r="PR74" s="239"/>
      <c r="PS74" s="239"/>
      <c r="PT74" s="239"/>
      <c r="PU74" s="239"/>
      <c r="PV74" s="239"/>
      <c r="PW74" s="239"/>
      <c r="PX74" s="239"/>
      <c r="PY74" s="239"/>
      <c r="PZ74" s="239"/>
      <c r="QA74" s="239"/>
      <c r="QB74" s="239"/>
      <c r="QC74" s="239"/>
      <c r="QD74" s="239"/>
      <c r="QE74" s="239"/>
      <c r="QF74" s="239"/>
      <c r="QG74" s="239"/>
      <c r="QH74" s="239"/>
      <c r="QI74" s="239"/>
      <c r="QJ74" s="239"/>
      <c r="QK74" s="239"/>
      <c r="QL74" s="239"/>
      <c r="QM74" s="239"/>
      <c r="QN74" s="239"/>
      <c r="QO74" s="239"/>
      <c r="QP74" s="239"/>
      <c r="QQ74" s="239"/>
      <c r="QR74" s="239"/>
      <c r="QS74" s="239"/>
      <c r="QT74" s="239"/>
      <c r="QU74" s="239"/>
      <c r="QV74" s="239"/>
      <c r="QW74" s="239"/>
      <c r="QX74" s="239"/>
      <c r="QY74" s="239"/>
      <c r="QZ74" s="239"/>
      <c r="RA74" s="239"/>
      <c r="RB74" s="239"/>
      <c r="RC74" s="239"/>
      <c r="RD74" s="239"/>
      <c r="RE74" s="239"/>
      <c r="RF74" s="239"/>
      <c r="RG74" s="239"/>
      <c r="RH74" s="239"/>
      <c r="RI74" s="239"/>
      <c r="RJ74" s="239"/>
      <c r="RK74" s="239"/>
      <c r="RL74" s="239"/>
      <c r="RM74" s="239"/>
      <c r="RN74" s="239"/>
      <c r="RO74" s="239"/>
      <c r="RP74" s="239"/>
      <c r="RQ74" s="239"/>
      <c r="RR74" s="239"/>
      <c r="RS74" s="239"/>
      <c r="RT74" s="239"/>
      <c r="RU74" s="239"/>
      <c r="RV74" s="239"/>
      <c r="RW74" s="239"/>
      <c r="RX74" s="239"/>
      <c r="RY74" s="239"/>
      <c r="RZ74" s="239"/>
      <c r="SA74" s="239"/>
      <c r="SB74" s="239"/>
      <c r="SC74" s="239"/>
      <c r="SD74" s="239"/>
      <c r="SE74" s="239"/>
      <c r="SF74" s="239"/>
      <c r="SG74" s="239"/>
      <c r="SH74" s="239"/>
      <c r="SI74" s="239"/>
      <c r="SJ74" s="239"/>
      <c r="SK74" s="239"/>
      <c r="SL74" s="239"/>
      <c r="SM74" s="239"/>
      <c r="SN74" s="239"/>
      <c r="SO74" s="239"/>
      <c r="SP74" s="239"/>
      <c r="SQ74" s="239"/>
      <c r="SR74" s="239"/>
      <c r="SS74" s="239"/>
      <c r="ST74" s="239"/>
      <c r="SU74" s="239"/>
      <c r="SV74" s="239"/>
      <c r="SW74" s="239"/>
      <c r="SX74" s="239"/>
      <c r="SY74" s="239"/>
      <c r="SZ74" s="239"/>
      <c r="TA74" s="239"/>
      <c r="TB74" s="239"/>
      <c r="TC74" s="239"/>
      <c r="TD74" s="239"/>
      <c r="TE74" s="239"/>
      <c r="TF74" s="239"/>
      <c r="TG74" s="239"/>
      <c r="TH74" s="239"/>
      <c r="TI74" s="239"/>
      <c r="TJ74" s="239"/>
      <c r="TK74" s="239"/>
      <c r="TL74" s="239"/>
      <c r="TM74" s="239"/>
      <c r="TN74" s="239"/>
      <c r="TO74" s="239"/>
      <c r="TP74" s="239"/>
      <c r="TQ74" s="239"/>
      <c r="TR74" s="239"/>
      <c r="TS74" s="239"/>
      <c r="TT74" s="239"/>
      <c r="TU74" s="239"/>
      <c r="TV74" s="239"/>
      <c r="TW74" s="239"/>
      <c r="TX74" s="239"/>
      <c r="TY74" s="239"/>
      <c r="TZ74" s="239"/>
      <c r="UA74" s="239"/>
      <c r="UB74" s="239"/>
      <c r="UC74" s="239"/>
      <c r="UD74" s="239"/>
      <c r="UE74" s="239"/>
      <c r="UF74" s="239"/>
      <c r="UG74" s="239"/>
      <c r="UH74" s="239"/>
      <c r="UI74" s="239"/>
      <c r="UJ74" s="239"/>
      <c r="UK74" s="239"/>
      <c r="UL74" s="239"/>
      <c r="UM74" s="239"/>
      <c r="UN74" s="239"/>
      <c r="UO74" s="239"/>
      <c r="UP74" s="239"/>
      <c r="UQ74" s="239"/>
      <c r="UR74" s="239"/>
      <c r="US74" s="239"/>
      <c r="UT74" s="239"/>
      <c r="UU74" s="239"/>
      <c r="UV74" s="239"/>
      <c r="UW74" s="239"/>
      <c r="UX74" s="239"/>
      <c r="UY74" s="239"/>
      <c r="UZ74" s="239"/>
      <c r="VA74" s="239"/>
      <c r="VB74" s="239"/>
      <c r="VC74" s="239"/>
      <c r="VD74" s="239"/>
      <c r="VE74" s="239"/>
      <c r="VF74" s="239"/>
      <c r="VG74" s="239"/>
      <c r="VH74" s="239"/>
      <c r="VI74" s="239"/>
      <c r="VJ74" s="239"/>
      <c r="VK74" s="239"/>
      <c r="VL74" s="239"/>
      <c r="VM74" s="239"/>
      <c r="VN74" s="239"/>
      <c r="VO74" s="239"/>
      <c r="VP74" s="239"/>
      <c r="VQ74" s="239"/>
      <c r="VR74" s="239"/>
      <c r="VS74" s="239"/>
      <c r="VT74" s="239"/>
      <c r="VU74" s="239"/>
      <c r="VV74" s="239"/>
      <c r="VW74" s="239"/>
      <c r="VX74" s="239"/>
      <c r="VY74" s="239"/>
      <c r="VZ74" s="239"/>
      <c r="WA74" s="239"/>
      <c r="WB74" s="239"/>
      <c r="WC74" s="239"/>
      <c r="WD74" s="239"/>
      <c r="WE74" s="239"/>
      <c r="WF74" s="239"/>
      <c r="WG74" s="239"/>
      <c r="WH74" s="239"/>
      <c r="WI74" s="239"/>
      <c r="WJ74" s="239"/>
      <c r="WK74" s="239"/>
      <c r="WL74" s="239"/>
      <c r="WM74" s="239"/>
      <c r="WN74" s="239"/>
      <c r="WO74" s="239"/>
      <c r="WP74" s="239"/>
      <c r="WQ74" s="239"/>
      <c r="WR74" s="239"/>
      <c r="WS74" s="239"/>
      <c r="WT74" s="239"/>
      <c r="WU74" s="239"/>
      <c r="WV74" s="239"/>
      <c r="WW74" s="239"/>
      <c r="WX74" s="239"/>
      <c r="WY74" s="239"/>
      <c r="WZ74" s="239"/>
      <c r="XA74" s="239"/>
      <c r="XB74" s="239"/>
      <c r="XC74" s="239"/>
      <c r="XD74" s="239"/>
      <c r="XE74" s="239"/>
      <c r="XF74" s="239"/>
      <c r="XG74" s="239"/>
      <c r="XH74" s="239"/>
      <c r="XI74" s="239"/>
      <c r="XJ74" s="239"/>
      <c r="XK74" s="239"/>
      <c r="XL74" s="239"/>
      <c r="XM74" s="239"/>
      <c r="XN74" s="239"/>
      <c r="XO74" s="239"/>
      <c r="XP74" s="239"/>
      <c r="XQ74" s="239"/>
      <c r="XR74" s="239"/>
      <c r="XS74" s="239"/>
      <c r="XT74" s="239"/>
      <c r="XU74" s="239"/>
      <c r="XV74" s="239"/>
      <c r="XW74" s="239"/>
      <c r="XX74" s="239"/>
      <c r="XY74" s="239"/>
      <c r="XZ74" s="239"/>
      <c r="YA74" s="239"/>
      <c r="YB74" s="239"/>
      <c r="YC74" s="239"/>
      <c r="YD74" s="239"/>
      <c r="YE74" s="239"/>
      <c r="YF74" s="239"/>
      <c r="YG74" s="239"/>
      <c r="YH74" s="239"/>
      <c r="YI74" s="239"/>
      <c r="YJ74" s="239"/>
      <c r="YK74" s="239"/>
      <c r="YL74" s="239"/>
      <c r="YM74" s="239"/>
      <c r="YN74" s="239"/>
      <c r="YO74" s="239"/>
      <c r="YP74" s="239"/>
      <c r="YQ74" s="239"/>
      <c r="YR74" s="239"/>
      <c r="YS74" s="239"/>
      <c r="YT74" s="239"/>
      <c r="YU74" s="239"/>
      <c r="YV74" s="239"/>
      <c r="YW74" s="239"/>
      <c r="YX74" s="239"/>
      <c r="YY74" s="239"/>
      <c r="YZ74" s="239"/>
      <c r="ZA74" s="239"/>
      <c r="ZB74" s="239"/>
      <c r="ZC74" s="239"/>
      <c r="ZD74" s="239"/>
      <c r="ZE74" s="239"/>
      <c r="ZF74" s="239"/>
      <c r="ZG74" s="239"/>
      <c r="ZH74" s="239"/>
      <c r="ZI74" s="239"/>
      <c r="ZJ74" s="239"/>
      <c r="ZK74" s="239"/>
      <c r="ZL74" s="239"/>
      <c r="ZM74" s="239"/>
      <c r="ZN74" s="239"/>
      <c r="ZO74" s="239"/>
      <c r="ZP74" s="239"/>
      <c r="ZQ74" s="239"/>
      <c r="ZR74" s="239"/>
      <c r="ZS74" s="239"/>
      <c r="ZT74" s="239"/>
      <c r="ZU74" s="239"/>
      <c r="ZV74" s="239"/>
      <c r="ZW74" s="239"/>
      <c r="ZX74" s="239"/>
      <c r="ZY74" s="239"/>
      <c r="ZZ74" s="239"/>
      <c r="AAA74" s="239"/>
      <c r="AAB74" s="239"/>
      <c r="AAC74" s="239"/>
      <c r="AAD74" s="239"/>
      <c r="AAE74" s="239"/>
      <c r="AAF74" s="239"/>
      <c r="AAG74" s="239"/>
      <c r="AAH74" s="239"/>
      <c r="AAI74" s="239"/>
      <c r="AAJ74" s="239"/>
      <c r="AAK74" s="239"/>
      <c r="AAL74" s="239"/>
      <c r="AAM74" s="239"/>
      <c r="AAN74" s="239"/>
      <c r="AAO74" s="239"/>
      <c r="AAP74" s="239"/>
      <c r="AAQ74" s="239"/>
      <c r="AAR74" s="239"/>
      <c r="AAS74" s="239"/>
      <c r="AAT74" s="239"/>
      <c r="AAU74" s="239"/>
      <c r="AAV74" s="239"/>
      <c r="AAW74" s="239"/>
      <c r="AAX74" s="239"/>
      <c r="AAY74" s="239"/>
      <c r="AAZ74" s="239"/>
      <c r="ABA74" s="239"/>
      <c r="ABB74" s="239"/>
      <c r="ABC74" s="239"/>
      <c r="ABD74" s="239"/>
      <c r="ABE74" s="239"/>
      <c r="ABF74" s="239"/>
      <c r="ABG74" s="239"/>
      <c r="ABH74" s="239"/>
      <c r="ABI74" s="239"/>
      <c r="ABJ74" s="239"/>
      <c r="ABK74" s="239"/>
      <c r="ABL74" s="239"/>
      <c r="ABM74" s="239"/>
      <c r="ABN74" s="239"/>
      <c r="ABO74" s="239"/>
      <c r="ABP74" s="239"/>
      <c r="ABQ74" s="239"/>
      <c r="ABR74" s="239"/>
      <c r="ABS74" s="239"/>
      <c r="ABT74" s="239"/>
      <c r="ABU74" s="239"/>
      <c r="ABV74" s="239"/>
      <c r="ABW74" s="239"/>
      <c r="ABX74" s="239"/>
      <c r="ABY74" s="239"/>
      <c r="ABZ74" s="239"/>
      <c r="ACA74" s="239"/>
      <c r="ACB74" s="239"/>
      <c r="ACC74" s="239"/>
      <c r="ACD74" s="239"/>
      <c r="ACE74" s="239"/>
      <c r="ACF74" s="239"/>
      <c r="ACG74" s="239"/>
      <c r="ACH74" s="239"/>
      <c r="ACI74" s="239"/>
      <c r="ACJ74" s="239"/>
      <c r="ACK74" s="239"/>
      <c r="ACL74" s="239"/>
      <c r="ACM74" s="239"/>
      <c r="ACN74" s="239"/>
      <c r="ACO74" s="239"/>
      <c r="ACP74" s="239"/>
      <c r="ACQ74" s="239"/>
      <c r="ACR74" s="239"/>
      <c r="ACS74" s="239"/>
      <c r="ACT74" s="239"/>
      <c r="ACU74" s="239"/>
      <c r="ACV74" s="239"/>
      <c r="ACW74" s="239"/>
      <c r="ACX74" s="239"/>
      <c r="ACY74" s="239"/>
      <c r="ACZ74" s="239"/>
      <c r="ADA74" s="239"/>
      <c r="ADB74" s="239"/>
      <c r="ADC74" s="239"/>
      <c r="ADD74" s="239"/>
      <c r="ADE74" s="239"/>
      <c r="ADF74" s="239"/>
      <c r="ADG74" s="239"/>
      <c r="ADH74" s="239"/>
      <c r="ADI74" s="239"/>
      <c r="ADJ74" s="239"/>
      <c r="ADK74" s="239"/>
      <c r="ADL74" s="239"/>
      <c r="ADM74" s="239"/>
      <c r="ADN74" s="239"/>
      <c r="ADO74" s="239"/>
      <c r="ADP74" s="239"/>
      <c r="ADQ74" s="239"/>
      <c r="ADR74" s="239"/>
      <c r="ADS74" s="239"/>
      <c r="ADT74" s="239"/>
      <c r="ADU74" s="239"/>
      <c r="ADV74" s="239"/>
      <c r="ADW74" s="239"/>
      <c r="ADX74" s="239"/>
      <c r="ADY74" s="239"/>
      <c r="ADZ74" s="239"/>
      <c r="AEA74" s="239"/>
      <c r="AEB74" s="239"/>
      <c r="AEC74" s="239"/>
      <c r="AED74" s="239"/>
      <c r="AEE74" s="239"/>
      <c r="AEF74" s="239"/>
      <c r="AEG74" s="239"/>
      <c r="AEH74" s="239"/>
      <c r="AEI74" s="239"/>
      <c r="AEJ74" s="239"/>
      <c r="AEK74" s="239"/>
      <c r="AEL74" s="239"/>
      <c r="AEM74" s="239"/>
      <c r="AEN74" s="239"/>
      <c r="AEO74" s="239"/>
      <c r="AEP74" s="239"/>
      <c r="AEQ74" s="239"/>
      <c r="AER74" s="239"/>
      <c r="AES74" s="239"/>
      <c r="AET74" s="239"/>
      <c r="AEU74" s="239"/>
      <c r="AEV74" s="239"/>
      <c r="AEW74" s="239"/>
      <c r="AEX74" s="239"/>
      <c r="AEY74" s="239"/>
      <c r="AEZ74" s="239"/>
      <c r="AFA74" s="239"/>
      <c r="AFB74" s="239"/>
      <c r="AFC74" s="239"/>
      <c r="AFD74" s="239"/>
      <c r="AFE74" s="239"/>
      <c r="AFF74" s="239"/>
      <c r="AFG74" s="239"/>
      <c r="AFH74" s="239"/>
      <c r="AFI74" s="239"/>
      <c r="AFJ74" s="239"/>
      <c r="AFK74" s="239"/>
      <c r="AFL74" s="239"/>
      <c r="AFM74" s="239"/>
      <c r="AFN74" s="239"/>
      <c r="AFO74" s="239"/>
      <c r="AFP74" s="239"/>
      <c r="AFQ74" s="239"/>
      <c r="AFR74" s="239"/>
      <c r="AFS74" s="239"/>
      <c r="AFT74" s="239"/>
      <c r="AFU74" s="239"/>
      <c r="AFV74" s="239"/>
      <c r="AFW74" s="239"/>
      <c r="AFX74" s="239"/>
      <c r="AFY74" s="239"/>
      <c r="AFZ74" s="239"/>
      <c r="AGA74" s="239"/>
      <c r="AGB74" s="239"/>
      <c r="AGC74" s="239"/>
      <c r="AGD74" s="239"/>
      <c r="AGE74" s="239"/>
      <c r="AGF74" s="239"/>
      <c r="AGG74" s="239"/>
      <c r="AGH74" s="239"/>
      <c r="AGI74" s="239"/>
      <c r="AGJ74" s="239"/>
      <c r="AGK74" s="239"/>
      <c r="AGL74" s="239"/>
      <c r="AGM74" s="239"/>
      <c r="AGN74" s="239"/>
      <c r="AGO74" s="239"/>
      <c r="AGP74" s="239"/>
      <c r="AGQ74" s="239"/>
      <c r="AGR74" s="239"/>
      <c r="AGS74" s="239"/>
      <c r="AGT74" s="239"/>
      <c r="AGU74" s="239"/>
      <c r="AGV74" s="239"/>
      <c r="AGW74" s="239"/>
      <c r="AGX74" s="239"/>
      <c r="AGY74" s="239"/>
      <c r="AGZ74" s="239"/>
      <c r="AHA74" s="239"/>
      <c r="AHB74" s="239"/>
      <c r="AHC74" s="239"/>
      <c r="AHD74" s="239"/>
      <c r="AHE74" s="239"/>
      <c r="AHF74" s="239"/>
      <c r="AHG74" s="239"/>
      <c r="AHH74" s="239"/>
      <c r="AHI74" s="239"/>
      <c r="AHJ74" s="239"/>
      <c r="AHK74" s="239"/>
      <c r="AHL74" s="239"/>
      <c r="AHM74" s="239"/>
      <c r="AHN74" s="239"/>
      <c r="AHO74" s="239"/>
      <c r="AHP74" s="239"/>
      <c r="AHQ74" s="239"/>
      <c r="AHR74" s="239"/>
      <c r="AHS74" s="239"/>
      <c r="AHT74" s="239"/>
      <c r="AHU74" s="239"/>
      <c r="AHV74" s="239"/>
      <c r="AHW74" s="239"/>
      <c r="AHX74" s="239"/>
      <c r="AHY74" s="239"/>
      <c r="AHZ74" s="239"/>
      <c r="AIA74" s="239"/>
      <c r="AIB74" s="239"/>
      <c r="AIC74" s="239"/>
      <c r="AID74" s="239"/>
      <c r="AIE74" s="239"/>
      <c r="AIF74" s="239"/>
    </row>
    <row r="75" spans="1:916" x14ac:dyDescent="0.25">
      <c r="B75" s="378"/>
      <c r="H75" s="244"/>
      <c r="I75" s="242"/>
      <c r="J75" s="93"/>
      <c r="N75" s="379"/>
      <c r="O75" s="379"/>
      <c r="Q75" s="93"/>
      <c r="R75" s="381"/>
      <c r="S75" s="93"/>
      <c r="T75" s="97"/>
      <c r="U75" s="97"/>
      <c r="V75" s="97"/>
    </row>
    <row r="76" spans="1:916" x14ac:dyDescent="0.25">
      <c r="B76" s="378"/>
      <c r="H76" s="244"/>
      <c r="I76" s="242"/>
      <c r="J76" s="93"/>
      <c r="N76" s="379"/>
      <c r="Q76" s="93"/>
      <c r="R76" s="93"/>
      <c r="S76" s="93"/>
      <c r="T76" s="97"/>
      <c r="U76" s="97"/>
      <c r="V76" s="97"/>
    </row>
    <row r="78" spans="1:916" x14ac:dyDescent="0.25">
      <c r="I78" s="378"/>
      <c r="O78" s="378"/>
      <c r="W78" s="97"/>
      <c r="AIE78" s="239"/>
      <c r="AIF78" s="239"/>
    </row>
    <row r="79" spans="1:916" x14ac:dyDescent="0.25">
      <c r="I79" s="382"/>
      <c r="J79" s="383"/>
      <c r="K79" s="383"/>
      <c r="L79" s="383"/>
      <c r="M79" s="383"/>
      <c r="P79" s="384"/>
      <c r="Q79" s="378"/>
      <c r="R79" s="380"/>
      <c r="T79" s="239"/>
      <c r="U79" s="93"/>
      <c r="V79" s="97"/>
    </row>
    <row r="93" spans="15:15" x14ac:dyDescent="0.25">
      <c r="O93" s="378"/>
    </row>
  </sheetData>
  <mergeCells count="1">
    <mergeCell ref="A5:A6"/>
  </mergeCells>
  <conditionalFormatting sqref="G41">
    <cfRule type="containsBlanks" dxfId="347" priority="3">
      <formula>LEN(TRIM(G41))=0</formula>
    </cfRule>
    <cfRule type="notContainsBlanks" dxfId="346" priority="4">
      <formula>LEN(TRIM(G41))&gt;0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8" location="'CI New Construction {G}'!A1" display="Commercial/Industrial New Construction"/>
    <hyperlink ref="C29" location="'Com SEM {G}'!A1" display="Commercial Strategic Energy Management"/>
    <hyperlink ref="C30" location="'P4P {G}'!A1" display="Pay for Performance"/>
    <hyperlink ref="C32" location="'Commercial Kitchen Laundry {G}'!A1" display="Commercial Kitchen &amp; Laundry"/>
    <hyperlink ref="C33" location="'Commercial HVAC {G}'!A1" display="Commercial HVAC"/>
    <hyperlink ref="C34" location="'Commercial Midstream {G}'!A1" display="Commercial Midstream"/>
    <hyperlink ref="C35" location="'SBDI {G}'!A1" display="Small Business Direct Install"/>
    <hyperlink ref="C37" location="'G245 NEEA GAS'!A1" display="NEEA Gas Market Transformation Study"/>
    <hyperlink ref="C38" location="'TDSM {G}'!A1" display="Targeted DSM Pilot"/>
    <hyperlink ref="C40" location="'G249 Res Gas Pilot'!A1" display="Residential Pilots"/>
    <hyperlink ref="C41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18236102</v>
      </c>
      <c r="D2" s="19" t="s">
        <v>508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18236102</v>
      </c>
      <c r="D5" s="60" t="s">
        <v>508</v>
      </c>
      <c r="E5" s="37"/>
      <c r="F5" s="38"/>
      <c r="G5" s="38">
        <v>13.5</v>
      </c>
      <c r="H5" s="38"/>
      <c r="I5" s="39" t="s">
        <v>260</v>
      </c>
      <c r="J5" s="40">
        <v>1</v>
      </c>
      <c r="K5" s="40">
        <v>2000000</v>
      </c>
      <c r="L5" s="40"/>
      <c r="M5" s="41"/>
      <c r="N5" s="41"/>
      <c r="O5" s="42">
        <v>2000000</v>
      </c>
      <c r="P5" s="43">
        <v>700000</v>
      </c>
      <c r="Q5" s="43">
        <f>P5*2</f>
        <v>1400000</v>
      </c>
      <c r="R5" s="44"/>
      <c r="S5" s="45"/>
      <c r="T5" s="38">
        <f t="shared" ref="T5:T24" si="0">G5+H5</f>
        <v>13.5</v>
      </c>
      <c r="U5" s="46">
        <f t="shared" ref="U5:U24" si="1">(O5/$A$10)*T5</f>
        <v>13.5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654951.5</v>
      </c>
      <c r="Y5" s="43">
        <f t="shared" ref="Y5:Y24" si="5">Q5-P5</f>
        <v>700000</v>
      </c>
      <c r="Z5" s="43">
        <f t="shared" ref="Z5:Z24" si="6">X5+(A$6*W5)</f>
        <v>1354951.5</v>
      </c>
      <c r="AA5" s="49">
        <f t="shared" ref="AA5:AA24" si="7">Q5+X5</f>
        <v>2054951.5</v>
      </c>
      <c r="AB5" s="50">
        <f t="shared" ref="AB5:AC20" si="8">Z5/(1+ElecDiscountRate)^1</f>
        <v>1268681.1797752809</v>
      </c>
      <c r="AC5" s="43">
        <f t="shared" si="8"/>
        <v>1924111.8913857676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1.2079713541496391</v>
      </c>
      <c r="AG5" s="43">
        <f t="shared" ref="AG5:AG24" si="10">AF5*J5*K5</f>
        <v>2415942.7082992783</v>
      </c>
      <c r="AH5" s="51">
        <f>HLOOKUP(I5,ElecAvoidedCostsWOCC!$A$5:$Q$50,T5+1,FALSE)</f>
        <v>1.2079713541496391</v>
      </c>
      <c r="AI5" s="43">
        <f t="shared" ref="AI5:AI24" si="11">AH5*J5*L5</f>
        <v>0</v>
      </c>
      <c r="AJ5" s="43">
        <f>AG5+AI5</f>
        <v>2415942.7082992783</v>
      </c>
      <c r="AK5" s="43">
        <f>HLOOKUP(I5,ElecAvoidedCostsWOCC!$A$5:$Q$50,G5+1,FALSE)*J5*L5</f>
        <v>0</v>
      </c>
      <c r="AL5" s="43">
        <f>AG5+AI5-AK5</f>
        <v>2415942.7082992783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2415942.7082992783</v>
      </c>
      <c r="AN5" s="47">
        <f>AM5*1.1+AD5+AE5</f>
        <v>2657536.9791292064</v>
      </c>
      <c r="AO5" s="46">
        <f>IFERROR(AM5/AB5,0)</f>
        <v>1.9042945909603621</v>
      </c>
      <c r="AP5" s="46">
        <f>AN5/AC5</f>
        <v>1.381175903037124</v>
      </c>
    </row>
    <row r="6" spans="1:42" ht="13.5" customHeight="1" x14ac:dyDescent="0.25">
      <c r="A6" s="52">
        <f>SUMIF('Program Costs'!D:D,C2,'Program Costs'!L:L)</f>
        <v>700000</v>
      </c>
      <c r="B6" s="88"/>
      <c r="C6" s="89">
        <v>18236102</v>
      </c>
      <c r="D6" s="60" t="s">
        <v>508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89">
        <v>18236102</v>
      </c>
      <c r="D7" s="60" t="s">
        <v>508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654951.5</v>
      </c>
      <c r="B8" s="88"/>
      <c r="C8" s="89">
        <v>18236102</v>
      </c>
      <c r="D8" s="60" t="s">
        <v>508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C9" s="89">
        <v>18236102</v>
      </c>
      <c r="D9" s="60" t="s">
        <v>508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2000000</v>
      </c>
      <c r="B10" s="36"/>
      <c r="C10" s="89">
        <v>18236102</v>
      </c>
      <c r="D10" s="60" t="s">
        <v>508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C11" s="89">
        <v>18236102</v>
      </c>
      <c r="D11" s="60" t="s">
        <v>508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700000</v>
      </c>
      <c r="B12" s="36"/>
      <c r="C12" s="89">
        <v>18236102</v>
      </c>
      <c r="D12" s="60" t="s">
        <v>508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C13" s="89">
        <v>18236102</v>
      </c>
      <c r="D13" s="60" t="s">
        <v>508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700000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1354951.5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2054951.5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(SUM(AM5:AM110)/(SUM(AB5:AB110)))</f>
        <v>1.9042945909603621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1.381175903037124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18230720</v>
      </c>
      <c r="D2" s="19" t="s">
        <v>127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18230720</v>
      </c>
      <c r="D5" s="60" t="s">
        <v>127</v>
      </c>
      <c r="E5" s="37"/>
      <c r="F5" s="38"/>
      <c r="G5" s="38">
        <v>17.2</v>
      </c>
      <c r="H5" s="38"/>
      <c r="I5" s="39" t="s">
        <v>260</v>
      </c>
      <c r="J5" s="40">
        <v>1</v>
      </c>
      <c r="K5" s="40">
        <v>8000000</v>
      </c>
      <c r="L5" s="40"/>
      <c r="M5" s="41"/>
      <c r="N5" s="41"/>
      <c r="O5" s="42">
        <v>8000000</v>
      </c>
      <c r="P5" s="43">
        <v>4996742</v>
      </c>
      <c r="Q5" s="43">
        <f>P5*1.55</f>
        <v>7744950.1000000006</v>
      </c>
      <c r="R5" s="44"/>
      <c r="S5" s="45"/>
      <c r="T5" s="38">
        <f t="shared" ref="T5:T24" si="0">G5+H5</f>
        <v>17.2</v>
      </c>
      <c r="U5" s="46">
        <f t="shared" ref="U5:U24" si="1">(O5/$A$10)*T5</f>
        <v>17.2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486618.5</v>
      </c>
      <c r="Y5" s="43">
        <f t="shared" ref="Y5:Y24" si="5">Q5-P5</f>
        <v>2748208.1000000006</v>
      </c>
      <c r="Z5" s="43">
        <f t="shared" ref="Z5:Z24" si="6">X5+(A$6*W5)</f>
        <v>5733360.5</v>
      </c>
      <c r="AA5" s="49">
        <f t="shared" ref="AA5:AA24" si="7">Q5+X5</f>
        <v>8231568.6000000006</v>
      </c>
      <c r="AB5" s="50">
        <f t="shared" ref="AB5:AC20" si="8">Z5/(1+ElecDiscountRate)^1</f>
        <v>5368315.0749063669</v>
      </c>
      <c r="AC5" s="43">
        <f t="shared" si="8"/>
        <v>7707461.2359550558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1.4315873258632867</v>
      </c>
      <c r="AG5" s="43">
        <f t="shared" ref="AG5:AG24" si="10">AF5*J5*K5</f>
        <v>11452698.606906295</v>
      </c>
      <c r="AH5" s="51">
        <f>HLOOKUP(I5,ElecAvoidedCostsWOCC!$A$5:$Q$50,T5+1,FALSE)</f>
        <v>1.4315873258632867</v>
      </c>
      <c r="AI5" s="43">
        <f t="shared" ref="AI5:AI24" si="11">AH5*J5*L5</f>
        <v>0</v>
      </c>
      <c r="AJ5" s="43">
        <f>AG5+AI5</f>
        <v>11452698.606906295</v>
      </c>
      <c r="AK5" s="43">
        <f>HLOOKUP(I5,ElecAvoidedCostsWOCC!$A$5:$Q$50,G5+1,FALSE)*J5*L5</f>
        <v>0</v>
      </c>
      <c r="AL5" s="43">
        <f>AG5+AI5-AK5</f>
        <v>11452698.606906295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11452698.606906295</v>
      </c>
      <c r="AN5" s="47">
        <f>AM5*1.1+AD5+AE5</f>
        <v>12597968.467596926</v>
      </c>
      <c r="AO5" s="46">
        <f>IFERROR(AM5/AB5,0)</f>
        <v>2.133387934035532</v>
      </c>
      <c r="AP5" s="46">
        <f>AN5/AC5</f>
        <v>1.6345159686081603</v>
      </c>
    </row>
    <row r="6" spans="1:42" ht="13.5" customHeight="1" x14ac:dyDescent="0.25">
      <c r="A6" s="52">
        <f>SUMIF('Program Costs'!C:C,D2,'Program Costs'!L:L)</f>
        <v>5246742</v>
      </c>
      <c r="B6" s="88" t="s">
        <v>126</v>
      </c>
      <c r="C6" s="89">
        <v>18230720</v>
      </c>
      <c r="D6" s="60" t="s">
        <v>127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18230720</v>
      </c>
      <c r="D7" s="60" t="s">
        <v>127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486618.5</v>
      </c>
      <c r="B8" s="88" t="s">
        <v>126</v>
      </c>
      <c r="C8" s="89">
        <v>18230720</v>
      </c>
      <c r="D8" s="60" t="s">
        <v>127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18230720</v>
      </c>
      <c r="D9" s="60" t="s">
        <v>127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8000000</v>
      </c>
      <c r="B10" s="88" t="s">
        <v>126</v>
      </c>
      <c r="C10" s="89">
        <v>18230720</v>
      </c>
      <c r="D10" s="60" t="s">
        <v>127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18230720</v>
      </c>
      <c r="D11" s="60" t="s">
        <v>127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4996742</v>
      </c>
      <c r="B12" s="88" t="s">
        <v>126</v>
      </c>
      <c r="C12" s="89">
        <v>18230720</v>
      </c>
      <c r="D12" s="60" t="s">
        <v>127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18230720</v>
      </c>
      <c r="D13" s="60" t="s">
        <v>127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2748208.1000000006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17.2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5733360.5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8231568.6000000006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2.133387934035532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1.6345159686081603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E1"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18230721</v>
      </c>
      <c r="D2" s="19" t="s">
        <v>128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18230721</v>
      </c>
      <c r="D5" s="60" t="s">
        <v>128</v>
      </c>
      <c r="E5" s="37"/>
      <c r="F5" s="38"/>
      <c r="G5" s="38">
        <v>14.18</v>
      </c>
      <c r="H5" s="38"/>
      <c r="I5" s="39" t="s">
        <v>260</v>
      </c>
      <c r="J5" s="40">
        <v>1</v>
      </c>
      <c r="K5" s="40">
        <v>3964901</v>
      </c>
      <c r="L5" s="40"/>
      <c r="M5" s="41"/>
      <c r="N5" s="41"/>
      <c r="O5" s="42">
        <v>3964901</v>
      </c>
      <c r="P5" s="43">
        <v>2381502</v>
      </c>
      <c r="Q5" s="43">
        <f>P5*1.55</f>
        <v>3691328.1</v>
      </c>
      <c r="R5" s="44"/>
      <c r="S5" s="45"/>
      <c r="T5" s="38">
        <f t="shared" ref="T5:T24" si="0">G5+H5</f>
        <v>14.18</v>
      </c>
      <c r="U5" s="46">
        <f t="shared" ref="U5:U24" si="1">(O5/$A$10)*T5</f>
        <v>14.18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362109.60000000009</v>
      </c>
      <c r="Y5" s="43">
        <f t="shared" ref="Y5:Y24" si="5">Q5-P5</f>
        <v>1309826.1000000001</v>
      </c>
      <c r="Z5" s="43">
        <f t="shared" ref="Z5:Z24" si="6">X5+(A$6*W5)</f>
        <v>2993611.6</v>
      </c>
      <c r="AA5" s="49">
        <f t="shared" ref="AA5:AA24" si="7">Q5+X5</f>
        <v>4053437.7</v>
      </c>
      <c r="AB5" s="50">
        <f t="shared" ref="AB5:AC20" si="8">Z5/(1+ElecDiscountRate)^1</f>
        <v>2803007.1161048687</v>
      </c>
      <c r="AC5" s="43">
        <f t="shared" si="8"/>
        <v>3795353.6516853934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1.2695523270593876</v>
      </c>
      <c r="AG5" s="43">
        <f t="shared" ref="AG5:AG24" si="10">AF5*J5*K5</f>
        <v>5033649.2911100928</v>
      </c>
      <c r="AH5" s="51">
        <f>HLOOKUP(I5,ElecAvoidedCostsWOCC!$A$5:$Q$50,T5+1,FALSE)</f>
        <v>1.2695523270593876</v>
      </c>
      <c r="AI5" s="43">
        <f t="shared" ref="AI5:AI24" si="11">AH5*J5*L5</f>
        <v>0</v>
      </c>
      <c r="AJ5" s="43">
        <f>AG5+AI5</f>
        <v>5033649.2911100928</v>
      </c>
      <c r="AK5" s="43">
        <f>HLOOKUP(I5,ElecAvoidedCostsWOCC!$A$5:$Q$50,G5+1,FALSE)*J5*L5</f>
        <v>0</v>
      </c>
      <c r="AL5" s="43">
        <f>AG5+AI5-AK5</f>
        <v>5033649.2911100928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5033649.2911100928</v>
      </c>
      <c r="AN5" s="47">
        <f>AM5*1.1+AD5+AE5</f>
        <v>5537014.2202211022</v>
      </c>
      <c r="AO5" s="46">
        <f>IFERROR(AM5/AB5,0)</f>
        <v>1.7958032507976585</v>
      </c>
      <c r="AP5" s="46">
        <f>AN5/AC5</f>
        <v>1.4588928274871813</v>
      </c>
    </row>
    <row r="6" spans="1:42" ht="13.5" customHeight="1" x14ac:dyDescent="0.25">
      <c r="A6" s="52">
        <f>SUMIF('Program Costs'!D:D,C2,'Program Costs'!L:L)</f>
        <v>2631502</v>
      </c>
      <c r="B6" s="88" t="s">
        <v>126</v>
      </c>
      <c r="C6" s="89">
        <v>18230721</v>
      </c>
      <c r="D6" s="60" t="s">
        <v>128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18230721</v>
      </c>
      <c r="D7" s="60" t="s">
        <v>128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362109.60000000009</v>
      </c>
      <c r="B8" s="88" t="s">
        <v>126</v>
      </c>
      <c r="C8" s="89">
        <v>18230721</v>
      </c>
      <c r="D8" s="60" t="s">
        <v>128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18230721</v>
      </c>
      <c r="D9" s="60" t="s">
        <v>128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3964901</v>
      </c>
      <c r="B10" s="88" t="s">
        <v>126</v>
      </c>
      <c r="C10" s="89">
        <v>18230721</v>
      </c>
      <c r="D10" s="60" t="s">
        <v>128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18230721</v>
      </c>
      <c r="D11" s="60" t="s">
        <v>128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2381502</v>
      </c>
      <c r="B12" s="88" t="s">
        <v>126</v>
      </c>
      <c r="C12" s="89">
        <v>18230721</v>
      </c>
      <c r="D12" s="60" t="s">
        <v>128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18230721</v>
      </c>
      <c r="D13" s="60" t="s">
        <v>128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1309826.1000000001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14.18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2993611.6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4053437.7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1.7958032507976585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1.4588928274871813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L19" sqref="L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18230714</v>
      </c>
      <c r="D2" s="19" t="s">
        <v>122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18230714</v>
      </c>
      <c r="D5" s="60" t="s">
        <v>122</v>
      </c>
      <c r="E5" s="37" t="s">
        <v>1016</v>
      </c>
      <c r="F5" s="38" t="s">
        <v>700</v>
      </c>
      <c r="G5" s="38">
        <v>15</v>
      </c>
      <c r="H5" s="38">
        <v>0</v>
      </c>
      <c r="I5" s="39" t="s">
        <v>261</v>
      </c>
      <c r="J5" s="40">
        <v>0</v>
      </c>
      <c r="K5" s="40">
        <v>202</v>
      </c>
      <c r="L5" s="40">
        <v>0</v>
      </c>
      <c r="M5" s="41">
        <v>40</v>
      </c>
      <c r="N5" s="41">
        <v>255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0</v>
      </c>
      <c r="V5" s="47">
        <f t="shared" ref="V5:V24" si="2">N5-M5</f>
        <v>215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0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4063470.84</v>
      </c>
      <c r="B6" s="88" t="s">
        <v>67</v>
      </c>
      <c r="C6" s="89">
        <v>18230714</v>
      </c>
      <c r="D6" s="60" t="s">
        <v>122</v>
      </c>
      <c r="E6" s="37" t="s">
        <v>1017</v>
      </c>
      <c r="F6" s="38" t="s">
        <v>701</v>
      </c>
      <c r="G6" s="38">
        <v>15</v>
      </c>
      <c r="H6" s="38">
        <v>0</v>
      </c>
      <c r="I6" s="39" t="s">
        <v>261</v>
      </c>
      <c r="J6" s="40">
        <v>0</v>
      </c>
      <c r="K6" s="40">
        <v>252</v>
      </c>
      <c r="L6" s="40">
        <v>0</v>
      </c>
      <c r="M6" s="41">
        <v>50</v>
      </c>
      <c r="N6" s="41">
        <v>329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279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1.3606535375205495</v>
      </c>
      <c r="AG6" s="43">
        <f t="shared" si="10"/>
        <v>0</v>
      </c>
      <c r="AH6" s="51">
        <f>HLOOKUP(I6,ElecAvoidedCostsWOCC!$A$5:$Q$50,T6+1,FALSE)</f>
        <v>1.3606535375205495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18230714</v>
      </c>
      <c r="D7" s="60" t="s">
        <v>122</v>
      </c>
      <c r="E7" s="37" t="s">
        <v>1018</v>
      </c>
      <c r="F7" s="38" t="s">
        <v>687</v>
      </c>
      <c r="G7" s="38">
        <v>15</v>
      </c>
      <c r="H7" s="38">
        <v>0</v>
      </c>
      <c r="I7" s="39" t="s">
        <v>261</v>
      </c>
      <c r="J7" s="40">
        <v>0</v>
      </c>
      <c r="K7" s="40">
        <v>352</v>
      </c>
      <c r="L7" s="40">
        <v>0</v>
      </c>
      <c r="M7" s="41">
        <v>70</v>
      </c>
      <c r="N7" s="41">
        <v>365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295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1.3606535375205495</v>
      </c>
      <c r="AG7" s="43">
        <f t="shared" si="10"/>
        <v>0</v>
      </c>
      <c r="AH7" s="51">
        <f>HLOOKUP(I7,ElecAvoidedCostsWOCC!$A$5:$Q$50,T7+1,FALSE)</f>
        <v>1.3606535375205495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2418354.84</v>
      </c>
      <c r="B8" s="88" t="s">
        <v>67</v>
      </c>
      <c r="C8" s="89">
        <v>18230714</v>
      </c>
      <c r="D8" s="60" t="s">
        <v>122</v>
      </c>
      <c r="E8" s="37" t="s">
        <v>1019</v>
      </c>
      <c r="F8" s="38" t="s">
        <v>688</v>
      </c>
      <c r="G8" s="38">
        <v>15</v>
      </c>
      <c r="H8" s="38">
        <v>0</v>
      </c>
      <c r="I8" s="39" t="s">
        <v>261</v>
      </c>
      <c r="J8" s="40">
        <v>0</v>
      </c>
      <c r="K8" s="40">
        <v>533</v>
      </c>
      <c r="L8" s="40">
        <v>0</v>
      </c>
      <c r="M8" s="41">
        <v>110</v>
      </c>
      <c r="N8" s="41">
        <v>388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278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1.3606535375205495</v>
      </c>
      <c r="AG8" s="43">
        <f t="shared" si="10"/>
        <v>0</v>
      </c>
      <c r="AH8" s="51">
        <f>HLOOKUP(I8,ElecAvoidedCostsWOCC!$A$5:$Q$50,T8+1,FALSE)</f>
        <v>1.3606535375205495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18230714</v>
      </c>
      <c r="D9" s="60" t="s">
        <v>122</v>
      </c>
      <c r="E9" s="37" t="s">
        <v>1020</v>
      </c>
      <c r="F9" s="38" t="s">
        <v>1021</v>
      </c>
      <c r="G9" s="38">
        <v>15</v>
      </c>
      <c r="H9" s="38">
        <v>0</v>
      </c>
      <c r="I9" s="39" t="s">
        <v>261</v>
      </c>
      <c r="J9" s="40">
        <v>0</v>
      </c>
      <c r="K9" s="40">
        <v>699</v>
      </c>
      <c r="L9" s="40">
        <v>0</v>
      </c>
      <c r="M9" s="41">
        <v>140</v>
      </c>
      <c r="N9" s="41">
        <v>370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230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1.3606535375205495</v>
      </c>
      <c r="AG9" s="43">
        <f t="shared" si="10"/>
        <v>0</v>
      </c>
      <c r="AH9" s="51">
        <f>HLOOKUP(I9,ElecAvoidedCostsWOCC!$A$5:$Q$50,T9+1,FALSE)</f>
        <v>1.3606535375205495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27000000</v>
      </c>
      <c r="B10" s="88" t="s">
        <v>67</v>
      </c>
      <c r="C10" s="89">
        <v>18230714</v>
      </c>
      <c r="D10" s="60" t="s">
        <v>122</v>
      </c>
      <c r="E10" s="37" t="s">
        <v>1022</v>
      </c>
      <c r="F10" s="38" t="s">
        <v>689</v>
      </c>
      <c r="G10" s="38">
        <v>15</v>
      </c>
      <c r="H10" s="38">
        <v>0</v>
      </c>
      <c r="I10" s="39" t="s">
        <v>261</v>
      </c>
      <c r="J10" s="40">
        <v>0</v>
      </c>
      <c r="K10" s="40">
        <v>857</v>
      </c>
      <c r="L10" s="40">
        <v>0</v>
      </c>
      <c r="M10" s="41">
        <v>175</v>
      </c>
      <c r="N10" s="41">
        <v>516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341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1.3606535375205495</v>
      </c>
      <c r="AG10" s="43">
        <f t="shared" si="10"/>
        <v>0</v>
      </c>
      <c r="AH10" s="51">
        <f>HLOOKUP(I10,ElecAvoidedCostsWOCC!$A$5:$Q$50,T10+1,FALSE)</f>
        <v>1.3606535375205495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18230714</v>
      </c>
      <c r="D11" s="60" t="s">
        <v>122</v>
      </c>
      <c r="E11" s="37" t="s">
        <v>1023</v>
      </c>
      <c r="F11" s="38" t="s">
        <v>702</v>
      </c>
      <c r="G11" s="38">
        <v>15</v>
      </c>
      <c r="H11" s="38">
        <v>0</v>
      </c>
      <c r="I11" s="39" t="s">
        <v>261</v>
      </c>
      <c r="J11" s="40">
        <v>0</v>
      </c>
      <c r="K11" s="40">
        <v>1042</v>
      </c>
      <c r="L11" s="40">
        <v>0</v>
      </c>
      <c r="M11" s="41">
        <v>210</v>
      </c>
      <c r="N11" s="41">
        <v>471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261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1.3606535375205495</v>
      </c>
      <c r="AG11" s="43">
        <f t="shared" si="10"/>
        <v>0</v>
      </c>
      <c r="AH11" s="51">
        <f>HLOOKUP(I11,ElecAvoidedCostsWOCC!$A$5:$Q$50,T11+1,FALSE)</f>
        <v>1.3606535375205495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4063470.84</v>
      </c>
      <c r="B12" s="88" t="s">
        <v>67</v>
      </c>
      <c r="C12" s="89">
        <v>18230714</v>
      </c>
      <c r="D12" s="60" t="s">
        <v>122</v>
      </c>
      <c r="E12" s="37" t="s">
        <v>1024</v>
      </c>
      <c r="F12" s="38" t="s">
        <v>690</v>
      </c>
      <c r="G12" s="38">
        <v>15</v>
      </c>
      <c r="H12" s="38">
        <v>0</v>
      </c>
      <c r="I12" s="39" t="s">
        <v>261</v>
      </c>
      <c r="J12" s="40">
        <v>0</v>
      </c>
      <c r="K12" s="40">
        <v>1230</v>
      </c>
      <c r="L12" s="40">
        <v>0</v>
      </c>
      <c r="M12" s="41">
        <v>250</v>
      </c>
      <c r="N12" s="41">
        <v>677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427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1.3606535375205495</v>
      </c>
      <c r="AG12" s="43">
        <f t="shared" si="10"/>
        <v>0</v>
      </c>
      <c r="AH12" s="51">
        <f>HLOOKUP(I12,ElecAvoidedCostsWOCC!$A$5:$Q$50,T12+1,FALSE)</f>
        <v>1.3606535375205495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18230714</v>
      </c>
      <c r="D13" s="60" t="s">
        <v>122</v>
      </c>
      <c r="E13" s="37" t="s">
        <v>1025</v>
      </c>
      <c r="F13" s="38" t="s">
        <v>691</v>
      </c>
      <c r="G13" s="38">
        <v>15</v>
      </c>
      <c r="H13" s="38">
        <v>0</v>
      </c>
      <c r="I13" s="39" t="s">
        <v>261</v>
      </c>
      <c r="J13" s="40">
        <v>0</v>
      </c>
      <c r="K13" s="40">
        <v>3204</v>
      </c>
      <c r="L13" s="40">
        <v>0</v>
      </c>
      <c r="M13" s="41">
        <v>645</v>
      </c>
      <c r="N13" s="41">
        <v>1203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1.3606535375205495</v>
      </c>
      <c r="AG13" s="43">
        <f t="shared" si="10"/>
        <v>0</v>
      </c>
      <c r="AH13" s="51">
        <f>HLOOKUP(I13,ElecAvoidedCostsWOCC!$A$5:$Q$50,T13+1,FALSE)</f>
        <v>1.3606535375205495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67</v>
      </c>
      <c r="C14" s="89">
        <v>18230714</v>
      </c>
      <c r="D14" s="60" t="s">
        <v>122</v>
      </c>
      <c r="E14" s="37" t="s">
        <v>1026</v>
      </c>
      <c r="F14" s="38" t="s">
        <v>703</v>
      </c>
      <c r="G14" s="38">
        <v>15</v>
      </c>
      <c r="H14" s="38">
        <v>0</v>
      </c>
      <c r="I14" s="39" t="s">
        <v>261</v>
      </c>
      <c r="J14" s="40">
        <v>0</v>
      </c>
      <c r="K14" s="40">
        <v>234</v>
      </c>
      <c r="L14" s="40">
        <v>0</v>
      </c>
      <c r="M14" s="41">
        <v>40</v>
      </c>
      <c r="N14" s="41">
        <v>98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58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1.3606535375205495</v>
      </c>
      <c r="AG14" s="43">
        <f t="shared" si="10"/>
        <v>0</v>
      </c>
      <c r="AH14" s="51">
        <f>HLOOKUP(I14,ElecAvoidedCostsWOCC!$A$5:$Q$50,T14+1,FALSE)</f>
        <v>1.3606535375205495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18230714</v>
      </c>
      <c r="D15" s="60" t="s">
        <v>122</v>
      </c>
      <c r="E15" s="37" t="s">
        <v>1027</v>
      </c>
      <c r="F15" s="38" t="s">
        <v>704</v>
      </c>
      <c r="G15" s="38">
        <v>15</v>
      </c>
      <c r="H15" s="38">
        <v>0</v>
      </c>
      <c r="I15" s="39" t="s">
        <v>261</v>
      </c>
      <c r="J15" s="40">
        <v>0</v>
      </c>
      <c r="K15" s="40">
        <v>305</v>
      </c>
      <c r="L15" s="40">
        <v>0</v>
      </c>
      <c r="M15" s="41">
        <v>30</v>
      </c>
      <c r="N15" s="41">
        <v>89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59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1.3606535375205495</v>
      </c>
      <c r="AG15" s="43">
        <f t="shared" si="10"/>
        <v>0</v>
      </c>
      <c r="AH15" s="51">
        <f>HLOOKUP(I15,ElecAvoidedCostsWOCC!$A$5:$Q$50,T15+1,FALSE)</f>
        <v>1.3606535375205495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18230714</v>
      </c>
      <c r="D16" s="60" t="s">
        <v>122</v>
      </c>
      <c r="E16" s="37" t="s">
        <v>1028</v>
      </c>
      <c r="F16" s="38" t="s">
        <v>705</v>
      </c>
      <c r="G16" s="38">
        <v>15</v>
      </c>
      <c r="H16" s="38">
        <v>0</v>
      </c>
      <c r="I16" s="39" t="s">
        <v>261</v>
      </c>
      <c r="J16" s="40">
        <v>0</v>
      </c>
      <c r="K16" s="40">
        <v>107</v>
      </c>
      <c r="L16" s="40">
        <v>0</v>
      </c>
      <c r="M16" s="41">
        <v>30</v>
      </c>
      <c r="N16" s="41">
        <v>66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36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1.3606535375205495</v>
      </c>
      <c r="AG16" s="43">
        <f t="shared" si="10"/>
        <v>0</v>
      </c>
      <c r="AH16" s="51">
        <f>HLOOKUP(I16,ElecAvoidedCostsWOCC!$A$5:$Q$50,T16+1,FALSE)</f>
        <v>1.3606535375205495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18230714</v>
      </c>
      <c r="D17" s="60" t="s">
        <v>122</v>
      </c>
      <c r="E17" s="37" t="s">
        <v>1029</v>
      </c>
      <c r="F17" s="38" t="s">
        <v>706</v>
      </c>
      <c r="G17" s="38">
        <v>15</v>
      </c>
      <c r="H17" s="38">
        <v>0</v>
      </c>
      <c r="I17" s="39" t="s">
        <v>261</v>
      </c>
      <c r="J17" s="40">
        <v>0</v>
      </c>
      <c r="K17" s="40">
        <v>60</v>
      </c>
      <c r="L17" s="40">
        <v>0</v>
      </c>
      <c r="M17" s="41">
        <v>30</v>
      </c>
      <c r="N17" s="41">
        <v>45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15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1.3606535375205495</v>
      </c>
      <c r="AG17" s="43">
        <f t="shared" si="10"/>
        <v>0</v>
      </c>
      <c r="AH17" s="51">
        <f>HLOOKUP(I17,ElecAvoidedCostsWOCC!$A$5:$Q$50,T17+1,FALSE)</f>
        <v>1.3606535375205495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6481825.6799999997</v>
      </c>
      <c r="B18" s="88" t="s">
        <v>67</v>
      </c>
      <c r="C18" s="89">
        <v>18230714</v>
      </c>
      <c r="D18" s="60" t="s">
        <v>122</v>
      </c>
      <c r="E18" s="37" t="s">
        <v>1030</v>
      </c>
      <c r="F18" s="38" t="s">
        <v>707</v>
      </c>
      <c r="G18" s="38">
        <v>15</v>
      </c>
      <c r="H18" s="38">
        <v>0</v>
      </c>
      <c r="I18" s="39" t="s">
        <v>261</v>
      </c>
      <c r="J18" s="40">
        <v>0</v>
      </c>
      <c r="K18" s="40">
        <v>318</v>
      </c>
      <c r="L18" s="40">
        <v>0</v>
      </c>
      <c r="M18" s="41">
        <v>45</v>
      </c>
      <c r="N18" s="41">
        <v>68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23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1.3606535375205495</v>
      </c>
      <c r="AG18" s="43">
        <f t="shared" si="10"/>
        <v>0</v>
      </c>
      <c r="AH18" s="51">
        <f>HLOOKUP(I18,ElecAvoidedCostsWOCC!$A$5:$Q$50,T18+1,FALSE)</f>
        <v>1.3606535375205495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18230714</v>
      </c>
      <c r="D19" s="60" t="s">
        <v>122</v>
      </c>
      <c r="E19" s="37" t="s">
        <v>1031</v>
      </c>
      <c r="F19" s="38" t="s">
        <v>708</v>
      </c>
      <c r="G19" s="38">
        <v>15</v>
      </c>
      <c r="H19" s="38">
        <v>0</v>
      </c>
      <c r="I19" s="39" t="s">
        <v>261</v>
      </c>
      <c r="J19" s="40">
        <v>0</v>
      </c>
      <c r="K19" s="40">
        <v>620</v>
      </c>
      <c r="L19" s="40">
        <v>0</v>
      </c>
      <c r="M19" s="41">
        <v>80</v>
      </c>
      <c r="N19" s="41">
        <v>201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121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1.3606535375205495</v>
      </c>
      <c r="AG19" s="43">
        <f t="shared" si="10"/>
        <v>0</v>
      </c>
      <c r="AH19" s="51">
        <f>HLOOKUP(I19,ElecAvoidedCostsWOCC!$A$5:$Q$50,T19+1,FALSE)</f>
        <v>1.3606535375205495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6481825.6799999997</v>
      </c>
      <c r="B20" s="88" t="s">
        <v>67</v>
      </c>
      <c r="C20" s="89">
        <v>18230714</v>
      </c>
      <c r="D20" s="60" t="s">
        <v>122</v>
      </c>
      <c r="E20" s="37" t="s">
        <v>1032</v>
      </c>
      <c r="F20" s="38" t="s">
        <v>709</v>
      </c>
      <c r="G20" s="38">
        <v>15</v>
      </c>
      <c r="H20" s="38">
        <v>0</v>
      </c>
      <c r="I20" s="39" t="s">
        <v>261</v>
      </c>
      <c r="J20" s="40">
        <v>0</v>
      </c>
      <c r="K20" s="40">
        <v>953</v>
      </c>
      <c r="L20" s="40">
        <v>0</v>
      </c>
      <c r="M20" s="41">
        <v>140</v>
      </c>
      <c r="N20" s="41">
        <v>352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212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1.3606535375205495</v>
      </c>
      <c r="AG20" s="43">
        <f t="shared" si="10"/>
        <v>0</v>
      </c>
      <c r="AH20" s="51">
        <f>HLOOKUP(I20,ElecAvoidedCostsWOCC!$A$5:$Q$50,T20+1,FALSE)</f>
        <v>1.3606535375205495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18230714</v>
      </c>
      <c r="D21" s="60" t="s">
        <v>122</v>
      </c>
      <c r="E21" s="37" t="s">
        <v>1033</v>
      </c>
      <c r="F21" s="38" t="s">
        <v>1034</v>
      </c>
      <c r="G21" s="38">
        <v>15</v>
      </c>
      <c r="H21" s="38">
        <v>0</v>
      </c>
      <c r="I21" s="39" t="s">
        <v>261</v>
      </c>
      <c r="J21" s="40">
        <v>1</v>
      </c>
      <c r="K21" s="40">
        <v>13500000</v>
      </c>
      <c r="L21" s="40">
        <v>0</v>
      </c>
      <c r="M21" s="41">
        <v>2031735.42</v>
      </c>
      <c r="N21" s="41">
        <v>2031735.42</v>
      </c>
      <c r="O21" s="42">
        <v>13500000</v>
      </c>
      <c r="P21" s="43">
        <v>2031735.42</v>
      </c>
      <c r="Q21" s="43">
        <v>2031735.42</v>
      </c>
      <c r="R21" s="44">
        <v>0</v>
      </c>
      <c r="S21" s="45"/>
      <c r="T21" s="38">
        <f t="shared" si="0"/>
        <v>15</v>
      </c>
      <c r="U21" s="46">
        <f t="shared" si="1"/>
        <v>7.5</v>
      </c>
      <c r="V21" s="47">
        <f t="shared" si="2"/>
        <v>0</v>
      </c>
      <c r="W21" s="48">
        <f t="shared" si="3"/>
        <v>0.5</v>
      </c>
      <c r="X21" s="43">
        <f t="shared" si="4"/>
        <v>1209177.42</v>
      </c>
      <c r="Y21" s="43">
        <f t="shared" si="5"/>
        <v>0</v>
      </c>
      <c r="Z21" s="43">
        <f t="shared" si="6"/>
        <v>3240912.84</v>
      </c>
      <c r="AA21" s="49">
        <f t="shared" si="7"/>
        <v>3240912.84</v>
      </c>
      <c r="AB21" s="50">
        <f t="shared" ref="AB21:AC24" si="18">Z21/(1+ElecDiscountRate)^1</f>
        <v>3034562.5842696624</v>
      </c>
      <c r="AC21" s="43">
        <f t="shared" si="18"/>
        <v>3034562.5842696624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1.3606535375205495</v>
      </c>
      <c r="AG21" s="43">
        <f t="shared" si="10"/>
        <v>18368822.75652742</v>
      </c>
      <c r="AH21" s="51">
        <f>HLOOKUP(I21,ElecAvoidedCostsWOCC!$A$5:$Q$50,T21+1,FALSE)</f>
        <v>1.3606535375205495</v>
      </c>
      <c r="AI21" s="43">
        <f t="shared" si="11"/>
        <v>0</v>
      </c>
      <c r="AJ21" s="43">
        <f t="shared" si="12"/>
        <v>18368822.75652742</v>
      </c>
      <c r="AK21" s="43">
        <f>HLOOKUP(I21,ElecAvoidedCostsWOCC!$A$5:$Q$50,G21+1,FALSE)*J21*L21</f>
        <v>0</v>
      </c>
      <c r="AL21" s="43">
        <f t="shared" si="13"/>
        <v>18368822.75652742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18368822.75652742</v>
      </c>
      <c r="AN21" s="47">
        <f t="shared" si="14"/>
        <v>20205705.032180164</v>
      </c>
      <c r="AO21" s="46">
        <f t="shared" si="15"/>
        <v>6.0532028081234319</v>
      </c>
      <c r="AP21" s="46">
        <f t="shared" si="16"/>
        <v>6.6585230889357758</v>
      </c>
    </row>
    <row r="22" spans="1:42" ht="13.5" customHeight="1" x14ac:dyDescent="0.25">
      <c r="A22" s="59">
        <f>(SUM(AM5:AM110)/(SUM(AB5:AB110)))</f>
        <v>6.0532028081234319</v>
      </c>
      <c r="B22" s="88" t="s">
        <v>67</v>
      </c>
      <c r="C22" s="89">
        <v>18230714</v>
      </c>
      <c r="D22" s="60" t="s">
        <v>122</v>
      </c>
      <c r="E22" s="37" t="s">
        <v>1033</v>
      </c>
      <c r="F22" s="38" t="s">
        <v>1035</v>
      </c>
      <c r="G22" s="38">
        <v>15</v>
      </c>
      <c r="H22" s="38">
        <v>0</v>
      </c>
      <c r="I22" s="39" t="s">
        <v>261</v>
      </c>
      <c r="J22" s="40">
        <v>1</v>
      </c>
      <c r="K22" s="40">
        <v>13500000</v>
      </c>
      <c r="L22" s="40">
        <v>0</v>
      </c>
      <c r="M22" s="41">
        <v>2031735.42</v>
      </c>
      <c r="N22" s="41">
        <v>2031735.42</v>
      </c>
      <c r="O22" s="42">
        <v>13500000</v>
      </c>
      <c r="P22" s="43">
        <v>2031735.42</v>
      </c>
      <c r="Q22" s="43">
        <v>2031735.42</v>
      </c>
      <c r="R22" s="44">
        <v>0</v>
      </c>
      <c r="S22" s="45"/>
      <c r="T22" s="38">
        <f t="shared" si="0"/>
        <v>15</v>
      </c>
      <c r="U22" s="46">
        <f t="shared" si="1"/>
        <v>7.5</v>
      </c>
      <c r="V22" s="47">
        <f t="shared" si="2"/>
        <v>0</v>
      </c>
      <c r="W22" s="48">
        <f t="shared" si="3"/>
        <v>0.5</v>
      </c>
      <c r="X22" s="43">
        <f t="shared" si="4"/>
        <v>1209177.42</v>
      </c>
      <c r="Y22" s="43">
        <f t="shared" si="5"/>
        <v>0</v>
      </c>
      <c r="Z22" s="43">
        <f t="shared" si="6"/>
        <v>3240912.84</v>
      </c>
      <c r="AA22" s="49">
        <f t="shared" si="7"/>
        <v>3240912.84</v>
      </c>
      <c r="AB22" s="50">
        <f t="shared" si="18"/>
        <v>3034562.5842696624</v>
      </c>
      <c r="AC22" s="43">
        <f t="shared" si="18"/>
        <v>3034562.5842696624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1.3606535375205495</v>
      </c>
      <c r="AG22" s="43">
        <f t="shared" si="10"/>
        <v>18368822.75652742</v>
      </c>
      <c r="AH22" s="51">
        <f>HLOOKUP(I22,ElecAvoidedCostsWOCC!$A$5:$Q$50,T22+1,FALSE)</f>
        <v>1.3606535375205495</v>
      </c>
      <c r="AI22" s="43">
        <f t="shared" si="11"/>
        <v>0</v>
      </c>
      <c r="AJ22" s="43">
        <f t="shared" si="12"/>
        <v>18368822.75652742</v>
      </c>
      <c r="AK22" s="43">
        <f>HLOOKUP(I22,ElecAvoidedCostsWOCC!$A$5:$Q$50,G22+1,FALSE)*J22*L22</f>
        <v>0</v>
      </c>
      <c r="AL22" s="43">
        <f t="shared" si="13"/>
        <v>18368822.75652742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18368822.75652742</v>
      </c>
      <c r="AN22" s="47">
        <f t="shared" si="14"/>
        <v>20205705.032180164</v>
      </c>
      <c r="AO22" s="46">
        <f t="shared" si="15"/>
        <v>6.0532028081234319</v>
      </c>
      <c r="AP22" s="46">
        <f t="shared" si="16"/>
        <v>6.6585230889357758</v>
      </c>
    </row>
    <row r="23" spans="1:42" ht="13.5" customHeight="1" x14ac:dyDescent="0.25">
      <c r="A23" s="57" t="s">
        <v>236</v>
      </c>
      <c r="B23" s="88" t="s">
        <v>67</v>
      </c>
      <c r="C23" s="89">
        <v>18230714</v>
      </c>
      <c r="D23" s="60" t="s">
        <v>122</v>
      </c>
      <c r="E23" s="37" t="s">
        <v>1036</v>
      </c>
      <c r="F23" s="38" t="s">
        <v>692</v>
      </c>
      <c r="G23" s="38">
        <v>12</v>
      </c>
      <c r="H23" s="38">
        <v>0</v>
      </c>
      <c r="I23" s="39" t="s">
        <v>261</v>
      </c>
      <c r="J23" s="40">
        <v>0</v>
      </c>
      <c r="K23" s="40">
        <v>79.2</v>
      </c>
      <c r="L23" s="40">
        <v>0</v>
      </c>
      <c r="M23" s="41">
        <v>4</v>
      </c>
      <c r="N23" s="41">
        <v>4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12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1.1709909127665883</v>
      </c>
      <c r="AG23" s="43">
        <f t="shared" si="10"/>
        <v>0</v>
      </c>
      <c r="AH23" s="51">
        <f>HLOOKUP(I23,ElecAvoidedCostsWOCC!$A$5:$Q$50,T23+1,FALSE)</f>
        <v>1.1709909127665883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6.6585230889357758</v>
      </c>
      <c r="B24" s="88" t="s">
        <v>67</v>
      </c>
      <c r="C24" s="89">
        <v>18230714</v>
      </c>
      <c r="D24" s="60" t="s">
        <v>122</v>
      </c>
      <c r="E24" s="37" t="s">
        <v>1037</v>
      </c>
      <c r="F24" s="38" t="s">
        <v>693</v>
      </c>
      <c r="G24" s="38">
        <v>10</v>
      </c>
      <c r="H24" s="38">
        <v>0</v>
      </c>
      <c r="I24" s="39" t="s">
        <v>261</v>
      </c>
      <c r="J24" s="40">
        <v>0</v>
      </c>
      <c r="K24" s="40">
        <v>679.3</v>
      </c>
      <c r="L24" s="40">
        <v>0</v>
      </c>
      <c r="M24" s="41">
        <v>150</v>
      </c>
      <c r="N24" s="41">
        <v>206.89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10</v>
      </c>
      <c r="U24" s="46">
        <f t="shared" si="1"/>
        <v>0</v>
      </c>
      <c r="V24" s="47">
        <f t="shared" si="2"/>
        <v>56.889999999999986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1.0217031601940523</v>
      </c>
      <c r="AG24" s="43">
        <f t="shared" si="10"/>
        <v>0</v>
      </c>
      <c r="AH24" s="51">
        <f>HLOOKUP(I24,ElecAvoidedCostsWOCC!$A$5:$Q$50,T24+1,FALSE)</f>
        <v>1.0217031601940523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18230714</v>
      </c>
      <c r="D25" s="60" t="s">
        <v>122</v>
      </c>
      <c r="E25" s="37" t="s">
        <v>1038</v>
      </c>
      <c r="F25" s="38" t="s">
        <v>694</v>
      </c>
      <c r="G25" s="38">
        <v>10</v>
      </c>
      <c r="H25" s="38">
        <v>0</v>
      </c>
      <c r="I25" s="39" t="s">
        <v>261</v>
      </c>
      <c r="J25" s="40">
        <v>0</v>
      </c>
      <c r="K25" s="40">
        <v>2817.8</v>
      </c>
      <c r="L25" s="40">
        <v>0</v>
      </c>
      <c r="M25" s="41">
        <v>300</v>
      </c>
      <c r="N25" s="41">
        <v>693.27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48" si="19">G25+H25</f>
        <v>10</v>
      </c>
      <c r="U25" s="46">
        <f t="shared" ref="U25:U48" si="20">(O25/$A$10)*T25</f>
        <v>0</v>
      </c>
      <c r="V25" s="47">
        <f t="shared" ref="V25:V48" si="21">N25-M25</f>
        <v>393.27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Z25/(1+ElecDiscountRate)^1</f>
        <v>0</v>
      </c>
      <c r="AC25" s="43">
        <f t="shared" ref="AC25:AC48" si="28">AA25/(1+ElecDiscountRate)^1</f>
        <v>0</v>
      </c>
      <c r="AD25" s="43">
        <f t="shared" ref="AD25:AD48" si="29">-PV(ElecDiscountRate,T25,R25)*J25</f>
        <v>0</v>
      </c>
      <c r="AE25" s="43">
        <f t="shared" ref="AE25:AE48" si="30">-PV(ElecDiscountRate,T25,S25)*J25</f>
        <v>0</v>
      </c>
      <c r="AF25" s="51">
        <f>HLOOKUP(I25,ElecAvoidedCostsWOCC!$A$5:$Q$50,G25+1,FALSE)</f>
        <v>1.0217031601940523</v>
      </c>
      <c r="AG25" s="43">
        <f t="shared" ref="AG25:AG48" si="31">AF25*J25*K25</f>
        <v>0</v>
      </c>
      <c r="AH25" s="51">
        <f>HLOOKUP(I25,ElecAvoidedCostsWOCC!$A$5:$Q$50,T25+1,FALSE)</f>
        <v>1.0217031601940523</v>
      </c>
      <c r="AI25" s="43">
        <f t="shared" ref="AI25:AI48" si="32">AH25*J25*L25</f>
        <v>0</v>
      </c>
      <c r="AJ25" s="43">
        <f t="shared" ref="AJ25:AJ48" si="33">AG25+AI25</f>
        <v>0</v>
      </c>
      <c r="AK25" s="43">
        <f>HLOOKUP(I25,ElecAvoidedCostsWOCC!$A$5:$Q$50,G25+1,FALSE)*J25*L25</f>
        <v>0</v>
      </c>
      <c r="AL25" s="43">
        <f t="shared" ref="AL25:AL48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67</v>
      </c>
      <c r="C26" s="89">
        <v>18230714</v>
      </c>
      <c r="D26" s="60" t="s">
        <v>122</v>
      </c>
      <c r="E26" s="37" t="s">
        <v>1039</v>
      </c>
      <c r="F26" s="38" t="s">
        <v>695</v>
      </c>
      <c r="G26" s="38">
        <v>10</v>
      </c>
      <c r="H26" s="38">
        <v>0</v>
      </c>
      <c r="I26" s="39" t="s">
        <v>261</v>
      </c>
      <c r="J26" s="40">
        <v>0</v>
      </c>
      <c r="K26" s="40">
        <v>232.3</v>
      </c>
      <c r="L26" s="40">
        <v>0</v>
      </c>
      <c r="M26" s="41">
        <v>40</v>
      </c>
      <c r="N26" s="41">
        <v>131.18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10</v>
      </c>
      <c r="U26" s="46">
        <f t="shared" si="20"/>
        <v>0</v>
      </c>
      <c r="V26" s="47">
        <f t="shared" si="21"/>
        <v>91.18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1.0217031601940523</v>
      </c>
      <c r="AG26" s="43">
        <f t="shared" si="31"/>
        <v>0</v>
      </c>
      <c r="AH26" s="51">
        <f>HLOOKUP(I26,ElecAvoidedCostsWOCC!$A$5:$Q$50,T26+1,FALSE)</f>
        <v>1.0217031601940523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18230714</v>
      </c>
      <c r="D27" s="60" t="s">
        <v>122</v>
      </c>
      <c r="E27" s="37" t="s">
        <v>1040</v>
      </c>
      <c r="F27" s="38" t="s">
        <v>696</v>
      </c>
      <c r="G27" s="38">
        <v>10</v>
      </c>
      <c r="H27" s="38">
        <v>0</v>
      </c>
      <c r="I27" s="39" t="s">
        <v>261</v>
      </c>
      <c r="J27" s="40">
        <v>0</v>
      </c>
      <c r="K27" s="40">
        <v>502.4</v>
      </c>
      <c r="L27" s="40">
        <v>0</v>
      </c>
      <c r="M27" s="41">
        <v>90</v>
      </c>
      <c r="N27" s="41">
        <v>215.58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10</v>
      </c>
      <c r="U27" s="46">
        <f t="shared" si="20"/>
        <v>0</v>
      </c>
      <c r="V27" s="47">
        <f t="shared" si="21"/>
        <v>125.58000000000001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1.0217031601940523</v>
      </c>
      <c r="AG27" s="43">
        <f t="shared" si="31"/>
        <v>0</v>
      </c>
      <c r="AH27" s="51">
        <f>HLOOKUP(I27,ElecAvoidedCostsWOCC!$A$5:$Q$50,T27+1,FALSE)</f>
        <v>1.0217031601940523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18230714</v>
      </c>
      <c r="D28" s="60" t="s">
        <v>122</v>
      </c>
      <c r="E28" s="37" t="s">
        <v>1041</v>
      </c>
      <c r="F28" s="38" t="s">
        <v>697</v>
      </c>
      <c r="G28" s="38">
        <v>10</v>
      </c>
      <c r="H28" s="38">
        <v>0</v>
      </c>
      <c r="I28" s="39" t="s">
        <v>261</v>
      </c>
      <c r="J28" s="40">
        <v>0</v>
      </c>
      <c r="K28" s="40">
        <v>652</v>
      </c>
      <c r="L28" s="40">
        <v>0</v>
      </c>
      <c r="M28" s="41">
        <v>100</v>
      </c>
      <c r="N28" s="41">
        <v>241.93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10</v>
      </c>
      <c r="U28" s="46">
        <f t="shared" si="20"/>
        <v>0</v>
      </c>
      <c r="V28" s="47">
        <f t="shared" si="21"/>
        <v>141.93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1.0217031601940523</v>
      </c>
      <c r="AG28" s="43">
        <f t="shared" si="31"/>
        <v>0</v>
      </c>
      <c r="AH28" s="51">
        <f>HLOOKUP(I28,ElecAvoidedCostsWOCC!$A$5:$Q$50,T28+1,FALSE)</f>
        <v>1.0217031601940523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18230714</v>
      </c>
      <c r="D29" s="60" t="s">
        <v>122</v>
      </c>
      <c r="E29" s="37" t="s">
        <v>1042</v>
      </c>
      <c r="F29" s="38" t="s">
        <v>698</v>
      </c>
      <c r="G29" s="38">
        <v>10</v>
      </c>
      <c r="H29" s="38">
        <v>0</v>
      </c>
      <c r="I29" s="39" t="s">
        <v>261</v>
      </c>
      <c r="J29" s="40">
        <v>0</v>
      </c>
      <c r="K29" s="40">
        <v>54</v>
      </c>
      <c r="L29" s="40">
        <v>0</v>
      </c>
      <c r="M29" s="41">
        <v>3</v>
      </c>
      <c r="N29" s="41">
        <v>20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10</v>
      </c>
      <c r="U29" s="46">
        <f t="shared" si="20"/>
        <v>0</v>
      </c>
      <c r="V29" s="47">
        <f t="shared" si="21"/>
        <v>17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1.0217031601940523</v>
      </c>
      <c r="AG29" s="43">
        <f t="shared" si="31"/>
        <v>0</v>
      </c>
      <c r="AH29" s="51">
        <f>HLOOKUP(I29,ElecAvoidedCostsWOCC!$A$5:$Q$50,T29+1,FALSE)</f>
        <v>1.0217031601940523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18230714</v>
      </c>
      <c r="D30" s="60" t="s">
        <v>122</v>
      </c>
      <c r="E30" s="37" t="s">
        <v>1043</v>
      </c>
      <c r="F30" s="38" t="s">
        <v>699</v>
      </c>
      <c r="G30" s="38">
        <v>12</v>
      </c>
      <c r="H30" s="38">
        <v>0</v>
      </c>
      <c r="I30" s="39" t="s">
        <v>261</v>
      </c>
      <c r="J30" s="40">
        <v>0</v>
      </c>
      <c r="K30" s="40">
        <v>70.599999999999994</v>
      </c>
      <c r="L30" s="40">
        <v>0</v>
      </c>
      <c r="M30" s="41">
        <v>4</v>
      </c>
      <c r="N30" s="41">
        <v>20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12</v>
      </c>
      <c r="U30" s="46">
        <f t="shared" si="20"/>
        <v>0</v>
      </c>
      <c r="V30" s="47">
        <f t="shared" si="21"/>
        <v>16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1.1709909127665883</v>
      </c>
      <c r="AG30" s="43">
        <f t="shared" si="31"/>
        <v>0</v>
      </c>
      <c r="AH30" s="51">
        <f>HLOOKUP(I30,ElecAvoidedCostsWOCC!$A$5:$Q$50,T30+1,FALSE)</f>
        <v>1.1709909127665883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18230714</v>
      </c>
      <c r="D31" s="60" t="s">
        <v>122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18230714</v>
      </c>
      <c r="D32" s="60" t="s">
        <v>122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18230714</v>
      </c>
      <c r="D33" s="60" t="s">
        <v>122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18230714</v>
      </c>
      <c r="D34" s="60" t="s">
        <v>122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</sheetData>
  <conditionalFormatting sqref="J5:L48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48 R5:S48">
    <cfRule type="expression" dxfId="202" priority="2">
      <formula>ISTEXT(M5)</formula>
    </cfRule>
  </conditionalFormatting>
  <conditionalFormatting sqref="M5:N48 R5:S48">
    <cfRule type="notContainsBlanks" dxfId="201" priority="3">
      <formula>LEN(TRIM(M5))&gt;0</formula>
    </cfRule>
  </conditionalFormatting>
  <conditionalFormatting sqref="R5:S48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F15" sqref="F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18230716</v>
      </c>
      <c r="D2" s="19" t="s">
        <v>547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18230716</v>
      </c>
      <c r="D5" s="60" t="s">
        <v>547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1300935</v>
      </c>
      <c r="L5" s="40">
        <v>0</v>
      </c>
      <c r="M5" s="41">
        <v>514074</v>
      </c>
      <c r="N5" s="41">
        <v>527337</v>
      </c>
      <c r="O5" s="42">
        <v>1300935</v>
      </c>
      <c r="P5" s="43">
        <v>514074</v>
      </c>
      <c r="Q5" s="43">
        <v>527337</v>
      </c>
      <c r="R5" s="44">
        <v>38470</v>
      </c>
      <c r="S5" s="45"/>
      <c r="T5" s="38">
        <f t="shared" ref="T5:T8" si="0">G5+H5</f>
        <v>12</v>
      </c>
      <c r="U5" s="46">
        <f t="shared" ref="U5:U36" si="1">(O5/$A$10)*T5</f>
        <v>6.7764384156266955</v>
      </c>
      <c r="V5" s="47">
        <f t="shared" ref="V5:V8" si="2">N5-M5</f>
        <v>13263</v>
      </c>
      <c r="W5" s="48">
        <f t="shared" ref="W5:W36" si="3">(O5/A$10)</f>
        <v>0.56470320130222462</v>
      </c>
      <c r="X5" s="43">
        <f t="shared" ref="X5:X36" si="4">W5*A$8</f>
        <v>422979.38475496473</v>
      </c>
      <c r="Y5" s="43">
        <f t="shared" ref="Y5:Y8" si="5">Q5-P5</f>
        <v>13263</v>
      </c>
      <c r="Z5" s="43">
        <f t="shared" ref="Z5:Z36" si="6">X5+(A$6*W5)</f>
        <v>1052690.6538879001</v>
      </c>
      <c r="AA5" s="49">
        <f t="shared" ref="AA5:AA8" si="7">Q5+X5</f>
        <v>950316.38475496473</v>
      </c>
      <c r="AB5" s="50">
        <f t="shared" ref="AB5:AC6" si="8">Z5/(1+ElecDiscountRate)^1</f>
        <v>985665.40626207867</v>
      </c>
      <c r="AC5" s="43">
        <f t="shared" si="8"/>
        <v>889809.34902150254</v>
      </c>
      <c r="AD5" s="43">
        <f t="shared" ref="AD5:AD8" si="9">-PV(ElecDiscountRate,T5,R5)*J5</f>
        <v>308838.76224465889</v>
      </c>
      <c r="AE5" s="43">
        <f t="shared" ref="AE5:AE8" si="10">-PV(ElecDiscountRate,T5,S5)*J5</f>
        <v>0</v>
      </c>
      <c r="AF5" s="51">
        <f>HLOOKUP(I5,ElecAvoidedCostsWOCC!$A$5:$Q$50,G5+1,FALSE)</f>
        <v>1.126645382767181</v>
      </c>
      <c r="AG5" s="43">
        <f t="shared" ref="AG5:AG8" si="11">AF5*J5*K5</f>
        <v>1465692.4110302227</v>
      </c>
      <c r="AH5" s="51">
        <f>HLOOKUP(I5,ElecAvoidedCostsWOCC!$A$5:$Q$50,T5+1,FALSE)</f>
        <v>1.126645382767181</v>
      </c>
      <c r="AI5" s="43">
        <f t="shared" ref="AI5:AI8" si="12">AH5*J5*L5</f>
        <v>0</v>
      </c>
      <c r="AJ5" s="43">
        <f t="shared" ref="AJ5:AJ8" si="13">AG5+AI5</f>
        <v>1465692.4110302227</v>
      </c>
      <c r="AK5" s="43">
        <f>HLOOKUP(I5,ElecAvoidedCostsWOCC!$A$5:$Q$50,G5+1,FALSE)*J5*L5</f>
        <v>0</v>
      </c>
      <c r="AL5" s="43">
        <f t="shared" ref="AL5:AL8" si="14">AG5+AI5-AK5</f>
        <v>1465692.4110302227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1465692.4110302227</v>
      </c>
      <c r="AN5" s="47">
        <f t="shared" ref="AN5:AN8" si="15">AM5*1.1+AD5+AE5</f>
        <v>1921100.414377904</v>
      </c>
      <c r="AO5" s="46">
        <f t="shared" ref="AO5:AO8" si="16">IFERROR(AM5/AB5,0)</f>
        <v>1.4870080675637607</v>
      </c>
      <c r="AP5" s="46">
        <f t="shared" ref="AP5:AP8" si="17">AN5/AC5</f>
        <v>2.1590022812083087</v>
      </c>
    </row>
    <row r="6" spans="1:42" ht="13.5" customHeight="1" x14ac:dyDescent="0.25">
      <c r="A6" s="52">
        <f>SUMIF('Program Costs'!C:C,D2,'Program Costs'!L:L)</f>
        <v>1115119</v>
      </c>
      <c r="B6" s="88" t="s">
        <v>67</v>
      </c>
      <c r="C6" s="89">
        <v>18230716</v>
      </c>
      <c r="D6" s="60" t="s">
        <v>547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821815</v>
      </c>
      <c r="L6" s="40">
        <v>0</v>
      </c>
      <c r="M6" s="41">
        <v>483628</v>
      </c>
      <c r="N6" s="41">
        <v>496105</v>
      </c>
      <c r="O6" s="42">
        <v>821815</v>
      </c>
      <c r="P6" s="43">
        <v>483628</v>
      </c>
      <c r="Q6" s="43">
        <v>496105</v>
      </c>
      <c r="R6" s="44">
        <v>13167</v>
      </c>
      <c r="S6" s="45"/>
      <c r="T6" s="38">
        <f t="shared" si="0"/>
        <v>12</v>
      </c>
      <c r="U6" s="46">
        <f t="shared" si="1"/>
        <v>4.2807509495387954</v>
      </c>
      <c r="V6" s="47">
        <f t="shared" si="2"/>
        <v>12477</v>
      </c>
      <c r="W6" s="48">
        <f t="shared" si="3"/>
        <v>0.35672924579489962</v>
      </c>
      <c r="X6" s="43">
        <f t="shared" si="4"/>
        <v>267200.74644959305</v>
      </c>
      <c r="Y6" s="43">
        <f t="shared" si="5"/>
        <v>12477</v>
      </c>
      <c r="Z6" s="43">
        <f t="shared" si="6"/>
        <v>664996.30629115575</v>
      </c>
      <c r="AA6" s="49">
        <f t="shared" si="7"/>
        <v>763305.74644959299</v>
      </c>
      <c r="AB6" s="50">
        <f t="shared" si="8"/>
        <v>622655.71750108211</v>
      </c>
      <c r="AC6" s="43">
        <f t="shared" si="8"/>
        <v>714705.7551026151</v>
      </c>
      <c r="AD6" s="43">
        <f t="shared" si="9"/>
        <v>105705.2243949941</v>
      </c>
      <c r="AE6" s="43">
        <f t="shared" si="10"/>
        <v>0</v>
      </c>
      <c r="AF6" s="51">
        <f>HLOOKUP(I6,ElecAvoidedCostsWOCC!$A$5:$Q$50,G6+1,FALSE)</f>
        <v>1.126645382767181</v>
      </c>
      <c r="AG6" s="43">
        <f t="shared" si="11"/>
        <v>925894.07523881085</v>
      </c>
      <c r="AH6" s="51">
        <f>HLOOKUP(I6,ElecAvoidedCostsWOCC!$A$5:$Q$50,T6+1,FALSE)</f>
        <v>1.126645382767181</v>
      </c>
      <c r="AI6" s="43">
        <f t="shared" si="12"/>
        <v>0</v>
      </c>
      <c r="AJ6" s="43">
        <f t="shared" si="13"/>
        <v>925894.07523881085</v>
      </c>
      <c r="AK6" s="43">
        <f>HLOOKUP(I6,ElecAvoidedCostsWOCC!$A$5:$Q$50,G6+1,FALSE)*J6*L6</f>
        <v>0</v>
      </c>
      <c r="AL6" s="43">
        <f t="shared" si="14"/>
        <v>925894.07523881085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925894.07523881085</v>
      </c>
      <c r="AN6" s="47">
        <f t="shared" si="15"/>
        <v>1124188.7071576861</v>
      </c>
      <c r="AO6" s="46">
        <f t="shared" si="16"/>
        <v>1.4870080675637605</v>
      </c>
      <c r="AP6" s="46">
        <f t="shared" si="17"/>
        <v>1.5729392118806693</v>
      </c>
    </row>
    <row r="7" spans="1:42" ht="13.5" customHeight="1" x14ac:dyDescent="0.25">
      <c r="A7" s="35" t="s">
        <v>239</v>
      </c>
      <c r="B7" s="88" t="s">
        <v>67</v>
      </c>
      <c r="C7" s="89">
        <v>18230716</v>
      </c>
      <c r="D7" s="60" t="s">
        <v>547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27850</v>
      </c>
      <c r="N7" s="41">
        <v>0</v>
      </c>
      <c r="O7" s="42">
        <v>0</v>
      </c>
      <c r="P7" s="43">
        <v>27850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-27850</v>
      </c>
      <c r="W7" s="48">
        <f t="shared" si="3"/>
        <v>0</v>
      </c>
      <c r="X7" s="43">
        <f t="shared" si="4"/>
        <v>0</v>
      </c>
      <c r="Y7" s="43">
        <f t="shared" si="5"/>
        <v>-27850</v>
      </c>
      <c r="Z7" s="43">
        <f t="shared" si="6"/>
        <v>0</v>
      </c>
      <c r="AA7" s="49">
        <f t="shared" si="7"/>
        <v>0</v>
      </c>
      <c r="AB7" s="50">
        <f>Z7/(1+ElecDiscountRate)^1</f>
        <v>0</v>
      </c>
      <c r="AC7" s="43">
        <f>AA7/(1+ElecDiscountRate)^1</f>
        <v>0</v>
      </c>
      <c r="AD7" s="43">
        <f t="shared" si="9"/>
        <v>0</v>
      </c>
      <c r="AE7" s="43">
        <f t="shared" si="10"/>
        <v>0</v>
      </c>
      <c r="AF7" s="51">
        <f>HLOOKUP(I7,ElecAvoidedCostsWOCC!$A$5:$Q$50,G7+1,FALSE)</f>
        <v>0.1237615739009498</v>
      </c>
      <c r="AG7" s="43">
        <f t="shared" si="11"/>
        <v>0</v>
      </c>
      <c r="AH7" s="51">
        <f>HLOOKUP(I7,ElecAvoidedCostsWOCC!$A$5:$Q$50,T7+1,FALSE)</f>
        <v>0.1237615739009498</v>
      </c>
      <c r="AI7" s="43">
        <f t="shared" si="12"/>
        <v>0</v>
      </c>
      <c r="AJ7" s="43">
        <f t="shared" si="13"/>
        <v>0</v>
      </c>
      <c r="AK7" s="43">
        <f>HLOOKUP(I7,ElecAvoidedCostsWOCC!$A$5:$Q$50,G7+1,FALSE)*J7*L7</f>
        <v>0</v>
      </c>
      <c r="AL7" s="43">
        <f t="shared" si="14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Costs'!C:C,D2,'Program Costs'!O:O)</f>
        <v>749029.55</v>
      </c>
      <c r="B8" s="88" t="s">
        <v>67</v>
      </c>
      <c r="C8" s="89">
        <v>18230716</v>
      </c>
      <c r="D8" s="60" t="s">
        <v>547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24567</v>
      </c>
      <c r="N8" s="41">
        <v>0</v>
      </c>
      <c r="O8" s="42">
        <v>0</v>
      </c>
      <c r="P8" s="43">
        <v>24567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-24567</v>
      </c>
      <c r="W8" s="48">
        <f t="shared" si="3"/>
        <v>0</v>
      </c>
      <c r="X8" s="43">
        <f t="shared" si="4"/>
        <v>0</v>
      </c>
      <c r="Y8" s="43">
        <f t="shared" si="5"/>
        <v>-24567</v>
      </c>
      <c r="Z8" s="43">
        <f t="shared" si="6"/>
        <v>0</v>
      </c>
      <c r="AA8" s="49">
        <f t="shared" si="7"/>
        <v>0</v>
      </c>
      <c r="AB8" s="50">
        <f>Z8/(1+ElecDiscountRate)^1</f>
        <v>0</v>
      </c>
      <c r="AC8" s="43">
        <f>AA8/(1+ElecDiscountRate)^1</f>
        <v>0</v>
      </c>
      <c r="AD8" s="43">
        <f t="shared" si="9"/>
        <v>0</v>
      </c>
      <c r="AE8" s="43">
        <f t="shared" si="10"/>
        <v>0</v>
      </c>
      <c r="AF8" s="51">
        <f>HLOOKUP(I8,ElecAvoidedCostsWOCC!$A$5:$Q$50,G8+1,FALSE)</f>
        <v>0.1237615739009498</v>
      </c>
      <c r="AG8" s="43">
        <f t="shared" si="11"/>
        <v>0</v>
      </c>
      <c r="AH8" s="51">
        <f>HLOOKUP(I8,ElecAvoidedCostsWOCC!$A$5:$Q$50,T8+1,FALSE)</f>
        <v>0.1237615739009498</v>
      </c>
      <c r="AI8" s="43">
        <f t="shared" si="12"/>
        <v>0</v>
      </c>
      <c r="AJ8" s="43">
        <f t="shared" si="13"/>
        <v>0</v>
      </c>
      <c r="AK8" s="43">
        <f>HLOOKUP(I8,ElecAvoidedCostsWOCC!$A$5:$Q$50,G8+1,FALSE)*J8*L8</f>
        <v>0</v>
      </c>
      <c r="AL8" s="43">
        <f t="shared" si="14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18230716</v>
      </c>
      <c r="D9" s="60" t="s">
        <v>547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130000</v>
      </c>
      <c r="L9" s="40">
        <v>0</v>
      </c>
      <c r="M9" s="41">
        <v>43000</v>
      </c>
      <c r="N9" s="41">
        <v>48000</v>
      </c>
      <c r="O9" s="42">
        <v>130000</v>
      </c>
      <c r="P9" s="43">
        <v>43000</v>
      </c>
      <c r="Q9" s="43">
        <v>48000</v>
      </c>
      <c r="R9" s="44">
        <v>4000</v>
      </c>
      <c r="S9" s="45"/>
      <c r="T9" s="38">
        <f t="shared" ref="T9:T36" si="18">G9+H9</f>
        <v>12</v>
      </c>
      <c r="U9" s="46">
        <f t="shared" si="1"/>
        <v>0.67715680954964741</v>
      </c>
      <c r="V9" s="47">
        <f t="shared" ref="V9:V36" si="19">N9-M9</f>
        <v>5000</v>
      </c>
      <c r="W9" s="48">
        <f t="shared" si="3"/>
        <v>5.6429734129137279E-2</v>
      </c>
      <c r="X9" s="43">
        <f t="shared" si="4"/>
        <v>42267.53836136734</v>
      </c>
      <c r="Y9" s="43">
        <f t="shared" ref="Y9:Y36" si="20">Q9-P9</f>
        <v>5000</v>
      </c>
      <c r="Z9" s="43">
        <f t="shared" si="6"/>
        <v>105193.40705371677</v>
      </c>
      <c r="AA9" s="49">
        <f t="shared" ref="AA9:AA36" si="21">Q9+X9</f>
        <v>90267.538361367333</v>
      </c>
      <c r="AB9" s="50">
        <f t="shared" ref="AB9:AB36" si="22">Z9/(1+ElecDiscountRate)^1</f>
        <v>98495.699488498838</v>
      </c>
      <c r="AC9" s="43">
        <f t="shared" ref="AC9:AC36" si="23">AA9/(1+ElecDiscountRate)^1</f>
        <v>84520.167005025593</v>
      </c>
      <c r="AD9" s="43">
        <f t="shared" ref="AD9:AD36" si="24">-PV(ElecDiscountRate,T9,R9)*J9</f>
        <v>32112.166596793231</v>
      </c>
      <c r="AE9" s="43">
        <f t="shared" ref="AE9:AE36" si="25">-PV(ElecDiscountRate,T9,S9)*J9</f>
        <v>0</v>
      </c>
      <c r="AF9" s="51">
        <f>HLOOKUP(I9,ElecAvoidedCostsWOCC!$A$5:$Q$50,G9+1,FALSE)</f>
        <v>1.126645382767181</v>
      </c>
      <c r="AG9" s="43">
        <f t="shared" ref="AG9:AG36" si="26">AF9*J9*K9</f>
        <v>146463.89975973353</v>
      </c>
      <c r="AH9" s="51">
        <f>HLOOKUP(I9,ElecAvoidedCostsWOCC!$A$5:$Q$50,T9+1,FALSE)</f>
        <v>1.126645382767181</v>
      </c>
      <c r="AI9" s="43">
        <f t="shared" ref="AI9:AI36" si="27">AH9*J9*L9</f>
        <v>0</v>
      </c>
      <c r="AJ9" s="43">
        <f t="shared" ref="AJ9:AJ36" si="28">AG9+AI9</f>
        <v>146463.89975973353</v>
      </c>
      <c r="AK9" s="43">
        <f>HLOOKUP(I9,ElecAvoidedCostsWOCC!$A$5:$Q$50,G9+1,FALSE)*J9*L9</f>
        <v>0</v>
      </c>
      <c r="AL9" s="43">
        <f t="shared" ref="AL9:AL36" si="29">AG9+AI9-AK9</f>
        <v>146463.89975973353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146463.89975973353</v>
      </c>
      <c r="AN9" s="47">
        <f t="shared" ref="AN9:AN36" si="30">AM9*1.1+AD9+AE9</f>
        <v>193222.45633250012</v>
      </c>
      <c r="AO9" s="46">
        <f t="shared" ref="AO9:AO36" si="31">IFERROR(AM9/AB9,0)</f>
        <v>1.4870080675637605</v>
      </c>
      <c r="AP9" s="46">
        <f t="shared" ref="AP9:AP36" si="32">AN9/AC9</f>
        <v>2.2861106784255534</v>
      </c>
    </row>
    <row r="10" spans="1:42" ht="13.5" customHeight="1" x14ac:dyDescent="0.25">
      <c r="A10" s="53">
        <f>SUM(O5:O935)</f>
        <v>2303750</v>
      </c>
      <c r="B10" s="88" t="s">
        <v>67</v>
      </c>
      <c r="C10" s="89">
        <v>18230716</v>
      </c>
      <c r="D10" s="60" t="s">
        <v>547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51000</v>
      </c>
      <c r="L10" s="40">
        <v>0</v>
      </c>
      <c r="M10" s="41">
        <v>22000</v>
      </c>
      <c r="N10" s="41">
        <v>24200</v>
      </c>
      <c r="O10" s="42">
        <v>51000</v>
      </c>
      <c r="P10" s="43">
        <v>22000</v>
      </c>
      <c r="Q10" s="43">
        <v>24200</v>
      </c>
      <c r="R10" s="44">
        <v>1000</v>
      </c>
      <c r="S10" s="45"/>
      <c r="T10" s="38">
        <f t="shared" si="18"/>
        <v>12</v>
      </c>
      <c r="U10" s="46">
        <f t="shared" si="1"/>
        <v>0.26565382528486164</v>
      </c>
      <c r="V10" s="47">
        <f t="shared" si="19"/>
        <v>2200</v>
      </c>
      <c r="W10" s="48">
        <f t="shared" si="3"/>
        <v>2.2137818773738469E-2</v>
      </c>
      <c r="X10" s="43">
        <f t="shared" si="4"/>
        <v>16581.880434074879</v>
      </c>
      <c r="Y10" s="43">
        <f t="shared" si="20"/>
        <v>2200</v>
      </c>
      <c r="Z10" s="43">
        <f t="shared" si="6"/>
        <v>41268.18276722735</v>
      </c>
      <c r="AA10" s="49">
        <f t="shared" si="21"/>
        <v>40781.880434074876</v>
      </c>
      <c r="AB10" s="50">
        <f t="shared" si="22"/>
        <v>38640.620568564933</v>
      </c>
      <c r="AC10" s="43">
        <f t="shared" si="23"/>
        <v>38185.281305313554</v>
      </c>
      <c r="AD10" s="43">
        <f t="shared" si="24"/>
        <v>8028.0416491983078</v>
      </c>
      <c r="AE10" s="43">
        <f t="shared" si="25"/>
        <v>0</v>
      </c>
      <c r="AF10" s="51">
        <f>HLOOKUP(I10,ElecAvoidedCostsWOCC!$A$5:$Q$50,G10+1,FALSE)</f>
        <v>1.126645382767181</v>
      </c>
      <c r="AG10" s="43">
        <f t="shared" si="26"/>
        <v>57458.914521126229</v>
      </c>
      <c r="AH10" s="51">
        <f>HLOOKUP(I10,ElecAvoidedCostsWOCC!$A$5:$Q$50,T10+1,FALSE)</f>
        <v>1.126645382767181</v>
      </c>
      <c r="AI10" s="43">
        <f t="shared" si="27"/>
        <v>0</v>
      </c>
      <c r="AJ10" s="43">
        <f t="shared" si="28"/>
        <v>57458.914521126229</v>
      </c>
      <c r="AK10" s="43">
        <f>HLOOKUP(I10,ElecAvoidedCostsWOCC!$A$5:$Q$50,G10+1,FALSE)*J10*L10</f>
        <v>0</v>
      </c>
      <c r="AL10" s="43">
        <f t="shared" si="29"/>
        <v>57458.914521126229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57458.914521126229</v>
      </c>
      <c r="AN10" s="47">
        <f t="shared" si="30"/>
        <v>71232.84762243717</v>
      </c>
      <c r="AO10" s="46">
        <f t="shared" si="31"/>
        <v>1.4870080675637602</v>
      </c>
      <c r="AP10" s="46">
        <f t="shared" si="32"/>
        <v>1.8654530014559558</v>
      </c>
    </row>
    <row r="11" spans="1:42" ht="13.5" customHeight="1" x14ac:dyDescent="0.25">
      <c r="A11" s="35" t="s">
        <v>242</v>
      </c>
      <c r="B11" s="88" t="s">
        <v>67</v>
      </c>
      <c r="C11" s="89">
        <v>18230716</v>
      </c>
      <c r="D11" s="60" t="s">
        <v>547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18"/>
        <v>0</v>
      </c>
      <c r="U11" s="46">
        <f t="shared" si="1"/>
        <v>0</v>
      </c>
      <c r="V11" s="47">
        <f t="shared" si="19"/>
        <v>0</v>
      </c>
      <c r="W11" s="48">
        <f t="shared" si="3"/>
        <v>0</v>
      </c>
      <c r="X11" s="43">
        <f t="shared" si="4"/>
        <v>0</v>
      </c>
      <c r="Y11" s="43">
        <f t="shared" si="20"/>
        <v>0</v>
      </c>
      <c r="Z11" s="43">
        <f t="shared" si="6"/>
        <v>0</v>
      </c>
      <c r="AA11" s="49">
        <f t="shared" si="21"/>
        <v>0</v>
      </c>
      <c r="AB11" s="50">
        <f t="shared" si="22"/>
        <v>0</v>
      </c>
      <c r="AC11" s="43">
        <f t="shared" si="23"/>
        <v>0</v>
      </c>
      <c r="AD11" s="43">
        <f t="shared" si="24"/>
        <v>0</v>
      </c>
      <c r="AE11" s="43">
        <f t="shared" si="25"/>
        <v>0</v>
      </c>
      <c r="AF11" s="51" t="e">
        <f>HLOOKUP(I11,ElecAvoidedCostsWOCC!$A$5:$Q$50,G11+1,FALSE)</f>
        <v>#N/A</v>
      </c>
      <c r="AG11" s="43" t="e">
        <f t="shared" si="26"/>
        <v>#N/A</v>
      </c>
      <c r="AH11" s="51" t="e">
        <f>HLOOKUP(I11,ElecAvoidedCostsWOCC!$A$5:$Q$50,T11+1,FALSE)</f>
        <v>#N/A</v>
      </c>
      <c r="AI11" s="43" t="e">
        <f t="shared" si="27"/>
        <v>#N/A</v>
      </c>
      <c r="AJ11" s="43" t="e">
        <f t="shared" si="28"/>
        <v>#N/A</v>
      </c>
      <c r="AK11" s="43" t="e">
        <f>HLOOKUP(I11,ElecAvoidedCostsWOCC!$A$5:$Q$50,G11+1,FALSE)*J11*L11</f>
        <v>#N/A</v>
      </c>
      <c r="AL11" s="43" t="e">
        <f t="shared" si="29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30"/>
        <v>0</v>
      </c>
      <c r="AO11" s="46">
        <f t="shared" si="31"/>
        <v>0</v>
      </c>
      <c r="AP11" s="46" t="e">
        <f t="shared" si="32"/>
        <v>#DIV/0!</v>
      </c>
    </row>
    <row r="12" spans="1:42" ht="13.5" customHeight="1" x14ac:dyDescent="0.25">
      <c r="A12" s="54">
        <f>SUM(P5:P936)</f>
        <v>1115119</v>
      </c>
      <c r="B12" s="88" t="s">
        <v>67</v>
      </c>
      <c r="C12" s="89">
        <v>18230716</v>
      </c>
      <c r="D12" s="60" t="s">
        <v>547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18"/>
        <v>0</v>
      </c>
      <c r="U12" s="46">
        <f t="shared" si="1"/>
        <v>0</v>
      </c>
      <c r="V12" s="47">
        <f t="shared" si="19"/>
        <v>0</v>
      </c>
      <c r="W12" s="48">
        <f t="shared" si="3"/>
        <v>0</v>
      </c>
      <c r="X12" s="43">
        <f t="shared" si="4"/>
        <v>0</v>
      </c>
      <c r="Y12" s="43">
        <f t="shared" si="20"/>
        <v>0</v>
      </c>
      <c r="Z12" s="43">
        <f t="shared" si="6"/>
        <v>0</v>
      </c>
      <c r="AA12" s="49">
        <f t="shared" si="21"/>
        <v>0</v>
      </c>
      <c r="AB12" s="50">
        <f t="shared" si="22"/>
        <v>0</v>
      </c>
      <c r="AC12" s="43">
        <f t="shared" si="23"/>
        <v>0</v>
      </c>
      <c r="AD12" s="43">
        <f t="shared" si="24"/>
        <v>0</v>
      </c>
      <c r="AE12" s="43">
        <f t="shared" si="25"/>
        <v>0</v>
      </c>
      <c r="AF12" s="51" t="e">
        <f>HLOOKUP(I12,ElecAvoidedCostsWOCC!$A$5:$Q$50,G12+1,FALSE)</f>
        <v>#N/A</v>
      </c>
      <c r="AG12" s="43" t="e">
        <f t="shared" si="26"/>
        <v>#N/A</v>
      </c>
      <c r="AH12" s="51" t="e">
        <f>HLOOKUP(I12,ElecAvoidedCostsWOCC!$A$5:$Q$50,T12+1,FALSE)</f>
        <v>#N/A</v>
      </c>
      <c r="AI12" s="43" t="e">
        <f t="shared" si="27"/>
        <v>#N/A</v>
      </c>
      <c r="AJ12" s="43" t="e">
        <f t="shared" si="28"/>
        <v>#N/A</v>
      </c>
      <c r="AK12" s="43" t="e">
        <f>HLOOKUP(I12,ElecAvoidedCostsWOCC!$A$5:$Q$50,G12+1,FALSE)*J12*L12</f>
        <v>#N/A</v>
      </c>
      <c r="AL12" s="43" t="e">
        <f t="shared" si="29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30"/>
        <v>0</v>
      </c>
      <c r="AO12" s="46">
        <f t="shared" si="31"/>
        <v>0</v>
      </c>
      <c r="AP12" s="46" t="e">
        <f t="shared" si="32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18230716</v>
      </c>
      <c r="D13" s="60" t="s">
        <v>547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18"/>
        <v>0</v>
      </c>
      <c r="U13" s="46">
        <f t="shared" si="1"/>
        <v>0</v>
      </c>
      <c r="V13" s="47">
        <f t="shared" si="19"/>
        <v>0</v>
      </c>
      <c r="W13" s="48">
        <f t="shared" si="3"/>
        <v>0</v>
      </c>
      <c r="X13" s="43">
        <f t="shared" si="4"/>
        <v>0</v>
      </c>
      <c r="Y13" s="43">
        <f t="shared" si="20"/>
        <v>0</v>
      </c>
      <c r="Z13" s="43">
        <f t="shared" si="6"/>
        <v>0</v>
      </c>
      <c r="AA13" s="49">
        <f t="shared" si="21"/>
        <v>0</v>
      </c>
      <c r="AB13" s="50">
        <f t="shared" si="22"/>
        <v>0</v>
      </c>
      <c r="AC13" s="43">
        <f t="shared" si="23"/>
        <v>0</v>
      </c>
      <c r="AD13" s="43">
        <f t="shared" si="24"/>
        <v>0</v>
      </c>
      <c r="AE13" s="43">
        <f t="shared" si="25"/>
        <v>0</v>
      </c>
      <c r="AF13" s="51" t="e">
        <f>HLOOKUP(I13,ElecAvoidedCostsWOCC!$A$5:$Q$50,G13+1,FALSE)</f>
        <v>#N/A</v>
      </c>
      <c r="AG13" s="43" t="e">
        <f t="shared" si="26"/>
        <v>#N/A</v>
      </c>
      <c r="AH13" s="51" t="e">
        <f>HLOOKUP(I13,ElecAvoidedCostsWOCC!$A$5:$Q$50,T13+1,FALSE)</f>
        <v>#N/A</v>
      </c>
      <c r="AI13" s="43" t="e">
        <f t="shared" si="27"/>
        <v>#N/A</v>
      </c>
      <c r="AJ13" s="43" t="e">
        <f t="shared" si="28"/>
        <v>#N/A</v>
      </c>
      <c r="AK13" s="43" t="e">
        <f>HLOOKUP(I13,ElecAvoidedCostsWOCC!$A$5:$Q$50,G13+1,FALSE)*J13*L13</f>
        <v>#N/A</v>
      </c>
      <c r="AL13" s="43" t="e">
        <f t="shared" si="29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30"/>
        <v>0</v>
      </c>
      <c r="AO13" s="46">
        <f t="shared" si="31"/>
        <v>0</v>
      </c>
      <c r="AP13" s="46" t="e">
        <f t="shared" si="32"/>
        <v>#DIV/0!</v>
      </c>
    </row>
    <row r="14" spans="1:42" ht="13.5" customHeight="1" x14ac:dyDescent="0.25">
      <c r="A14" s="54">
        <f>SUM(Y5:Y936)</f>
        <v>-19477</v>
      </c>
      <c r="B14" s="88" t="s">
        <v>67</v>
      </c>
      <c r="C14" s="89">
        <v>18230716</v>
      </c>
      <c r="D14" s="60" t="s">
        <v>547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18"/>
        <v>0</v>
      </c>
      <c r="U14" s="46">
        <f t="shared" si="1"/>
        <v>0</v>
      </c>
      <c r="V14" s="47">
        <f t="shared" si="19"/>
        <v>0</v>
      </c>
      <c r="W14" s="48">
        <f t="shared" si="3"/>
        <v>0</v>
      </c>
      <c r="X14" s="43">
        <f t="shared" si="4"/>
        <v>0</v>
      </c>
      <c r="Y14" s="43">
        <f t="shared" si="20"/>
        <v>0</v>
      </c>
      <c r="Z14" s="43">
        <f t="shared" si="6"/>
        <v>0</v>
      </c>
      <c r="AA14" s="49">
        <f t="shared" si="21"/>
        <v>0</v>
      </c>
      <c r="AB14" s="50">
        <f t="shared" si="22"/>
        <v>0</v>
      </c>
      <c r="AC14" s="43">
        <f t="shared" si="23"/>
        <v>0</v>
      </c>
      <c r="AD14" s="43">
        <f t="shared" si="24"/>
        <v>0</v>
      </c>
      <c r="AE14" s="43">
        <f t="shared" si="25"/>
        <v>0</v>
      </c>
      <c r="AF14" s="51" t="e">
        <f>HLOOKUP(I14,ElecAvoidedCostsWOCC!$A$5:$Q$50,G14+1,FALSE)</f>
        <v>#N/A</v>
      </c>
      <c r="AG14" s="43" t="e">
        <f t="shared" si="26"/>
        <v>#N/A</v>
      </c>
      <c r="AH14" s="51" t="e">
        <f>HLOOKUP(I14,ElecAvoidedCostsWOCC!$A$5:$Q$50,T14+1,FALSE)</f>
        <v>#N/A</v>
      </c>
      <c r="AI14" s="43" t="e">
        <f t="shared" si="27"/>
        <v>#N/A</v>
      </c>
      <c r="AJ14" s="43" t="e">
        <f t="shared" si="28"/>
        <v>#N/A</v>
      </c>
      <c r="AK14" s="43" t="e">
        <f>HLOOKUP(I14,ElecAvoidedCostsWOCC!$A$5:$Q$50,G14+1,FALSE)*J14*L14</f>
        <v>#N/A</v>
      </c>
      <c r="AL14" s="43" t="e">
        <f t="shared" si="29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30"/>
        <v>0</v>
      </c>
      <c r="AO14" s="46">
        <f t="shared" si="31"/>
        <v>0</v>
      </c>
      <c r="AP14" s="46" t="e">
        <f t="shared" si="32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18230716</v>
      </c>
      <c r="D15" s="60" t="s">
        <v>547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18"/>
        <v>0</v>
      </c>
      <c r="U15" s="46">
        <f t="shared" si="1"/>
        <v>0</v>
      </c>
      <c r="V15" s="47">
        <f t="shared" si="19"/>
        <v>0</v>
      </c>
      <c r="W15" s="48">
        <f t="shared" si="3"/>
        <v>0</v>
      </c>
      <c r="X15" s="43">
        <f t="shared" si="4"/>
        <v>0</v>
      </c>
      <c r="Y15" s="43">
        <f t="shared" si="20"/>
        <v>0</v>
      </c>
      <c r="Z15" s="43">
        <f t="shared" si="6"/>
        <v>0</v>
      </c>
      <c r="AA15" s="49">
        <f t="shared" si="21"/>
        <v>0</v>
      </c>
      <c r="AB15" s="50">
        <f t="shared" si="22"/>
        <v>0</v>
      </c>
      <c r="AC15" s="43">
        <f t="shared" si="23"/>
        <v>0</v>
      </c>
      <c r="AD15" s="43">
        <f t="shared" si="24"/>
        <v>0</v>
      </c>
      <c r="AE15" s="43">
        <f t="shared" si="25"/>
        <v>0</v>
      </c>
      <c r="AF15" s="51" t="e">
        <f>HLOOKUP(I15,ElecAvoidedCostsWOCC!$A$5:$Q$50,G15+1,FALSE)</f>
        <v>#N/A</v>
      </c>
      <c r="AG15" s="43" t="e">
        <f t="shared" si="26"/>
        <v>#N/A</v>
      </c>
      <c r="AH15" s="51" t="e">
        <f>HLOOKUP(I15,ElecAvoidedCostsWOCC!$A$5:$Q$50,T15+1,FALSE)</f>
        <v>#N/A</v>
      </c>
      <c r="AI15" s="43" t="e">
        <f t="shared" si="27"/>
        <v>#N/A</v>
      </c>
      <c r="AJ15" s="43" t="e">
        <f t="shared" si="28"/>
        <v>#N/A</v>
      </c>
      <c r="AK15" s="43" t="e">
        <f>HLOOKUP(I15,ElecAvoidedCostsWOCC!$A$5:$Q$50,G15+1,FALSE)*J15*L15</f>
        <v>#N/A</v>
      </c>
      <c r="AL15" s="43" t="e">
        <f t="shared" si="29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30"/>
        <v>0</v>
      </c>
      <c r="AO15" s="46">
        <f t="shared" si="31"/>
        <v>0</v>
      </c>
      <c r="AP15" s="46" t="e">
        <f t="shared" si="32"/>
        <v>#DIV/0!</v>
      </c>
    </row>
    <row r="16" spans="1:42" ht="13.5" customHeight="1" x14ac:dyDescent="0.25">
      <c r="A16" s="53">
        <f>SUM(U5:U935)</f>
        <v>12</v>
      </c>
      <c r="B16" s="88" t="s">
        <v>67</v>
      </c>
      <c r="C16" s="89">
        <v>18230716</v>
      </c>
      <c r="D16" s="60" t="s">
        <v>547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18"/>
        <v>0</v>
      </c>
      <c r="U16" s="46">
        <f t="shared" si="1"/>
        <v>0</v>
      </c>
      <c r="V16" s="47">
        <f t="shared" si="19"/>
        <v>0</v>
      </c>
      <c r="W16" s="48">
        <f t="shared" si="3"/>
        <v>0</v>
      </c>
      <c r="X16" s="43">
        <f t="shared" si="4"/>
        <v>0</v>
      </c>
      <c r="Y16" s="43">
        <f t="shared" si="20"/>
        <v>0</v>
      </c>
      <c r="Z16" s="43">
        <f t="shared" si="6"/>
        <v>0</v>
      </c>
      <c r="AA16" s="49">
        <f t="shared" si="21"/>
        <v>0</v>
      </c>
      <c r="AB16" s="50">
        <f t="shared" si="22"/>
        <v>0</v>
      </c>
      <c r="AC16" s="43">
        <f t="shared" si="23"/>
        <v>0</v>
      </c>
      <c r="AD16" s="43">
        <f t="shared" si="24"/>
        <v>0</v>
      </c>
      <c r="AE16" s="43">
        <f t="shared" si="25"/>
        <v>0</v>
      </c>
      <c r="AF16" s="51" t="e">
        <f>HLOOKUP(I16,ElecAvoidedCostsWOCC!$A$5:$Q$50,G16+1,FALSE)</f>
        <v>#N/A</v>
      </c>
      <c r="AG16" s="43" t="e">
        <f t="shared" si="26"/>
        <v>#N/A</v>
      </c>
      <c r="AH16" s="51" t="e">
        <f>HLOOKUP(I16,ElecAvoidedCostsWOCC!$A$5:$Q$50,T16+1,FALSE)</f>
        <v>#N/A</v>
      </c>
      <c r="AI16" s="43" t="e">
        <f t="shared" si="27"/>
        <v>#N/A</v>
      </c>
      <c r="AJ16" s="43" t="e">
        <f t="shared" si="28"/>
        <v>#N/A</v>
      </c>
      <c r="AK16" s="43" t="e">
        <f>HLOOKUP(I16,ElecAvoidedCostsWOCC!$A$5:$Q$50,G16+1,FALSE)*J16*L16</f>
        <v>#N/A</v>
      </c>
      <c r="AL16" s="43" t="e">
        <f t="shared" si="29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30"/>
        <v>0</v>
      </c>
      <c r="AO16" s="46">
        <f t="shared" si="31"/>
        <v>0</v>
      </c>
      <c r="AP16" s="46" t="e">
        <f t="shared" si="32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18230716</v>
      </c>
      <c r="D17" s="60" t="s">
        <v>547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18"/>
        <v>0</v>
      </c>
      <c r="U17" s="46">
        <f t="shared" si="1"/>
        <v>0</v>
      </c>
      <c r="V17" s="47">
        <f t="shared" si="19"/>
        <v>0</v>
      </c>
      <c r="W17" s="48">
        <f t="shared" si="3"/>
        <v>0</v>
      </c>
      <c r="X17" s="43">
        <f t="shared" si="4"/>
        <v>0</v>
      </c>
      <c r="Y17" s="43">
        <f t="shared" si="20"/>
        <v>0</v>
      </c>
      <c r="Z17" s="43">
        <f t="shared" si="6"/>
        <v>0</v>
      </c>
      <c r="AA17" s="49">
        <f t="shared" si="21"/>
        <v>0</v>
      </c>
      <c r="AB17" s="50">
        <f t="shared" si="22"/>
        <v>0</v>
      </c>
      <c r="AC17" s="43">
        <f t="shared" si="23"/>
        <v>0</v>
      </c>
      <c r="AD17" s="43">
        <f t="shared" si="24"/>
        <v>0</v>
      </c>
      <c r="AE17" s="43">
        <f t="shared" si="25"/>
        <v>0</v>
      </c>
      <c r="AF17" s="51" t="e">
        <f>HLOOKUP(I17,ElecAvoidedCostsWOCC!$A$5:$Q$50,G17+1,FALSE)</f>
        <v>#N/A</v>
      </c>
      <c r="AG17" s="43" t="e">
        <f t="shared" si="26"/>
        <v>#N/A</v>
      </c>
      <c r="AH17" s="51" t="e">
        <f>HLOOKUP(I17,ElecAvoidedCostsWOCC!$A$5:$Q$50,T17+1,FALSE)</f>
        <v>#N/A</v>
      </c>
      <c r="AI17" s="43" t="e">
        <f t="shared" si="27"/>
        <v>#N/A</v>
      </c>
      <c r="AJ17" s="43" t="e">
        <f t="shared" si="28"/>
        <v>#N/A</v>
      </c>
      <c r="AK17" s="43" t="e">
        <f>HLOOKUP(I17,ElecAvoidedCostsWOCC!$A$5:$Q$50,G17+1,FALSE)*J17*L17</f>
        <v>#N/A</v>
      </c>
      <c r="AL17" s="43" t="e">
        <f t="shared" si="29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30"/>
        <v>0</v>
      </c>
      <c r="AO17" s="46">
        <f t="shared" si="31"/>
        <v>0</v>
      </c>
      <c r="AP17" s="46" t="e">
        <f t="shared" si="32"/>
        <v>#DIV/0!</v>
      </c>
    </row>
    <row r="18" spans="1:42" ht="13.5" customHeight="1" x14ac:dyDescent="0.25">
      <c r="A18" s="58">
        <f>A6+A8</f>
        <v>1864148.55</v>
      </c>
      <c r="B18" s="88" t="s">
        <v>67</v>
      </c>
      <c r="C18" s="89">
        <v>18230716</v>
      </c>
      <c r="D18" s="60" t="s">
        <v>547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18"/>
        <v>0</v>
      </c>
      <c r="U18" s="46">
        <f t="shared" si="1"/>
        <v>0</v>
      </c>
      <c r="V18" s="47">
        <f t="shared" si="19"/>
        <v>0</v>
      </c>
      <c r="W18" s="48">
        <f t="shared" si="3"/>
        <v>0</v>
      </c>
      <c r="X18" s="43">
        <f t="shared" si="4"/>
        <v>0</v>
      </c>
      <c r="Y18" s="43">
        <f t="shared" si="20"/>
        <v>0</v>
      </c>
      <c r="Z18" s="43">
        <f t="shared" si="6"/>
        <v>0</v>
      </c>
      <c r="AA18" s="49">
        <f t="shared" si="21"/>
        <v>0</v>
      </c>
      <c r="AB18" s="50">
        <f t="shared" si="22"/>
        <v>0</v>
      </c>
      <c r="AC18" s="43">
        <f t="shared" si="23"/>
        <v>0</v>
      </c>
      <c r="AD18" s="43">
        <f t="shared" si="24"/>
        <v>0</v>
      </c>
      <c r="AE18" s="43">
        <f t="shared" si="25"/>
        <v>0</v>
      </c>
      <c r="AF18" s="51" t="e">
        <f>HLOOKUP(I18,ElecAvoidedCostsWOCC!$A$5:$Q$50,G18+1,FALSE)</f>
        <v>#N/A</v>
      </c>
      <c r="AG18" s="43" t="e">
        <f t="shared" si="26"/>
        <v>#N/A</v>
      </c>
      <c r="AH18" s="51" t="e">
        <f>HLOOKUP(I18,ElecAvoidedCostsWOCC!$A$5:$Q$50,T18+1,FALSE)</f>
        <v>#N/A</v>
      </c>
      <c r="AI18" s="43" t="e">
        <f t="shared" si="27"/>
        <v>#N/A</v>
      </c>
      <c r="AJ18" s="43" t="e">
        <f t="shared" si="28"/>
        <v>#N/A</v>
      </c>
      <c r="AK18" s="43" t="e">
        <f>HLOOKUP(I18,ElecAvoidedCostsWOCC!$A$5:$Q$50,G18+1,FALSE)*J18*L18</f>
        <v>#N/A</v>
      </c>
      <c r="AL18" s="43" t="e">
        <f t="shared" si="29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30"/>
        <v>0</v>
      </c>
      <c r="AO18" s="46">
        <f t="shared" si="31"/>
        <v>0</v>
      </c>
      <c r="AP18" s="46" t="e">
        <f t="shared" si="32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18230716</v>
      </c>
      <c r="D19" s="60" t="s">
        <v>547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18"/>
        <v>0</v>
      </c>
      <c r="U19" s="46">
        <f t="shared" si="1"/>
        <v>0</v>
      </c>
      <c r="V19" s="47">
        <f t="shared" si="19"/>
        <v>0</v>
      </c>
      <c r="W19" s="48">
        <f t="shared" si="3"/>
        <v>0</v>
      </c>
      <c r="X19" s="43">
        <f t="shared" si="4"/>
        <v>0</v>
      </c>
      <c r="Y19" s="43">
        <f t="shared" si="20"/>
        <v>0</v>
      </c>
      <c r="Z19" s="43">
        <f t="shared" si="6"/>
        <v>0</v>
      </c>
      <c r="AA19" s="49">
        <f t="shared" si="21"/>
        <v>0</v>
      </c>
      <c r="AB19" s="50">
        <f t="shared" si="22"/>
        <v>0</v>
      </c>
      <c r="AC19" s="43">
        <f t="shared" si="23"/>
        <v>0</v>
      </c>
      <c r="AD19" s="43">
        <f t="shared" si="24"/>
        <v>0</v>
      </c>
      <c r="AE19" s="43">
        <f t="shared" si="25"/>
        <v>0</v>
      </c>
      <c r="AF19" s="51" t="e">
        <f>HLOOKUP(I19,ElecAvoidedCostsWOCC!$A$5:$Q$50,G19+1,FALSE)</f>
        <v>#N/A</v>
      </c>
      <c r="AG19" s="43" t="e">
        <f t="shared" si="26"/>
        <v>#N/A</v>
      </c>
      <c r="AH19" s="51" t="e">
        <f>HLOOKUP(I19,ElecAvoidedCostsWOCC!$A$5:$Q$50,T19+1,FALSE)</f>
        <v>#N/A</v>
      </c>
      <c r="AI19" s="43" t="e">
        <f t="shared" si="27"/>
        <v>#N/A</v>
      </c>
      <c r="AJ19" s="43" t="e">
        <f t="shared" si="28"/>
        <v>#N/A</v>
      </c>
      <c r="AK19" s="43" t="e">
        <f>HLOOKUP(I19,ElecAvoidedCostsWOCC!$A$5:$Q$50,G19+1,FALSE)*J19*L19</f>
        <v>#N/A</v>
      </c>
      <c r="AL19" s="43" t="e">
        <f t="shared" si="29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30"/>
        <v>0</v>
      </c>
      <c r="AO19" s="46">
        <f t="shared" si="31"/>
        <v>0</v>
      </c>
      <c r="AP19" s="46" t="e">
        <f t="shared" si="32"/>
        <v>#DIV/0!</v>
      </c>
    </row>
    <row r="20" spans="1:42" ht="13.5" customHeight="1" x14ac:dyDescent="0.25">
      <c r="A20" s="58">
        <f>A8+SUM(Q5:Q842)</f>
        <v>1844671.55</v>
      </c>
      <c r="B20" s="88" t="s">
        <v>67</v>
      </c>
      <c r="C20" s="89">
        <v>18230716</v>
      </c>
      <c r="D20" s="60" t="s">
        <v>547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18"/>
        <v>0</v>
      </c>
      <c r="U20" s="46">
        <f t="shared" si="1"/>
        <v>0</v>
      </c>
      <c r="V20" s="47">
        <f t="shared" si="19"/>
        <v>0</v>
      </c>
      <c r="W20" s="48">
        <f t="shared" si="3"/>
        <v>0</v>
      </c>
      <c r="X20" s="43">
        <f t="shared" si="4"/>
        <v>0</v>
      </c>
      <c r="Y20" s="43">
        <f t="shared" si="20"/>
        <v>0</v>
      </c>
      <c r="Z20" s="43">
        <f t="shared" si="6"/>
        <v>0</v>
      </c>
      <c r="AA20" s="49">
        <f t="shared" si="21"/>
        <v>0</v>
      </c>
      <c r="AB20" s="50">
        <f t="shared" si="22"/>
        <v>0</v>
      </c>
      <c r="AC20" s="43">
        <f t="shared" si="23"/>
        <v>0</v>
      </c>
      <c r="AD20" s="43">
        <f t="shared" si="24"/>
        <v>0</v>
      </c>
      <c r="AE20" s="43">
        <f t="shared" si="25"/>
        <v>0</v>
      </c>
      <c r="AF20" s="51" t="e">
        <f>HLOOKUP(I20,ElecAvoidedCostsWOCC!$A$5:$Q$50,G20+1,FALSE)</f>
        <v>#N/A</v>
      </c>
      <c r="AG20" s="43" t="e">
        <f t="shared" si="26"/>
        <v>#N/A</v>
      </c>
      <c r="AH20" s="51" t="e">
        <f>HLOOKUP(I20,ElecAvoidedCostsWOCC!$A$5:$Q$50,T20+1,FALSE)</f>
        <v>#N/A</v>
      </c>
      <c r="AI20" s="43" t="e">
        <f t="shared" si="27"/>
        <v>#N/A</v>
      </c>
      <c r="AJ20" s="43" t="e">
        <f t="shared" si="28"/>
        <v>#N/A</v>
      </c>
      <c r="AK20" s="43" t="e">
        <f>HLOOKUP(I20,ElecAvoidedCostsWOCC!$A$5:$Q$50,G20+1,FALSE)*J20*L20</f>
        <v>#N/A</v>
      </c>
      <c r="AL20" s="43" t="e">
        <f t="shared" si="29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30"/>
        <v>0</v>
      </c>
      <c r="AO20" s="46">
        <f t="shared" si="31"/>
        <v>0</v>
      </c>
      <c r="AP20" s="46" t="e">
        <f t="shared" si="32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18230716</v>
      </c>
      <c r="D21" s="60" t="s">
        <v>547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8"/>
        <v>0</v>
      </c>
      <c r="U21" s="46">
        <f t="shared" si="1"/>
        <v>0</v>
      </c>
      <c r="V21" s="47">
        <f t="shared" si="19"/>
        <v>0</v>
      </c>
      <c r="W21" s="48">
        <f t="shared" si="3"/>
        <v>0</v>
      </c>
      <c r="X21" s="43">
        <f t="shared" si="4"/>
        <v>0</v>
      </c>
      <c r="Y21" s="43">
        <f t="shared" si="20"/>
        <v>0</v>
      </c>
      <c r="Z21" s="43">
        <f t="shared" si="6"/>
        <v>0</v>
      </c>
      <c r="AA21" s="49">
        <f t="shared" si="21"/>
        <v>0</v>
      </c>
      <c r="AB21" s="50">
        <f t="shared" si="22"/>
        <v>0</v>
      </c>
      <c r="AC21" s="43">
        <f t="shared" si="23"/>
        <v>0</v>
      </c>
      <c r="AD21" s="43">
        <f t="shared" si="24"/>
        <v>0</v>
      </c>
      <c r="AE21" s="43">
        <f t="shared" si="25"/>
        <v>0</v>
      </c>
      <c r="AF21" s="51" t="e">
        <f>HLOOKUP(I21,ElecAvoidedCostsWOCC!$A$5:$Q$50,G21+1,FALSE)</f>
        <v>#N/A</v>
      </c>
      <c r="AG21" s="43" t="e">
        <f t="shared" si="26"/>
        <v>#N/A</v>
      </c>
      <c r="AH21" s="51" t="e">
        <f>HLOOKUP(I21,ElecAvoidedCostsWOCC!$A$5:$Q$50,T21+1,FALSE)</f>
        <v>#N/A</v>
      </c>
      <c r="AI21" s="43" t="e">
        <f t="shared" si="27"/>
        <v>#N/A</v>
      </c>
      <c r="AJ21" s="43" t="e">
        <f t="shared" si="28"/>
        <v>#N/A</v>
      </c>
      <c r="AK21" s="43" t="e">
        <f>HLOOKUP(I21,ElecAvoidedCostsWOCC!$A$5:$Q$50,G21+1,FALSE)*J21*L21</f>
        <v>#N/A</v>
      </c>
      <c r="AL21" s="43" t="e">
        <f t="shared" si="29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0"/>
        <v>0</v>
      </c>
      <c r="AO21" s="46">
        <f t="shared" si="31"/>
        <v>0</v>
      </c>
      <c r="AP21" s="46" t="e">
        <f t="shared" si="32"/>
        <v>#DIV/0!</v>
      </c>
    </row>
    <row r="22" spans="1:42" ht="13.5" customHeight="1" x14ac:dyDescent="0.25">
      <c r="A22" s="59">
        <f>(SUM(AM5:AM936)/(SUM(AB5:AB936)))</f>
        <v>1.4870080675637607</v>
      </c>
      <c r="B22" s="88" t="s">
        <v>67</v>
      </c>
      <c r="C22" s="89">
        <v>18230716</v>
      </c>
      <c r="D22" s="60" t="s">
        <v>547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8"/>
        <v>0</v>
      </c>
      <c r="U22" s="46">
        <f t="shared" si="1"/>
        <v>0</v>
      </c>
      <c r="V22" s="47">
        <f t="shared" si="19"/>
        <v>0</v>
      </c>
      <c r="W22" s="48">
        <f t="shared" si="3"/>
        <v>0</v>
      </c>
      <c r="X22" s="43">
        <f t="shared" si="4"/>
        <v>0</v>
      </c>
      <c r="Y22" s="43">
        <f t="shared" si="20"/>
        <v>0</v>
      </c>
      <c r="Z22" s="43">
        <f t="shared" si="6"/>
        <v>0</v>
      </c>
      <c r="AA22" s="49">
        <f t="shared" si="21"/>
        <v>0</v>
      </c>
      <c r="AB22" s="50">
        <f t="shared" si="22"/>
        <v>0</v>
      </c>
      <c r="AC22" s="43">
        <f t="shared" si="23"/>
        <v>0</v>
      </c>
      <c r="AD22" s="43">
        <f t="shared" si="24"/>
        <v>0</v>
      </c>
      <c r="AE22" s="43">
        <f t="shared" si="25"/>
        <v>0</v>
      </c>
      <c r="AF22" s="51" t="e">
        <f>HLOOKUP(I22,ElecAvoidedCostsWOCC!$A$5:$Q$50,G22+1,FALSE)</f>
        <v>#N/A</v>
      </c>
      <c r="AG22" s="43" t="e">
        <f t="shared" si="26"/>
        <v>#N/A</v>
      </c>
      <c r="AH22" s="51" t="e">
        <f>HLOOKUP(I22,ElecAvoidedCostsWOCC!$A$5:$Q$50,T22+1,FALSE)</f>
        <v>#N/A</v>
      </c>
      <c r="AI22" s="43" t="e">
        <f t="shared" si="27"/>
        <v>#N/A</v>
      </c>
      <c r="AJ22" s="43" t="e">
        <f t="shared" si="28"/>
        <v>#N/A</v>
      </c>
      <c r="AK22" s="43" t="e">
        <f>HLOOKUP(I22,ElecAvoidedCostsWOCC!$A$5:$Q$50,G22+1,FALSE)*J22*L22</f>
        <v>#N/A</v>
      </c>
      <c r="AL22" s="43" t="e">
        <f t="shared" si="29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0"/>
        <v>0</v>
      </c>
      <c r="AO22" s="46">
        <f t="shared" si="31"/>
        <v>0</v>
      </c>
      <c r="AP22" s="46" t="e">
        <f t="shared" si="32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18230716</v>
      </c>
      <c r="D23" s="60" t="s">
        <v>547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8"/>
        <v>0</v>
      </c>
      <c r="U23" s="46">
        <f t="shared" si="1"/>
        <v>0</v>
      </c>
      <c r="V23" s="47">
        <f t="shared" si="19"/>
        <v>0</v>
      </c>
      <c r="W23" s="48">
        <f t="shared" si="3"/>
        <v>0</v>
      </c>
      <c r="X23" s="43">
        <f t="shared" si="4"/>
        <v>0</v>
      </c>
      <c r="Y23" s="43">
        <f t="shared" si="20"/>
        <v>0</v>
      </c>
      <c r="Z23" s="43">
        <f t="shared" si="6"/>
        <v>0</v>
      </c>
      <c r="AA23" s="49">
        <f t="shared" si="21"/>
        <v>0</v>
      </c>
      <c r="AB23" s="50">
        <f t="shared" si="22"/>
        <v>0</v>
      </c>
      <c r="AC23" s="43">
        <f t="shared" si="23"/>
        <v>0</v>
      </c>
      <c r="AD23" s="43">
        <f t="shared" si="24"/>
        <v>0</v>
      </c>
      <c r="AE23" s="43">
        <f t="shared" si="25"/>
        <v>0</v>
      </c>
      <c r="AF23" s="51" t="e">
        <f>HLOOKUP(I23,ElecAvoidedCostsWOCC!$A$5:$Q$50,G23+1,FALSE)</f>
        <v>#N/A</v>
      </c>
      <c r="AG23" s="43" t="e">
        <f t="shared" si="26"/>
        <v>#N/A</v>
      </c>
      <c r="AH23" s="51" t="e">
        <f>HLOOKUP(I23,ElecAvoidedCostsWOCC!$A$5:$Q$50,T23+1,FALSE)</f>
        <v>#N/A</v>
      </c>
      <c r="AI23" s="43" t="e">
        <f t="shared" si="27"/>
        <v>#N/A</v>
      </c>
      <c r="AJ23" s="43" t="e">
        <f t="shared" si="28"/>
        <v>#N/A</v>
      </c>
      <c r="AK23" s="43" t="e">
        <f>HLOOKUP(I23,ElecAvoidedCostsWOCC!$A$5:$Q$50,G23+1,FALSE)*J23*L23</f>
        <v>#N/A</v>
      </c>
      <c r="AL23" s="43" t="e">
        <f t="shared" si="29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0"/>
        <v>0</v>
      </c>
      <c r="AO23" s="46">
        <f t="shared" si="31"/>
        <v>0</v>
      </c>
      <c r="AP23" s="46" t="e">
        <f t="shared" si="32"/>
        <v>#DIV/0!</v>
      </c>
    </row>
    <row r="24" spans="1:42" ht="13.5" customHeight="1" x14ac:dyDescent="0.25">
      <c r="A24" s="59">
        <f>(SUM(AN5:AN936)/SUM(AC5:AC936))</f>
        <v>1.9162257077276894</v>
      </c>
      <c r="B24" s="88" t="s">
        <v>67</v>
      </c>
      <c r="C24" s="89">
        <v>18230716</v>
      </c>
      <c r="D24" s="60" t="s">
        <v>547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8"/>
        <v>0</v>
      </c>
      <c r="U24" s="46">
        <f t="shared" si="1"/>
        <v>0</v>
      </c>
      <c r="V24" s="47">
        <f t="shared" si="19"/>
        <v>0</v>
      </c>
      <c r="W24" s="48">
        <f t="shared" si="3"/>
        <v>0</v>
      </c>
      <c r="X24" s="43">
        <f t="shared" si="4"/>
        <v>0</v>
      </c>
      <c r="Y24" s="43">
        <f t="shared" si="20"/>
        <v>0</v>
      </c>
      <c r="Z24" s="43">
        <f t="shared" si="6"/>
        <v>0</v>
      </c>
      <c r="AA24" s="49">
        <f t="shared" si="21"/>
        <v>0</v>
      </c>
      <c r="AB24" s="50">
        <f t="shared" si="22"/>
        <v>0</v>
      </c>
      <c r="AC24" s="43">
        <f t="shared" si="23"/>
        <v>0</v>
      </c>
      <c r="AD24" s="43">
        <f t="shared" si="24"/>
        <v>0</v>
      </c>
      <c r="AE24" s="43">
        <f t="shared" si="25"/>
        <v>0</v>
      </c>
      <c r="AF24" s="51" t="e">
        <f>HLOOKUP(I24,ElecAvoidedCostsWOCC!$A$5:$Q$50,G24+1,FALSE)</f>
        <v>#N/A</v>
      </c>
      <c r="AG24" s="43" t="e">
        <f t="shared" si="26"/>
        <v>#N/A</v>
      </c>
      <c r="AH24" s="51" t="e">
        <f>HLOOKUP(I24,ElecAvoidedCostsWOCC!$A$5:$Q$50,T24+1,FALSE)</f>
        <v>#N/A</v>
      </c>
      <c r="AI24" s="43" t="e">
        <f t="shared" si="27"/>
        <v>#N/A</v>
      </c>
      <c r="AJ24" s="43" t="e">
        <f t="shared" si="28"/>
        <v>#N/A</v>
      </c>
      <c r="AK24" s="43" t="e">
        <f>HLOOKUP(I24,ElecAvoidedCostsWOCC!$A$5:$Q$50,G24+1,FALSE)*J24*L24</f>
        <v>#N/A</v>
      </c>
      <c r="AL24" s="43" t="e">
        <f t="shared" si="29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0"/>
        <v>0</v>
      </c>
      <c r="AO24" s="46">
        <f t="shared" si="31"/>
        <v>0</v>
      </c>
      <c r="AP24" s="46" t="e">
        <f t="shared" si="32"/>
        <v>#DIV/0!</v>
      </c>
    </row>
    <row r="25" spans="1:42" ht="13.5" customHeight="1" x14ac:dyDescent="0.25">
      <c r="B25" s="88" t="s">
        <v>67</v>
      </c>
      <c r="C25" s="89">
        <v>18230716</v>
      </c>
      <c r="D25" s="60" t="s">
        <v>547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8"/>
        <v>0</v>
      </c>
      <c r="U25" s="46">
        <f t="shared" si="1"/>
        <v>0</v>
      </c>
      <c r="V25" s="47">
        <f t="shared" si="19"/>
        <v>0</v>
      </c>
      <c r="W25" s="48">
        <f t="shared" si="3"/>
        <v>0</v>
      </c>
      <c r="X25" s="43">
        <f t="shared" si="4"/>
        <v>0</v>
      </c>
      <c r="Y25" s="43">
        <f t="shared" si="20"/>
        <v>0</v>
      </c>
      <c r="Z25" s="43">
        <f t="shared" si="6"/>
        <v>0</v>
      </c>
      <c r="AA25" s="49">
        <f t="shared" si="21"/>
        <v>0</v>
      </c>
      <c r="AB25" s="50">
        <f t="shared" si="22"/>
        <v>0</v>
      </c>
      <c r="AC25" s="43">
        <f t="shared" si="23"/>
        <v>0</v>
      </c>
      <c r="AD25" s="43">
        <f t="shared" si="24"/>
        <v>0</v>
      </c>
      <c r="AE25" s="43">
        <f t="shared" si="25"/>
        <v>0</v>
      </c>
      <c r="AF25" s="51" t="e">
        <f>HLOOKUP(I25,ElecAvoidedCostsWOCC!$A$5:$Q$50,G25+1,FALSE)</f>
        <v>#N/A</v>
      </c>
      <c r="AG25" s="43" t="e">
        <f t="shared" si="26"/>
        <v>#N/A</v>
      </c>
      <c r="AH25" s="51" t="e">
        <f>HLOOKUP(I25,ElecAvoidedCostsWOCC!$A$5:$Q$50,T25+1,FALSE)</f>
        <v>#N/A</v>
      </c>
      <c r="AI25" s="43" t="e">
        <f t="shared" si="27"/>
        <v>#N/A</v>
      </c>
      <c r="AJ25" s="43" t="e">
        <f t="shared" si="28"/>
        <v>#N/A</v>
      </c>
      <c r="AK25" s="43" t="e">
        <f>HLOOKUP(I25,ElecAvoidedCostsWOCC!$A$5:$Q$50,G25+1,FALSE)*J25*L25</f>
        <v>#N/A</v>
      </c>
      <c r="AL25" s="43" t="e">
        <f t="shared" si="29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0"/>
        <v>0</v>
      </c>
      <c r="AO25" s="46">
        <f t="shared" si="31"/>
        <v>0</v>
      </c>
      <c r="AP25" s="46" t="e">
        <f t="shared" si="32"/>
        <v>#DIV/0!</v>
      </c>
    </row>
    <row r="26" spans="1:42" ht="13.5" customHeight="1" x14ac:dyDescent="0.25">
      <c r="B26" s="88" t="s">
        <v>67</v>
      </c>
      <c r="C26" s="89">
        <v>18230716</v>
      </c>
      <c r="D26" s="60" t="s">
        <v>547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8"/>
        <v>0</v>
      </c>
      <c r="U26" s="46">
        <f t="shared" si="1"/>
        <v>0</v>
      </c>
      <c r="V26" s="47">
        <f t="shared" si="19"/>
        <v>0</v>
      </c>
      <c r="W26" s="48">
        <f t="shared" si="3"/>
        <v>0</v>
      </c>
      <c r="X26" s="43">
        <f t="shared" si="4"/>
        <v>0</v>
      </c>
      <c r="Y26" s="43">
        <f t="shared" si="20"/>
        <v>0</v>
      </c>
      <c r="Z26" s="43">
        <f t="shared" si="6"/>
        <v>0</v>
      </c>
      <c r="AA26" s="49">
        <f t="shared" si="21"/>
        <v>0</v>
      </c>
      <c r="AB26" s="50">
        <f t="shared" si="22"/>
        <v>0</v>
      </c>
      <c r="AC26" s="43">
        <f t="shared" si="23"/>
        <v>0</v>
      </c>
      <c r="AD26" s="43">
        <f t="shared" si="24"/>
        <v>0</v>
      </c>
      <c r="AE26" s="43">
        <f t="shared" si="25"/>
        <v>0</v>
      </c>
      <c r="AF26" s="51" t="e">
        <f>HLOOKUP(I26,ElecAvoidedCostsWOCC!$A$5:$Q$50,G26+1,FALSE)</f>
        <v>#N/A</v>
      </c>
      <c r="AG26" s="43" t="e">
        <f t="shared" si="26"/>
        <v>#N/A</v>
      </c>
      <c r="AH26" s="51" t="e">
        <f>HLOOKUP(I26,ElecAvoidedCostsWOCC!$A$5:$Q$50,T26+1,FALSE)</f>
        <v>#N/A</v>
      </c>
      <c r="AI26" s="43" t="e">
        <f t="shared" si="27"/>
        <v>#N/A</v>
      </c>
      <c r="AJ26" s="43" t="e">
        <f t="shared" si="28"/>
        <v>#N/A</v>
      </c>
      <c r="AK26" s="43" t="e">
        <f>HLOOKUP(I26,ElecAvoidedCostsWOCC!$A$5:$Q$50,G26+1,FALSE)*J26*L26</f>
        <v>#N/A</v>
      </c>
      <c r="AL26" s="43" t="e">
        <f t="shared" si="29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0"/>
        <v>0</v>
      </c>
      <c r="AO26" s="46">
        <f t="shared" si="31"/>
        <v>0</v>
      </c>
      <c r="AP26" s="46" t="e">
        <f t="shared" si="32"/>
        <v>#DIV/0!</v>
      </c>
    </row>
    <row r="27" spans="1:42" ht="13.5" customHeight="1" x14ac:dyDescent="0.25">
      <c r="B27" s="88" t="s">
        <v>67</v>
      </c>
      <c r="C27" s="89">
        <v>18230716</v>
      </c>
      <c r="D27" s="60" t="s">
        <v>547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8"/>
        <v>0</v>
      </c>
      <c r="U27" s="46">
        <f t="shared" si="1"/>
        <v>0</v>
      </c>
      <c r="V27" s="47">
        <f t="shared" si="19"/>
        <v>0</v>
      </c>
      <c r="W27" s="48">
        <f t="shared" si="3"/>
        <v>0</v>
      </c>
      <c r="X27" s="43">
        <f t="shared" si="4"/>
        <v>0</v>
      </c>
      <c r="Y27" s="43">
        <f t="shared" si="20"/>
        <v>0</v>
      </c>
      <c r="Z27" s="43">
        <f t="shared" si="6"/>
        <v>0</v>
      </c>
      <c r="AA27" s="49">
        <f t="shared" si="21"/>
        <v>0</v>
      </c>
      <c r="AB27" s="50">
        <f t="shared" si="22"/>
        <v>0</v>
      </c>
      <c r="AC27" s="43">
        <f t="shared" si="23"/>
        <v>0</v>
      </c>
      <c r="AD27" s="43">
        <f t="shared" si="24"/>
        <v>0</v>
      </c>
      <c r="AE27" s="43">
        <f t="shared" si="25"/>
        <v>0</v>
      </c>
      <c r="AF27" s="51" t="e">
        <f>HLOOKUP(I27,ElecAvoidedCostsWOCC!$A$5:$Q$50,G27+1,FALSE)</f>
        <v>#N/A</v>
      </c>
      <c r="AG27" s="43" t="e">
        <f t="shared" si="26"/>
        <v>#N/A</v>
      </c>
      <c r="AH27" s="51" t="e">
        <f>HLOOKUP(I27,ElecAvoidedCostsWOCC!$A$5:$Q$50,T27+1,FALSE)</f>
        <v>#N/A</v>
      </c>
      <c r="AI27" s="43" t="e">
        <f t="shared" si="27"/>
        <v>#N/A</v>
      </c>
      <c r="AJ27" s="43" t="e">
        <f t="shared" si="28"/>
        <v>#N/A</v>
      </c>
      <c r="AK27" s="43" t="e">
        <f>HLOOKUP(I27,ElecAvoidedCostsWOCC!$A$5:$Q$50,G27+1,FALSE)*J27*L27</f>
        <v>#N/A</v>
      </c>
      <c r="AL27" s="43" t="e">
        <f t="shared" si="29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0"/>
        <v>0</v>
      </c>
      <c r="AO27" s="46">
        <f t="shared" si="31"/>
        <v>0</v>
      </c>
      <c r="AP27" s="46" t="e">
        <f t="shared" si="32"/>
        <v>#DIV/0!</v>
      </c>
    </row>
    <row r="28" spans="1:42" x14ac:dyDescent="0.25">
      <c r="B28" s="88" t="s">
        <v>67</v>
      </c>
      <c r="C28" s="89">
        <v>18230716</v>
      </c>
      <c r="D28" s="60" t="s">
        <v>547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8"/>
        <v>0</v>
      </c>
      <c r="U28" s="46">
        <f t="shared" si="1"/>
        <v>0</v>
      </c>
      <c r="V28" s="47">
        <f t="shared" si="19"/>
        <v>0</v>
      </c>
      <c r="W28" s="48">
        <f t="shared" si="3"/>
        <v>0</v>
      </c>
      <c r="X28" s="43">
        <f t="shared" si="4"/>
        <v>0</v>
      </c>
      <c r="Y28" s="43">
        <f t="shared" si="20"/>
        <v>0</v>
      </c>
      <c r="Z28" s="43">
        <f t="shared" si="6"/>
        <v>0</v>
      </c>
      <c r="AA28" s="49">
        <f t="shared" si="21"/>
        <v>0</v>
      </c>
      <c r="AB28" s="50">
        <f t="shared" si="22"/>
        <v>0</v>
      </c>
      <c r="AC28" s="43">
        <f t="shared" si="23"/>
        <v>0</v>
      </c>
      <c r="AD28" s="43">
        <f t="shared" si="24"/>
        <v>0</v>
      </c>
      <c r="AE28" s="43">
        <f t="shared" si="25"/>
        <v>0</v>
      </c>
      <c r="AF28" s="51" t="e">
        <f>HLOOKUP(I28,ElecAvoidedCostsWOCC!$A$5:$Q$50,G28+1,FALSE)</f>
        <v>#N/A</v>
      </c>
      <c r="AG28" s="43" t="e">
        <f t="shared" si="26"/>
        <v>#N/A</v>
      </c>
      <c r="AH28" s="51" t="e">
        <f>HLOOKUP(I28,ElecAvoidedCostsWOCC!$A$5:$Q$50,T28+1,FALSE)</f>
        <v>#N/A</v>
      </c>
      <c r="AI28" s="43" t="e">
        <f t="shared" si="27"/>
        <v>#N/A</v>
      </c>
      <c r="AJ28" s="43" t="e">
        <f t="shared" si="28"/>
        <v>#N/A</v>
      </c>
      <c r="AK28" s="43" t="e">
        <f>HLOOKUP(I28,ElecAvoidedCostsWOCC!$A$5:$Q$50,G28+1,FALSE)*J28*L28</f>
        <v>#N/A</v>
      </c>
      <c r="AL28" s="43" t="e">
        <f t="shared" si="29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0"/>
        <v>0</v>
      </c>
      <c r="AO28" s="46">
        <f t="shared" si="31"/>
        <v>0</v>
      </c>
      <c r="AP28" s="46" t="e">
        <f t="shared" si="32"/>
        <v>#DIV/0!</v>
      </c>
    </row>
    <row r="29" spans="1:42" x14ac:dyDescent="0.25">
      <c r="B29" s="88" t="s">
        <v>67</v>
      </c>
      <c r="C29" s="89">
        <v>18230716</v>
      </c>
      <c r="D29" s="60" t="s">
        <v>547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8"/>
        <v>0</v>
      </c>
      <c r="U29" s="46">
        <f t="shared" si="1"/>
        <v>0</v>
      </c>
      <c r="V29" s="47">
        <f t="shared" si="19"/>
        <v>0</v>
      </c>
      <c r="W29" s="48">
        <f t="shared" si="3"/>
        <v>0</v>
      </c>
      <c r="X29" s="43">
        <f t="shared" si="4"/>
        <v>0</v>
      </c>
      <c r="Y29" s="43">
        <f t="shared" si="20"/>
        <v>0</v>
      </c>
      <c r="Z29" s="43">
        <f t="shared" si="6"/>
        <v>0</v>
      </c>
      <c r="AA29" s="49">
        <f t="shared" si="21"/>
        <v>0</v>
      </c>
      <c r="AB29" s="50">
        <f t="shared" si="22"/>
        <v>0</v>
      </c>
      <c r="AC29" s="43">
        <f t="shared" si="23"/>
        <v>0</v>
      </c>
      <c r="AD29" s="43">
        <f t="shared" si="24"/>
        <v>0</v>
      </c>
      <c r="AE29" s="43">
        <f t="shared" si="25"/>
        <v>0</v>
      </c>
      <c r="AF29" s="51" t="e">
        <f>HLOOKUP(I29,ElecAvoidedCostsWOCC!$A$5:$Q$50,G29+1,FALSE)</f>
        <v>#N/A</v>
      </c>
      <c r="AG29" s="43" t="e">
        <f t="shared" si="26"/>
        <v>#N/A</v>
      </c>
      <c r="AH29" s="51" t="e">
        <f>HLOOKUP(I29,ElecAvoidedCostsWOCC!$A$5:$Q$50,T29+1,FALSE)</f>
        <v>#N/A</v>
      </c>
      <c r="AI29" s="43" t="e">
        <f t="shared" si="27"/>
        <v>#N/A</v>
      </c>
      <c r="AJ29" s="43" t="e">
        <f t="shared" si="28"/>
        <v>#N/A</v>
      </c>
      <c r="AK29" s="43" t="e">
        <f>HLOOKUP(I29,ElecAvoidedCostsWOCC!$A$5:$Q$50,G29+1,FALSE)*J29*L29</f>
        <v>#N/A</v>
      </c>
      <c r="AL29" s="43" t="e">
        <f t="shared" si="29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0"/>
        <v>0</v>
      </c>
      <c r="AO29" s="46">
        <f t="shared" si="31"/>
        <v>0</v>
      </c>
      <c r="AP29" s="46" t="e">
        <f t="shared" si="32"/>
        <v>#DIV/0!</v>
      </c>
    </row>
    <row r="30" spans="1:42" x14ac:dyDescent="0.25">
      <c r="B30" s="88" t="s">
        <v>67</v>
      </c>
      <c r="C30" s="89">
        <v>18230716</v>
      </c>
      <c r="D30" s="60" t="s">
        <v>547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8"/>
        <v>0</v>
      </c>
      <c r="U30" s="46">
        <f t="shared" si="1"/>
        <v>0</v>
      </c>
      <c r="V30" s="47">
        <f t="shared" si="19"/>
        <v>0</v>
      </c>
      <c r="W30" s="48">
        <f t="shared" si="3"/>
        <v>0</v>
      </c>
      <c r="X30" s="43">
        <f t="shared" si="4"/>
        <v>0</v>
      </c>
      <c r="Y30" s="43">
        <f t="shared" si="20"/>
        <v>0</v>
      </c>
      <c r="Z30" s="43">
        <f t="shared" si="6"/>
        <v>0</v>
      </c>
      <c r="AA30" s="49">
        <f t="shared" si="21"/>
        <v>0</v>
      </c>
      <c r="AB30" s="50">
        <f t="shared" si="22"/>
        <v>0</v>
      </c>
      <c r="AC30" s="43">
        <f t="shared" si="23"/>
        <v>0</v>
      </c>
      <c r="AD30" s="43">
        <f t="shared" si="24"/>
        <v>0</v>
      </c>
      <c r="AE30" s="43">
        <f t="shared" si="25"/>
        <v>0</v>
      </c>
      <c r="AF30" s="51" t="e">
        <f>HLOOKUP(I30,ElecAvoidedCostsWOCC!$A$5:$Q$50,G30+1,FALSE)</f>
        <v>#N/A</v>
      </c>
      <c r="AG30" s="43" t="e">
        <f t="shared" si="26"/>
        <v>#N/A</v>
      </c>
      <c r="AH30" s="51" t="e">
        <f>HLOOKUP(I30,ElecAvoidedCostsWOCC!$A$5:$Q$50,T30+1,FALSE)</f>
        <v>#N/A</v>
      </c>
      <c r="AI30" s="43" t="e">
        <f t="shared" si="27"/>
        <v>#N/A</v>
      </c>
      <c r="AJ30" s="43" t="e">
        <f t="shared" si="28"/>
        <v>#N/A</v>
      </c>
      <c r="AK30" s="43" t="e">
        <f>HLOOKUP(I30,ElecAvoidedCostsWOCC!$A$5:$Q$50,G30+1,FALSE)*J30*L30</f>
        <v>#N/A</v>
      </c>
      <c r="AL30" s="43" t="e">
        <f t="shared" si="29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0"/>
        <v>0</v>
      </c>
      <c r="AO30" s="46">
        <f t="shared" si="31"/>
        <v>0</v>
      </c>
      <c r="AP30" s="46" t="e">
        <f t="shared" si="32"/>
        <v>#DIV/0!</v>
      </c>
    </row>
    <row r="31" spans="1:42" x14ac:dyDescent="0.25">
      <c r="B31" s="88" t="s">
        <v>67</v>
      </c>
      <c r="C31" s="89">
        <v>18230716</v>
      </c>
      <c r="D31" s="60" t="s">
        <v>547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8"/>
        <v>0</v>
      </c>
      <c r="U31" s="46">
        <f t="shared" si="1"/>
        <v>0</v>
      </c>
      <c r="V31" s="47">
        <f t="shared" si="19"/>
        <v>0</v>
      </c>
      <c r="W31" s="48">
        <f t="shared" si="3"/>
        <v>0</v>
      </c>
      <c r="X31" s="43">
        <f t="shared" si="4"/>
        <v>0</v>
      </c>
      <c r="Y31" s="43">
        <f t="shared" si="20"/>
        <v>0</v>
      </c>
      <c r="Z31" s="43">
        <f t="shared" si="6"/>
        <v>0</v>
      </c>
      <c r="AA31" s="49">
        <f t="shared" si="21"/>
        <v>0</v>
      </c>
      <c r="AB31" s="50">
        <f t="shared" si="22"/>
        <v>0</v>
      </c>
      <c r="AC31" s="43">
        <f t="shared" si="23"/>
        <v>0</v>
      </c>
      <c r="AD31" s="43">
        <f t="shared" si="24"/>
        <v>0</v>
      </c>
      <c r="AE31" s="43">
        <f t="shared" si="25"/>
        <v>0</v>
      </c>
      <c r="AF31" s="51" t="e">
        <f>HLOOKUP(I31,ElecAvoidedCostsWOCC!$A$5:$Q$50,G31+1,FALSE)</f>
        <v>#N/A</v>
      </c>
      <c r="AG31" s="43" t="e">
        <f t="shared" si="26"/>
        <v>#N/A</v>
      </c>
      <c r="AH31" s="51" t="e">
        <f>HLOOKUP(I31,ElecAvoidedCostsWOCC!$A$5:$Q$50,T31+1,FALSE)</f>
        <v>#N/A</v>
      </c>
      <c r="AI31" s="43" t="e">
        <f t="shared" si="27"/>
        <v>#N/A</v>
      </c>
      <c r="AJ31" s="43" t="e">
        <f t="shared" si="28"/>
        <v>#N/A</v>
      </c>
      <c r="AK31" s="43" t="e">
        <f>HLOOKUP(I31,ElecAvoidedCostsWOCC!$A$5:$Q$50,G31+1,FALSE)*J31*L31</f>
        <v>#N/A</v>
      </c>
      <c r="AL31" s="43" t="e">
        <f t="shared" si="29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0"/>
        <v>0</v>
      </c>
      <c r="AO31" s="46">
        <f t="shared" si="31"/>
        <v>0</v>
      </c>
      <c r="AP31" s="46" t="e">
        <f t="shared" si="32"/>
        <v>#DIV/0!</v>
      </c>
    </row>
    <row r="32" spans="1:42" x14ac:dyDescent="0.25">
      <c r="B32" s="88" t="s">
        <v>67</v>
      </c>
      <c r="C32" s="89">
        <v>18230716</v>
      </c>
      <c r="D32" s="60" t="s">
        <v>547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8"/>
        <v>0</v>
      </c>
      <c r="U32" s="46">
        <f t="shared" si="1"/>
        <v>0</v>
      </c>
      <c r="V32" s="47">
        <f t="shared" si="19"/>
        <v>0</v>
      </c>
      <c r="W32" s="48">
        <f t="shared" si="3"/>
        <v>0</v>
      </c>
      <c r="X32" s="43">
        <f t="shared" si="4"/>
        <v>0</v>
      </c>
      <c r="Y32" s="43">
        <f t="shared" si="20"/>
        <v>0</v>
      </c>
      <c r="Z32" s="43">
        <f t="shared" si="6"/>
        <v>0</v>
      </c>
      <c r="AA32" s="49">
        <f t="shared" si="21"/>
        <v>0</v>
      </c>
      <c r="AB32" s="50">
        <f t="shared" si="22"/>
        <v>0</v>
      </c>
      <c r="AC32" s="43">
        <f t="shared" si="23"/>
        <v>0</v>
      </c>
      <c r="AD32" s="43">
        <f t="shared" si="24"/>
        <v>0</v>
      </c>
      <c r="AE32" s="43">
        <f t="shared" si="25"/>
        <v>0</v>
      </c>
      <c r="AF32" s="51" t="e">
        <f>HLOOKUP(I32,ElecAvoidedCostsWOCC!$A$5:$Q$50,G32+1,FALSE)</f>
        <v>#N/A</v>
      </c>
      <c r="AG32" s="43" t="e">
        <f t="shared" si="26"/>
        <v>#N/A</v>
      </c>
      <c r="AH32" s="51" t="e">
        <f>HLOOKUP(I32,ElecAvoidedCostsWOCC!$A$5:$Q$50,T32+1,FALSE)</f>
        <v>#N/A</v>
      </c>
      <c r="AI32" s="43" t="e">
        <f t="shared" si="27"/>
        <v>#N/A</v>
      </c>
      <c r="AJ32" s="43" t="e">
        <f t="shared" si="28"/>
        <v>#N/A</v>
      </c>
      <c r="AK32" s="43" t="e">
        <f>HLOOKUP(I32,ElecAvoidedCostsWOCC!$A$5:$Q$50,G32+1,FALSE)*J32*L32</f>
        <v>#N/A</v>
      </c>
      <c r="AL32" s="43" t="e">
        <f t="shared" si="29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0"/>
        <v>0</v>
      </c>
      <c r="AO32" s="46">
        <f t="shared" si="31"/>
        <v>0</v>
      </c>
      <c r="AP32" s="46" t="e">
        <f t="shared" si="32"/>
        <v>#DIV/0!</v>
      </c>
    </row>
    <row r="33" spans="2:42" x14ac:dyDescent="0.25">
      <c r="B33" s="88" t="s">
        <v>67</v>
      </c>
      <c r="C33" s="89">
        <v>18230716</v>
      </c>
      <c r="D33" s="60" t="s">
        <v>547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8"/>
        <v>0</v>
      </c>
      <c r="U33" s="46">
        <f t="shared" si="1"/>
        <v>0</v>
      </c>
      <c r="V33" s="47">
        <f t="shared" si="19"/>
        <v>0</v>
      </c>
      <c r="W33" s="48">
        <f t="shared" si="3"/>
        <v>0</v>
      </c>
      <c r="X33" s="43">
        <f t="shared" si="4"/>
        <v>0</v>
      </c>
      <c r="Y33" s="43">
        <f t="shared" si="20"/>
        <v>0</v>
      </c>
      <c r="Z33" s="43">
        <f t="shared" si="6"/>
        <v>0</v>
      </c>
      <c r="AA33" s="49">
        <f t="shared" si="21"/>
        <v>0</v>
      </c>
      <c r="AB33" s="50">
        <f t="shared" si="22"/>
        <v>0</v>
      </c>
      <c r="AC33" s="43">
        <f t="shared" si="23"/>
        <v>0</v>
      </c>
      <c r="AD33" s="43">
        <f t="shared" si="24"/>
        <v>0</v>
      </c>
      <c r="AE33" s="43">
        <f t="shared" si="25"/>
        <v>0</v>
      </c>
      <c r="AF33" s="51" t="e">
        <f>HLOOKUP(I33,ElecAvoidedCostsWOCC!$A$5:$Q$50,G33+1,FALSE)</f>
        <v>#N/A</v>
      </c>
      <c r="AG33" s="43" t="e">
        <f t="shared" si="26"/>
        <v>#N/A</v>
      </c>
      <c r="AH33" s="51" t="e">
        <f>HLOOKUP(I33,ElecAvoidedCostsWOCC!$A$5:$Q$50,T33+1,FALSE)</f>
        <v>#N/A</v>
      </c>
      <c r="AI33" s="43" t="e">
        <f t="shared" si="27"/>
        <v>#N/A</v>
      </c>
      <c r="AJ33" s="43" t="e">
        <f t="shared" si="28"/>
        <v>#N/A</v>
      </c>
      <c r="AK33" s="43" t="e">
        <f>HLOOKUP(I33,ElecAvoidedCostsWOCC!$A$5:$Q$50,G33+1,FALSE)*J33*L33</f>
        <v>#N/A</v>
      </c>
      <c r="AL33" s="43" t="e">
        <f t="shared" si="29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0"/>
        <v>0</v>
      </c>
      <c r="AO33" s="46">
        <f t="shared" si="31"/>
        <v>0</v>
      </c>
      <c r="AP33" s="46" t="e">
        <f t="shared" si="32"/>
        <v>#DIV/0!</v>
      </c>
    </row>
    <row r="34" spans="2:42" x14ac:dyDescent="0.25">
      <c r="B34" s="88" t="s">
        <v>67</v>
      </c>
      <c r="C34" s="89">
        <v>18230716</v>
      </c>
      <c r="D34" s="60" t="s">
        <v>547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8"/>
        <v>0</v>
      </c>
      <c r="U34" s="46">
        <f t="shared" si="1"/>
        <v>0</v>
      </c>
      <c r="V34" s="47">
        <f t="shared" si="19"/>
        <v>0</v>
      </c>
      <c r="W34" s="48">
        <f t="shared" si="3"/>
        <v>0</v>
      </c>
      <c r="X34" s="43">
        <f t="shared" si="4"/>
        <v>0</v>
      </c>
      <c r="Y34" s="43">
        <f t="shared" si="20"/>
        <v>0</v>
      </c>
      <c r="Z34" s="43">
        <f t="shared" si="6"/>
        <v>0</v>
      </c>
      <c r="AA34" s="49">
        <f t="shared" si="21"/>
        <v>0</v>
      </c>
      <c r="AB34" s="50">
        <f t="shared" si="22"/>
        <v>0</v>
      </c>
      <c r="AC34" s="43">
        <f t="shared" si="23"/>
        <v>0</v>
      </c>
      <c r="AD34" s="43">
        <f t="shared" si="24"/>
        <v>0</v>
      </c>
      <c r="AE34" s="43">
        <f t="shared" si="25"/>
        <v>0</v>
      </c>
      <c r="AF34" s="51" t="e">
        <f>HLOOKUP(I34,ElecAvoidedCostsWOCC!$A$5:$Q$50,G34+1,FALSE)</f>
        <v>#N/A</v>
      </c>
      <c r="AG34" s="43" t="e">
        <f t="shared" si="26"/>
        <v>#N/A</v>
      </c>
      <c r="AH34" s="51" t="e">
        <f>HLOOKUP(I34,ElecAvoidedCostsWOCC!$A$5:$Q$50,T34+1,FALSE)</f>
        <v>#N/A</v>
      </c>
      <c r="AI34" s="43" t="e">
        <f t="shared" si="27"/>
        <v>#N/A</v>
      </c>
      <c r="AJ34" s="43" t="e">
        <f t="shared" si="28"/>
        <v>#N/A</v>
      </c>
      <c r="AK34" s="43" t="e">
        <f>HLOOKUP(I34,ElecAvoidedCostsWOCC!$A$5:$Q$50,G34+1,FALSE)*J34*L34</f>
        <v>#N/A</v>
      </c>
      <c r="AL34" s="43" t="e">
        <f t="shared" si="29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0"/>
        <v>0</v>
      </c>
      <c r="AO34" s="46">
        <f t="shared" si="31"/>
        <v>0</v>
      </c>
      <c r="AP34" s="46" t="e">
        <f t="shared" si="32"/>
        <v>#DIV/0!</v>
      </c>
    </row>
    <row r="35" spans="2:42" x14ac:dyDescent="0.25">
      <c r="B35" s="88" t="s">
        <v>67</v>
      </c>
      <c r="C35" s="89">
        <v>18230716</v>
      </c>
      <c r="D35" s="60" t="s">
        <v>547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8"/>
        <v>0</v>
      </c>
      <c r="U35" s="46">
        <f t="shared" si="1"/>
        <v>0</v>
      </c>
      <c r="V35" s="47">
        <f t="shared" si="19"/>
        <v>0</v>
      </c>
      <c r="W35" s="48">
        <f t="shared" si="3"/>
        <v>0</v>
      </c>
      <c r="X35" s="43">
        <f t="shared" si="4"/>
        <v>0</v>
      </c>
      <c r="Y35" s="43">
        <f t="shared" si="20"/>
        <v>0</v>
      </c>
      <c r="Z35" s="43">
        <f t="shared" si="6"/>
        <v>0</v>
      </c>
      <c r="AA35" s="49">
        <f t="shared" si="21"/>
        <v>0</v>
      </c>
      <c r="AB35" s="50">
        <f t="shared" si="22"/>
        <v>0</v>
      </c>
      <c r="AC35" s="43">
        <f t="shared" si="23"/>
        <v>0</v>
      </c>
      <c r="AD35" s="43">
        <f t="shared" si="24"/>
        <v>0</v>
      </c>
      <c r="AE35" s="43">
        <f t="shared" si="25"/>
        <v>0</v>
      </c>
      <c r="AF35" s="51" t="e">
        <f>HLOOKUP(I35,ElecAvoidedCostsWOCC!$A$5:$Q$50,G35+1,FALSE)</f>
        <v>#N/A</v>
      </c>
      <c r="AG35" s="43" t="e">
        <f t="shared" si="26"/>
        <v>#N/A</v>
      </c>
      <c r="AH35" s="51" t="e">
        <f>HLOOKUP(I35,ElecAvoidedCostsWOCC!$A$5:$Q$50,T35+1,FALSE)</f>
        <v>#N/A</v>
      </c>
      <c r="AI35" s="43" t="e">
        <f t="shared" si="27"/>
        <v>#N/A</v>
      </c>
      <c r="AJ35" s="43" t="e">
        <f t="shared" si="28"/>
        <v>#N/A</v>
      </c>
      <c r="AK35" s="43" t="e">
        <f>HLOOKUP(I35,ElecAvoidedCostsWOCC!$A$5:$Q$50,G35+1,FALSE)*J35*L35</f>
        <v>#N/A</v>
      </c>
      <c r="AL35" s="43" t="e">
        <f t="shared" si="29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0"/>
        <v>0</v>
      </c>
      <c r="AO35" s="46">
        <f t="shared" si="31"/>
        <v>0</v>
      </c>
      <c r="AP35" s="46" t="e">
        <f t="shared" si="32"/>
        <v>#DIV/0!</v>
      </c>
    </row>
    <row r="36" spans="2:42" x14ac:dyDescent="0.25">
      <c r="B36" s="88" t="s">
        <v>67</v>
      </c>
      <c r="C36" s="89">
        <v>18230716</v>
      </c>
      <c r="D36" s="60" t="s">
        <v>547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8"/>
        <v>0</v>
      </c>
      <c r="U36" s="46">
        <f t="shared" si="1"/>
        <v>0</v>
      </c>
      <c r="V36" s="47">
        <f t="shared" si="19"/>
        <v>0</v>
      </c>
      <c r="W36" s="48">
        <f t="shared" si="3"/>
        <v>0</v>
      </c>
      <c r="X36" s="43">
        <f t="shared" si="4"/>
        <v>0</v>
      </c>
      <c r="Y36" s="43">
        <f t="shared" si="20"/>
        <v>0</v>
      </c>
      <c r="Z36" s="43">
        <f t="shared" si="6"/>
        <v>0</v>
      </c>
      <c r="AA36" s="49">
        <f t="shared" si="21"/>
        <v>0</v>
      </c>
      <c r="AB36" s="50">
        <f t="shared" si="22"/>
        <v>0</v>
      </c>
      <c r="AC36" s="43">
        <f t="shared" si="23"/>
        <v>0</v>
      </c>
      <c r="AD36" s="43">
        <f t="shared" si="24"/>
        <v>0</v>
      </c>
      <c r="AE36" s="43">
        <f t="shared" si="25"/>
        <v>0</v>
      </c>
      <c r="AF36" s="51" t="e">
        <f>HLOOKUP(I36,ElecAvoidedCostsWOCC!$A$5:$Q$50,G36+1,FALSE)</f>
        <v>#N/A</v>
      </c>
      <c r="AG36" s="43" t="e">
        <f t="shared" si="26"/>
        <v>#N/A</v>
      </c>
      <c r="AH36" s="51" t="e">
        <f>HLOOKUP(I36,ElecAvoidedCostsWOCC!$A$5:$Q$50,T36+1,FALSE)</f>
        <v>#N/A</v>
      </c>
      <c r="AI36" s="43" t="e">
        <f t="shared" si="27"/>
        <v>#N/A</v>
      </c>
      <c r="AJ36" s="43" t="e">
        <f t="shared" si="28"/>
        <v>#N/A</v>
      </c>
      <c r="AK36" s="43" t="e">
        <f>HLOOKUP(I36,ElecAvoidedCostsWOCC!$A$5:$Q$50,G36+1,FALSE)*J36*L36</f>
        <v>#N/A</v>
      </c>
      <c r="AL36" s="43" t="e">
        <f t="shared" si="29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0"/>
        <v>0</v>
      </c>
      <c r="AO36" s="46">
        <f t="shared" si="31"/>
        <v>0</v>
      </c>
      <c r="AP36" s="46" t="e">
        <f t="shared" si="32"/>
        <v>#DIV/0!</v>
      </c>
    </row>
    <row r="37" spans="2:42" x14ac:dyDescent="0.25">
      <c r="B37" s="88" t="s">
        <v>67</v>
      </c>
      <c r="C37" s="89">
        <v>18230716</v>
      </c>
      <c r="D37" s="60" t="s">
        <v>547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ref="T37:T53" si="33">G37+H37</f>
        <v>0</v>
      </c>
      <c r="U37" s="46">
        <f t="shared" ref="U37:U53" si="34">(O37/$A$10)*T37</f>
        <v>0</v>
      </c>
      <c r="V37" s="47">
        <f t="shared" ref="V37:V53" si="35">N37-M37</f>
        <v>0</v>
      </c>
      <c r="W37" s="48">
        <f t="shared" ref="W37:W53" si="36">(O37/A$10)</f>
        <v>0</v>
      </c>
      <c r="X37" s="43">
        <f t="shared" ref="X37:X53" si="37">W37*A$8</f>
        <v>0</v>
      </c>
      <c r="Y37" s="43">
        <f t="shared" ref="Y37:Y53" si="38">Q37-P37</f>
        <v>0</v>
      </c>
      <c r="Z37" s="43">
        <f t="shared" ref="Z37:Z53" si="39">X37+(A$6*W37)</f>
        <v>0</v>
      </c>
      <c r="AA37" s="49">
        <f t="shared" ref="AA37:AA53" si="40">Q37+X37</f>
        <v>0</v>
      </c>
      <c r="AB37" s="50">
        <f t="shared" ref="AB37:AB53" si="41">Z37/(1+ElecDiscountRate)^1</f>
        <v>0</v>
      </c>
      <c r="AC37" s="43">
        <f t="shared" ref="AC37:AC53" si="42">AA37/(1+ElecDiscountRate)^1</f>
        <v>0</v>
      </c>
      <c r="AD37" s="43">
        <f t="shared" ref="AD37:AD53" si="43">-PV(ElecDiscountRate,T37,R37)*J37</f>
        <v>0</v>
      </c>
      <c r="AE37" s="43">
        <f t="shared" ref="AE37:AE53" si="44">-PV(ElecDiscountRate,T37,S37)*J37</f>
        <v>0</v>
      </c>
      <c r="AF37" s="51" t="e">
        <f>HLOOKUP(I37,ElecAvoidedCostsWOCC!$A$5:$Q$50,G37+1,FALSE)</f>
        <v>#N/A</v>
      </c>
      <c r="AG37" s="43" t="e">
        <f t="shared" ref="AG37:AG53" si="45">AF37*J37*K37</f>
        <v>#N/A</v>
      </c>
      <c r="AH37" s="51" t="e">
        <f>HLOOKUP(I37,ElecAvoidedCostsWOCC!$A$5:$Q$50,T37+1,FALSE)</f>
        <v>#N/A</v>
      </c>
      <c r="AI37" s="43" t="e">
        <f t="shared" ref="AI37:AI53" si="46">AH37*J37*L37</f>
        <v>#N/A</v>
      </c>
      <c r="AJ37" s="43" t="e">
        <f t="shared" ref="AJ37:AJ53" si="47">AG37+AI37</f>
        <v>#N/A</v>
      </c>
      <c r="AK37" s="43" t="e">
        <f>HLOOKUP(I37,ElecAvoidedCostsWOCC!$A$5:$Q$50,G37+1,FALSE)*J37*L37</f>
        <v>#N/A</v>
      </c>
      <c r="AL37" s="43" t="e">
        <f t="shared" ref="AL37:AL53" si="48">AG37+AI37-AK37</f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ref="AN37:AN53" si="49">AM37*1.1+AD37+AE37</f>
        <v>0</v>
      </c>
      <c r="AO37" s="46">
        <f t="shared" ref="AO37:AO53" si="50">IFERROR(AM37/AB37,0)</f>
        <v>0</v>
      </c>
      <c r="AP37" s="46" t="e">
        <f t="shared" ref="AP37:AP53" si="51">AN37/AC37</f>
        <v>#DIV/0!</v>
      </c>
    </row>
    <row r="38" spans="2:42" x14ac:dyDescent="0.25">
      <c r="B38" s="88" t="s">
        <v>67</v>
      </c>
      <c r="C38" s="89">
        <v>18230716</v>
      </c>
      <c r="D38" s="60" t="s">
        <v>547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33"/>
        <v>0</v>
      </c>
      <c r="U38" s="46">
        <f t="shared" si="34"/>
        <v>0</v>
      </c>
      <c r="V38" s="47">
        <f t="shared" si="35"/>
        <v>0</v>
      </c>
      <c r="W38" s="48">
        <f t="shared" si="36"/>
        <v>0</v>
      </c>
      <c r="X38" s="43">
        <f t="shared" si="37"/>
        <v>0</v>
      </c>
      <c r="Y38" s="43">
        <f t="shared" si="38"/>
        <v>0</v>
      </c>
      <c r="Z38" s="43">
        <f t="shared" si="39"/>
        <v>0</v>
      </c>
      <c r="AA38" s="49">
        <f t="shared" si="40"/>
        <v>0</v>
      </c>
      <c r="AB38" s="50">
        <f t="shared" si="41"/>
        <v>0</v>
      </c>
      <c r="AC38" s="43">
        <f t="shared" si="42"/>
        <v>0</v>
      </c>
      <c r="AD38" s="43">
        <f t="shared" si="43"/>
        <v>0</v>
      </c>
      <c r="AE38" s="43">
        <f t="shared" si="44"/>
        <v>0</v>
      </c>
      <c r="AF38" s="51" t="e">
        <f>HLOOKUP(I38,ElecAvoidedCostsWOCC!$A$5:$Q$50,G38+1,FALSE)</f>
        <v>#N/A</v>
      </c>
      <c r="AG38" s="43" t="e">
        <f t="shared" si="45"/>
        <v>#N/A</v>
      </c>
      <c r="AH38" s="51" t="e">
        <f>HLOOKUP(I38,ElecAvoidedCostsWOCC!$A$5:$Q$50,T38+1,FALSE)</f>
        <v>#N/A</v>
      </c>
      <c r="AI38" s="43" t="e">
        <f t="shared" si="46"/>
        <v>#N/A</v>
      </c>
      <c r="AJ38" s="43" t="e">
        <f t="shared" si="47"/>
        <v>#N/A</v>
      </c>
      <c r="AK38" s="43" t="e">
        <f>HLOOKUP(I38,ElecAvoidedCostsWOCC!$A$5:$Q$50,G38+1,FALSE)*J38*L38</f>
        <v>#N/A</v>
      </c>
      <c r="AL38" s="43" t="e">
        <f t="shared" si="48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49"/>
        <v>0</v>
      </c>
      <c r="AO38" s="46">
        <f t="shared" si="50"/>
        <v>0</v>
      </c>
      <c r="AP38" s="46" t="e">
        <f t="shared" si="51"/>
        <v>#DIV/0!</v>
      </c>
    </row>
    <row r="39" spans="2:42" x14ac:dyDescent="0.25">
      <c r="B39" s="88" t="s">
        <v>67</v>
      </c>
      <c r="C39" s="89">
        <v>18230716</v>
      </c>
      <c r="D39" s="60" t="s">
        <v>547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3"/>
        <v>0</v>
      </c>
      <c r="U39" s="46">
        <f t="shared" si="34"/>
        <v>0</v>
      </c>
      <c r="V39" s="47">
        <f t="shared" si="35"/>
        <v>0</v>
      </c>
      <c r="W39" s="48">
        <f t="shared" si="36"/>
        <v>0</v>
      </c>
      <c r="X39" s="43">
        <f t="shared" si="37"/>
        <v>0</v>
      </c>
      <c r="Y39" s="43">
        <f t="shared" si="38"/>
        <v>0</v>
      </c>
      <c r="Z39" s="43">
        <f t="shared" si="39"/>
        <v>0</v>
      </c>
      <c r="AA39" s="49">
        <f t="shared" si="40"/>
        <v>0</v>
      </c>
      <c r="AB39" s="50">
        <f t="shared" si="41"/>
        <v>0</v>
      </c>
      <c r="AC39" s="43">
        <f t="shared" si="42"/>
        <v>0</v>
      </c>
      <c r="AD39" s="43">
        <f t="shared" si="43"/>
        <v>0</v>
      </c>
      <c r="AE39" s="43">
        <f t="shared" si="44"/>
        <v>0</v>
      </c>
      <c r="AF39" s="51" t="e">
        <f>HLOOKUP(I39,ElecAvoidedCostsWOCC!$A$5:$Q$50,G39+1,FALSE)</f>
        <v>#N/A</v>
      </c>
      <c r="AG39" s="43" t="e">
        <f t="shared" si="45"/>
        <v>#N/A</v>
      </c>
      <c r="AH39" s="51" t="e">
        <f>HLOOKUP(I39,ElecAvoidedCostsWOCC!$A$5:$Q$50,T39+1,FALSE)</f>
        <v>#N/A</v>
      </c>
      <c r="AI39" s="43" t="e">
        <f t="shared" si="46"/>
        <v>#N/A</v>
      </c>
      <c r="AJ39" s="43" t="e">
        <f t="shared" si="47"/>
        <v>#N/A</v>
      </c>
      <c r="AK39" s="43" t="e">
        <f>HLOOKUP(I39,ElecAvoidedCostsWOCC!$A$5:$Q$50,G39+1,FALSE)*J39*L39</f>
        <v>#N/A</v>
      </c>
      <c r="AL39" s="43" t="e">
        <f t="shared" si="48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49"/>
        <v>0</v>
      </c>
      <c r="AO39" s="46">
        <f t="shared" si="50"/>
        <v>0</v>
      </c>
      <c r="AP39" s="46" t="e">
        <f t="shared" si="51"/>
        <v>#DIV/0!</v>
      </c>
    </row>
    <row r="40" spans="2:42" x14ac:dyDescent="0.25">
      <c r="B40" s="88" t="s">
        <v>67</v>
      </c>
      <c r="C40" s="89">
        <v>18230716</v>
      </c>
      <c r="D40" s="60" t="s">
        <v>547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3"/>
        <v>0</v>
      </c>
      <c r="U40" s="46">
        <f t="shared" si="34"/>
        <v>0</v>
      </c>
      <c r="V40" s="47">
        <f t="shared" si="35"/>
        <v>0</v>
      </c>
      <c r="W40" s="48">
        <f t="shared" si="36"/>
        <v>0</v>
      </c>
      <c r="X40" s="43">
        <f t="shared" si="37"/>
        <v>0</v>
      </c>
      <c r="Y40" s="43">
        <f t="shared" si="38"/>
        <v>0</v>
      </c>
      <c r="Z40" s="43">
        <f t="shared" si="39"/>
        <v>0</v>
      </c>
      <c r="AA40" s="49">
        <f t="shared" si="40"/>
        <v>0</v>
      </c>
      <c r="AB40" s="50">
        <f t="shared" si="41"/>
        <v>0</v>
      </c>
      <c r="AC40" s="43">
        <f t="shared" si="42"/>
        <v>0</v>
      </c>
      <c r="AD40" s="43">
        <f t="shared" si="43"/>
        <v>0</v>
      </c>
      <c r="AE40" s="43">
        <f t="shared" si="44"/>
        <v>0</v>
      </c>
      <c r="AF40" s="51" t="e">
        <f>HLOOKUP(I40,ElecAvoidedCostsWOCC!$A$5:$Q$50,G40+1,FALSE)</f>
        <v>#N/A</v>
      </c>
      <c r="AG40" s="43" t="e">
        <f t="shared" si="45"/>
        <v>#N/A</v>
      </c>
      <c r="AH40" s="51" t="e">
        <f>HLOOKUP(I40,ElecAvoidedCostsWOCC!$A$5:$Q$50,T40+1,FALSE)</f>
        <v>#N/A</v>
      </c>
      <c r="AI40" s="43" t="e">
        <f t="shared" si="46"/>
        <v>#N/A</v>
      </c>
      <c r="AJ40" s="43" t="e">
        <f t="shared" si="47"/>
        <v>#N/A</v>
      </c>
      <c r="AK40" s="43" t="e">
        <f>HLOOKUP(I40,ElecAvoidedCostsWOCC!$A$5:$Q$50,G40+1,FALSE)*J40*L40</f>
        <v>#N/A</v>
      </c>
      <c r="AL40" s="43" t="e">
        <f t="shared" si="48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49"/>
        <v>0</v>
      </c>
      <c r="AO40" s="46">
        <f t="shared" si="50"/>
        <v>0</v>
      </c>
      <c r="AP40" s="46" t="e">
        <f t="shared" si="51"/>
        <v>#DIV/0!</v>
      </c>
    </row>
    <row r="41" spans="2:42" x14ac:dyDescent="0.25">
      <c r="B41" s="88" t="s">
        <v>67</v>
      </c>
      <c r="C41" s="89">
        <v>18230716</v>
      </c>
      <c r="D41" s="60" t="s">
        <v>547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3"/>
        <v>0</v>
      </c>
      <c r="U41" s="46">
        <f t="shared" si="34"/>
        <v>0</v>
      </c>
      <c r="V41" s="47">
        <f t="shared" si="35"/>
        <v>0</v>
      </c>
      <c r="W41" s="48">
        <f t="shared" si="36"/>
        <v>0</v>
      </c>
      <c r="X41" s="43">
        <f t="shared" si="37"/>
        <v>0</v>
      </c>
      <c r="Y41" s="43">
        <f t="shared" si="38"/>
        <v>0</v>
      </c>
      <c r="Z41" s="43">
        <f t="shared" si="39"/>
        <v>0</v>
      </c>
      <c r="AA41" s="49">
        <f t="shared" si="40"/>
        <v>0</v>
      </c>
      <c r="AB41" s="50">
        <f t="shared" si="41"/>
        <v>0</v>
      </c>
      <c r="AC41" s="43">
        <f t="shared" si="42"/>
        <v>0</v>
      </c>
      <c r="AD41" s="43">
        <f t="shared" si="43"/>
        <v>0</v>
      </c>
      <c r="AE41" s="43">
        <f t="shared" si="44"/>
        <v>0</v>
      </c>
      <c r="AF41" s="51" t="e">
        <f>HLOOKUP(I41,ElecAvoidedCostsWOCC!$A$5:$Q$50,G41+1,FALSE)</f>
        <v>#N/A</v>
      </c>
      <c r="AG41" s="43" t="e">
        <f t="shared" si="45"/>
        <v>#N/A</v>
      </c>
      <c r="AH41" s="51" t="e">
        <f>HLOOKUP(I41,ElecAvoidedCostsWOCC!$A$5:$Q$50,T41+1,FALSE)</f>
        <v>#N/A</v>
      </c>
      <c r="AI41" s="43" t="e">
        <f t="shared" si="46"/>
        <v>#N/A</v>
      </c>
      <c r="AJ41" s="43" t="e">
        <f t="shared" si="47"/>
        <v>#N/A</v>
      </c>
      <c r="AK41" s="43" t="e">
        <f>HLOOKUP(I41,ElecAvoidedCostsWOCC!$A$5:$Q$50,G41+1,FALSE)*J41*L41</f>
        <v>#N/A</v>
      </c>
      <c r="AL41" s="43" t="e">
        <f t="shared" si="48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49"/>
        <v>0</v>
      </c>
      <c r="AO41" s="46">
        <f t="shared" si="50"/>
        <v>0</v>
      </c>
      <c r="AP41" s="46" t="e">
        <f t="shared" si="51"/>
        <v>#DIV/0!</v>
      </c>
    </row>
    <row r="42" spans="2:42" x14ac:dyDescent="0.25">
      <c r="B42" s="88" t="s">
        <v>67</v>
      </c>
      <c r="C42" s="89">
        <v>18230716</v>
      </c>
      <c r="D42" s="60" t="s">
        <v>547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3"/>
        <v>0</v>
      </c>
      <c r="U42" s="46">
        <f t="shared" si="34"/>
        <v>0</v>
      </c>
      <c r="V42" s="47">
        <f t="shared" si="35"/>
        <v>0</v>
      </c>
      <c r="W42" s="48">
        <f t="shared" si="36"/>
        <v>0</v>
      </c>
      <c r="X42" s="43">
        <f t="shared" si="37"/>
        <v>0</v>
      </c>
      <c r="Y42" s="43">
        <f t="shared" si="38"/>
        <v>0</v>
      </c>
      <c r="Z42" s="43">
        <f t="shared" si="39"/>
        <v>0</v>
      </c>
      <c r="AA42" s="49">
        <f t="shared" si="40"/>
        <v>0</v>
      </c>
      <c r="AB42" s="50">
        <f t="shared" si="41"/>
        <v>0</v>
      </c>
      <c r="AC42" s="43">
        <f t="shared" si="42"/>
        <v>0</v>
      </c>
      <c r="AD42" s="43">
        <f t="shared" si="43"/>
        <v>0</v>
      </c>
      <c r="AE42" s="43">
        <f t="shared" si="44"/>
        <v>0</v>
      </c>
      <c r="AF42" s="51" t="e">
        <f>HLOOKUP(I42,ElecAvoidedCostsWOCC!$A$5:$Q$50,G42+1,FALSE)</f>
        <v>#N/A</v>
      </c>
      <c r="AG42" s="43" t="e">
        <f t="shared" si="45"/>
        <v>#N/A</v>
      </c>
      <c r="AH42" s="51" t="e">
        <f>HLOOKUP(I42,ElecAvoidedCostsWOCC!$A$5:$Q$50,T42+1,FALSE)</f>
        <v>#N/A</v>
      </c>
      <c r="AI42" s="43" t="e">
        <f t="shared" si="46"/>
        <v>#N/A</v>
      </c>
      <c r="AJ42" s="43" t="e">
        <f t="shared" si="47"/>
        <v>#N/A</v>
      </c>
      <c r="AK42" s="43" t="e">
        <f>HLOOKUP(I42,ElecAvoidedCostsWOCC!$A$5:$Q$50,G42+1,FALSE)*J42*L42</f>
        <v>#N/A</v>
      </c>
      <c r="AL42" s="43" t="e">
        <f t="shared" si="48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49"/>
        <v>0</v>
      </c>
      <c r="AO42" s="46">
        <f t="shared" si="50"/>
        <v>0</v>
      </c>
      <c r="AP42" s="46" t="e">
        <f t="shared" si="51"/>
        <v>#DIV/0!</v>
      </c>
    </row>
    <row r="43" spans="2:42" x14ac:dyDescent="0.25">
      <c r="B43" s="88" t="s">
        <v>67</v>
      </c>
      <c r="C43" s="89">
        <v>18230716</v>
      </c>
      <c r="D43" s="60" t="s">
        <v>547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3"/>
        <v>0</v>
      </c>
      <c r="U43" s="46">
        <f t="shared" si="34"/>
        <v>0</v>
      </c>
      <c r="V43" s="47">
        <f t="shared" si="35"/>
        <v>0</v>
      </c>
      <c r="W43" s="48">
        <f t="shared" si="36"/>
        <v>0</v>
      </c>
      <c r="X43" s="43">
        <f t="shared" si="37"/>
        <v>0</v>
      </c>
      <c r="Y43" s="43">
        <f t="shared" si="38"/>
        <v>0</v>
      </c>
      <c r="Z43" s="43">
        <f t="shared" si="39"/>
        <v>0</v>
      </c>
      <c r="AA43" s="49">
        <f t="shared" si="40"/>
        <v>0</v>
      </c>
      <c r="AB43" s="50">
        <f t="shared" si="41"/>
        <v>0</v>
      </c>
      <c r="AC43" s="43">
        <f t="shared" si="42"/>
        <v>0</v>
      </c>
      <c r="AD43" s="43">
        <f t="shared" si="43"/>
        <v>0</v>
      </c>
      <c r="AE43" s="43">
        <f t="shared" si="44"/>
        <v>0</v>
      </c>
      <c r="AF43" s="51" t="e">
        <f>HLOOKUP(I43,ElecAvoidedCostsWOCC!$A$5:$Q$50,G43+1,FALSE)</f>
        <v>#N/A</v>
      </c>
      <c r="AG43" s="43" t="e">
        <f t="shared" si="45"/>
        <v>#N/A</v>
      </c>
      <c r="AH43" s="51" t="e">
        <f>HLOOKUP(I43,ElecAvoidedCostsWOCC!$A$5:$Q$50,T43+1,FALSE)</f>
        <v>#N/A</v>
      </c>
      <c r="AI43" s="43" t="e">
        <f t="shared" si="46"/>
        <v>#N/A</v>
      </c>
      <c r="AJ43" s="43" t="e">
        <f t="shared" si="47"/>
        <v>#N/A</v>
      </c>
      <c r="AK43" s="43" t="e">
        <f>HLOOKUP(I43,ElecAvoidedCostsWOCC!$A$5:$Q$50,G43+1,FALSE)*J43*L43</f>
        <v>#N/A</v>
      </c>
      <c r="AL43" s="43" t="e">
        <f t="shared" si="48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49"/>
        <v>0</v>
      </c>
      <c r="AO43" s="46">
        <f t="shared" si="50"/>
        <v>0</v>
      </c>
      <c r="AP43" s="46" t="e">
        <f t="shared" si="51"/>
        <v>#DIV/0!</v>
      </c>
    </row>
    <row r="44" spans="2:42" x14ac:dyDescent="0.25">
      <c r="B44" s="88" t="s">
        <v>67</v>
      </c>
      <c r="C44" s="89">
        <v>18230716</v>
      </c>
      <c r="D44" s="60" t="s">
        <v>547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3"/>
        <v>0</v>
      </c>
      <c r="U44" s="46">
        <f t="shared" si="34"/>
        <v>0</v>
      </c>
      <c r="V44" s="47">
        <f t="shared" si="35"/>
        <v>0</v>
      </c>
      <c r="W44" s="48">
        <f t="shared" si="36"/>
        <v>0</v>
      </c>
      <c r="X44" s="43">
        <f t="shared" si="37"/>
        <v>0</v>
      </c>
      <c r="Y44" s="43">
        <f t="shared" si="38"/>
        <v>0</v>
      </c>
      <c r="Z44" s="43">
        <f t="shared" si="39"/>
        <v>0</v>
      </c>
      <c r="AA44" s="49">
        <f t="shared" si="40"/>
        <v>0</v>
      </c>
      <c r="AB44" s="50">
        <f t="shared" si="41"/>
        <v>0</v>
      </c>
      <c r="AC44" s="43">
        <f t="shared" si="42"/>
        <v>0</v>
      </c>
      <c r="AD44" s="43">
        <f t="shared" si="43"/>
        <v>0</v>
      </c>
      <c r="AE44" s="43">
        <f t="shared" si="44"/>
        <v>0</v>
      </c>
      <c r="AF44" s="51" t="e">
        <f>HLOOKUP(I44,ElecAvoidedCostsWOCC!$A$5:$Q$50,G44+1,FALSE)</f>
        <v>#N/A</v>
      </c>
      <c r="AG44" s="43" t="e">
        <f t="shared" si="45"/>
        <v>#N/A</v>
      </c>
      <c r="AH44" s="51" t="e">
        <f>HLOOKUP(I44,ElecAvoidedCostsWOCC!$A$5:$Q$50,T44+1,FALSE)</f>
        <v>#N/A</v>
      </c>
      <c r="AI44" s="43" t="e">
        <f t="shared" si="46"/>
        <v>#N/A</v>
      </c>
      <c r="AJ44" s="43" t="e">
        <f t="shared" si="47"/>
        <v>#N/A</v>
      </c>
      <c r="AK44" s="43" t="e">
        <f>HLOOKUP(I44,ElecAvoidedCostsWOCC!$A$5:$Q$50,G44+1,FALSE)*J44*L44</f>
        <v>#N/A</v>
      </c>
      <c r="AL44" s="43" t="e">
        <f t="shared" si="48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49"/>
        <v>0</v>
      </c>
      <c r="AO44" s="46">
        <f t="shared" si="50"/>
        <v>0</v>
      </c>
      <c r="AP44" s="46" t="e">
        <f t="shared" si="51"/>
        <v>#DIV/0!</v>
      </c>
    </row>
    <row r="45" spans="2:42" x14ac:dyDescent="0.25">
      <c r="B45" s="88" t="s">
        <v>67</v>
      </c>
      <c r="C45" s="89">
        <v>18230716</v>
      </c>
      <c r="D45" s="60" t="s">
        <v>547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3"/>
        <v>0</v>
      </c>
      <c r="U45" s="46">
        <f t="shared" si="34"/>
        <v>0</v>
      </c>
      <c r="V45" s="47">
        <f t="shared" si="35"/>
        <v>0</v>
      </c>
      <c r="W45" s="48">
        <f t="shared" si="36"/>
        <v>0</v>
      </c>
      <c r="X45" s="43">
        <f t="shared" si="37"/>
        <v>0</v>
      </c>
      <c r="Y45" s="43">
        <f t="shared" si="38"/>
        <v>0</v>
      </c>
      <c r="Z45" s="43">
        <f t="shared" si="39"/>
        <v>0</v>
      </c>
      <c r="AA45" s="49">
        <f t="shared" si="40"/>
        <v>0</v>
      </c>
      <c r="AB45" s="50">
        <f t="shared" si="41"/>
        <v>0</v>
      </c>
      <c r="AC45" s="43">
        <f t="shared" si="42"/>
        <v>0</v>
      </c>
      <c r="AD45" s="43">
        <f t="shared" si="43"/>
        <v>0</v>
      </c>
      <c r="AE45" s="43">
        <f t="shared" si="44"/>
        <v>0</v>
      </c>
      <c r="AF45" s="51" t="e">
        <f>HLOOKUP(I45,ElecAvoidedCostsWOCC!$A$5:$Q$50,G45+1,FALSE)</f>
        <v>#N/A</v>
      </c>
      <c r="AG45" s="43" t="e">
        <f t="shared" si="45"/>
        <v>#N/A</v>
      </c>
      <c r="AH45" s="51" t="e">
        <f>HLOOKUP(I45,ElecAvoidedCostsWOCC!$A$5:$Q$50,T45+1,FALSE)</f>
        <v>#N/A</v>
      </c>
      <c r="AI45" s="43" t="e">
        <f t="shared" si="46"/>
        <v>#N/A</v>
      </c>
      <c r="AJ45" s="43" t="e">
        <f t="shared" si="47"/>
        <v>#N/A</v>
      </c>
      <c r="AK45" s="43" t="e">
        <f>HLOOKUP(I45,ElecAvoidedCostsWOCC!$A$5:$Q$50,G45+1,FALSE)*J45*L45</f>
        <v>#N/A</v>
      </c>
      <c r="AL45" s="43" t="e">
        <f t="shared" si="48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49"/>
        <v>0</v>
      </c>
      <c r="AO45" s="46">
        <f t="shared" si="50"/>
        <v>0</v>
      </c>
      <c r="AP45" s="46" t="e">
        <f t="shared" si="51"/>
        <v>#DIV/0!</v>
      </c>
    </row>
    <row r="46" spans="2:42" x14ac:dyDescent="0.25">
      <c r="B46" s="88" t="s">
        <v>67</v>
      </c>
      <c r="C46" s="89">
        <v>18230716</v>
      </c>
      <c r="D46" s="60" t="s">
        <v>547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3"/>
        <v>0</v>
      </c>
      <c r="U46" s="46">
        <f t="shared" si="34"/>
        <v>0</v>
      </c>
      <c r="V46" s="47">
        <f t="shared" si="35"/>
        <v>0</v>
      </c>
      <c r="W46" s="48">
        <f t="shared" si="36"/>
        <v>0</v>
      </c>
      <c r="X46" s="43">
        <f t="shared" si="37"/>
        <v>0</v>
      </c>
      <c r="Y46" s="43">
        <f t="shared" si="38"/>
        <v>0</v>
      </c>
      <c r="Z46" s="43">
        <f t="shared" si="39"/>
        <v>0</v>
      </c>
      <c r="AA46" s="49">
        <f t="shared" si="40"/>
        <v>0</v>
      </c>
      <c r="AB46" s="50">
        <f t="shared" si="41"/>
        <v>0</v>
      </c>
      <c r="AC46" s="43">
        <f t="shared" si="42"/>
        <v>0</v>
      </c>
      <c r="AD46" s="43">
        <f t="shared" si="43"/>
        <v>0</v>
      </c>
      <c r="AE46" s="43">
        <f t="shared" si="44"/>
        <v>0</v>
      </c>
      <c r="AF46" s="51" t="e">
        <f>HLOOKUP(I46,ElecAvoidedCostsWOCC!$A$5:$Q$50,G46+1,FALSE)</f>
        <v>#N/A</v>
      </c>
      <c r="AG46" s="43" t="e">
        <f t="shared" si="45"/>
        <v>#N/A</v>
      </c>
      <c r="AH46" s="51" t="e">
        <f>HLOOKUP(I46,ElecAvoidedCostsWOCC!$A$5:$Q$50,T46+1,FALSE)</f>
        <v>#N/A</v>
      </c>
      <c r="AI46" s="43" t="e">
        <f t="shared" si="46"/>
        <v>#N/A</v>
      </c>
      <c r="AJ46" s="43" t="e">
        <f t="shared" si="47"/>
        <v>#N/A</v>
      </c>
      <c r="AK46" s="43" t="e">
        <f>HLOOKUP(I46,ElecAvoidedCostsWOCC!$A$5:$Q$50,G46+1,FALSE)*J46*L46</f>
        <v>#N/A</v>
      </c>
      <c r="AL46" s="43" t="e">
        <f t="shared" si="48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49"/>
        <v>0</v>
      </c>
      <c r="AO46" s="46">
        <f t="shared" si="50"/>
        <v>0</v>
      </c>
      <c r="AP46" s="46" t="e">
        <f t="shared" si="51"/>
        <v>#DIV/0!</v>
      </c>
    </row>
    <row r="47" spans="2:42" x14ac:dyDescent="0.25">
      <c r="B47" s="88" t="s">
        <v>67</v>
      </c>
      <c r="C47" s="89">
        <v>18230716</v>
      </c>
      <c r="D47" s="60" t="s">
        <v>547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3"/>
        <v>0</v>
      </c>
      <c r="U47" s="46">
        <f t="shared" si="34"/>
        <v>0</v>
      </c>
      <c r="V47" s="47">
        <f t="shared" si="35"/>
        <v>0</v>
      </c>
      <c r="W47" s="48">
        <f t="shared" si="36"/>
        <v>0</v>
      </c>
      <c r="X47" s="43">
        <f t="shared" si="37"/>
        <v>0</v>
      </c>
      <c r="Y47" s="43">
        <f t="shared" si="38"/>
        <v>0</v>
      </c>
      <c r="Z47" s="43">
        <f t="shared" si="39"/>
        <v>0</v>
      </c>
      <c r="AA47" s="49">
        <f t="shared" si="40"/>
        <v>0</v>
      </c>
      <c r="AB47" s="50">
        <f t="shared" si="41"/>
        <v>0</v>
      </c>
      <c r="AC47" s="43">
        <f t="shared" si="42"/>
        <v>0</v>
      </c>
      <c r="AD47" s="43">
        <f t="shared" si="43"/>
        <v>0</v>
      </c>
      <c r="AE47" s="43">
        <f t="shared" si="44"/>
        <v>0</v>
      </c>
      <c r="AF47" s="51" t="e">
        <f>HLOOKUP(I47,ElecAvoidedCostsWOCC!$A$5:$Q$50,G47+1,FALSE)</f>
        <v>#N/A</v>
      </c>
      <c r="AG47" s="43" t="e">
        <f t="shared" si="45"/>
        <v>#N/A</v>
      </c>
      <c r="AH47" s="51" t="e">
        <f>HLOOKUP(I47,ElecAvoidedCostsWOCC!$A$5:$Q$50,T47+1,FALSE)</f>
        <v>#N/A</v>
      </c>
      <c r="AI47" s="43" t="e">
        <f t="shared" si="46"/>
        <v>#N/A</v>
      </c>
      <c r="AJ47" s="43" t="e">
        <f t="shared" si="47"/>
        <v>#N/A</v>
      </c>
      <c r="AK47" s="43" t="e">
        <f>HLOOKUP(I47,ElecAvoidedCostsWOCC!$A$5:$Q$50,G47+1,FALSE)*J47*L47</f>
        <v>#N/A</v>
      </c>
      <c r="AL47" s="43" t="e">
        <f t="shared" si="48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49"/>
        <v>0</v>
      </c>
      <c r="AO47" s="46">
        <f t="shared" si="50"/>
        <v>0</v>
      </c>
      <c r="AP47" s="46" t="e">
        <f t="shared" si="51"/>
        <v>#DIV/0!</v>
      </c>
    </row>
    <row r="48" spans="2:42" x14ac:dyDescent="0.25">
      <c r="B48" s="88" t="s">
        <v>67</v>
      </c>
      <c r="C48" s="89">
        <v>18230716</v>
      </c>
      <c r="D48" s="60" t="s">
        <v>547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3"/>
        <v>0</v>
      </c>
      <c r="U48" s="46">
        <f t="shared" si="34"/>
        <v>0</v>
      </c>
      <c r="V48" s="47">
        <f t="shared" si="35"/>
        <v>0</v>
      </c>
      <c r="W48" s="48">
        <f t="shared" si="36"/>
        <v>0</v>
      </c>
      <c r="X48" s="43">
        <f t="shared" si="37"/>
        <v>0</v>
      </c>
      <c r="Y48" s="43">
        <f t="shared" si="38"/>
        <v>0</v>
      </c>
      <c r="Z48" s="43">
        <f t="shared" si="39"/>
        <v>0</v>
      </c>
      <c r="AA48" s="49">
        <f t="shared" si="40"/>
        <v>0</v>
      </c>
      <c r="AB48" s="50">
        <f t="shared" si="41"/>
        <v>0</v>
      </c>
      <c r="AC48" s="43">
        <f t="shared" si="42"/>
        <v>0</v>
      </c>
      <c r="AD48" s="43">
        <f t="shared" si="43"/>
        <v>0</v>
      </c>
      <c r="AE48" s="43">
        <f t="shared" si="44"/>
        <v>0</v>
      </c>
      <c r="AF48" s="51" t="e">
        <f>HLOOKUP(I48,ElecAvoidedCostsWOCC!$A$5:$Q$50,G48+1,FALSE)</f>
        <v>#N/A</v>
      </c>
      <c r="AG48" s="43" t="e">
        <f t="shared" si="45"/>
        <v>#N/A</v>
      </c>
      <c r="AH48" s="51" t="e">
        <f>HLOOKUP(I48,ElecAvoidedCostsWOCC!$A$5:$Q$50,T48+1,FALSE)</f>
        <v>#N/A</v>
      </c>
      <c r="AI48" s="43" t="e">
        <f t="shared" si="46"/>
        <v>#N/A</v>
      </c>
      <c r="AJ48" s="43" t="e">
        <f t="shared" si="47"/>
        <v>#N/A</v>
      </c>
      <c r="AK48" s="43" t="e">
        <f>HLOOKUP(I48,ElecAvoidedCostsWOCC!$A$5:$Q$50,G48+1,FALSE)*J48*L48</f>
        <v>#N/A</v>
      </c>
      <c r="AL48" s="43" t="e">
        <f t="shared" si="48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49"/>
        <v>0</v>
      </c>
      <c r="AO48" s="46">
        <f t="shared" si="50"/>
        <v>0</v>
      </c>
      <c r="AP48" s="46" t="e">
        <f t="shared" si="51"/>
        <v>#DIV/0!</v>
      </c>
    </row>
    <row r="49" spans="2:42" x14ac:dyDescent="0.25">
      <c r="B49" s="88" t="s">
        <v>67</v>
      </c>
      <c r="C49" s="89">
        <v>18230716</v>
      </c>
      <c r="D49" s="60" t="s">
        <v>547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3"/>
        <v>0</v>
      </c>
      <c r="U49" s="46">
        <f t="shared" si="34"/>
        <v>0</v>
      </c>
      <c r="V49" s="47">
        <f t="shared" si="35"/>
        <v>0</v>
      </c>
      <c r="W49" s="48">
        <f t="shared" si="36"/>
        <v>0</v>
      </c>
      <c r="X49" s="43">
        <f t="shared" si="37"/>
        <v>0</v>
      </c>
      <c r="Y49" s="43">
        <f t="shared" si="38"/>
        <v>0</v>
      </c>
      <c r="Z49" s="43">
        <f t="shared" si="39"/>
        <v>0</v>
      </c>
      <c r="AA49" s="49">
        <f t="shared" si="40"/>
        <v>0</v>
      </c>
      <c r="AB49" s="50">
        <f t="shared" si="41"/>
        <v>0</v>
      </c>
      <c r="AC49" s="43">
        <f t="shared" si="42"/>
        <v>0</v>
      </c>
      <c r="AD49" s="43">
        <f t="shared" si="43"/>
        <v>0</v>
      </c>
      <c r="AE49" s="43">
        <f t="shared" si="44"/>
        <v>0</v>
      </c>
      <c r="AF49" s="51" t="e">
        <f>HLOOKUP(I49,ElecAvoidedCostsWOCC!$A$5:$Q$50,G49+1,FALSE)</f>
        <v>#N/A</v>
      </c>
      <c r="AG49" s="43" t="e">
        <f t="shared" si="45"/>
        <v>#N/A</v>
      </c>
      <c r="AH49" s="51" t="e">
        <f>HLOOKUP(I49,ElecAvoidedCostsWOCC!$A$5:$Q$50,T49+1,FALSE)</f>
        <v>#N/A</v>
      </c>
      <c r="AI49" s="43" t="e">
        <f t="shared" si="46"/>
        <v>#N/A</v>
      </c>
      <c r="AJ49" s="43" t="e">
        <f t="shared" si="47"/>
        <v>#N/A</v>
      </c>
      <c r="AK49" s="43" t="e">
        <f>HLOOKUP(I49,ElecAvoidedCostsWOCC!$A$5:$Q$50,G49+1,FALSE)*J49*L49</f>
        <v>#N/A</v>
      </c>
      <c r="AL49" s="43" t="e">
        <f t="shared" si="48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49"/>
        <v>0</v>
      </c>
      <c r="AO49" s="46">
        <f t="shared" si="50"/>
        <v>0</v>
      </c>
      <c r="AP49" s="46" t="e">
        <f t="shared" si="51"/>
        <v>#DIV/0!</v>
      </c>
    </row>
    <row r="50" spans="2:42" x14ac:dyDescent="0.25">
      <c r="B50" s="88" t="s">
        <v>67</v>
      </c>
      <c r="C50" s="89">
        <v>18230716</v>
      </c>
      <c r="D50" s="60" t="s">
        <v>547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3"/>
        <v>0</v>
      </c>
      <c r="U50" s="46">
        <f t="shared" si="34"/>
        <v>0</v>
      </c>
      <c r="V50" s="47">
        <f t="shared" si="35"/>
        <v>0</v>
      </c>
      <c r="W50" s="48">
        <f t="shared" si="36"/>
        <v>0</v>
      </c>
      <c r="X50" s="43">
        <f t="shared" si="37"/>
        <v>0</v>
      </c>
      <c r="Y50" s="43">
        <f t="shared" si="38"/>
        <v>0</v>
      </c>
      <c r="Z50" s="43">
        <f t="shared" si="39"/>
        <v>0</v>
      </c>
      <c r="AA50" s="49">
        <f t="shared" si="40"/>
        <v>0</v>
      </c>
      <c r="AB50" s="50">
        <f t="shared" si="41"/>
        <v>0</v>
      </c>
      <c r="AC50" s="43">
        <f t="shared" si="42"/>
        <v>0</v>
      </c>
      <c r="AD50" s="43">
        <f t="shared" si="43"/>
        <v>0</v>
      </c>
      <c r="AE50" s="43">
        <f t="shared" si="44"/>
        <v>0</v>
      </c>
      <c r="AF50" s="51" t="e">
        <f>HLOOKUP(I50,ElecAvoidedCostsWOCC!$A$5:$Q$50,G50+1,FALSE)</f>
        <v>#N/A</v>
      </c>
      <c r="AG50" s="43" t="e">
        <f t="shared" si="45"/>
        <v>#N/A</v>
      </c>
      <c r="AH50" s="51" t="e">
        <f>HLOOKUP(I50,ElecAvoidedCostsWOCC!$A$5:$Q$50,T50+1,FALSE)</f>
        <v>#N/A</v>
      </c>
      <c r="AI50" s="43" t="e">
        <f t="shared" si="46"/>
        <v>#N/A</v>
      </c>
      <c r="AJ50" s="43" t="e">
        <f t="shared" si="47"/>
        <v>#N/A</v>
      </c>
      <c r="AK50" s="43" t="e">
        <f>HLOOKUP(I50,ElecAvoidedCostsWOCC!$A$5:$Q$50,G50+1,FALSE)*J50*L50</f>
        <v>#N/A</v>
      </c>
      <c r="AL50" s="43" t="e">
        <f t="shared" si="48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49"/>
        <v>0</v>
      </c>
      <c r="AO50" s="46">
        <f t="shared" si="50"/>
        <v>0</v>
      </c>
      <c r="AP50" s="46" t="e">
        <f t="shared" si="51"/>
        <v>#DIV/0!</v>
      </c>
    </row>
    <row r="51" spans="2:42" x14ac:dyDescent="0.25">
      <c r="B51" s="88" t="s">
        <v>67</v>
      </c>
      <c r="C51" s="89">
        <v>18230716</v>
      </c>
      <c r="D51" s="60" t="s">
        <v>547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3"/>
        <v>0</v>
      </c>
      <c r="U51" s="46">
        <f t="shared" si="34"/>
        <v>0</v>
      </c>
      <c r="V51" s="47">
        <f t="shared" si="35"/>
        <v>0</v>
      </c>
      <c r="W51" s="48">
        <f t="shared" si="36"/>
        <v>0</v>
      </c>
      <c r="X51" s="43">
        <f t="shared" si="37"/>
        <v>0</v>
      </c>
      <c r="Y51" s="43">
        <f t="shared" si="38"/>
        <v>0</v>
      </c>
      <c r="Z51" s="43">
        <f t="shared" si="39"/>
        <v>0</v>
      </c>
      <c r="AA51" s="49">
        <f t="shared" si="40"/>
        <v>0</v>
      </c>
      <c r="AB51" s="50">
        <f t="shared" si="41"/>
        <v>0</v>
      </c>
      <c r="AC51" s="43">
        <f t="shared" si="42"/>
        <v>0</v>
      </c>
      <c r="AD51" s="43">
        <f t="shared" si="43"/>
        <v>0</v>
      </c>
      <c r="AE51" s="43">
        <f t="shared" si="44"/>
        <v>0</v>
      </c>
      <c r="AF51" s="51" t="e">
        <f>HLOOKUP(I51,ElecAvoidedCostsWOCC!$A$5:$Q$50,G51+1,FALSE)</f>
        <v>#N/A</v>
      </c>
      <c r="AG51" s="43" t="e">
        <f t="shared" si="45"/>
        <v>#N/A</v>
      </c>
      <c r="AH51" s="51" t="e">
        <f>HLOOKUP(I51,ElecAvoidedCostsWOCC!$A$5:$Q$50,T51+1,FALSE)</f>
        <v>#N/A</v>
      </c>
      <c r="AI51" s="43" t="e">
        <f t="shared" si="46"/>
        <v>#N/A</v>
      </c>
      <c r="AJ51" s="43" t="e">
        <f t="shared" si="47"/>
        <v>#N/A</v>
      </c>
      <c r="AK51" s="43" t="e">
        <f>HLOOKUP(I51,ElecAvoidedCostsWOCC!$A$5:$Q$50,G51+1,FALSE)*J51*L51</f>
        <v>#N/A</v>
      </c>
      <c r="AL51" s="43" t="e">
        <f t="shared" si="48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49"/>
        <v>0</v>
      </c>
      <c r="AO51" s="46">
        <f t="shared" si="50"/>
        <v>0</v>
      </c>
      <c r="AP51" s="46" t="e">
        <f t="shared" si="51"/>
        <v>#DIV/0!</v>
      </c>
    </row>
    <row r="52" spans="2:42" x14ac:dyDescent="0.25">
      <c r="B52" s="88" t="s">
        <v>67</v>
      </c>
      <c r="C52" s="89">
        <v>18230716</v>
      </c>
      <c r="D52" s="60" t="s">
        <v>547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3"/>
        <v>0</v>
      </c>
      <c r="U52" s="46">
        <f t="shared" si="34"/>
        <v>0</v>
      </c>
      <c r="V52" s="47">
        <f t="shared" si="35"/>
        <v>0</v>
      </c>
      <c r="W52" s="48">
        <f t="shared" si="36"/>
        <v>0</v>
      </c>
      <c r="X52" s="43">
        <f t="shared" si="37"/>
        <v>0</v>
      </c>
      <c r="Y52" s="43">
        <f t="shared" si="38"/>
        <v>0</v>
      </c>
      <c r="Z52" s="43">
        <f t="shared" si="39"/>
        <v>0</v>
      </c>
      <c r="AA52" s="49">
        <f t="shared" si="40"/>
        <v>0</v>
      </c>
      <c r="AB52" s="50">
        <f t="shared" si="41"/>
        <v>0</v>
      </c>
      <c r="AC52" s="43">
        <f t="shared" si="42"/>
        <v>0</v>
      </c>
      <c r="AD52" s="43">
        <f t="shared" si="43"/>
        <v>0</v>
      </c>
      <c r="AE52" s="43">
        <f t="shared" si="44"/>
        <v>0</v>
      </c>
      <c r="AF52" s="51" t="e">
        <f>HLOOKUP(I52,ElecAvoidedCostsWOCC!$A$5:$Q$50,G52+1,FALSE)</f>
        <v>#N/A</v>
      </c>
      <c r="AG52" s="43" t="e">
        <f t="shared" si="45"/>
        <v>#N/A</v>
      </c>
      <c r="AH52" s="51" t="e">
        <f>HLOOKUP(I52,ElecAvoidedCostsWOCC!$A$5:$Q$50,T52+1,FALSE)</f>
        <v>#N/A</v>
      </c>
      <c r="AI52" s="43" t="e">
        <f t="shared" si="46"/>
        <v>#N/A</v>
      </c>
      <c r="AJ52" s="43" t="e">
        <f t="shared" si="47"/>
        <v>#N/A</v>
      </c>
      <c r="AK52" s="43" t="e">
        <f>HLOOKUP(I52,ElecAvoidedCostsWOCC!$A$5:$Q$50,G52+1,FALSE)*J52*L52</f>
        <v>#N/A</v>
      </c>
      <c r="AL52" s="43" t="e">
        <f t="shared" si="48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49"/>
        <v>0</v>
      </c>
      <c r="AO52" s="46">
        <f t="shared" si="50"/>
        <v>0</v>
      </c>
      <c r="AP52" s="46" t="e">
        <f t="shared" si="51"/>
        <v>#DIV/0!</v>
      </c>
    </row>
    <row r="53" spans="2:42" x14ac:dyDescent="0.25">
      <c r="B53" s="88" t="s">
        <v>67</v>
      </c>
      <c r="C53" s="89">
        <v>18230716</v>
      </c>
      <c r="D53" s="60" t="s">
        <v>547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3"/>
        <v>0</v>
      </c>
      <c r="U53" s="46">
        <f t="shared" si="34"/>
        <v>0</v>
      </c>
      <c r="V53" s="47">
        <f t="shared" si="35"/>
        <v>0</v>
      </c>
      <c r="W53" s="48">
        <f t="shared" si="36"/>
        <v>0</v>
      </c>
      <c r="X53" s="43">
        <f t="shared" si="37"/>
        <v>0</v>
      </c>
      <c r="Y53" s="43">
        <f t="shared" si="38"/>
        <v>0</v>
      </c>
      <c r="Z53" s="43">
        <f t="shared" si="39"/>
        <v>0</v>
      </c>
      <c r="AA53" s="49">
        <f t="shared" si="40"/>
        <v>0</v>
      </c>
      <c r="AB53" s="50">
        <f t="shared" si="41"/>
        <v>0</v>
      </c>
      <c r="AC53" s="43">
        <f t="shared" si="42"/>
        <v>0</v>
      </c>
      <c r="AD53" s="43">
        <f t="shared" si="43"/>
        <v>0</v>
      </c>
      <c r="AE53" s="43">
        <f t="shared" si="44"/>
        <v>0</v>
      </c>
      <c r="AF53" s="51" t="e">
        <f>HLOOKUP(I53,ElecAvoidedCostsWOCC!$A$5:$Q$50,G53+1,FALSE)</f>
        <v>#N/A</v>
      </c>
      <c r="AG53" s="43" t="e">
        <f t="shared" si="45"/>
        <v>#N/A</v>
      </c>
      <c r="AH53" s="51" t="e">
        <f>HLOOKUP(I53,ElecAvoidedCostsWOCC!$A$5:$Q$50,T53+1,FALSE)</f>
        <v>#N/A</v>
      </c>
      <c r="AI53" s="43" t="e">
        <f t="shared" si="46"/>
        <v>#N/A</v>
      </c>
      <c r="AJ53" s="43" t="e">
        <f t="shared" si="47"/>
        <v>#N/A</v>
      </c>
      <c r="AK53" s="43" t="e">
        <f>HLOOKUP(I53,ElecAvoidedCostsWOCC!$A$5:$Q$50,G53+1,FALSE)*J53*L53</f>
        <v>#N/A</v>
      </c>
      <c r="AL53" s="43" t="e">
        <f t="shared" si="48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49"/>
        <v>0</v>
      </c>
      <c r="AO53" s="46">
        <f t="shared" si="50"/>
        <v>0</v>
      </c>
      <c r="AP53" s="46" t="e">
        <f t="shared" si="51"/>
        <v>#DIV/0!</v>
      </c>
    </row>
    <row r="54" spans="2:42" x14ac:dyDescent="0.25">
      <c r="B54" s="88" t="s">
        <v>67</v>
      </c>
      <c r="C54" s="89">
        <v>18230716</v>
      </c>
      <c r="D54" s="60" t="s">
        <v>547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ref="T54:T111" si="52">G54+H54</f>
        <v>0</v>
      </c>
      <c r="U54" s="46">
        <f t="shared" ref="U54:U111" si="53">(O54/$A$10)*T54</f>
        <v>0</v>
      </c>
      <c r="V54" s="47">
        <f t="shared" ref="V54:V111" si="54">N54-M54</f>
        <v>0</v>
      </c>
      <c r="W54" s="48">
        <f t="shared" ref="W54:W111" si="55">(O54/A$10)</f>
        <v>0</v>
      </c>
      <c r="X54" s="43">
        <f t="shared" ref="X54:X111" si="56">W54*A$8</f>
        <v>0</v>
      </c>
      <c r="Y54" s="43">
        <f t="shared" ref="Y54:Y111" si="57">Q54-P54</f>
        <v>0</v>
      </c>
      <c r="Z54" s="43">
        <f t="shared" ref="Z54:Z111" si="58">X54+(A$6*W54)</f>
        <v>0</v>
      </c>
      <c r="AA54" s="49">
        <f t="shared" ref="AA54:AA111" si="59">Q54+X54</f>
        <v>0</v>
      </c>
      <c r="AB54" s="50">
        <f t="shared" ref="AB54:AB111" si="60">Z54/(1+ElecDiscountRate)^1</f>
        <v>0</v>
      </c>
      <c r="AC54" s="43">
        <f t="shared" ref="AC54:AC111" si="61">AA54/(1+ElecDiscountRate)^1</f>
        <v>0</v>
      </c>
      <c r="AD54" s="43">
        <f t="shared" ref="AD54:AD111" si="62">-PV(ElecDiscountRate,T54,R54)*J54</f>
        <v>0</v>
      </c>
      <c r="AE54" s="43">
        <f t="shared" ref="AE54:AE111" si="63">-PV(ElecDiscountRate,T54,S54)*J54</f>
        <v>0</v>
      </c>
      <c r="AF54" s="51" t="e">
        <f>HLOOKUP(I54,ElecAvoidedCostsWOCC!$A$5:$Q$50,G54+1,FALSE)</f>
        <v>#N/A</v>
      </c>
      <c r="AG54" s="43" t="e">
        <f t="shared" ref="AG54:AG111" si="64">AF54*J54*K54</f>
        <v>#N/A</v>
      </c>
      <c r="AH54" s="51" t="e">
        <f>HLOOKUP(I54,ElecAvoidedCostsWOCC!$A$5:$Q$50,T54+1,FALSE)</f>
        <v>#N/A</v>
      </c>
      <c r="AI54" s="43" t="e">
        <f t="shared" ref="AI54:AI111" si="65">AH54*J54*L54</f>
        <v>#N/A</v>
      </c>
      <c r="AJ54" s="43" t="e">
        <f t="shared" ref="AJ54:AJ111" si="66">AG54+AI54</f>
        <v>#N/A</v>
      </c>
      <c r="AK54" s="43" t="e">
        <f>HLOOKUP(I54,ElecAvoidedCostsWOCC!$A$5:$Q$50,G54+1,FALSE)*J54*L54</f>
        <v>#N/A</v>
      </c>
      <c r="AL54" s="43" t="e">
        <f t="shared" ref="AL54:AL111" si="67">AG54+AI54-AK54</f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ref="AN54:AN111" si="68">AM54*1.1+AD54+AE54</f>
        <v>0</v>
      </c>
      <c r="AO54" s="46">
        <f t="shared" ref="AO54:AO111" si="69">IFERROR(AM54/AB54,0)</f>
        <v>0</v>
      </c>
      <c r="AP54" s="46" t="e">
        <f t="shared" ref="AP54:AP111" si="70">AN54/AC54</f>
        <v>#DIV/0!</v>
      </c>
    </row>
    <row r="55" spans="2:42" x14ac:dyDescent="0.25">
      <c r="B55" s="88" t="s">
        <v>67</v>
      </c>
      <c r="C55" s="89">
        <v>18230716</v>
      </c>
      <c r="D55" s="60" t="s">
        <v>547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52"/>
        <v>0</v>
      </c>
      <c r="U55" s="46">
        <f t="shared" si="53"/>
        <v>0</v>
      </c>
      <c r="V55" s="47">
        <f t="shared" si="54"/>
        <v>0</v>
      </c>
      <c r="W55" s="48">
        <f t="shared" si="55"/>
        <v>0</v>
      </c>
      <c r="X55" s="43">
        <f t="shared" si="56"/>
        <v>0</v>
      </c>
      <c r="Y55" s="43">
        <f t="shared" si="57"/>
        <v>0</v>
      </c>
      <c r="Z55" s="43">
        <f t="shared" si="58"/>
        <v>0</v>
      </c>
      <c r="AA55" s="49">
        <f t="shared" si="59"/>
        <v>0</v>
      </c>
      <c r="AB55" s="50">
        <f t="shared" si="60"/>
        <v>0</v>
      </c>
      <c r="AC55" s="43">
        <f t="shared" si="61"/>
        <v>0</v>
      </c>
      <c r="AD55" s="43">
        <f t="shared" si="62"/>
        <v>0</v>
      </c>
      <c r="AE55" s="43">
        <f t="shared" si="63"/>
        <v>0</v>
      </c>
      <c r="AF55" s="51" t="e">
        <f>HLOOKUP(I55,ElecAvoidedCostsWOCC!$A$5:$Q$50,G55+1,FALSE)</f>
        <v>#N/A</v>
      </c>
      <c r="AG55" s="43" t="e">
        <f t="shared" si="64"/>
        <v>#N/A</v>
      </c>
      <c r="AH55" s="51" t="e">
        <f>HLOOKUP(I55,ElecAvoidedCostsWOCC!$A$5:$Q$50,T55+1,FALSE)</f>
        <v>#N/A</v>
      </c>
      <c r="AI55" s="43" t="e">
        <f t="shared" si="65"/>
        <v>#N/A</v>
      </c>
      <c r="AJ55" s="43" t="e">
        <f t="shared" si="66"/>
        <v>#N/A</v>
      </c>
      <c r="AK55" s="43" t="e">
        <f>HLOOKUP(I55,ElecAvoidedCostsWOCC!$A$5:$Q$50,G55+1,FALSE)*J55*L55</f>
        <v>#N/A</v>
      </c>
      <c r="AL55" s="43" t="e">
        <f t="shared" si="67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68"/>
        <v>0</v>
      </c>
      <c r="AO55" s="46">
        <f t="shared" si="69"/>
        <v>0</v>
      </c>
      <c r="AP55" s="46" t="e">
        <f t="shared" si="70"/>
        <v>#DIV/0!</v>
      </c>
    </row>
    <row r="56" spans="2:42" x14ac:dyDescent="0.25">
      <c r="B56" s="88" t="s">
        <v>67</v>
      </c>
      <c r="C56" s="89">
        <v>18230716</v>
      </c>
      <c r="D56" s="60" t="s">
        <v>547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52"/>
        <v>0</v>
      </c>
      <c r="U56" s="46">
        <f t="shared" si="53"/>
        <v>0</v>
      </c>
      <c r="V56" s="47">
        <f t="shared" si="54"/>
        <v>0</v>
      </c>
      <c r="W56" s="48">
        <f t="shared" si="55"/>
        <v>0</v>
      </c>
      <c r="X56" s="43">
        <f t="shared" si="56"/>
        <v>0</v>
      </c>
      <c r="Y56" s="43">
        <f t="shared" si="57"/>
        <v>0</v>
      </c>
      <c r="Z56" s="43">
        <f t="shared" si="58"/>
        <v>0</v>
      </c>
      <c r="AA56" s="49">
        <f t="shared" si="59"/>
        <v>0</v>
      </c>
      <c r="AB56" s="50">
        <f t="shared" si="60"/>
        <v>0</v>
      </c>
      <c r="AC56" s="43">
        <f t="shared" si="61"/>
        <v>0</v>
      </c>
      <c r="AD56" s="43">
        <f t="shared" si="62"/>
        <v>0</v>
      </c>
      <c r="AE56" s="43">
        <f t="shared" si="63"/>
        <v>0</v>
      </c>
      <c r="AF56" s="51" t="e">
        <f>HLOOKUP(I56,ElecAvoidedCostsWOCC!$A$5:$Q$50,G56+1,FALSE)</f>
        <v>#N/A</v>
      </c>
      <c r="AG56" s="43" t="e">
        <f t="shared" si="64"/>
        <v>#N/A</v>
      </c>
      <c r="AH56" s="51" t="e">
        <f>HLOOKUP(I56,ElecAvoidedCostsWOCC!$A$5:$Q$50,T56+1,FALSE)</f>
        <v>#N/A</v>
      </c>
      <c r="AI56" s="43" t="e">
        <f t="shared" si="65"/>
        <v>#N/A</v>
      </c>
      <c r="AJ56" s="43" t="e">
        <f t="shared" si="66"/>
        <v>#N/A</v>
      </c>
      <c r="AK56" s="43" t="e">
        <f>HLOOKUP(I56,ElecAvoidedCostsWOCC!$A$5:$Q$50,G56+1,FALSE)*J56*L56</f>
        <v>#N/A</v>
      </c>
      <c r="AL56" s="43" t="e">
        <f t="shared" si="67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68"/>
        <v>0</v>
      </c>
      <c r="AO56" s="46">
        <f t="shared" si="69"/>
        <v>0</v>
      </c>
      <c r="AP56" s="46" t="e">
        <f t="shared" si="70"/>
        <v>#DIV/0!</v>
      </c>
    </row>
    <row r="57" spans="2:42" x14ac:dyDescent="0.25">
      <c r="B57" s="88" t="s">
        <v>67</v>
      </c>
      <c r="C57" s="89">
        <v>18230716</v>
      </c>
      <c r="D57" s="60" t="s">
        <v>547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52"/>
        <v>0</v>
      </c>
      <c r="U57" s="46">
        <f t="shared" si="53"/>
        <v>0</v>
      </c>
      <c r="V57" s="47">
        <f t="shared" si="54"/>
        <v>0</v>
      </c>
      <c r="W57" s="48">
        <f t="shared" si="55"/>
        <v>0</v>
      </c>
      <c r="X57" s="43">
        <f t="shared" si="56"/>
        <v>0</v>
      </c>
      <c r="Y57" s="43">
        <f t="shared" si="57"/>
        <v>0</v>
      </c>
      <c r="Z57" s="43">
        <f t="shared" si="58"/>
        <v>0</v>
      </c>
      <c r="AA57" s="49">
        <f t="shared" si="59"/>
        <v>0</v>
      </c>
      <c r="AB57" s="50">
        <f t="shared" si="60"/>
        <v>0</v>
      </c>
      <c r="AC57" s="43">
        <f t="shared" si="61"/>
        <v>0</v>
      </c>
      <c r="AD57" s="43">
        <f t="shared" si="62"/>
        <v>0</v>
      </c>
      <c r="AE57" s="43">
        <f t="shared" si="63"/>
        <v>0</v>
      </c>
      <c r="AF57" s="51" t="e">
        <f>HLOOKUP(I57,ElecAvoidedCostsWOCC!$A$5:$Q$50,G57+1,FALSE)</f>
        <v>#N/A</v>
      </c>
      <c r="AG57" s="43" t="e">
        <f t="shared" si="64"/>
        <v>#N/A</v>
      </c>
      <c r="AH57" s="51" t="e">
        <f>HLOOKUP(I57,ElecAvoidedCostsWOCC!$A$5:$Q$50,T57+1,FALSE)</f>
        <v>#N/A</v>
      </c>
      <c r="AI57" s="43" t="e">
        <f t="shared" si="65"/>
        <v>#N/A</v>
      </c>
      <c r="AJ57" s="43" t="e">
        <f t="shared" si="66"/>
        <v>#N/A</v>
      </c>
      <c r="AK57" s="43" t="e">
        <f>HLOOKUP(I57,ElecAvoidedCostsWOCC!$A$5:$Q$50,G57+1,FALSE)*J57*L57</f>
        <v>#N/A</v>
      </c>
      <c r="AL57" s="43" t="e">
        <f t="shared" si="67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68"/>
        <v>0</v>
      </c>
      <c r="AO57" s="46">
        <f t="shared" si="69"/>
        <v>0</v>
      </c>
      <c r="AP57" s="46" t="e">
        <f t="shared" si="70"/>
        <v>#DIV/0!</v>
      </c>
    </row>
    <row r="58" spans="2:42" x14ac:dyDescent="0.25">
      <c r="B58" s="88" t="s">
        <v>67</v>
      </c>
      <c r="C58" s="89">
        <v>18230716</v>
      </c>
      <c r="D58" s="60" t="s">
        <v>547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52"/>
        <v>0</v>
      </c>
      <c r="U58" s="46">
        <f t="shared" si="53"/>
        <v>0</v>
      </c>
      <c r="V58" s="47">
        <f t="shared" si="54"/>
        <v>0</v>
      </c>
      <c r="W58" s="48">
        <f t="shared" si="55"/>
        <v>0</v>
      </c>
      <c r="X58" s="43">
        <f t="shared" si="56"/>
        <v>0</v>
      </c>
      <c r="Y58" s="43">
        <f t="shared" si="57"/>
        <v>0</v>
      </c>
      <c r="Z58" s="43">
        <f t="shared" si="58"/>
        <v>0</v>
      </c>
      <c r="AA58" s="49">
        <f t="shared" si="59"/>
        <v>0</v>
      </c>
      <c r="AB58" s="50">
        <f t="shared" si="60"/>
        <v>0</v>
      </c>
      <c r="AC58" s="43">
        <f t="shared" si="61"/>
        <v>0</v>
      </c>
      <c r="AD58" s="43">
        <f t="shared" si="62"/>
        <v>0</v>
      </c>
      <c r="AE58" s="43">
        <f t="shared" si="63"/>
        <v>0</v>
      </c>
      <c r="AF58" s="51" t="e">
        <f>HLOOKUP(I58,ElecAvoidedCostsWOCC!$A$5:$Q$50,G58+1,FALSE)</f>
        <v>#N/A</v>
      </c>
      <c r="AG58" s="43" t="e">
        <f t="shared" si="64"/>
        <v>#N/A</v>
      </c>
      <c r="AH58" s="51" t="e">
        <f>HLOOKUP(I58,ElecAvoidedCostsWOCC!$A$5:$Q$50,T58+1,FALSE)</f>
        <v>#N/A</v>
      </c>
      <c r="AI58" s="43" t="e">
        <f t="shared" si="65"/>
        <v>#N/A</v>
      </c>
      <c r="AJ58" s="43" t="e">
        <f t="shared" si="66"/>
        <v>#N/A</v>
      </c>
      <c r="AK58" s="43" t="e">
        <f>HLOOKUP(I58,ElecAvoidedCostsWOCC!$A$5:$Q$50,G58+1,FALSE)*J58*L58</f>
        <v>#N/A</v>
      </c>
      <c r="AL58" s="43" t="e">
        <f t="shared" si="67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68"/>
        <v>0</v>
      </c>
      <c r="AO58" s="46">
        <f t="shared" si="69"/>
        <v>0</v>
      </c>
      <c r="AP58" s="46" t="e">
        <f t="shared" si="70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52"/>
        <v>0</v>
      </c>
      <c r="U59" s="46">
        <f t="shared" si="53"/>
        <v>0</v>
      </c>
      <c r="V59" s="47">
        <f t="shared" si="54"/>
        <v>0</v>
      </c>
      <c r="W59" s="48">
        <f t="shared" si="55"/>
        <v>0</v>
      </c>
      <c r="X59" s="43">
        <f t="shared" si="56"/>
        <v>0</v>
      </c>
      <c r="Y59" s="43">
        <f t="shared" si="57"/>
        <v>0</v>
      </c>
      <c r="Z59" s="43">
        <f t="shared" si="58"/>
        <v>0</v>
      </c>
      <c r="AA59" s="49">
        <f t="shared" si="59"/>
        <v>0</v>
      </c>
      <c r="AB59" s="50">
        <f t="shared" si="60"/>
        <v>0</v>
      </c>
      <c r="AC59" s="43">
        <f t="shared" si="61"/>
        <v>0</v>
      </c>
      <c r="AD59" s="43">
        <f t="shared" si="62"/>
        <v>0</v>
      </c>
      <c r="AE59" s="43">
        <f t="shared" si="63"/>
        <v>0</v>
      </c>
      <c r="AF59" s="51" t="e">
        <f>HLOOKUP(I59,ElecAvoidedCostsWOCC!$A$5:$Q$50,G59+1,FALSE)</f>
        <v>#N/A</v>
      </c>
      <c r="AG59" s="43" t="e">
        <f t="shared" si="64"/>
        <v>#N/A</v>
      </c>
      <c r="AH59" s="51" t="e">
        <f>HLOOKUP(I59,ElecAvoidedCostsWOCC!$A$5:$Q$50,T59+1,FALSE)</f>
        <v>#N/A</v>
      </c>
      <c r="AI59" s="43" t="e">
        <f t="shared" si="65"/>
        <v>#N/A</v>
      </c>
      <c r="AJ59" s="43" t="e">
        <f t="shared" si="66"/>
        <v>#N/A</v>
      </c>
      <c r="AK59" s="43" t="e">
        <f>HLOOKUP(I59,ElecAvoidedCostsWOCC!$A$5:$Q$50,G59+1,FALSE)*J59*L59</f>
        <v>#N/A</v>
      </c>
      <c r="AL59" s="43" t="e">
        <f t="shared" si="67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68"/>
        <v>0</v>
      </c>
      <c r="AO59" s="46">
        <f t="shared" si="69"/>
        <v>0</v>
      </c>
      <c r="AP59" s="46" t="e">
        <f t="shared" si="70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52"/>
        <v>0</v>
      </c>
      <c r="U60" s="46">
        <f t="shared" si="53"/>
        <v>0</v>
      </c>
      <c r="V60" s="47">
        <f t="shared" si="54"/>
        <v>0</v>
      </c>
      <c r="W60" s="48">
        <f t="shared" si="55"/>
        <v>0</v>
      </c>
      <c r="X60" s="43">
        <f t="shared" si="56"/>
        <v>0</v>
      </c>
      <c r="Y60" s="43">
        <f t="shared" si="57"/>
        <v>0</v>
      </c>
      <c r="Z60" s="43">
        <f t="shared" si="58"/>
        <v>0</v>
      </c>
      <c r="AA60" s="49">
        <f t="shared" si="59"/>
        <v>0</v>
      </c>
      <c r="AB60" s="50">
        <f t="shared" si="60"/>
        <v>0</v>
      </c>
      <c r="AC60" s="43">
        <f t="shared" si="61"/>
        <v>0</v>
      </c>
      <c r="AD60" s="43">
        <f t="shared" si="62"/>
        <v>0</v>
      </c>
      <c r="AE60" s="43">
        <f t="shared" si="63"/>
        <v>0</v>
      </c>
      <c r="AF60" s="51" t="e">
        <f>HLOOKUP(I60,ElecAvoidedCostsWOCC!$A$5:$Q$50,G60+1,FALSE)</f>
        <v>#N/A</v>
      </c>
      <c r="AG60" s="43" t="e">
        <f t="shared" si="64"/>
        <v>#N/A</v>
      </c>
      <c r="AH60" s="51" t="e">
        <f>HLOOKUP(I60,ElecAvoidedCostsWOCC!$A$5:$Q$50,T60+1,FALSE)</f>
        <v>#N/A</v>
      </c>
      <c r="AI60" s="43" t="e">
        <f t="shared" si="65"/>
        <v>#N/A</v>
      </c>
      <c r="AJ60" s="43" t="e">
        <f t="shared" si="66"/>
        <v>#N/A</v>
      </c>
      <c r="AK60" s="43" t="e">
        <f>HLOOKUP(I60,ElecAvoidedCostsWOCC!$A$5:$Q$50,G60+1,FALSE)*J60*L60</f>
        <v>#N/A</v>
      </c>
      <c r="AL60" s="43" t="e">
        <f t="shared" si="67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68"/>
        <v>0</v>
      </c>
      <c r="AO60" s="46">
        <f t="shared" si="69"/>
        <v>0</v>
      </c>
      <c r="AP60" s="46" t="e">
        <f t="shared" si="70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52"/>
        <v>0</v>
      </c>
      <c r="U61" s="46">
        <f t="shared" si="53"/>
        <v>0</v>
      </c>
      <c r="V61" s="47">
        <f t="shared" si="54"/>
        <v>0</v>
      </c>
      <c r="W61" s="48">
        <f t="shared" si="55"/>
        <v>0</v>
      </c>
      <c r="X61" s="43">
        <f t="shared" si="56"/>
        <v>0</v>
      </c>
      <c r="Y61" s="43">
        <f t="shared" si="57"/>
        <v>0</v>
      </c>
      <c r="Z61" s="43">
        <f t="shared" si="58"/>
        <v>0</v>
      </c>
      <c r="AA61" s="49">
        <f t="shared" si="59"/>
        <v>0</v>
      </c>
      <c r="AB61" s="50">
        <f t="shared" si="60"/>
        <v>0</v>
      </c>
      <c r="AC61" s="43">
        <f t="shared" si="61"/>
        <v>0</v>
      </c>
      <c r="AD61" s="43">
        <f t="shared" si="62"/>
        <v>0</v>
      </c>
      <c r="AE61" s="43">
        <f t="shared" si="63"/>
        <v>0</v>
      </c>
      <c r="AF61" s="51" t="e">
        <f>HLOOKUP(I61,ElecAvoidedCostsWOCC!$A$5:$Q$50,G61+1,FALSE)</f>
        <v>#N/A</v>
      </c>
      <c r="AG61" s="43" t="e">
        <f t="shared" si="64"/>
        <v>#N/A</v>
      </c>
      <c r="AH61" s="51" t="e">
        <f>HLOOKUP(I61,ElecAvoidedCostsWOCC!$A$5:$Q$50,T61+1,FALSE)</f>
        <v>#N/A</v>
      </c>
      <c r="AI61" s="43" t="e">
        <f t="shared" si="65"/>
        <v>#N/A</v>
      </c>
      <c r="AJ61" s="43" t="e">
        <f t="shared" si="66"/>
        <v>#N/A</v>
      </c>
      <c r="AK61" s="43" t="e">
        <f>HLOOKUP(I61,ElecAvoidedCostsWOCC!$A$5:$Q$50,G61+1,FALSE)*J61*L61</f>
        <v>#N/A</v>
      </c>
      <c r="AL61" s="43" t="e">
        <f t="shared" si="67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68"/>
        <v>0</v>
      </c>
      <c r="AO61" s="46">
        <f t="shared" si="69"/>
        <v>0</v>
      </c>
      <c r="AP61" s="46" t="e">
        <f t="shared" si="70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52"/>
        <v>0</v>
      </c>
      <c r="U62" s="46">
        <f t="shared" si="53"/>
        <v>0</v>
      </c>
      <c r="V62" s="47">
        <f t="shared" si="54"/>
        <v>0</v>
      </c>
      <c r="W62" s="48">
        <f t="shared" si="55"/>
        <v>0</v>
      </c>
      <c r="X62" s="43">
        <f t="shared" si="56"/>
        <v>0</v>
      </c>
      <c r="Y62" s="43">
        <f t="shared" si="57"/>
        <v>0</v>
      </c>
      <c r="Z62" s="43">
        <f t="shared" si="58"/>
        <v>0</v>
      </c>
      <c r="AA62" s="49">
        <f t="shared" si="59"/>
        <v>0</v>
      </c>
      <c r="AB62" s="50">
        <f t="shared" si="60"/>
        <v>0</v>
      </c>
      <c r="AC62" s="43">
        <f t="shared" si="61"/>
        <v>0</v>
      </c>
      <c r="AD62" s="43">
        <f t="shared" si="62"/>
        <v>0</v>
      </c>
      <c r="AE62" s="43">
        <f t="shared" si="63"/>
        <v>0</v>
      </c>
      <c r="AF62" s="51" t="e">
        <f>HLOOKUP(I62,ElecAvoidedCostsWOCC!$A$5:$Q$50,G62+1,FALSE)</f>
        <v>#N/A</v>
      </c>
      <c r="AG62" s="43" t="e">
        <f t="shared" si="64"/>
        <v>#N/A</v>
      </c>
      <c r="AH62" s="51" t="e">
        <f>HLOOKUP(I62,ElecAvoidedCostsWOCC!$A$5:$Q$50,T62+1,FALSE)</f>
        <v>#N/A</v>
      </c>
      <c r="AI62" s="43" t="e">
        <f t="shared" si="65"/>
        <v>#N/A</v>
      </c>
      <c r="AJ62" s="43" t="e">
        <f t="shared" si="66"/>
        <v>#N/A</v>
      </c>
      <c r="AK62" s="43" t="e">
        <f>HLOOKUP(I62,ElecAvoidedCostsWOCC!$A$5:$Q$50,G62+1,FALSE)*J62*L62</f>
        <v>#N/A</v>
      </c>
      <c r="AL62" s="43" t="e">
        <f t="shared" si="67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68"/>
        <v>0</v>
      </c>
      <c r="AO62" s="46">
        <f t="shared" si="69"/>
        <v>0</v>
      </c>
      <c r="AP62" s="46" t="e">
        <f t="shared" si="70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52"/>
        <v>0</v>
      </c>
      <c r="U63" s="46">
        <f t="shared" si="53"/>
        <v>0</v>
      </c>
      <c r="V63" s="47">
        <f t="shared" si="54"/>
        <v>0</v>
      </c>
      <c r="W63" s="48">
        <f t="shared" si="55"/>
        <v>0</v>
      </c>
      <c r="X63" s="43">
        <f t="shared" si="56"/>
        <v>0</v>
      </c>
      <c r="Y63" s="43">
        <f t="shared" si="57"/>
        <v>0</v>
      </c>
      <c r="Z63" s="43">
        <f t="shared" si="58"/>
        <v>0</v>
      </c>
      <c r="AA63" s="49">
        <f t="shared" si="59"/>
        <v>0</v>
      </c>
      <c r="AB63" s="50">
        <f t="shared" si="60"/>
        <v>0</v>
      </c>
      <c r="AC63" s="43">
        <f t="shared" si="61"/>
        <v>0</v>
      </c>
      <c r="AD63" s="43">
        <f t="shared" si="62"/>
        <v>0</v>
      </c>
      <c r="AE63" s="43">
        <f t="shared" si="63"/>
        <v>0</v>
      </c>
      <c r="AF63" s="51" t="e">
        <f>HLOOKUP(I63,ElecAvoidedCostsWOCC!$A$5:$Q$50,G63+1,FALSE)</f>
        <v>#N/A</v>
      </c>
      <c r="AG63" s="43" t="e">
        <f t="shared" si="64"/>
        <v>#N/A</v>
      </c>
      <c r="AH63" s="51" t="e">
        <f>HLOOKUP(I63,ElecAvoidedCostsWOCC!$A$5:$Q$50,T63+1,FALSE)</f>
        <v>#N/A</v>
      </c>
      <c r="AI63" s="43" t="e">
        <f t="shared" si="65"/>
        <v>#N/A</v>
      </c>
      <c r="AJ63" s="43" t="e">
        <f t="shared" si="66"/>
        <v>#N/A</v>
      </c>
      <c r="AK63" s="43" t="e">
        <f>HLOOKUP(I63,ElecAvoidedCostsWOCC!$A$5:$Q$50,G63+1,FALSE)*J63*L63</f>
        <v>#N/A</v>
      </c>
      <c r="AL63" s="43" t="e">
        <f t="shared" si="67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68"/>
        <v>0</v>
      </c>
      <c r="AO63" s="46">
        <f t="shared" si="69"/>
        <v>0</v>
      </c>
      <c r="AP63" s="46" t="e">
        <f t="shared" si="70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52"/>
        <v>0</v>
      </c>
      <c r="U64" s="46">
        <f t="shared" si="53"/>
        <v>0</v>
      </c>
      <c r="V64" s="47">
        <f t="shared" si="54"/>
        <v>0</v>
      </c>
      <c r="W64" s="48">
        <f t="shared" si="55"/>
        <v>0</v>
      </c>
      <c r="X64" s="43">
        <f t="shared" si="56"/>
        <v>0</v>
      </c>
      <c r="Y64" s="43">
        <f t="shared" si="57"/>
        <v>0</v>
      </c>
      <c r="Z64" s="43">
        <f t="shared" si="58"/>
        <v>0</v>
      </c>
      <c r="AA64" s="49">
        <f t="shared" si="59"/>
        <v>0</v>
      </c>
      <c r="AB64" s="50">
        <f t="shared" si="60"/>
        <v>0</v>
      </c>
      <c r="AC64" s="43">
        <f t="shared" si="61"/>
        <v>0</v>
      </c>
      <c r="AD64" s="43">
        <f t="shared" si="62"/>
        <v>0</v>
      </c>
      <c r="AE64" s="43">
        <f t="shared" si="63"/>
        <v>0</v>
      </c>
      <c r="AF64" s="51" t="e">
        <f>HLOOKUP(I64,ElecAvoidedCostsWOCC!$A$5:$Q$50,G64+1,FALSE)</f>
        <v>#N/A</v>
      </c>
      <c r="AG64" s="43" t="e">
        <f t="shared" si="64"/>
        <v>#N/A</v>
      </c>
      <c r="AH64" s="51" t="e">
        <f>HLOOKUP(I64,ElecAvoidedCostsWOCC!$A$5:$Q$50,T64+1,FALSE)</f>
        <v>#N/A</v>
      </c>
      <c r="AI64" s="43" t="e">
        <f t="shared" si="65"/>
        <v>#N/A</v>
      </c>
      <c r="AJ64" s="43" t="e">
        <f t="shared" si="66"/>
        <v>#N/A</v>
      </c>
      <c r="AK64" s="43" t="e">
        <f>HLOOKUP(I64,ElecAvoidedCostsWOCC!$A$5:$Q$50,G64+1,FALSE)*J64*L64</f>
        <v>#N/A</v>
      </c>
      <c r="AL64" s="43" t="e">
        <f t="shared" si="67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68"/>
        <v>0</v>
      </c>
      <c r="AO64" s="46">
        <f t="shared" si="69"/>
        <v>0</v>
      </c>
      <c r="AP64" s="46" t="e">
        <f t="shared" si="70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52"/>
        <v>0</v>
      </c>
      <c r="U65" s="46">
        <f t="shared" si="53"/>
        <v>0</v>
      </c>
      <c r="V65" s="47">
        <f t="shared" si="54"/>
        <v>0</v>
      </c>
      <c r="W65" s="48">
        <f t="shared" si="55"/>
        <v>0</v>
      </c>
      <c r="X65" s="43">
        <f t="shared" si="56"/>
        <v>0</v>
      </c>
      <c r="Y65" s="43">
        <f t="shared" si="57"/>
        <v>0</v>
      </c>
      <c r="Z65" s="43">
        <f t="shared" si="58"/>
        <v>0</v>
      </c>
      <c r="AA65" s="49">
        <f t="shared" si="59"/>
        <v>0</v>
      </c>
      <c r="AB65" s="50">
        <f t="shared" si="60"/>
        <v>0</v>
      </c>
      <c r="AC65" s="43">
        <f t="shared" si="61"/>
        <v>0</v>
      </c>
      <c r="AD65" s="43">
        <f t="shared" si="62"/>
        <v>0</v>
      </c>
      <c r="AE65" s="43">
        <f t="shared" si="63"/>
        <v>0</v>
      </c>
      <c r="AF65" s="51" t="e">
        <f>HLOOKUP(I65,ElecAvoidedCostsWOCC!$A$5:$Q$50,G65+1,FALSE)</f>
        <v>#N/A</v>
      </c>
      <c r="AG65" s="43" t="e">
        <f t="shared" si="64"/>
        <v>#N/A</v>
      </c>
      <c r="AH65" s="51" t="e">
        <f>HLOOKUP(I65,ElecAvoidedCostsWOCC!$A$5:$Q$50,T65+1,FALSE)</f>
        <v>#N/A</v>
      </c>
      <c r="AI65" s="43" t="e">
        <f t="shared" si="65"/>
        <v>#N/A</v>
      </c>
      <c r="AJ65" s="43" t="e">
        <f t="shared" si="66"/>
        <v>#N/A</v>
      </c>
      <c r="AK65" s="43" t="e">
        <f>HLOOKUP(I65,ElecAvoidedCostsWOCC!$A$5:$Q$50,G65+1,FALSE)*J65*L65</f>
        <v>#N/A</v>
      </c>
      <c r="AL65" s="43" t="e">
        <f t="shared" si="67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68"/>
        <v>0</v>
      </c>
      <c r="AO65" s="46">
        <f t="shared" si="69"/>
        <v>0</v>
      </c>
      <c r="AP65" s="46" t="e">
        <f t="shared" si="70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52"/>
        <v>0</v>
      </c>
      <c r="U66" s="46">
        <f t="shared" si="53"/>
        <v>0</v>
      </c>
      <c r="V66" s="47">
        <f t="shared" si="54"/>
        <v>0</v>
      </c>
      <c r="W66" s="48">
        <f t="shared" si="55"/>
        <v>0</v>
      </c>
      <c r="X66" s="43">
        <f t="shared" si="56"/>
        <v>0</v>
      </c>
      <c r="Y66" s="43">
        <f t="shared" si="57"/>
        <v>0</v>
      </c>
      <c r="Z66" s="43">
        <f t="shared" si="58"/>
        <v>0</v>
      </c>
      <c r="AA66" s="49">
        <f t="shared" si="59"/>
        <v>0</v>
      </c>
      <c r="AB66" s="50">
        <f t="shared" si="60"/>
        <v>0</v>
      </c>
      <c r="AC66" s="43">
        <f t="shared" si="61"/>
        <v>0</v>
      </c>
      <c r="AD66" s="43">
        <f t="shared" si="62"/>
        <v>0</v>
      </c>
      <c r="AE66" s="43">
        <f t="shared" si="63"/>
        <v>0</v>
      </c>
      <c r="AF66" s="51" t="e">
        <f>HLOOKUP(I66,ElecAvoidedCostsWOCC!$A$5:$Q$50,G66+1,FALSE)</f>
        <v>#N/A</v>
      </c>
      <c r="AG66" s="43" t="e">
        <f t="shared" si="64"/>
        <v>#N/A</v>
      </c>
      <c r="AH66" s="51" t="e">
        <f>HLOOKUP(I66,ElecAvoidedCostsWOCC!$A$5:$Q$50,T66+1,FALSE)</f>
        <v>#N/A</v>
      </c>
      <c r="AI66" s="43" t="e">
        <f t="shared" si="65"/>
        <v>#N/A</v>
      </c>
      <c r="AJ66" s="43" t="e">
        <f t="shared" si="66"/>
        <v>#N/A</v>
      </c>
      <c r="AK66" s="43" t="e">
        <f>HLOOKUP(I66,ElecAvoidedCostsWOCC!$A$5:$Q$50,G66+1,FALSE)*J66*L66</f>
        <v>#N/A</v>
      </c>
      <c r="AL66" s="43" t="e">
        <f t="shared" si="67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68"/>
        <v>0</v>
      </c>
      <c r="AO66" s="46">
        <f t="shared" si="69"/>
        <v>0</v>
      </c>
      <c r="AP66" s="46" t="e">
        <f t="shared" si="70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52"/>
        <v>0</v>
      </c>
      <c r="U67" s="46">
        <f t="shared" si="53"/>
        <v>0</v>
      </c>
      <c r="V67" s="47">
        <f t="shared" si="54"/>
        <v>0</v>
      </c>
      <c r="W67" s="48">
        <f t="shared" si="55"/>
        <v>0</v>
      </c>
      <c r="X67" s="43">
        <f t="shared" si="56"/>
        <v>0</v>
      </c>
      <c r="Y67" s="43">
        <f t="shared" si="57"/>
        <v>0</v>
      </c>
      <c r="Z67" s="43">
        <f t="shared" si="58"/>
        <v>0</v>
      </c>
      <c r="AA67" s="49">
        <f t="shared" si="59"/>
        <v>0</v>
      </c>
      <c r="AB67" s="50">
        <f t="shared" si="60"/>
        <v>0</v>
      </c>
      <c r="AC67" s="43">
        <f t="shared" si="61"/>
        <v>0</v>
      </c>
      <c r="AD67" s="43">
        <f t="shared" si="62"/>
        <v>0</v>
      </c>
      <c r="AE67" s="43">
        <f t="shared" si="63"/>
        <v>0</v>
      </c>
      <c r="AF67" s="51" t="e">
        <f>HLOOKUP(I67,ElecAvoidedCostsWOCC!$A$5:$Q$50,G67+1,FALSE)</f>
        <v>#N/A</v>
      </c>
      <c r="AG67" s="43" t="e">
        <f t="shared" si="64"/>
        <v>#N/A</v>
      </c>
      <c r="AH67" s="51" t="e">
        <f>HLOOKUP(I67,ElecAvoidedCostsWOCC!$A$5:$Q$50,T67+1,FALSE)</f>
        <v>#N/A</v>
      </c>
      <c r="AI67" s="43" t="e">
        <f t="shared" si="65"/>
        <v>#N/A</v>
      </c>
      <c r="AJ67" s="43" t="e">
        <f t="shared" si="66"/>
        <v>#N/A</v>
      </c>
      <c r="AK67" s="43" t="e">
        <f>HLOOKUP(I67,ElecAvoidedCostsWOCC!$A$5:$Q$50,G67+1,FALSE)*J67*L67</f>
        <v>#N/A</v>
      </c>
      <c r="AL67" s="43" t="e">
        <f t="shared" si="67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68"/>
        <v>0</v>
      </c>
      <c r="AO67" s="46">
        <f t="shared" si="69"/>
        <v>0</v>
      </c>
      <c r="AP67" s="46" t="e">
        <f t="shared" si="70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52"/>
        <v>0</v>
      </c>
      <c r="U68" s="46">
        <f t="shared" si="53"/>
        <v>0</v>
      </c>
      <c r="V68" s="47">
        <f t="shared" si="54"/>
        <v>0</v>
      </c>
      <c r="W68" s="48">
        <f t="shared" si="55"/>
        <v>0</v>
      </c>
      <c r="X68" s="43">
        <f t="shared" si="56"/>
        <v>0</v>
      </c>
      <c r="Y68" s="43">
        <f t="shared" si="57"/>
        <v>0</v>
      </c>
      <c r="Z68" s="43">
        <f t="shared" si="58"/>
        <v>0</v>
      </c>
      <c r="AA68" s="49">
        <f t="shared" si="59"/>
        <v>0</v>
      </c>
      <c r="AB68" s="50">
        <f t="shared" si="60"/>
        <v>0</v>
      </c>
      <c r="AC68" s="43">
        <f t="shared" si="61"/>
        <v>0</v>
      </c>
      <c r="AD68" s="43">
        <f t="shared" si="62"/>
        <v>0</v>
      </c>
      <c r="AE68" s="43">
        <f t="shared" si="63"/>
        <v>0</v>
      </c>
      <c r="AF68" s="51" t="e">
        <f>HLOOKUP(I68,ElecAvoidedCostsWOCC!$A$5:$Q$50,G68+1,FALSE)</f>
        <v>#N/A</v>
      </c>
      <c r="AG68" s="43" t="e">
        <f t="shared" si="64"/>
        <v>#N/A</v>
      </c>
      <c r="AH68" s="51" t="e">
        <f>HLOOKUP(I68,ElecAvoidedCostsWOCC!$A$5:$Q$50,T68+1,FALSE)</f>
        <v>#N/A</v>
      </c>
      <c r="AI68" s="43" t="e">
        <f t="shared" si="65"/>
        <v>#N/A</v>
      </c>
      <c r="AJ68" s="43" t="e">
        <f t="shared" si="66"/>
        <v>#N/A</v>
      </c>
      <c r="AK68" s="43" t="e">
        <f>HLOOKUP(I68,ElecAvoidedCostsWOCC!$A$5:$Q$50,G68+1,FALSE)*J68*L68</f>
        <v>#N/A</v>
      </c>
      <c r="AL68" s="43" t="e">
        <f t="shared" si="67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68"/>
        <v>0</v>
      </c>
      <c r="AO68" s="46">
        <f t="shared" si="69"/>
        <v>0</v>
      </c>
      <c r="AP68" s="46" t="e">
        <f t="shared" si="70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52"/>
        <v>0</v>
      </c>
      <c r="U69" s="46">
        <f t="shared" si="53"/>
        <v>0</v>
      </c>
      <c r="V69" s="47">
        <f t="shared" si="54"/>
        <v>0</v>
      </c>
      <c r="W69" s="48">
        <f t="shared" si="55"/>
        <v>0</v>
      </c>
      <c r="X69" s="43">
        <f t="shared" si="56"/>
        <v>0</v>
      </c>
      <c r="Y69" s="43">
        <f t="shared" si="57"/>
        <v>0</v>
      </c>
      <c r="Z69" s="43">
        <f t="shared" si="58"/>
        <v>0</v>
      </c>
      <c r="AA69" s="49">
        <f t="shared" si="59"/>
        <v>0</v>
      </c>
      <c r="AB69" s="50">
        <f t="shared" si="60"/>
        <v>0</v>
      </c>
      <c r="AC69" s="43">
        <f t="shared" si="61"/>
        <v>0</v>
      </c>
      <c r="AD69" s="43">
        <f t="shared" si="62"/>
        <v>0</v>
      </c>
      <c r="AE69" s="43">
        <f t="shared" si="63"/>
        <v>0</v>
      </c>
      <c r="AF69" s="51" t="e">
        <f>HLOOKUP(I69,ElecAvoidedCostsWOCC!$A$5:$Q$50,G69+1,FALSE)</f>
        <v>#N/A</v>
      </c>
      <c r="AG69" s="43" t="e">
        <f t="shared" si="64"/>
        <v>#N/A</v>
      </c>
      <c r="AH69" s="51" t="e">
        <f>HLOOKUP(I69,ElecAvoidedCostsWOCC!$A$5:$Q$50,T69+1,FALSE)</f>
        <v>#N/A</v>
      </c>
      <c r="AI69" s="43" t="e">
        <f t="shared" si="65"/>
        <v>#N/A</v>
      </c>
      <c r="AJ69" s="43" t="e">
        <f t="shared" si="66"/>
        <v>#N/A</v>
      </c>
      <c r="AK69" s="43" t="e">
        <f>HLOOKUP(I69,ElecAvoidedCostsWOCC!$A$5:$Q$50,G69+1,FALSE)*J69*L69</f>
        <v>#N/A</v>
      </c>
      <c r="AL69" s="43" t="e">
        <f t="shared" si="67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68"/>
        <v>0</v>
      </c>
      <c r="AO69" s="46">
        <f t="shared" si="69"/>
        <v>0</v>
      </c>
      <c r="AP69" s="46" t="e">
        <f t="shared" si="70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52"/>
        <v>0</v>
      </c>
      <c r="U70" s="46">
        <f t="shared" si="53"/>
        <v>0</v>
      </c>
      <c r="V70" s="47">
        <f t="shared" si="54"/>
        <v>0</v>
      </c>
      <c r="W70" s="48">
        <f t="shared" si="55"/>
        <v>0</v>
      </c>
      <c r="X70" s="43">
        <f t="shared" si="56"/>
        <v>0</v>
      </c>
      <c r="Y70" s="43">
        <f t="shared" si="57"/>
        <v>0</v>
      </c>
      <c r="Z70" s="43">
        <f t="shared" si="58"/>
        <v>0</v>
      </c>
      <c r="AA70" s="49">
        <f t="shared" si="59"/>
        <v>0</v>
      </c>
      <c r="AB70" s="50">
        <f t="shared" si="60"/>
        <v>0</v>
      </c>
      <c r="AC70" s="43">
        <f t="shared" si="61"/>
        <v>0</v>
      </c>
      <c r="AD70" s="43">
        <f t="shared" si="62"/>
        <v>0</v>
      </c>
      <c r="AE70" s="43">
        <f t="shared" si="63"/>
        <v>0</v>
      </c>
      <c r="AF70" s="51" t="e">
        <f>HLOOKUP(I70,ElecAvoidedCostsWOCC!$A$5:$Q$50,G70+1,FALSE)</f>
        <v>#N/A</v>
      </c>
      <c r="AG70" s="43" t="e">
        <f t="shared" si="64"/>
        <v>#N/A</v>
      </c>
      <c r="AH70" s="51" t="e">
        <f>HLOOKUP(I70,ElecAvoidedCostsWOCC!$A$5:$Q$50,T70+1,FALSE)</f>
        <v>#N/A</v>
      </c>
      <c r="AI70" s="43" t="e">
        <f t="shared" si="65"/>
        <v>#N/A</v>
      </c>
      <c r="AJ70" s="43" t="e">
        <f t="shared" si="66"/>
        <v>#N/A</v>
      </c>
      <c r="AK70" s="43" t="e">
        <f>HLOOKUP(I70,ElecAvoidedCostsWOCC!$A$5:$Q$50,G70+1,FALSE)*J70*L70</f>
        <v>#N/A</v>
      </c>
      <c r="AL70" s="43" t="e">
        <f t="shared" si="67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68"/>
        <v>0</v>
      </c>
      <c r="AO70" s="46">
        <f t="shared" si="69"/>
        <v>0</v>
      </c>
      <c r="AP70" s="46" t="e">
        <f t="shared" si="70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52"/>
        <v>0</v>
      </c>
      <c r="U71" s="46">
        <f t="shared" si="53"/>
        <v>0</v>
      </c>
      <c r="V71" s="47">
        <f t="shared" si="54"/>
        <v>0</v>
      </c>
      <c r="W71" s="48">
        <f t="shared" si="55"/>
        <v>0</v>
      </c>
      <c r="X71" s="43">
        <f t="shared" si="56"/>
        <v>0</v>
      </c>
      <c r="Y71" s="43">
        <f t="shared" si="57"/>
        <v>0</v>
      </c>
      <c r="Z71" s="43">
        <f t="shared" si="58"/>
        <v>0</v>
      </c>
      <c r="AA71" s="49">
        <f t="shared" si="59"/>
        <v>0</v>
      </c>
      <c r="AB71" s="50">
        <f t="shared" si="60"/>
        <v>0</v>
      </c>
      <c r="AC71" s="43">
        <f t="shared" si="61"/>
        <v>0</v>
      </c>
      <c r="AD71" s="43">
        <f t="shared" si="62"/>
        <v>0</v>
      </c>
      <c r="AE71" s="43">
        <f t="shared" si="63"/>
        <v>0</v>
      </c>
      <c r="AF71" s="51" t="e">
        <f>HLOOKUP(I71,ElecAvoidedCostsWOCC!$A$5:$Q$50,G71+1,FALSE)</f>
        <v>#N/A</v>
      </c>
      <c r="AG71" s="43" t="e">
        <f t="shared" si="64"/>
        <v>#N/A</v>
      </c>
      <c r="AH71" s="51" t="e">
        <f>HLOOKUP(I71,ElecAvoidedCostsWOCC!$A$5:$Q$50,T71+1,FALSE)</f>
        <v>#N/A</v>
      </c>
      <c r="AI71" s="43" t="e">
        <f t="shared" si="65"/>
        <v>#N/A</v>
      </c>
      <c r="AJ71" s="43" t="e">
        <f t="shared" si="66"/>
        <v>#N/A</v>
      </c>
      <c r="AK71" s="43" t="e">
        <f>HLOOKUP(I71,ElecAvoidedCostsWOCC!$A$5:$Q$50,G71+1,FALSE)*J71*L71</f>
        <v>#N/A</v>
      </c>
      <c r="AL71" s="43" t="e">
        <f t="shared" si="67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68"/>
        <v>0</v>
      </c>
      <c r="AO71" s="46">
        <f t="shared" si="69"/>
        <v>0</v>
      </c>
      <c r="AP71" s="46" t="e">
        <f t="shared" si="70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52"/>
        <v>0</v>
      </c>
      <c r="U72" s="46">
        <f t="shared" si="53"/>
        <v>0</v>
      </c>
      <c r="V72" s="47">
        <f t="shared" si="54"/>
        <v>0</v>
      </c>
      <c r="W72" s="48">
        <f t="shared" si="55"/>
        <v>0</v>
      </c>
      <c r="X72" s="43">
        <f t="shared" si="56"/>
        <v>0</v>
      </c>
      <c r="Y72" s="43">
        <f t="shared" si="57"/>
        <v>0</v>
      </c>
      <c r="Z72" s="43">
        <f t="shared" si="58"/>
        <v>0</v>
      </c>
      <c r="AA72" s="49">
        <f t="shared" si="59"/>
        <v>0</v>
      </c>
      <c r="AB72" s="50">
        <f t="shared" si="60"/>
        <v>0</v>
      </c>
      <c r="AC72" s="43">
        <f t="shared" si="61"/>
        <v>0</v>
      </c>
      <c r="AD72" s="43">
        <f t="shared" si="62"/>
        <v>0</v>
      </c>
      <c r="AE72" s="43">
        <f t="shared" si="63"/>
        <v>0</v>
      </c>
      <c r="AF72" s="51" t="e">
        <f>HLOOKUP(I72,ElecAvoidedCostsWOCC!$A$5:$Q$50,G72+1,FALSE)</f>
        <v>#N/A</v>
      </c>
      <c r="AG72" s="43" t="e">
        <f t="shared" si="64"/>
        <v>#N/A</v>
      </c>
      <c r="AH72" s="51" t="e">
        <f>HLOOKUP(I72,ElecAvoidedCostsWOCC!$A$5:$Q$50,T72+1,FALSE)</f>
        <v>#N/A</v>
      </c>
      <c r="AI72" s="43" t="e">
        <f t="shared" si="65"/>
        <v>#N/A</v>
      </c>
      <c r="AJ72" s="43" t="e">
        <f t="shared" si="66"/>
        <v>#N/A</v>
      </c>
      <c r="AK72" s="43" t="e">
        <f>HLOOKUP(I72,ElecAvoidedCostsWOCC!$A$5:$Q$50,G72+1,FALSE)*J72*L72</f>
        <v>#N/A</v>
      </c>
      <c r="AL72" s="43" t="e">
        <f t="shared" si="67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68"/>
        <v>0</v>
      </c>
      <c r="AO72" s="46">
        <f t="shared" si="69"/>
        <v>0</v>
      </c>
      <c r="AP72" s="46" t="e">
        <f t="shared" si="70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52"/>
        <v>0</v>
      </c>
      <c r="U73" s="46">
        <f t="shared" si="53"/>
        <v>0</v>
      </c>
      <c r="V73" s="47">
        <f t="shared" si="54"/>
        <v>0</v>
      </c>
      <c r="W73" s="48">
        <f t="shared" si="55"/>
        <v>0</v>
      </c>
      <c r="X73" s="43">
        <f t="shared" si="56"/>
        <v>0</v>
      </c>
      <c r="Y73" s="43">
        <f t="shared" si="57"/>
        <v>0</v>
      </c>
      <c r="Z73" s="43">
        <f t="shared" si="58"/>
        <v>0</v>
      </c>
      <c r="AA73" s="49">
        <f t="shared" si="59"/>
        <v>0</v>
      </c>
      <c r="AB73" s="50">
        <f t="shared" si="60"/>
        <v>0</v>
      </c>
      <c r="AC73" s="43">
        <f t="shared" si="61"/>
        <v>0</v>
      </c>
      <c r="AD73" s="43">
        <f t="shared" si="62"/>
        <v>0</v>
      </c>
      <c r="AE73" s="43">
        <f t="shared" si="63"/>
        <v>0</v>
      </c>
      <c r="AF73" s="51" t="e">
        <f>HLOOKUP(I73,ElecAvoidedCostsWOCC!$A$5:$Q$50,G73+1,FALSE)</f>
        <v>#N/A</v>
      </c>
      <c r="AG73" s="43" t="e">
        <f t="shared" si="64"/>
        <v>#N/A</v>
      </c>
      <c r="AH73" s="51" t="e">
        <f>HLOOKUP(I73,ElecAvoidedCostsWOCC!$A$5:$Q$50,T73+1,FALSE)</f>
        <v>#N/A</v>
      </c>
      <c r="AI73" s="43" t="e">
        <f t="shared" si="65"/>
        <v>#N/A</v>
      </c>
      <c r="AJ73" s="43" t="e">
        <f t="shared" si="66"/>
        <v>#N/A</v>
      </c>
      <c r="AK73" s="43" t="e">
        <f>HLOOKUP(I73,ElecAvoidedCostsWOCC!$A$5:$Q$50,G73+1,FALSE)*J73*L73</f>
        <v>#N/A</v>
      </c>
      <c r="AL73" s="43" t="e">
        <f t="shared" si="67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68"/>
        <v>0</v>
      </c>
      <c r="AO73" s="46">
        <f t="shared" si="69"/>
        <v>0</v>
      </c>
      <c r="AP73" s="46" t="e">
        <f t="shared" si="70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52"/>
        <v>0</v>
      </c>
      <c r="U74" s="46">
        <f t="shared" si="53"/>
        <v>0</v>
      </c>
      <c r="V74" s="47">
        <f t="shared" si="54"/>
        <v>0</v>
      </c>
      <c r="W74" s="48">
        <f t="shared" si="55"/>
        <v>0</v>
      </c>
      <c r="X74" s="43">
        <f t="shared" si="56"/>
        <v>0</v>
      </c>
      <c r="Y74" s="43">
        <f t="shared" si="57"/>
        <v>0</v>
      </c>
      <c r="Z74" s="43">
        <f t="shared" si="58"/>
        <v>0</v>
      </c>
      <c r="AA74" s="49">
        <f t="shared" si="59"/>
        <v>0</v>
      </c>
      <c r="AB74" s="50">
        <f t="shared" si="60"/>
        <v>0</v>
      </c>
      <c r="AC74" s="43">
        <f t="shared" si="61"/>
        <v>0</v>
      </c>
      <c r="AD74" s="43">
        <f t="shared" si="62"/>
        <v>0</v>
      </c>
      <c r="AE74" s="43">
        <f t="shared" si="63"/>
        <v>0</v>
      </c>
      <c r="AF74" s="51" t="e">
        <f>HLOOKUP(I74,ElecAvoidedCostsWOCC!$A$5:$Q$50,G74+1,FALSE)</f>
        <v>#N/A</v>
      </c>
      <c r="AG74" s="43" t="e">
        <f t="shared" si="64"/>
        <v>#N/A</v>
      </c>
      <c r="AH74" s="51" t="e">
        <f>HLOOKUP(I74,ElecAvoidedCostsWOCC!$A$5:$Q$50,T74+1,FALSE)</f>
        <v>#N/A</v>
      </c>
      <c r="AI74" s="43" t="e">
        <f t="shared" si="65"/>
        <v>#N/A</v>
      </c>
      <c r="AJ74" s="43" t="e">
        <f t="shared" si="66"/>
        <v>#N/A</v>
      </c>
      <c r="AK74" s="43" t="e">
        <f>HLOOKUP(I74,ElecAvoidedCostsWOCC!$A$5:$Q$50,G74+1,FALSE)*J74*L74</f>
        <v>#N/A</v>
      </c>
      <c r="AL74" s="43" t="e">
        <f t="shared" si="67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68"/>
        <v>0</v>
      </c>
      <c r="AO74" s="46">
        <f t="shared" si="69"/>
        <v>0</v>
      </c>
      <c r="AP74" s="46" t="e">
        <f t="shared" si="70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52"/>
        <v>0</v>
      </c>
      <c r="U75" s="46">
        <f t="shared" si="53"/>
        <v>0</v>
      </c>
      <c r="V75" s="47">
        <f t="shared" si="54"/>
        <v>0</v>
      </c>
      <c r="W75" s="48">
        <f t="shared" si="55"/>
        <v>0</v>
      </c>
      <c r="X75" s="43">
        <f t="shared" si="56"/>
        <v>0</v>
      </c>
      <c r="Y75" s="43">
        <f t="shared" si="57"/>
        <v>0</v>
      </c>
      <c r="Z75" s="43">
        <f t="shared" si="58"/>
        <v>0</v>
      </c>
      <c r="AA75" s="49">
        <f t="shared" si="59"/>
        <v>0</v>
      </c>
      <c r="AB75" s="50">
        <f t="shared" si="60"/>
        <v>0</v>
      </c>
      <c r="AC75" s="43">
        <f t="shared" si="61"/>
        <v>0</v>
      </c>
      <c r="AD75" s="43">
        <f t="shared" si="62"/>
        <v>0</v>
      </c>
      <c r="AE75" s="43">
        <f t="shared" si="63"/>
        <v>0</v>
      </c>
      <c r="AF75" s="51" t="e">
        <f>HLOOKUP(I75,ElecAvoidedCostsWOCC!$A$5:$Q$50,G75+1,FALSE)</f>
        <v>#N/A</v>
      </c>
      <c r="AG75" s="43" t="e">
        <f t="shared" si="64"/>
        <v>#N/A</v>
      </c>
      <c r="AH75" s="51" t="e">
        <f>HLOOKUP(I75,ElecAvoidedCostsWOCC!$A$5:$Q$50,T75+1,FALSE)</f>
        <v>#N/A</v>
      </c>
      <c r="AI75" s="43" t="e">
        <f t="shared" si="65"/>
        <v>#N/A</v>
      </c>
      <c r="AJ75" s="43" t="e">
        <f t="shared" si="66"/>
        <v>#N/A</v>
      </c>
      <c r="AK75" s="43" t="e">
        <f>HLOOKUP(I75,ElecAvoidedCostsWOCC!$A$5:$Q$50,G75+1,FALSE)*J75*L75</f>
        <v>#N/A</v>
      </c>
      <c r="AL75" s="43" t="e">
        <f t="shared" si="67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68"/>
        <v>0</v>
      </c>
      <c r="AO75" s="46">
        <f t="shared" si="69"/>
        <v>0</v>
      </c>
      <c r="AP75" s="46" t="e">
        <f t="shared" si="70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52"/>
        <v>0</v>
      </c>
      <c r="U76" s="46">
        <f t="shared" si="53"/>
        <v>0</v>
      </c>
      <c r="V76" s="47">
        <f t="shared" si="54"/>
        <v>0</v>
      </c>
      <c r="W76" s="48">
        <f t="shared" si="55"/>
        <v>0</v>
      </c>
      <c r="X76" s="43">
        <f t="shared" si="56"/>
        <v>0</v>
      </c>
      <c r="Y76" s="43">
        <f t="shared" si="57"/>
        <v>0</v>
      </c>
      <c r="Z76" s="43">
        <f t="shared" si="58"/>
        <v>0</v>
      </c>
      <c r="AA76" s="49">
        <f t="shared" si="59"/>
        <v>0</v>
      </c>
      <c r="AB76" s="50">
        <f t="shared" si="60"/>
        <v>0</v>
      </c>
      <c r="AC76" s="43">
        <f t="shared" si="61"/>
        <v>0</v>
      </c>
      <c r="AD76" s="43">
        <f t="shared" si="62"/>
        <v>0</v>
      </c>
      <c r="AE76" s="43">
        <f t="shared" si="63"/>
        <v>0</v>
      </c>
      <c r="AF76" s="51" t="e">
        <f>HLOOKUP(I76,ElecAvoidedCostsWOCC!$A$5:$Q$50,G76+1,FALSE)</f>
        <v>#N/A</v>
      </c>
      <c r="AG76" s="43" t="e">
        <f t="shared" si="64"/>
        <v>#N/A</v>
      </c>
      <c r="AH76" s="51" t="e">
        <f>HLOOKUP(I76,ElecAvoidedCostsWOCC!$A$5:$Q$50,T76+1,FALSE)</f>
        <v>#N/A</v>
      </c>
      <c r="AI76" s="43" t="e">
        <f t="shared" si="65"/>
        <v>#N/A</v>
      </c>
      <c r="AJ76" s="43" t="e">
        <f t="shared" si="66"/>
        <v>#N/A</v>
      </c>
      <c r="AK76" s="43" t="e">
        <f>HLOOKUP(I76,ElecAvoidedCostsWOCC!$A$5:$Q$50,G76+1,FALSE)*J76*L76</f>
        <v>#N/A</v>
      </c>
      <c r="AL76" s="43" t="e">
        <f t="shared" si="67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68"/>
        <v>0</v>
      </c>
      <c r="AO76" s="46">
        <f t="shared" si="69"/>
        <v>0</v>
      </c>
      <c r="AP76" s="46" t="e">
        <f t="shared" si="70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2"/>
        <v>0</v>
      </c>
      <c r="U77" s="46">
        <f t="shared" si="53"/>
        <v>0</v>
      </c>
      <c r="V77" s="47">
        <f t="shared" si="54"/>
        <v>0</v>
      </c>
      <c r="W77" s="48">
        <f t="shared" si="55"/>
        <v>0</v>
      </c>
      <c r="X77" s="43">
        <f t="shared" si="56"/>
        <v>0</v>
      </c>
      <c r="Y77" s="43">
        <f t="shared" si="57"/>
        <v>0</v>
      </c>
      <c r="Z77" s="43">
        <f t="shared" si="58"/>
        <v>0</v>
      </c>
      <c r="AA77" s="49">
        <f t="shared" si="59"/>
        <v>0</v>
      </c>
      <c r="AB77" s="50">
        <f t="shared" si="60"/>
        <v>0</v>
      </c>
      <c r="AC77" s="43">
        <f t="shared" si="61"/>
        <v>0</v>
      </c>
      <c r="AD77" s="43">
        <f t="shared" si="62"/>
        <v>0</v>
      </c>
      <c r="AE77" s="43">
        <f t="shared" si="63"/>
        <v>0</v>
      </c>
      <c r="AF77" s="51" t="e">
        <f>HLOOKUP(I77,ElecAvoidedCostsWOCC!$A$5:$Q$50,G77+1,FALSE)</f>
        <v>#N/A</v>
      </c>
      <c r="AG77" s="43" t="e">
        <f t="shared" si="64"/>
        <v>#N/A</v>
      </c>
      <c r="AH77" s="51" t="e">
        <f>HLOOKUP(I77,ElecAvoidedCostsWOCC!$A$5:$Q$50,T77+1,FALSE)</f>
        <v>#N/A</v>
      </c>
      <c r="AI77" s="43" t="e">
        <f t="shared" si="65"/>
        <v>#N/A</v>
      </c>
      <c r="AJ77" s="43" t="e">
        <f t="shared" si="66"/>
        <v>#N/A</v>
      </c>
      <c r="AK77" s="43" t="e">
        <f>HLOOKUP(I77,ElecAvoidedCostsWOCC!$A$5:$Q$50,G77+1,FALSE)*J77*L77</f>
        <v>#N/A</v>
      </c>
      <c r="AL77" s="43" t="e">
        <f t="shared" si="67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68"/>
        <v>0</v>
      </c>
      <c r="AO77" s="46">
        <f t="shared" si="69"/>
        <v>0</v>
      </c>
      <c r="AP77" s="46" t="e">
        <f t="shared" si="70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2"/>
        <v>0</v>
      </c>
      <c r="U78" s="46">
        <f t="shared" si="53"/>
        <v>0</v>
      </c>
      <c r="V78" s="47">
        <f t="shared" si="54"/>
        <v>0</v>
      </c>
      <c r="W78" s="48">
        <f t="shared" si="55"/>
        <v>0</v>
      </c>
      <c r="X78" s="43">
        <f t="shared" si="56"/>
        <v>0</v>
      </c>
      <c r="Y78" s="43">
        <f t="shared" si="57"/>
        <v>0</v>
      </c>
      <c r="Z78" s="43">
        <f t="shared" si="58"/>
        <v>0</v>
      </c>
      <c r="AA78" s="49">
        <f t="shared" si="59"/>
        <v>0</v>
      </c>
      <c r="AB78" s="50">
        <f t="shared" si="60"/>
        <v>0</v>
      </c>
      <c r="AC78" s="43">
        <f t="shared" si="61"/>
        <v>0</v>
      </c>
      <c r="AD78" s="43">
        <f t="shared" si="62"/>
        <v>0</v>
      </c>
      <c r="AE78" s="43">
        <f t="shared" si="63"/>
        <v>0</v>
      </c>
      <c r="AF78" s="51" t="e">
        <f>HLOOKUP(I78,ElecAvoidedCostsWOCC!$A$5:$Q$50,G78+1,FALSE)</f>
        <v>#N/A</v>
      </c>
      <c r="AG78" s="43" t="e">
        <f t="shared" si="64"/>
        <v>#N/A</v>
      </c>
      <c r="AH78" s="51" t="e">
        <f>HLOOKUP(I78,ElecAvoidedCostsWOCC!$A$5:$Q$50,T78+1,FALSE)</f>
        <v>#N/A</v>
      </c>
      <c r="AI78" s="43" t="e">
        <f t="shared" si="65"/>
        <v>#N/A</v>
      </c>
      <c r="AJ78" s="43" t="e">
        <f t="shared" si="66"/>
        <v>#N/A</v>
      </c>
      <c r="AK78" s="43" t="e">
        <f>HLOOKUP(I78,ElecAvoidedCostsWOCC!$A$5:$Q$50,G78+1,FALSE)*J78*L78</f>
        <v>#N/A</v>
      </c>
      <c r="AL78" s="43" t="e">
        <f t="shared" si="67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68"/>
        <v>0</v>
      </c>
      <c r="AO78" s="46">
        <f t="shared" si="69"/>
        <v>0</v>
      </c>
      <c r="AP78" s="46" t="e">
        <f t="shared" si="70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2"/>
        <v>0</v>
      </c>
      <c r="U79" s="46">
        <f t="shared" si="53"/>
        <v>0</v>
      </c>
      <c r="V79" s="47">
        <f t="shared" si="54"/>
        <v>0</v>
      </c>
      <c r="W79" s="48">
        <f t="shared" si="55"/>
        <v>0</v>
      </c>
      <c r="X79" s="43">
        <f t="shared" si="56"/>
        <v>0</v>
      </c>
      <c r="Y79" s="43">
        <f t="shared" si="57"/>
        <v>0</v>
      </c>
      <c r="Z79" s="43">
        <f t="shared" si="58"/>
        <v>0</v>
      </c>
      <c r="AA79" s="49">
        <f t="shared" si="59"/>
        <v>0</v>
      </c>
      <c r="AB79" s="50">
        <f t="shared" si="60"/>
        <v>0</v>
      </c>
      <c r="AC79" s="43">
        <f t="shared" si="61"/>
        <v>0</v>
      </c>
      <c r="AD79" s="43">
        <f t="shared" si="62"/>
        <v>0</v>
      </c>
      <c r="AE79" s="43">
        <f t="shared" si="63"/>
        <v>0</v>
      </c>
      <c r="AF79" s="51" t="e">
        <f>HLOOKUP(I79,ElecAvoidedCostsWOCC!$A$5:$Q$50,G79+1,FALSE)</f>
        <v>#N/A</v>
      </c>
      <c r="AG79" s="43" t="e">
        <f t="shared" si="64"/>
        <v>#N/A</v>
      </c>
      <c r="AH79" s="51" t="e">
        <f>HLOOKUP(I79,ElecAvoidedCostsWOCC!$A$5:$Q$50,T79+1,FALSE)</f>
        <v>#N/A</v>
      </c>
      <c r="AI79" s="43" t="e">
        <f t="shared" si="65"/>
        <v>#N/A</v>
      </c>
      <c r="AJ79" s="43" t="e">
        <f t="shared" si="66"/>
        <v>#N/A</v>
      </c>
      <c r="AK79" s="43" t="e">
        <f>HLOOKUP(I79,ElecAvoidedCostsWOCC!$A$5:$Q$50,G79+1,FALSE)*J79*L79</f>
        <v>#N/A</v>
      </c>
      <c r="AL79" s="43" t="e">
        <f t="shared" si="67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68"/>
        <v>0</v>
      </c>
      <c r="AO79" s="46">
        <f t="shared" si="69"/>
        <v>0</v>
      </c>
      <c r="AP79" s="46" t="e">
        <f t="shared" si="70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2"/>
        <v>0</v>
      </c>
      <c r="U80" s="46">
        <f t="shared" si="53"/>
        <v>0</v>
      </c>
      <c r="V80" s="47">
        <f t="shared" si="54"/>
        <v>0</v>
      </c>
      <c r="W80" s="48">
        <f t="shared" si="55"/>
        <v>0</v>
      </c>
      <c r="X80" s="43">
        <f t="shared" si="56"/>
        <v>0</v>
      </c>
      <c r="Y80" s="43">
        <f t="shared" si="57"/>
        <v>0</v>
      </c>
      <c r="Z80" s="43">
        <f t="shared" si="58"/>
        <v>0</v>
      </c>
      <c r="AA80" s="49">
        <f t="shared" si="59"/>
        <v>0</v>
      </c>
      <c r="AB80" s="50">
        <f t="shared" si="60"/>
        <v>0</v>
      </c>
      <c r="AC80" s="43">
        <f t="shared" si="61"/>
        <v>0</v>
      </c>
      <c r="AD80" s="43">
        <f t="shared" si="62"/>
        <v>0</v>
      </c>
      <c r="AE80" s="43">
        <f t="shared" si="63"/>
        <v>0</v>
      </c>
      <c r="AF80" s="51" t="e">
        <f>HLOOKUP(I80,ElecAvoidedCostsWOCC!$A$5:$Q$50,G80+1,FALSE)</f>
        <v>#N/A</v>
      </c>
      <c r="AG80" s="43" t="e">
        <f t="shared" si="64"/>
        <v>#N/A</v>
      </c>
      <c r="AH80" s="51" t="e">
        <f>HLOOKUP(I80,ElecAvoidedCostsWOCC!$A$5:$Q$50,T80+1,FALSE)</f>
        <v>#N/A</v>
      </c>
      <c r="AI80" s="43" t="e">
        <f t="shared" si="65"/>
        <v>#N/A</v>
      </c>
      <c r="AJ80" s="43" t="e">
        <f t="shared" si="66"/>
        <v>#N/A</v>
      </c>
      <c r="AK80" s="43" t="e">
        <f>HLOOKUP(I80,ElecAvoidedCostsWOCC!$A$5:$Q$50,G80+1,FALSE)*J80*L80</f>
        <v>#N/A</v>
      </c>
      <c r="AL80" s="43" t="e">
        <f t="shared" si="67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68"/>
        <v>0</v>
      </c>
      <c r="AO80" s="46">
        <f t="shared" si="69"/>
        <v>0</v>
      </c>
      <c r="AP80" s="46" t="e">
        <f t="shared" si="70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2"/>
        <v>0</v>
      </c>
      <c r="U81" s="46">
        <f t="shared" si="53"/>
        <v>0</v>
      </c>
      <c r="V81" s="47">
        <f t="shared" si="54"/>
        <v>0</v>
      </c>
      <c r="W81" s="48">
        <f t="shared" si="55"/>
        <v>0</v>
      </c>
      <c r="X81" s="43">
        <f t="shared" si="56"/>
        <v>0</v>
      </c>
      <c r="Y81" s="43">
        <f t="shared" si="57"/>
        <v>0</v>
      </c>
      <c r="Z81" s="43">
        <f t="shared" si="58"/>
        <v>0</v>
      </c>
      <c r="AA81" s="49">
        <f t="shared" si="59"/>
        <v>0</v>
      </c>
      <c r="AB81" s="50">
        <f t="shared" si="60"/>
        <v>0</v>
      </c>
      <c r="AC81" s="43">
        <f t="shared" si="61"/>
        <v>0</v>
      </c>
      <c r="AD81" s="43">
        <f t="shared" si="62"/>
        <v>0</v>
      </c>
      <c r="AE81" s="43">
        <f t="shared" si="63"/>
        <v>0</v>
      </c>
      <c r="AF81" s="51" t="e">
        <f>HLOOKUP(I81,ElecAvoidedCostsWOCC!$A$5:$Q$50,G81+1,FALSE)</f>
        <v>#N/A</v>
      </c>
      <c r="AG81" s="43" t="e">
        <f t="shared" si="64"/>
        <v>#N/A</v>
      </c>
      <c r="AH81" s="51" t="e">
        <f>HLOOKUP(I81,ElecAvoidedCostsWOCC!$A$5:$Q$50,T81+1,FALSE)</f>
        <v>#N/A</v>
      </c>
      <c r="AI81" s="43" t="e">
        <f t="shared" si="65"/>
        <v>#N/A</v>
      </c>
      <c r="AJ81" s="43" t="e">
        <f t="shared" si="66"/>
        <v>#N/A</v>
      </c>
      <c r="AK81" s="43" t="e">
        <f>HLOOKUP(I81,ElecAvoidedCostsWOCC!$A$5:$Q$50,G81+1,FALSE)*J81*L81</f>
        <v>#N/A</v>
      </c>
      <c r="AL81" s="43" t="e">
        <f t="shared" si="67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68"/>
        <v>0</v>
      </c>
      <c r="AO81" s="46">
        <f t="shared" si="69"/>
        <v>0</v>
      </c>
      <c r="AP81" s="46" t="e">
        <f t="shared" si="70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2"/>
        <v>0</v>
      </c>
      <c r="U82" s="46">
        <f t="shared" si="53"/>
        <v>0</v>
      </c>
      <c r="V82" s="47">
        <f t="shared" si="54"/>
        <v>0</v>
      </c>
      <c r="W82" s="48">
        <f t="shared" si="55"/>
        <v>0</v>
      </c>
      <c r="X82" s="43">
        <f t="shared" si="56"/>
        <v>0</v>
      </c>
      <c r="Y82" s="43">
        <f t="shared" si="57"/>
        <v>0</v>
      </c>
      <c r="Z82" s="43">
        <f t="shared" si="58"/>
        <v>0</v>
      </c>
      <c r="AA82" s="49">
        <f t="shared" si="59"/>
        <v>0</v>
      </c>
      <c r="AB82" s="50">
        <f t="shared" si="60"/>
        <v>0</v>
      </c>
      <c r="AC82" s="43">
        <f t="shared" si="61"/>
        <v>0</v>
      </c>
      <c r="AD82" s="43">
        <f t="shared" si="62"/>
        <v>0</v>
      </c>
      <c r="AE82" s="43">
        <f t="shared" si="63"/>
        <v>0</v>
      </c>
      <c r="AF82" s="51" t="e">
        <f>HLOOKUP(I82,ElecAvoidedCostsWOCC!$A$5:$Q$50,G82+1,FALSE)</f>
        <v>#N/A</v>
      </c>
      <c r="AG82" s="43" t="e">
        <f t="shared" si="64"/>
        <v>#N/A</v>
      </c>
      <c r="AH82" s="51" t="e">
        <f>HLOOKUP(I82,ElecAvoidedCostsWOCC!$A$5:$Q$50,T82+1,FALSE)</f>
        <v>#N/A</v>
      </c>
      <c r="AI82" s="43" t="e">
        <f t="shared" si="65"/>
        <v>#N/A</v>
      </c>
      <c r="AJ82" s="43" t="e">
        <f t="shared" si="66"/>
        <v>#N/A</v>
      </c>
      <c r="AK82" s="43" t="e">
        <f>HLOOKUP(I82,ElecAvoidedCostsWOCC!$A$5:$Q$50,G82+1,FALSE)*J82*L82</f>
        <v>#N/A</v>
      </c>
      <c r="AL82" s="43" t="e">
        <f t="shared" si="67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68"/>
        <v>0</v>
      </c>
      <c r="AO82" s="46">
        <f t="shared" si="69"/>
        <v>0</v>
      </c>
      <c r="AP82" s="46" t="e">
        <f t="shared" si="70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2"/>
        <v>0</v>
      </c>
      <c r="U83" s="46">
        <f t="shared" si="53"/>
        <v>0</v>
      </c>
      <c r="V83" s="47">
        <f t="shared" si="54"/>
        <v>0</v>
      </c>
      <c r="W83" s="48">
        <f t="shared" si="55"/>
        <v>0</v>
      </c>
      <c r="X83" s="43">
        <f t="shared" si="56"/>
        <v>0</v>
      </c>
      <c r="Y83" s="43">
        <f t="shared" si="57"/>
        <v>0</v>
      </c>
      <c r="Z83" s="43">
        <f t="shared" si="58"/>
        <v>0</v>
      </c>
      <c r="AA83" s="49">
        <f t="shared" si="59"/>
        <v>0</v>
      </c>
      <c r="AB83" s="50">
        <f t="shared" si="60"/>
        <v>0</v>
      </c>
      <c r="AC83" s="43">
        <f t="shared" si="61"/>
        <v>0</v>
      </c>
      <c r="AD83" s="43">
        <f t="shared" si="62"/>
        <v>0</v>
      </c>
      <c r="AE83" s="43">
        <f t="shared" si="63"/>
        <v>0</v>
      </c>
      <c r="AF83" s="51" t="e">
        <f>HLOOKUP(I83,ElecAvoidedCostsWOCC!$A$5:$Q$50,G83+1,FALSE)</f>
        <v>#N/A</v>
      </c>
      <c r="AG83" s="43" t="e">
        <f t="shared" si="64"/>
        <v>#N/A</v>
      </c>
      <c r="AH83" s="51" t="e">
        <f>HLOOKUP(I83,ElecAvoidedCostsWOCC!$A$5:$Q$50,T83+1,FALSE)</f>
        <v>#N/A</v>
      </c>
      <c r="AI83" s="43" t="e">
        <f t="shared" si="65"/>
        <v>#N/A</v>
      </c>
      <c r="AJ83" s="43" t="e">
        <f t="shared" si="66"/>
        <v>#N/A</v>
      </c>
      <c r="AK83" s="43" t="e">
        <f>HLOOKUP(I83,ElecAvoidedCostsWOCC!$A$5:$Q$50,G83+1,FALSE)*J83*L83</f>
        <v>#N/A</v>
      </c>
      <c r="AL83" s="43" t="e">
        <f t="shared" si="67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68"/>
        <v>0</v>
      </c>
      <c r="AO83" s="46">
        <f t="shared" si="69"/>
        <v>0</v>
      </c>
      <c r="AP83" s="46" t="e">
        <f t="shared" si="70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2"/>
        <v>0</v>
      </c>
      <c r="U84" s="46">
        <f t="shared" si="53"/>
        <v>0</v>
      </c>
      <c r="V84" s="47">
        <f t="shared" si="54"/>
        <v>0</v>
      </c>
      <c r="W84" s="48">
        <f t="shared" si="55"/>
        <v>0</v>
      </c>
      <c r="X84" s="43">
        <f t="shared" si="56"/>
        <v>0</v>
      </c>
      <c r="Y84" s="43">
        <f t="shared" si="57"/>
        <v>0</v>
      </c>
      <c r="Z84" s="43">
        <f t="shared" si="58"/>
        <v>0</v>
      </c>
      <c r="AA84" s="49">
        <f t="shared" si="59"/>
        <v>0</v>
      </c>
      <c r="AB84" s="50">
        <f t="shared" si="60"/>
        <v>0</v>
      </c>
      <c r="AC84" s="43">
        <f t="shared" si="61"/>
        <v>0</v>
      </c>
      <c r="AD84" s="43">
        <f t="shared" si="62"/>
        <v>0</v>
      </c>
      <c r="AE84" s="43">
        <f t="shared" si="63"/>
        <v>0</v>
      </c>
      <c r="AF84" s="51" t="e">
        <f>HLOOKUP(I84,ElecAvoidedCostsWOCC!$A$5:$Q$50,G84+1,FALSE)</f>
        <v>#N/A</v>
      </c>
      <c r="AG84" s="43" t="e">
        <f t="shared" si="64"/>
        <v>#N/A</v>
      </c>
      <c r="AH84" s="51" t="e">
        <f>HLOOKUP(I84,ElecAvoidedCostsWOCC!$A$5:$Q$50,T84+1,FALSE)</f>
        <v>#N/A</v>
      </c>
      <c r="AI84" s="43" t="e">
        <f t="shared" si="65"/>
        <v>#N/A</v>
      </c>
      <c r="AJ84" s="43" t="e">
        <f t="shared" si="66"/>
        <v>#N/A</v>
      </c>
      <c r="AK84" s="43" t="e">
        <f>HLOOKUP(I84,ElecAvoidedCostsWOCC!$A$5:$Q$50,G84+1,FALSE)*J84*L84</f>
        <v>#N/A</v>
      </c>
      <c r="AL84" s="43" t="e">
        <f t="shared" si="67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68"/>
        <v>0</v>
      </c>
      <c r="AO84" s="46">
        <f t="shared" si="69"/>
        <v>0</v>
      </c>
      <c r="AP84" s="46" t="e">
        <f t="shared" si="70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2"/>
        <v>0</v>
      </c>
      <c r="U85" s="46">
        <f t="shared" si="53"/>
        <v>0</v>
      </c>
      <c r="V85" s="47">
        <f t="shared" si="54"/>
        <v>0</v>
      </c>
      <c r="W85" s="48">
        <f t="shared" si="55"/>
        <v>0</v>
      </c>
      <c r="X85" s="43">
        <f t="shared" si="56"/>
        <v>0</v>
      </c>
      <c r="Y85" s="43">
        <f t="shared" si="57"/>
        <v>0</v>
      </c>
      <c r="Z85" s="43">
        <f t="shared" si="58"/>
        <v>0</v>
      </c>
      <c r="AA85" s="49">
        <f t="shared" si="59"/>
        <v>0</v>
      </c>
      <c r="AB85" s="50">
        <f t="shared" si="60"/>
        <v>0</v>
      </c>
      <c r="AC85" s="43">
        <f t="shared" si="61"/>
        <v>0</v>
      </c>
      <c r="AD85" s="43">
        <f t="shared" si="62"/>
        <v>0</v>
      </c>
      <c r="AE85" s="43">
        <f t="shared" si="63"/>
        <v>0</v>
      </c>
      <c r="AF85" s="51" t="e">
        <f>HLOOKUP(I85,ElecAvoidedCostsWOCC!$A$5:$Q$50,G85+1,FALSE)</f>
        <v>#N/A</v>
      </c>
      <c r="AG85" s="43" t="e">
        <f t="shared" si="64"/>
        <v>#N/A</v>
      </c>
      <c r="AH85" s="51" t="e">
        <f>HLOOKUP(I85,ElecAvoidedCostsWOCC!$A$5:$Q$50,T85+1,FALSE)</f>
        <v>#N/A</v>
      </c>
      <c r="AI85" s="43" t="e">
        <f t="shared" si="65"/>
        <v>#N/A</v>
      </c>
      <c r="AJ85" s="43" t="e">
        <f t="shared" si="66"/>
        <v>#N/A</v>
      </c>
      <c r="AK85" s="43" t="e">
        <f>HLOOKUP(I85,ElecAvoidedCostsWOCC!$A$5:$Q$50,G85+1,FALSE)*J85*L85</f>
        <v>#N/A</v>
      </c>
      <c r="AL85" s="43" t="e">
        <f t="shared" si="67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68"/>
        <v>0</v>
      </c>
      <c r="AO85" s="46">
        <f t="shared" si="69"/>
        <v>0</v>
      </c>
      <c r="AP85" s="46" t="e">
        <f t="shared" si="70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2"/>
        <v>0</v>
      </c>
      <c r="U86" s="46">
        <f t="shared" si="53"/>
        <v>0</v>
      </c>
      <c r="V86" s="47">
        <f t="shared" si="54"/>
        <v>0</v>
      </c>
      <c r="W86" s="48">
        <f t="shared" si="55"/>
        <v>0</v>
      </c>
      <c r="X86" s="43">
        <f t="shared" si="56"/>
        <v>0</v>
      </c>
      <c r="Y86" s="43">
        <f t="shared" si="57"/>
        <v>0</v>
      </c>
      <c r="Z86" s="43">
        <f t="shared" si="58"/>
        <v>0</v>
      </c>
      <c r="AA86" s="49">
        <f t="shared" si="59"/>
        <v>0</v>
      </c>
      <c r="AB86" s="50">
        <f t="shared" si="60"/>
        <v>0</v>
      </c>
      <c r="AC86" s="43">
        <f t="shared" si="61"/>
        <v>0</v>
      </c>
      <c r="AD86" s="43">
        <f t="shared" si="62"/>
        <v>0</v>
      </c>
      <c r="AE86" s="43">
        <f t="shared" si="63"/>
        <v>0</v>
      </c>
      <c r="AF86" s="51" t="e">
        <f>HLOOKUP(I86,ElecAvoidedCostsWOCC!$A$5:$Q$50,G86+1,FALSE)</f>
        <v>#N/A</v>
      </c>
      <c r="AG86" s="43" t="e">
        <f t="shared" si="64"/>
        <v>#N/A</v>
      </c>
      <c r="AH86" s="51" t="e">
        <f>HLOOKUP(I86,ElecAvoidedCostsWOCC!$A$5:$Q$50,T86+1,FALSE)</f>
        <v>#N/A</v>
      </c>
      <c r="AI86" s="43" t="e">
        <f t="shared" si="65"/>
        <v>#N/A</v>
      </c>
      <c r="AJ86" s="43" t="e">
        <f t="shared" si="66"/>
        <v>#N/A</v>
      </c>
      <c r="AK86" s="43" t="e">
        <f>HLOOKUP(I86,ElecAvoidedCostsWOCC!$A$5:$Q$50,G86+1,FALSE)*J86*L86</f>
        <v>#N/A</v>
      </c>
      <c r="AL86" s="43" t="e">
        <f t="shared" si="67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68"/>
        <v>0</v>
      </c>
      <c r="AO86" s="46">
        <f t="shared" si="69"/>
        <v>0</v>
      </c>
      <c r="AP86" s="46" t="e">
        <f t="shared" si="70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2"/>
        <v>0</v>
      </c>
      <c r="U87" s="46">
        <f t="shared" si="53"/>
        <v>0</v>
      </c>
      <c r="V87" s="47">
        <f t="shared" si="54"/>
        <v>0</v>
      </c>
      <c r="W87" s="48">
        <f t="shared" si="55"/>
        <v>0</v>
      </c>
      <c r="X87" s="43">
        <f t="shared" si="56"/>
        <v>0</v>
      </c>
      <c r="Y87" s="43">
        <f t="shared" si="57"/>
        <v>0</v>
      </c>
      <c r="Z87" s="43">
        <f t="shared" si="58"/>
        <v>0</v>
      </c>
      <c r="AA87" s="49">
        <f t="shared" si="59"/>
        <v>0</v>
      </c>
      <c r="AB87" s="50">
        <f t="shared" si="60"/>
        <v>0</v>
      </c>
      <c r="AC87" s="43">
        <f t="shared" si="61"/>
        <v>0</v>
      </c>
      <c r="AD87" s="43">
        <f t="shared" si="62"/>
        <v>0</v>
      </c>
      <c r="AE87" s="43">
        <f t="shared" si="63"/>
        <v>0</v>
      </c>
      <c r="AF87" s="51" t="e">
        <f>HLOOKUP(I87,ElecAvoidedCostsWOCC!$A$5:$Q$50,G87+1,FALSE)</f>
        <v>#N/A</v>
      </c>
      <c r="AG87" s="43" t="e">
        <f t="shared" si="64"/>
        <v>#N/A</v>
      </c>
      <c r="AH87" s="51" t="e">
        <f>HLOOKUP(I87,ElecAvoidedCostsWOCC!$A$5:$Q$50,T87+1,FALSE)</f>
        <v>#N/A</v>
      </c>
      <c r="AI87" s="43" t="e">
        <f t="shared" si="65"/>
        <v>#N/A</v>
      </c>
      <c r="AJ87" s="43" t="e">
        <f t="shared" si="66"/>
        <v>#N/A</v>
      </c>
      <c r="AK87" s="43" t="e">
        <f>HLOOKUP(I87,ElecAvoidedCostsWOCC!$A$5:$Q$50,G87+1,FALSE)*J87*L87</f>
        <v>#N/A</v>
      </c>
      <c r="AL87" s="43" t="e">
        <f t="shared" si="67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68"/>
        <v>0</v>
      </c>
      <c r="AO87" s="46">
        <f t="shared" si="69"/>
        <v>0</v>
      </c>
      <c r="AP87" s="46" t="e">
        <f t="shared" si="70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2"/>
        <v>0</v>
      </c>
      <c r="U88" s="46">
        <f t="shared" si="53"/>
        <v>0</v>
      </c>
      <c r="V88" s="47">
        <f t="shared" si="54"/>
        <v>0</v>
      </c>
      <c r="W88" s="48">
        <f t="shared" si="55"/>
        <v>0</v>
      </c>
      <c r="X88" s="43">
        <f t="shared" si="56"/>
        <v>0</v>
      </c>
      <c r="Y88" s="43">
        <f t="shared" si="57"/>
        <v>0</v>
      </c>
      <c r="Z88" s="43">
        <f t="shared" si="58"/>
        <v>0</v>
      </c>
      <c r="AA88" s="49">
        <f t="shared" si="59"/>
        <v>0</v>
      </c>
      <c r="AB88" s="50">
        <f t="shared" si="60"/>
        <v>0</v>
      </c>
      <c r="AC88" s="43">
        <f t="shared" si="61"/>
        <v>0</v>
      </c>
      <c r="AD88" s="43">
        <f t="shared" si="62"/>
        <v>0</v>
      </c>
      <c r="AE88" s="43">
        <f t="shared" si="63"/>
        <v>0</v>
      </c>
      <c r="AF88" s="51" t="e">
        <f>HLOOKUP(I88,ElecAvoidedCostsWOCC!$A$5:$Q$50,G88+1,FALSE)</f>
        <v>#N/A</v>
      </c>
      <c r="AG88" s="43" t="e">
        <f t="shared" si="64"/>
        <v>#N/A</v>
      </c>
      <c r="AH88" s="51" t="e">
        <f>HLOOKUP(I88,ElecAvoidedCostsWOCC!$A$5:$Q$50,T88+1,FALSE)</f>
        <v>#N/A</v>
      </c>
      <c r="AI88" s="43" t="e">
        <f t="shared" si="65"/>
        <v>#N/A</v>
      </c>
      <c r="AJ88" s="43" t="e">
        <f t="shared" si="66"/>
        <v>#N/A</v>
      </c>
      <c r="AK88" s="43" t="e">
        <f>HLOOKUP(I88,ElecAvoidedCostsWOCC!$A$5:$Q$50,G88+1,FALSE)*J88*L88</f>
        <v>#N/A</v>
      </c>
      <c r="AL88" s="43" t="e">
        <f t="shared" si="67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68"/>
        <v>0</v>
      </c>
      <c r="AO88" s="46">
        <f t="shared" si="69"/>
        <v>0</v>
      </c>
      <c r="AP88" s="46" t="e">
        <f t="shared" si="70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2"/>
        <v>0</v>
      </c>
      <c r="U89" s="46">
        <f t="shared" si="53"/>
        <v>0</v>
      </c>
      <c r="V89" s="47">
        <f t="shared" si="54"/>
        <v>0</v>
      </c>
      <c r="W89" s="48">
        <f t="shared" si="55"/>
        <v>0</v>
      </c>
      <c r="X89" s="43">
        <f t="shared" si="56"/>
        <v>0</v>
      </c>
      <c r="Y89" s="43">
        <f t="shared" si="57"/>
        <v>0</v>
      </c>
      <c r="Z89" s="43">
        <f t="shared" si="58"/>
        <v>0</v>
      </c>
      <c r="AA89" s="49">
        <f t="shared" si="59"/>
        <v>0</v>
      </c>
      <c r="AB89" s="50">
        <f t="shared" si="60"/>
        <v>0</v>
      </c>
      <c r="AC89" s="43">
        <f t="shared" si="61"/>
        <v>0</v>
      </c>
      <c r="AD89" s="43">
        <f t="shared" si="62"/>
        <v>0</v>
      </c>
      <c r="AE89" s="43">
        <f t="shared" si="63"/>
        <v>0</v>
      </c>
      <c r="AF89" s="51" t="e">
        <f>HLOOKUP(I89,ElecAvoidedCostsWOCC!$A$5:$Q$50,G89+1,FALSE)</f>
        <v>#N/A</v>
      </c>
      <c r="AG89" s="43" t="e">
        <f t="shared" si="64"/>
        <v>#N/A</v>
      </c>
      <c r="AH89" s="51" t="e">
        <f>HLOOKUP(I89,ElecAvoidedCostsWOCC!$A$5:$Q$50,T89+1,FALSE)</f>
        <v>#N/A</v>
      </c>
      <c r="AI89" s="43" t="e">
        <f t="shared" si="65"/>
        <v>#N/A</v>
      </c>
      <c r="AJ89" s="43" t="e">
        <f t="shared" si="66"/>
        <v>#N/A</v>
      </c>
      <c r="AK89" s="43" t="e">
        <f>HLOOKUP(I89,ElecAvoidedCostsWOCC!$A$5:$Q$50,G89+1,FALSE)*J89*L89</f>
        <v>#N/A</v>
      </c>
      <c r="AL89" s="43" t="e">
        <f t="shared" si="67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68"/>
        <v>0</v>
      </c>
      <c r="AO89" s="46">
        <f t="shared" si="69"/>
        <v>0</v>
      </c>
      <c r="AP89" s="46" t="e">
        <f t="shared" si="70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2"/>
        <v>0</v>
      </c>
      <c r="U90" s="46">
        <f t="shared" si="53"/>
        <v>0</v>
      </c>
      <c r="V90" s="47">
        <f t="shared" si="54"/>
        <v>0</v>
      </c>
      <c r="W90" s="48">
        <f t="shared" si="55"/>
        <v>0</v>
      </c>
      <c r="X90" s="43">
        <f t="shared" si="56"/>
        <v>0</v>
      </c>
      <c r="Y90" s="43">
        <f t="shared" si="57"/>
        <v>0</v>
      </c>
      <c r="Z90" s="43">
        <f t="shared" si="58"/>
        <v>0</v>
      </c>
      <c r="AA90" s="49">
        <f t="shared" si="59"/>
        <v>0</v>
      </c>
      <c r="AB90" s="50">
        <f t="shared" si="60"/>
        <v>0</v>
      </c>
      <c r="AC90" s="43">
        <f t="shared" si="61"/>
        <v>0</v>
      </c>
      <c r="AD90" s="43">
        <f t="shared" si="62"/>
        <v>0</v>
      </c>
      <c r="AE90" s="43">
        <f t="shared" si="63"/>
        <v>0</v>
      </c>
      <c r="AF90" s="51" t="e">
        <f>HLOOKUP(I90,ElecAvoidedCostsWOCC!$A$5:$Q$50,G90+1,FALSE)</f>
        <v>#N/A</v>
      </c>
      <c r="AG90" s="43" t="e">
        <f t="shared" si="64"/>
        <v>#N/A</v>
      </c>
      <c r="AH90" s="51" t="e">
        <f>HLOOKUP(I90,ElecAvoidedCostsWOCC!$A$5:$Q$50,T90+1,FALSE)</f>
        <v>#N/A</v>
      </c>
      <c r="AI90" s="43" t="e">
        <f t="shared" si="65"/>
        <v>#N/A</v>
      </c>
      <c r="AJ90" s="43" t="e">
        <f t="shared" si="66"/>
        <v>#N/A</v>
      </c>
      <c r="AK90" s="43" t="e">
        <f>HLOOKUP(I90,ElecAvoidedCostsWOCC!$A$5:$Q$50,G90+1,FALSE)*J90*L90</f>
        <v>#N/A</v>
      </c>
      <c r="AL90" s="43" t="e">
        <f t="shared" si="67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68"/>
        <v>0</v>
      </c>
      <c r="AO90" s="46">
        <f t="shared" si="69"/>
        <v>0</v>
      </c>
      <c r="AP90" s="46" t="e">
        <f t="shared" si="70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2"/>
        <v>0</v>
      </c>
      <c r="U91" s="46">
        <f t="shared" si="53"/>
        <v>0</v>
      </c>
      <c r="V91" s="47">
        <f t="shared" si="54"/>
        <v>0</v>
      </c>
      <c r="W91" s="48">
        <f t="shared" si="55"/>
        <v>0</v>
      </c>
      <c r="X91" s="43">
        <f t="shared" si="56"/>
        <v>0</v>
      </c>
      <c r="Y91" s="43">
        <f t="shared" si="57"/>
        <v>0</v>
      </c>
      <c r="Z91" s="43">
        <f t="shared" si="58"/>
        <v>0</v>
      </c>
      <c r="AA91" s="49">
        <f t="shared" si="59"/>
        <v>0</v>
      </c>
      <c r="AB91" s="50">
        <f t="shared" si="60"/>
        <v>0</v>
      </c>
      <c r="AC91" s="43">
        <f t="shared" si="61"/>
        <v>0</v>
      </c>
      <c r="AD91" s="43">
        <f t="shared" si="62"/>
        <v>0</v>
      </c>
      <c r="AE91" s="43">
        <f t="shared" si="63"/>
        <v>0</v>
      </c>
      <c r="AF91" s="51" t="e">
        <f>HLOOKUP(I91,ElecAvoidedCostsWOCC!$A$5:$Q$50,G91+1,FALSE)</f>
        <v>#N/A</v>
      </c>
      <c r="AG91" s="43" t="e">
        <f t="shared" si="64"/>
        <v>#N/A</v>
      </c>
      <c r="AH91" s="51" t="e">
        <f>HLOOKUP(I91,ElecAvoidedCostsWOCC!$A$5:$Q$50,T91+1,FALSE)</f>
        <v>#N/A</v>
      </c>
      <c r="AI91" s="43" t="e">
        <f t="shared" si="65"/>
        <v>#N/A</v>
      </c>
      <c r="AJ91" s="43" t="e">
        <f t="shared" si="66"/>
        <v>#N/A</v>
      </c>
      <c r="AK91" s="43" t="e">
        <f>HLOOKUP(I91,ElecAvoidedCostsWOCC!$A$5:$Q$50,G91+1,FALSE)*J91*L91</f>
        <v>#N/A</v>
      </c>
      <c r="AL91" s="43" t="e">
        <f t="shared" si="67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68"/>
        <v>0</v>
      </c>
      <c r="AO91" s="46">
        <f t="shared" si="69"/>
        <v>0</v>
      </c>
      <c r="AP91" s="46" t="e">
        <f t="shared" si="70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2"/>
        <v>0</v>
      </c>
      <c r="U92" s="46">
        <f t="shared" si="53"/>
        <v>0</v>
      </c>
      <c r="V92" s="47">
        <f t="shared" si="54"/>
        <v>0</v>
      </c>
      <c r="W92" s="48">
        <f t="shared" si="55"/>
        <v>0</v>
      </c>
      <c r="X92" s="43">
        <f t="shared" si="56"/>
        <v>0</v>
      </c>
      <c r="Y92" s="43">
        <f t="shared" si="57"/>
        <v>0</v>
      </c>
      <c r="Z92" s="43">
        <f t="shared" si="58"/>
        <v>0</v>
      </c>
      <c r="AA92" s="49">
        <f t="shared" si="59"/>
        <v>0</v>
      </c>
      <c r="AB92" s="50">
        <f t="shared" si="60"/>
        <v>0</v>
      </c>
      <c r="AC92" s="43">
        <f t="shared" si="61"/>
        <v>0</v>
      </c>
      <c r="AD92" s="43">
        <f t="shared" si="62"/>
        <v>0</v>
      </c>
      <c r="AE92" s="43">
        <f t="shared" si="63"/>
        <v>0</v>
      </c>
      <c r="AF92" s="51" t="e">
        <f>HLOOKUP(I92,ElecAvoidedCostsWOCC!$A$5:$Q$50,G92+1,FALSE)</f>
        <v>#N/A</v>
      </c>
      <c r="AG92" s="43" t="e">
        <f t="shared" si="64"/>
        <v>#N/A</v>
      </c>
      <c r="AH92" s="51" t="e">
        <f>HLOOKUP(I92,ElecAvoidedCostsWOCC!$A$5:$Q$50,T92+1,FALSE)</f>
        <v>#N/A</v>
      </c>
      <c r="AI92" s="43" t="e">
        <f t="shared" si="65"/>
        <v>#N/A</v>
      </c>
      <c r="AJ92" s="43" t="e">
        <f t="shared" si="66"/>
        <v>#N/A</v>
      </c>
      <c r="AK92" s="43" t="e">
        <f>HLOOKUP(I92,ElecAvoidedCostsWOCC!$A$5:$Q$50,G92+1,FALSE)*J92*L92</f>
        <v>#N/A</v>
      </c>
      <c r="AL92" s="43" t="e">
        <f t="shared" si="67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68"/>
        <v>0</v>
      </c>
      <c r="AO92" s="46">
        <f t="shared" si="69"/>
        <v>0</v>
      </c>
      <c r="AP92" s="46" t="e">
        <f t="shared" si="70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2"/>
        <v>0</v>
      </c>
      <c r="U93" s="46">
        <f t="shared" si="53"/>
        <v>0</v>
      </c>
      <c r="V93" s="47">
        <f t="shared" si="54"/>
        <v>0</v>
      </c>
      <c r="W93" s="48">
        <f t="shared" si="55"/>
        <v>0</v>
      </c>
      <c r="X93" s="43">
        <f t="shared" si="56"/>
        <v>0</v>
      </c>
      <c r="Y93" s="43">
        <f t="shared" si="57"/>
        <v>0</v>
      </c>
      <c r="Z93" s="43">
        <f t="shared" si="58"/>
        <v>0</v>
      </c>
      <c r="AA93" s="49">
        <f t="shared" si="59"/>
        <v>0</v>
      </c>
      <c r="AB93" s="50">
        <f t="shared" si="60"/>
        <v>0</v>
      </c>
      <c r="AC93" s="43">
        <f t="shared" si="61"/>
        <v>0</v>
      </c>
      <c r="AD93" s="43">
        <f t="shared" si="62"/>
        <v>0</v>
      </c>
      <c r="AE93" s="43">
        <f t="shared" si="63"/>
        <v>0</v>
      </c>
      <c r="AF93" s="51" t="e">
        <f>HLOOKUP(I93,ElecAvoidedCostsWOCC!$A$5:$Q$50,G93+1,FALSE)</f>
        <v>#N/A</v>
      </c>
      <c r="AG93" s="43" t="e">
        <f t="shared" si="64"/>
        <v>#N/A</v>
      </c>
      <c r="AH93" s="51" t="e">
        <f>HLOOKUP(I93,ElecAvoidedCostsWOCC!$A$5:$Q$50,T93+1,FALSE)</f>
        <v>#N/A</v>
      </c>
      <c r="AI93" s="43" t="e">
        <f t="shared" si="65"/>
        <v>#N/A</v>
      </c>
      <c r="AJ93" s="43" t="e">
        <f t="shared" si="66"/>
        <v>#N/A</v>
      </c>
      <c r="AK93" s="43" t="e">
        <f>HLOOKUP(I93,ElecAvoidedCostsWOCC!$A$5:$Q$50,G93+1,FALSE)*J93*L93</f>
        <v>#N/A</v>
      </c>
      <c r="AL93" s="43" t="e">
        <f t="shared" si="67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68"/>
        <v>0</v>
      </c>
      <c r="AO93" s="46">
        <f t="shared" si="69"/>
        <v>0</v>
      </c>
      <c r="AP93" s="46" t="e">
        <f t="shared" si="70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2"/>
        <v>0</v>
      </c>
      <c r="U94" s="46">
        <f t="shared" si="53"/>
        <v>0</v>
      </c>
      <c r="V94" s="47">
        <f t="shared" si="54"/>
        <v>0</v>
      </c>
      <c r="W94" s="48">
        <f t="shared" si="55"/>
        <v>0</v>
      </c>
      <c r="X94" s="43">
        <f t="shared" si="56"/>
        <v>0</v>
      </c>
      <c r="Y94" s="43">
        <f t="shared" si="57"/>
        <v>0</v>
      </c>
      <c r="Z94" s="43">
        <f t="shared" si="58"/>
        <v>0</v>
      </c>
      <c r="AA94" s="49">
        <f t="shared" si="59"/>
        <v>0</v>
      </c>
      <c r="AB94" s="50">
        <f t="shared" si="60"/>
        <v>0</v>
      </c>
      <c r="AC94" s="43">
        <f t="shared" si="61"/>
        <v>0</v>
      </c>
      <c r="AD94" s="43">
        <f t="shared" si="62"/>
        <v>0</v>
      </c>
      <c r="AE94" s="43">
        <f t="shared" si="63"/>
        <v>0</v>
      </c>
      <c r="AF94" s="51" t="e">
        <f>HLOOKUP(I94,ElecAvoidedCostsWOCC!$A$5:$Q$50,G94+1,FALSE)</f>
        <v>#N/A</v>
      </c>
      <c r="AG94" s="43" t="e">
        <f t="shared" si="64"/>
        <v>#N/A</v>
      </c>
      <c r="AH94" s="51" t="e">
        <f>HLOOKUP(I94,ElecAvoidedCostsWOCC!$A$5:$Q$50,T94+1,FALSE)</f>
        <v>#N/A</v>
      </c>
      <c r="AI94" s="43" t="e">
        <f t="shared" si="65"/>
        <v>#N/A</v>
      </c>
      <c r="AJ94" s="43" t="e">
        <f t="shared" si="66"/>
        <v>#N/A</v>
      </c>
      <c r="AK94" s="43" t="e">
        <f>HLOOKUP(I94,ElecAvoidedCostsWOCC!$A$5:$Q$50,G94+1,FALSE)*J94*L94</f>
        <v>#N/A</v>
      </c>
      <c r="AL94" s="43" t="e">
        <f t="shared" si="67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68"/>
        <v>0</v>
      </c>
      <c r="AO94" s="46">
        <f t="shared" si="69"/>
        <v>0</v>
      </c>
      <c r="AP94" s="46" t="e">
        <f t="shared" si="70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2"/>
        <v>0</v>
      </c>
      <c r="U95" s="46">
        <f t="shared" si="53"/>
        <v>0</v>
      </c>
      <c r="V95" s="47">
        <f t="shared" si="54"/>
        <v>0</v>
      </c>
      <c r="W95" s="48">
        <f t="shared" si="55"/>
        <v>0</v>
      </c>
      <c r="X95" s="43">
        <f t="shared" si="56"/>
        <v>0</v>
      </c>
      <c r="Y95" s="43">
        <f t="shared" si="57"/>
        <v>0</v>
      </c>
      <c r="Z95" s="43">
        <f t="shared" si="58"/>
        <v>0</v>
      </c>
      <c r="AA95" s="49">
        <f t="shared" si="59"/>
        <v>0</v>
      </c>
      <c r="AB95" s="50">
        <f t="shared" si="60"/>
        <v>0</v>
      </c>
      <c r="AC95" s="43">
        <f t="shared" si="61"/>
        <v>0</v>
      </c>
      <c r="AD95" s="43">
        <f t="shared" si="62"/>
        <v>0</v>
      </c>
      <c r="AE95" s="43">
        <f t="shared" si="63"/>
        <v>0</v>
      </c>
      <c r="AF95" s="51" t="e">
        <f>HLOOKUP(I95,ElecAvoidedCostsWOCC!$A$5:$Q$50,G95+1,FALSE)</f>
        <v>#N/A</v>
      </c>
      <c r="AG95" s="43" t="e">
        <f t="shared" si="64"/>
        <v>#N/A</v>
      </c>
      <c r="AH95" s="51" t="e">
        <f>HLOOKUP(I95,ElecAvoidedCostsWOCC!$A$5:$Q$50,T95+1,FALSE)</f>
        <v>#N/A</v>
      </c>
      <c r="AI95" s="43" t="e">
        <f t="shared" si="65"/>
        <v>#N/A</v>
      </c>
      <c r="AJ95" s="43" t="e">
        <f t="shared" si="66"/>
        <v>#N/A</v>
      </c>
      <c r="AK95" s="43" t="e">
        <f>HLOOKUP(I95,ElecAvoidedCostsWOCC!$A$5:$Q$50,G95+1,FALSE)*J95*L95</f>
        <v>#N/A</v>
      </c>
      <c r="AL95" s="43" t="e">
        <f t="shared" si="67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68"/>
        <v>0</v>
      </c>
      <c r="AO95" s="46">
        <f t="shared" si="69"/>
        <v>0</v>
      </c>
      <c r="AP95" s="46" t="e">
        <f t="shared" si="70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2"/>
        <v>0</v>
      </c>
      <c r="U96" s="46">
        <f t="shared" si="53"/>
        <v>0</v>
      </c>
      <c r="V96" s="47">
        <f t="shared" si="54"/>
        <v>0</v>
      </c>
      <c r="W96" s="48">
        <f t="shared" si="55"/>
        <v>0</v>
      </c>
      <c r="X96" s="43">
        <f t="shared" si="56"/>
        <v>0</v>
      </c>
      <c r="Y96" s="43">
        <f t="shared" si="57"/>
        <v>0</v>
      </c>
      <c r="Z96" s="43">
        <f t="shared" si="58"/>
        <v>0</v>
      </c>
      <c r="AA96" s="49">
        <f t="shared" si="59"/>
        <v>0</v>
      </c>
      <c r="AB96" s="50">
        <f t="shared" si="60"/>
        <v>0</v>
      </c>
      <c r="AC96" s="43">
        <f t="shared" si="61"/>
        <v>0</v>
      </c>
      <c r="AD96" s="43">
        <f t="shared" si="62"/>
        <v>0</v>
      </c>
      <c r="AE96" s="43">
        <f t="shared" si="63"/>
        <v>0</v>
      </c>
      <c r="AF96" s="51" t="e">
        <f>HLOOKUP(I96,ElecAvoidedCostsWOCC!$A$5:$Q$50,G96+1,FALSE)</f>
        <v>#N/A</v>
      </c>
      <c r="AG96" s="43" t="e">
        <f t="shared" si="64"/>
        <v>#N/A</v>
      </c>
      <c r="AH96" s="51" t="e">
        <f>HLOOKUP(I96,ElecAvoidedCostsWOCC!$A$5:$Q$50,T96+1,FALSE)</f>
        <v>#N/A</v>
      </c>
      <c r="AI96" s="43" t="e">
        <f t="shared" si="65"/>
        <v>#N/A</v>
      </c>
      <c r="AJ96" s="43" t="e">
        <f t="shared" si="66"/>
        <v>#N/A</v>
      </c>
      <c r="AK96" s="43" t="e">
        <f>HLOOKUP(I96,ElecAvoidedCostsWOCC!$A$5:$Q$50,G96+1,FALSE)*J96*L96</f>
        <v>#N/A</v>
      </c>
      <c r="AL96" s="43" t="e">
        <f t="shared" si="67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68"/>
        <v>0</v>
      </c>
      <c r="AO96" s="46">
        <f t="shared" si="69"/>
        <v>0</v>
      </c>
      <c r="AP96" s="46" t="e">
        <f t="shared" si="70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2"/>
        <v>0</v>
      </c>
      <c r="U97" s="46">
        <f t="shared" si="53"/>
        <v>0</v>
      </c>
      <c r="V97" s="47">
        <f t="shared" si="54"/>
        <v>0</v>
      </c>
      <c r="W97" s="48">
        <f t="shared" si="55"/>
        <v>0</v>
      </c>
      <c r="X97" s="43">
        <f t="shared" si="56"/>
        <v>0</v>
      </c>
      <c r="Y97" s="43">
        <f t="shared" si="57"/>
        <v>0</v>
      </c>
      <c r="Z97" s="43">
        <f t="shared" si="58"/>
        <v>0</v>
      </c>
      <c r="AA97" s="49">
        <f t="shared" si="59"/>
        <v>0</v>
      </c>
      <c r="AB97" s="50">
        <f t="shared" si="60"/>
        <v>0</v>
      </c>
      <c r="AC97" s="43">
        <f t="shared" si="61"/>
        <v>0</v>
      </c>
      <c r="AD97" s="43">
        <f t="shared" si="62"/>
        <v>0</v>
      </c>
      <c r="AE97" s="43">
        <f t="shared" si="63"/>
        <v>0</v>
      </c>
      <c r="AF97" s="51" t="e">
        <f>HLOOKUP(I97,ElecAvoidedCostsWOCC!$A$5:$Q$50,G97+1,FALSE)</f>
        <v>#N/A</v>
      </c>
      <c r="AG97" s="43" t="e">
        <f t="shared" si="64"/>
        <v>#N/A</v>
      </c>
      <c r="AH97" s="51" t="e">
        <f>HLOOKUP(I97,ElecAvoidedCostsWOCC!$A$5:$Q$50,T97+1,FALSE)</f>
        <v>#N/A</v>
      </c>
      <c r="AI97" s="43" t="e">
        <f t="shared" si="65"/>
        <v>#N/A</v>
      </c>
      <c r="AJ97" s="43" t="e">
        <f t="shared" si="66"/>
        <v>#N/A</v>
      </c>
      <c r="AK97" s="43" t="e">
        <f>HLOOKUP(I97,ElecAvoidedCostsWOCC!$A$5:$Q$50,G97+1,FALSE)*J97*L97</f>
        <v>#N/A</v>
      </c>
      <c r="AL97" s="43" t="e">
        <f t="shared" si="67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68"/>
        <v>0</v>
      </c>
      <c r="AO97" s="46">
        <f t="shared" si="69"/>
        <v>0</v>
      </c>
      <c r="AP97" s="46" t="e">
        <f t="shared" si="70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2"/>
        <v>0</v>
      </c>
      <c r="U98" s="46">
        <f t="shared" si="53"/>
        <v>0</v>
      </c>
      <c r="V98" s="47">
        <f t="shared" si="54"/>
        <v>0</v>
      </c>
      <c r="W98" s="48">
        <f t="shared" si="55"/>
        <v>0</v>
      </c>
      <c r="X98" s="43">
        <f t="shared" si="56"/>
        <v>0</v>
      </c>
      <c r="Y98" s="43">
        <f t="shared" si="57"/>
        <v>0</v>
      </c>
      <c r="Z98" s="43">
        <f t="shared" si="58"/>
        <v>0</v>
      </c>
      <c r="AA98" s="49">
        <f t="shared" si="59"/>
        <v>0</v>
      </c>
      <c r="AB98" s="50">
        <f t="shared" si="60"/>
        <v>0</v>
      </c>
      <c r="AC98" s="43">
        <f t="shared" si="61"/>
        <v>0</v>
      </c>
      <c r="AD98" s="43">
        <f t="shared" si="62"/>
        <v>0</v>
      </c>
      <c r="AE98" s="43">
        <f t="shared" si="63"/>
        <v>0</v>
      </c>
      <c r="AF98" s="51" t="e">
        <f>HLOOKUP(I98,ElecAvoidedCostsWOCC!$A$5:$Q$50,G98+1,FALSE)</f>
        <v>#N/A</v>
      </c>
      <c r="AG98" s="43" t="e">
        <f t="shared" si="64"/>
        <v>#N/A</v>
      </c>
      <c r="AH98" s="51" t="e">
        <f>HLOOKUP(I98,ElecAvoidedCostsWOCC!$A$5:$Q$50,T98+1,FALSE)</f>
        <v>#N/A</v>
      </c>
      <c r="AI98" s="43" t="e">
        <f t="shared" si="65"/>
        <v>#N/A</v>
      </c>
      <c r="AJ98" s="43" t="e">
        <f t="shared" si="66"/>
        <v>#N/A</v>
      </c>
      <c r="AK98" s="43" t="e">
        <f>HLOOKUP(I98,ElecAvoidedCostsWOCC!$A$5:$Q$50,G98+1,FALSE)*J98*L98</f>
        <v>#N/A</v>
      </c>
      <c r="AL98" s="43" t="e">
        <f t="shared" si="67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68"/>
        <v>0</v>
      </c>
      <c r="AO98" s="46">
        <f t="shared" si="69"/>
        <v>0</v>
      </c>
      <c r="AP98" s="46" t="e">
        <f t="shared" si="70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2"/>
        <v>0</v>
      </c>
      <c r="U99" s="46">
        <f t="shared" si="53"/>
        <v>0</v>
      </c>
      <c r="V99" s="47">
        <f t="shared" si="54"/>
        <v>0</v>
      </c>
      <c r="W99" s="48">
        <f t="shared" si="55"/>
        <v>0</v>
      </c>
      <c r="X99" s="43">
        <f t="shared" si="56"/>
        <v>0</v>
      </c>
      <c r="Y99" s="43">
        <f t="shared" si="57"/>
        <v>0</v>
      </c>
      <c r="Z99" s="43">
        <f t="shared" si="58"/>
        <v>0</v>
      </c>
      <c r="AA99" s="49">
        <f t="shared" si="59"/>
        <v>0</v>
      </c>
      <c r="AB99" s="50">
        <f t="shared" si="60"/>
        <v>0</v>
      </c>
      <c r="AC99" s="43">
        <f t="shared" si="61"/>
        <v>0</v>
      </c>
      <c r="AD99" s="43">
        <f t="shared" si="62"/>
        <v>0</v>
      </c>
      <c r="AE99" s="43">
        <f t="shared" si="63"/>
        <v>0</v>
      </c>
      <c r="AF99" s="51" t="e">
        <f>HLOOKUP(I99,ElecAvoidedCostsWOCC!$A$5:$Q$50,G99+1,FALSE)</f>
        <v>#N/A</v>
      </c>
      <c r="AG99" s="43" t="e">
        <f t="shared" si="64"/>
        <v>#N/A</v>
      </c>
      <c r="AH99" s="51" t="e">
        <f>HLOOKUP(I99,ElecAvoidedCostsWOCC!$A$5:$Q$50,T99+1,FALSE)</f>
        <v>#N/A</v>
      </c>
      <c r="AI99" s="43" t="e">
        <f t="shared" si="65"/>
        <v>#N/A</v>
      </c>
      <c r="AJ99" s="43" t="e">
        <f t="shared" si="66"/>
        <v>#N/A</v>
      </c>
      <c r="AK99" s="43" t="e">
        <f>HLOOKUP(I99,ElecAvoidedCostsWOCC!$A$5:$Q$50,G99+1,FALSE)*J99*L99</f>
        <v>#N/A</v>
      </c>
      <c r="AL99" s="43" t="e">
        <f t="shared" si="67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68"/>
        <v>0</v>
      </c>
      <c r="AO99" s="46">
        <f t="shared" si="69"/>
        <v>0</v>
      </c>
      <c r="AP99" s="46" t="e">
        <f t="shared" si="70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2"/>
        <v>0</v>
      </c>
      <c r="U100" s="46">
        <f t="shared" si="53"/>
        <v>0</v>
      </c>
      <c r="V100" s="47">
        <f t="shared" si="54"/>
        <v>0</v>
      </c>
      <c r="W100" s="48">
        <f t="shared" si="55"/>
        <v>0</v>
      </c>
      <c r="X100" s="43">
        <f t="shared" si="56"/>
        <v>0</v>
      </c>
      <c r="Y100" s="43">
        <f t="shared" si="57"/>
        <v>0</v>
      </c>
      <c r="Z100" s="43">
        <f t="shared" si="58"/>
        <v>0</v>
      </c>
      <c r="AA100" s="49">
        <f t="shared" si="59"/>
        <v>0</v>
      </c>
      <c r="AB100" s="50">
        <f t="shared" si="60"/>
        <v>0</v>
      </c>
      <c r="AC100" s="43">
        <f t="shared" si="61"/>
        <v>0</v>
      </c>
      <c r="AD100" s="43">
        <f t="shared" si="62"/>
        <v>0</v>
      </c>
      <c r="AE100" s="43">
        <f t="shared" si="63"/>
        <v>0</v>
      </c>
      <c r="AF100" s="51" t="e">
        <f>HLOOKUP(I100,ElecAvoidedCostsWOCC!$A$5:$Q$50,G100+1,FALSE)</f>
        <v>#N/A</v>
      </c>
      <c r="AG100" s="43" t="e">
        <f t="shared" si="64"/>
        <v>#N/A</v>
      </c>
      <c r="AH100" s="51" t="e">
        <f>HLOOKUP(I100,ElecAvoidedCostsWOCC!$A$5:$Q$50,T100+1,FALSE)</f>
        <v>#N/A</v>
      </c>
      <c r="AI100" s="43" t="e">
        <f t="shared" si="65"/>
        <v>#N/A</v>
      </c>
      <c r="AJ100" s="43" t="e">
        <f t="shared" si="66"/>
        <v>#N/A</v>
      </c>
      <c r="AK100" s="43" t="e">
        <f>HLOOKUP(I100,ElecAvoidedCostsWOCC!$A$5:$Q$50,G100+1,FALSE)*J100*L100</f>
        <v>#N/A</v>
      </c>
      <c r="AL100" s="43" t="e">
        <f t="shared" si="67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68"/>
        <v>0</v>
      </c>
      <c r="AO100" s="46">
        <f t="shared" si="69"/>
        <v>0</v>
      </c>
      <c r="AP100" s="46" t="e">
        <f t="shared" si="70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2"/>
        <v>0</v>
      </c>
      <c r="U101" s="46">
        <f t="shared" si="53"/>
        <v>0</v>
      </c>
      <c r="V101" s="47">
        <f t="shared" si="54"/>
        <v>0</v>
      </c>
      <c r="W101" s="48">
        <f t="shared" si="55"/>
        <v>0</v>
      </c>
      <c r="X101" s="43">
        <f t="shared" si="56"/>
        <v>0</v>
      </c>
      <c r="Y101" s="43">
        <f t="shared" si="57"/>
        <v>0</v>
      </c>
      <c r="Z101" s="43">
        <f t="shared" si="58"/>
        <v>0</v>
      </c>
      <c r="AA101" s="49">
        <f t="shared" si="59"/>
        <v>0</v>
      </c>
      <c r="AB101" s="50">
        <f t="shared" si="60"/>
        <v>0</v>
      </c>
      <c r="AC101" s="43">
        <f t="shared" si="61"/>
        <v>0</v>
      </c>
      <c r="AD101" s="43">
        <f t="shared" si="62"/>
        <v>0</v>
      </c>
      <c r="AE101" s="43">
        <f t="shared" si="63"/>
        <v>0</v>
      </c>
      <c r="AF101" s="51" t="e">
        <f>HLOOKUP(I101,ElecAvoidedCostsWOCC!$A$5:$Q$50,G101+1,FALSE)</f>
        <v>#N/A</v>
      </c>
      <c r="AG101" s="43" t="e">
        <f t="shared" si="64"/>
        <v>#N/A</v>
      </c>
      <c r="AH101" s="51" t="e">
        <f>HLOOKUP(I101,ElecAvoidedCostsWOCC!$A$5:$Q$50,T101+1,FALSE)</f>
        <v>#N/A</v>
      </c>
      <c r="AI101" s="43" t="e">
        <f t="shared" si="65"/>
        <v>#N/A</v>
      </c>
      <c r="AJ101" s="43" t="e">
        <f t="shared" si="66"/>
        <v>#N/A</v>
      </c>
      <c r="AK101" s="43" t="e">
        <f>HLOOKUP(I101,ElecAvoidedCostsWOCC!$A$5:$Q$50,G101+1,FALSE)*J101*L101</f>
        <v>#N/A</v>
      </c>
      <c r="AL101" s="43" t="e">
        <f t="shared" si="67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68"/>
        <v>0</v>
      </c>
      <c r="AO101" s="46">
        <f t="shared" si="69"/>
        <v>0</v>
      </c>
      <c r="AP101" s="46" t="e">
        <f t="shared" si="70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2"/>
        <v>0</v>
      </c>
      <c r="U102" s="46">
        <f t="shared" si="53"/>
        <v>0</v>
      </c>
      <c r="V102" s="47">
        <f t="shared" si="54"/>
        <v>0</v>
      </c>
      <c r="W102" s="48">
        <f t="shared" si="55"/>
        <v>0</v>
      </c>
      <c r="X102" s="43">
        <f t="shared" si="56"/>
        <v>0</v>
      </c>
      <c r="Y102" s="43">
        <f t="shared" si="57"/>
        <v>0</v>
      </c>
      <c r="Z102" s="43">
        <f t="shared" si="58"/>
        <v>0</v>
      </c>
      <c r="AA102" s="49">
        <f t="shared" si="59"/>
        <v>0</v>
      </c>
      <c r="AB102" s="50">
        <f t="shared" si="60"/>
        <v>0</v>
      </c>
      <c r="AC102" s="43">
        <f t="shared" si="61"/>
        <v>0</v>
      </c>
      <c r="AD102" s="43">
        <f t="shared" si="62"/>
        <v>0</v>
      </c>
      <c r="AE102" s="43">
        <f t="shared" si="63"/>
        <v>0</v>
      </c>
      <c r="AF102" s="51" t="e">
        <f>HLOOKUP(I102,ElecAvoidedCostsWOCC!$A$5:$Q$50,G102+1,FALSE)</f>
        <v>#N/A</v>
      </c>
      <c r="AG102" s="43" t="e">
        <f t="shared" si="64"/>
        <v>#N/A</v>
      </c>
      <c r="AH102" s="51" t="e">
        <f>HLOOKUP(I102,ElecAvoidedCostsWOCC!$A$5:$Q$50,T102+1,FALSE)</f>
        <v>#N/A</v>
      </c>
      <c r="AI102" s="43" t="e">
        <f t="shared" si="65"/>
        <v>#N/A</v>
      </c>
      <c r="AJ102" s="43" t="e">
        <f t="shared" si="66"/>
        <v>#N/A</v>
      </c>
      <c r="AK102" s="43" t="e">
        <f>HLOOKUP(I102,ElecAvoidedCostsWOCC!$A$5:$Q$50,G102+1,FALSE)*J102*L102</f>
        <v>#N/A</v>
      </c>
      <c r="AL102" s="43" t="e">
        <f t="shared" si="67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68"/>
        <v>0</v>
      </c>
      <c r="AO102" s="46">
        <f t="shared" si="69"/>
        <v>0</v>
      </c>
      <c r="AP102" s="46" t="e">
        <f t="shared" si="70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2"/>
        <v>0</v>
      </c>
      <c r="U103" s="46">
        <f t="shared" si="53"/>
        <v>0</v>
      </c>
      <c r="V103" s="47">
        <f t="shared" si="54"/>
        <v>0</v>
      </c>
      <c r="W103" s="48">
        <f t="shared" si="55"/>
        <v>0</v>
      </c>
      <c r="X103" s="43">
        <f t="shared" si="56"/>
        <v>0</v>
      </c>
      <c r="Y103" s="43">
        <f t="shared" si="57"/>
        <v>0</v>
      </c>
      <c r="Z103" s="43">
        <f t="shared" si="58"/>
        <v>0</v>
      </c>
      <c r="AA103" s="49">
        <f t="shared" si="59"/>
        <v>0</v>
      </c>
      <c r="AB103" s="50">
        <f t="shared" si="60"/>
        <v>0</v>
      </c>
      <c r="AC103" s="43">
        <f t="shared" si="61"/>
        <v>0</v>
      </c>
      <c r="AD103" s="43">
        <f t="shared" si="62"/>
        <v>0</v>
      </c>
      <c r="AE103" s="43">
        <f t="shared" si="63"/>
        <v>0</v>
      </c>
      <c r="AF103" s="51" t="e">
        <f>HLOOKUP(I103,ElecAvoidedCostsWOCC!$A$5:$Q$50,G103+1,FALSE)</f>
        <v>#N/A</v>
      </c>
      <c r="AG103" s="43" t="e">
        <f t="shared" si="64"/>
        <v>#N/A</v>
      </c>
      <c r="AH103" s="51" t="e">
        <f>HLOOKUP(I103,ElecAvoidedCostsWOCC!$A$5:$Q$50,T103+1,FALSE)</f>
        <v>#N/A</v>
      </c>
      <c r="AI103" s="43" t="e">
        <f t="shared" si="65"/>
        <v>#N/A</v>
      </c>
      <c r="AJ103" s="43" t="e">
        <f t="shared" si="66"/>
        <v>#N/A</v>
      </c>
      <c r="AK103" s="43" t="e">
        <f>HLOOKUP(I103,ElecAvoidedCostsWOCC!$A$5:$Q$50,G103+1,FALSE)*J103*L103</f>
        <v>#N/A</v>
      </c>
      <c r="AL103" s="43" t="e">
        <f t="shared" si="67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68"/>
        <v>0</v>
      </c>
      <c r="AO103" s="46">
        <f t="shared" si="69"/>
        <v>0</v>
      </c>
      <c r="AP103" s="46" t="e">
        <f t="shared" si="70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2"/>
        <v>0</v>
      </c>
      <c r="U104" s="46">
        <f t="shared" si="53"/>
        <v>0</v>
      </c>
      <c r="V104" s="47">
        <f t="shared" si="54"/>
        <v>0</v>
      </c>
      <c r="W104" s="48">
        <f t="shared" si="55"/>
        <v>0</v>
      </c>
      <c r="X104" s="43">
        <f t="shared" si="56"/>
        <v>0</v>
      </c>
      <c r="Y104" s="43">
        <f t="shared" si="57"/>
        <v>0</v>
      </c>
      <c r="Z104" s="43">
        <f t="shared" si="58"/>
        <v>0</v>
      </c>
      <c r="AA104" s="49">
        <f t="shared" si="59"/>
        <v>0</v>
      </c>
      <c r="AB104" s="50">
        <f t="shared" si="60"/>
        <v>0</v>
      </c>
      <c r="AC104" s="43">
        <f t="shared" si="61"/>
        <v>0</v>
      </c>
      <c r="AD104" s="43">
        <f t="shared" si="62"/>
        <v>0</v>
      </c>
      <c r="AE104" s="43">
        <f t="shared" si="63"/>
        <v>0</v>
      </c>
      <c r="AF104" s="51" t="e">
        <f>HLOOKUP(I104,ElecAvoidedCostsWOCC!$A$5:$Q$50,G104+1,FALSE)</f>
        <v>#N/A</v>
      </c>
      <c r="AG104" s="43" t="e">
        <f t="shared" si="64"/>
        <v>#N/A</v>
      </c>
      <c r="AH104" s="51" t="e">
        <f>HLOOKUP(I104,ElecAvoidedCostsWOCC!$A$5:$Q$50,T104+1,FALSE)</f>
        <v>#N/A</v>
      </c>
      <c r="AI104" s="43" t="e">
        <f t="shared" si="65"/>
        <v>#N/A</v>
      </c>
      <c r="AJ104" s="43" t="e">
        <f t="shared" si="66"/>
        <v>#N/A</v>
      </c>
      <c r="AK104" s="43" t="e">
        <f>HLOOKUP(I104,ElecAvoidedCostsWOCC!$A$5:$Q$50,G104+1,FALSE)*J104*L104</f>
        <v>#N/A</v>
      </c>
      <c r="AL104" s="43" t="e">
        <f t="shared" si="67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68"/>
        <v>0</v>
      </c>
      <c r="AO104" s="46">
        <f t="shared" si="69"/>
        <v>0</v>
      </c>
      <c r="AP104" s="46" t="e">
        <f t="shared" si="70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2"/>
        <v>0</v>
      </c>
      <c r="U105" s="46">
        <f t="shared" si="53"/>
        <v>0</v>
      </c>
      <c r="V105" s="47">
        <f t="shared" si="54"/>
        <v>0</v>
      </c>
      <c r="W105" s="48">
        <f t="shared" si="55"/>
        <v>0</v>
      </c>
      <c r="X105" s="43">
        <f t="shared" si="56"/>
        <v>0</v>
      </c>
      <c r="Y105" s="43">
        <f t="shared" si="57"/>
        <v>0</v>
      </c>
      <c r="Z105" s="43">
        <f t="shared" si="58"/>
        <v>0</v>
      </c>
      <c r="AA105" s="49">
        <f t="shared" si="59"/>
        <v>0</v>
      </c>
      <c r="AB105" s="50">
        <f t="shared" si="60"/>
        <v>0</v>
      </c>
      <c r="AC105" s="43">
        <f t="shared" si="61"/>
        <v>0</v>
      </c>
      <c r="AD105" s="43">
        <f t="shared" si="62"/>
        <v>0</v>
      </c>
      <c r="AE105" s="43">
        <f t="shared" si="63"/>
        <v>0</v>
      </c>
      <c r="AF105" s="51" t="e">
        <f>HLOOKUP(I105,ElecAvoidedCostsWOCC!$A$5:$Q$50,G105+1,FALSE)</f>
        <v>#N/A</v>
      </c>
      <c r="AG105" s="43" t="e">
        <f t="shared" si="64"/>
        <v>#N/A</v>
      </c>
      <c r="AH105" s="51" t="e">
        <f>HLOOKUP(I105,ElecAvoidedCostsWOCC!$A$5:$Q$50,T105+1,FALSE)</f>
        <v>#N/A</v>
      </c>
      <c r="AI105" s="43" t="e">
        <f t="shared" si="65"/>
        <v>#N/A</v>
      </c>
      <c r="AJ105" s="43" t="e">
        <f t="shared" si="66"/>
        <v>#N/A</v>
      </c>
      <c r="AK105" s="43" t="e">
        <f>HLOOKUP(I105,ElecAvoidedCostsWOCC!$A$5:$Q$50,G105+1,FALSE)*J105*L105</f>
        <v>#N/A</v>
      </c>
      <c r="AL105" s="43" t="e">
        <f t="shared" si="67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68"/>
        <v>0</v>
      </c>
      <c r="AO105" s="46">
        <f t="shared" si="69"/>
        <v>0</v>
      </c>
      <c r="AP105" s="46" t="e">
        <f t="shared" si="70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2"/>
        <v>0</v>
      </c>
      <c r="U106" s="46">
        <f t="shared" si="53"/>
        <v>0</v>
      </c>
      <c r="V106" s="47">
        <f t="shared" si="54"/>
        <v>0</v>
      </c>
      <c r="W106" s="48">
        <f t="shared" si="55"/>
        <v>0</v>
      </c>
      <c r="X106" s="43">
        <f t="shared" si="56"/>
        <v>0</v>
      </c>
      <c r="Y106" s="43">
        <f t="shared" si="57"/>
        <v>0</v>
      </c>
      <c r="Z106" s="43">
        <f t="shared" si="58"/>
        <v>0</v>
      </c>
      <c r="AA106" s="49">
        <f t="shared" si="59"/>
        <v>0</v>
      </c>
      <c r="AB106" s="50">
        <f t="shared" si="60"/>
        <v>0</v>
      </c>
      <c r="AC106" s="43">
        <f t="shared" si="61"/>
        <v>0</v>
      </c>
      <c r="AD106" s="43">
        <f t="shared" si="62"/>
        <v>0</v>
      </c>
      <c r="AE106" s="43">
        <f t="shared" si="63"/>
        <v>0</v>
      </c>
      <c r="AF106" s="51" t="e">
        <f>HLOOKUP(I106,ElecAvoidedCostsWOCC!$A$5:$Q$50,G106+1,FALSE)</f>
        <v>#N/A</v>
      </c>
      <c r="AG106" s="43" t="e">
        <f t="shared" si="64"/>
        <v>#N/A</v>
      </c>
      <c r="AH106" s="51" t="e">
        <f>HLOOKUP(I106,ElecAvoidedCostsWOCC!$A$5:$Q$50,T106+1,FALSE)</f>
        <v>#N/A</v>
      </c>
      <c r="AI106" s="43" t="e">
        <f t="shared" si="65"/>
        <v>#N/A</v>
      </c>
      <c r="AJ106" s="43" t="e">
        <f t="shared" si="66"/>
        <v>#N/A</v>
      </c>
      <c r="AK106" s="43" t="e">
        <f>HLOOKUP(I106,ElecAvoidedCostsWOCC!$A$5:$Q$50,G106+1,FALSE)*J106*L106</f>
        <v>#N/A</v>
      </c>
      <c r="AL106" s="43" t="e">
        <f t="shared" si="67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68"/>
        <v>0</v>
      </c>
      <c r="AO106" s="46">
        <f t="shared" si="69"/>
        <v>0</v>
      </c>
      <c r="AP106" s="46" t="e">
        <f t="shared" si="70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2"/>
        <v>0</v>
      </c>
      <c r="U107" s="46">
        <f t="shared" si="53"/>
        <v>0</v>
      </c>
      <c r="V107" s="47">
        <f t="shared" si="54"/>
        <v>0</v>
      </c>
      <c r="W107" s="48">
        <f t="shared" si="55"/>
        <v>0</v>
      </c>
      <c r="X107" s="43">
        <f t="shared" si="56"/>
        <v>0</v>
      </c>
      <c r="Y107" s="43">
        <f t="shared" si="57"/>
        <v>0</v>
      </c>
      <c r="Z107" s="43">
        <f t="shared" si="58"/>
        <v>0</v>
      </c>
      <c r="AA107" s="49">
        <f t="shared" si="59"/>
        <v>0</v>
      </c>
      <c r="AB107" s="50">
        <f t="shared" si="60"/>
        <v>0</v>
      </c>
      <c r="AC107" s="43">
        <f t="shared" si="61"/>
        <v>0</v>
      </c>
      <c r="AD107" s="43">
        <f t="shared" si="62"/>
        <v>0</v>
      </c>
      <c r="AE107" s="43">
        <f t="shared" si="63"/>
        <v>0</v>
      </c>
      <c r="AF107" s="51" t="e">
        <f>HLOOKUP(I107,ElecAvoidedCostsWOCC!$A$5:$Q$50,G107+1,FALSE)</f>
        <v>#N/A</v>
      </c>
      <c r="AG107" s="43" t="e">
        <f t="shared" si="64"/>
        <v>#N/A</v>
      </c>
      <c r="AH107" s="51" t="e">
        <f>HLOOKUP(I107,ElecAvoidedCostsWOCC!$A$5:$Q$50,T107+1,FALSE)</f>
        <v>#N/A</v>
      </c>
      <c r="AI107" s="43" t="e">
        <f t="shared" si="65"/>
        <v>#N/A</v>
      </c>
      <c r="AJ107" s="43" t="e">
        <f t="shared" si="66"/>
        <v>#N/A</v>
      </c>
      <c r="AK107" s="43" t="e">
        <f>HLOOKUP(I107,ElecAvoidedCostsWOCC!$A$5:$Q$50,G107+1,FALSE)*J107*L107</f>
        <v>#N/A</v>
      </c>
      <c r="AL107" s="43" t="e">
        <f t="shared" si="67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68"/>
        <v>0</v>
      </c>
      <c r="AO107" s="46">
        <f t="shared" si="69"/>
        <v>0</v>
      </c>
      <c r="AP107" s="46" t="e">
        <f t="shared" si="70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2"/>
        <v>0</v>
      </c>
      <c r="U108" s="46">
        <f t="shared" si="53"/>
        <v>0</v>
      </c>
      <c r="V108" s="47">
        <f t="shared" si="54"/>
        <v>0</v>
      </c>
      <c r="W108" s="48">
        <f t="shared" si="55"/>
        <v>0</v>
      </c>
      <c r="X108" s="43">
        <f t="shared" si="56"/>
        <v>0</v>
      </c>
      <c r="Y108" s="43">
        <f t="shared" si="57"/>
        <v>0</v>
      </c>
      <c r="Z108" s="43">
        <f t="shared" si="58"/>
        <v>0</v>
      </c>
      <c r="AA108" s="49">
        <f t="shared" si="59"/>
        <v>0</v>
      </c>
      <c r="AB108" s="50">
        <f t="shared" si="60"/>
        <v>0</v>
      </c>
      <c r="AC108" s="43">
        <f t="shared" si="61"/>
        <v>0</v>
      </c>
      <c r="AD108" s="43">
        <f t="shared" si="62"/>
        <v>0</v>
      </c>
      <c r="AE108" s="43">
        <f t="shared" si="63"/>
        <v>0</v>
      </c>
      <c r="AF108" s="51" t="e">
        <f>HLOOKUP(I108,ElecAvoidedCostsWOCC!$A$5:$Q$50,G108+1,FALSE)</f>
        <v>#N/A</v>
      </c>
      <c r="AG108" s="43" t="e">
        <f t="shared" si="64"/>
        <v>#N/A</v>
      </c>
      <c r="AH108" s="51" t="e">
        <f>HLOOKUP(I108,ElecAvoidedCostsWOCC!$A$5:$Q$50,T108+1,FALSE)</f>
        <v>#N/A</v>
      </c>
      <c r="AI108" s="43" t="e">
        <f t="shared" si="65"/>
        <v>#N/A</v>
      </c>
      <c r="AJ108" s="43" t="e">
        <f t="shared" si="66"/>
        <v>#N/A</v>
      </c>
      <c r="AK108" s="43" t="e">
        <f>HLOOKUP(I108,ElecAvoidedCostsWOCC!$A$5:$Q$50,G108+1,FALSE)*J108*L108</f>
        <v>#N/A</v>
      </c>
      <c r="AL108" s="43" t="e">
        <f t="shared" si="67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68"/>
        <v>0</v>
      </c>
      <c r="AO108" s="46">
        <f t="shared" si="69"/>
        <v>0</v>
      </c>
      <c r="AP108" s="46" t="e">
        <f t="shared" si="70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2"/>
        <v>0</v>
      </c>
      <c r="U109" s="46">
        <f t="shared" si="53"/>
        <v>0</v>
      </c>
      <c r="V109" s="47">
        <f t="shared" si="54"/>
        <v>0</v>
      </c>
      <c r="W109" s="48">
        <f t="shared" si="55"/>
        <v>0</v>
      </c>
      <c r="X109" s="43">
        <f t="shared" si="56"/>
        <v>0</v>
      </c>
      <c r="Y109" s="43">
        <f t="shared" si="57"/>
        <v>0</v>
      </c>
      <c r="Z109" s="43">
        <f t="shared" si="58"/>
        <v>0</v>
      </c>
      <c r="AA109" s="49">
        <f t="shared" si="59"/>
        <v>0</v>
      </c>
      <c r="AB109" s="50">
        <f t="shared" si="60"/>
        <v>0</v>
      </c>
      <c r="AC109" s="43">
        <f t="shared" si="61"/>
        <v>0</v>
      </c>
      <c r="AD109" s="43">
        <f t="shared" si="62"/>
        <v>0</v>
      </c>
      <c r="AE109" s="43">
        <f t="shared" si="63"/>
        <v>0</v>
      </c>
      <c r="AF109" s="51" t="e">
        <f>HLOOKUP(I109,ElecAvoidedCostsWOCC!$A$5:$Q$50,G109+1,FALSE)</f>
        <v>#N/A</v>
      </c>
      <c r="AG109" s="43" t="e">
        <f t="shared" si="64"/>
        <v>#N/A</v>
      </c>
      <c r="AH109" s="51" t="e">
        <f>HLOOKUP(I109,ElecAvoidedCostsWOCC!$A$5:$Q$50,T109+1,FALSE)</f>
        <v>#N/A</v>
      </c>
      <c r="AI109" s="43" t="e">
        <f t="shared" si="65"/>
        <v>#N/A</v>
      </c>
      <c r="AJ109" s="43" t="e">
        <f t="shared" si="66"/>
        <v>#N/A</v>
      </c>
      <c r="AK109" s="43" t="e">
        <f>HLOOKUP(I109,ElecAvoidedCostsWOCC!$A$5:$Q$50,G109+1,FALSE)*J109*L109</f>
        <v>#N/A</v>
      </c>
      <c r="AL109" s="43" t="e">
        <f t="shared" si="67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68"/>
        <v>0</v>
      </c>
      <c r="AO109" s="46">
        <f t="shared" si="69"/>
        <v>0</v>
      </c>
      <c r="AP109" s="46" t="e">
        <f t="shared" si="70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2"/>
        <v>0</v>
      </c>
      <c r="U110" s="46">
        <f t="shared" si="53"/>
        <v>0</v>
      </c>
      <c r="V110" s="47">
        <f t="shared" si="54"/>
        <v>0</v>
      </c>
      <c r="W110" s="48">
        <f t="shared" si="55"/>
        <v>0</v>
      </c>
      <c r="X110" s="43">
        <f t="shared" si="56"/>
        <v>0</v>
      </c>
      <c r="Y110" s="43">
        <f t="shared" si="57"/>
        <v>0</v>
      </c>
      <c r="Z110" s="43">
        <f t="shared" si="58"/>
        <v>0</v>
      </c>
      <c r="AA110" s="49">
        <f t="shared" si="59"/>
        <v>0</v>
      </c>
      <c r="AB110" s="50">
        <f t="shared" si="60"/>
        <v>0</v>
      </c>
      <c r="AC110" s="43">
        <f t="shared" si="61"/>
        <v>0</v>
      </c>
      <c r="AD110" s="43">
        <f t="shared" si="62"/>
        <v>0</v>
      </c>
      <c r="AE110" s="43">
        <f t="shared" si="63"/>
        <v>0</v>
      </c>
      <c r="AF110" s="51" t="e">
        <f>HLOOKUP(I110,ElecAvoidedCostsWOCC!$A$5:$Q$50,G110+1,FALSE)</f>
        <v>#N/A</v>
      </c>
      <c r="AG110" s="43" t="e">
        <f t="shared" si="64"/>
        <v>#N/A</v>
      </c>
      <c r="AH110" s="51" t="e">
        <f>HLOOKUP(I110,ElecAvoidedCostsWOCC!$A$5:$Q$50,T110+1,FALSE)</f>
        <v>#N/A</v>
      </c>
      <c r="AI110" s="43" t="e">
        <f t="shared" si="65"/>
        <v>#N/A</v>
      </c>
      <c r="AJ110" s="43" t="e">
        <f t="shared" si="66"/>
        <v>#N/A</v>
      </c>
      <c r="AK110" s="43" t="e">
        <f>HLOOKUP(I110,ElecAvoidedCostsWOCC!$A$5:$Q$50,G110+1,FALSE)*J110*L110</f>
        <v>#N/A</v>
      </c>
      <c r="AL110" s="43" t="e">
        <f t="shared" si="67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68"/>
        <v>0</v>
      </c>
      <c r="AO110" s="46">
        <f t="shared" si="69"/>
        <v>0</v>
      </c>
      <c r="AP110" s="46" t="e">
        <f t="shared" si="70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2"/>
        <v>0</v>
      </c>
      <c r="U111" s="46">
        <f t="shared" si="53"/>
        <v>0</v>
      </c>
      <c r="V111" s="47">
        <f t="shared" si="54"/>
        <v>0</v>
      </c>
      <c r="W111" s="48">
        <f t="shared" si="55"/>
        <v>0</v>
      </c>
      <c r="X111" s="43">
        <f t="shared" si="56"/>
        <v>0</v>
      </c>
      <c r="Y111" s="43">
        <f t="shared" si="57"/>
        <v>0</v>
      </c>
      <c r="Z111" s="43">
        <f t="shared" si="58"/>
        <v>0</v>
      </c>
      <c r="AA111" s="49">
        <f t="shared" si="59"/>
        <v>0</v>
      </c>
      <c r="AB111" s="50">
        <f t="shared" si="60"/>
        <v>0</v>
      </c>
      <c r="AC111" s="43">
        <f t="shared" si="61"/>
        <v>0</v>
      </c>
      <c r="AD111" s="43">
        <f t="shared" si="62"/>
        <v>0</v>
      </c>
      <c r="AE111" s="43">
        <f t="shared" si="63"/>
        <v>0</v>
      </c>
      <c r="AF111" s="51" t="e">
        <f>HLOOKUP(I111,ElecAvoidedCostsWOCC!$A$5:$Q$50,G111+1,FALSE)</f>
        <v>#N/A</v>
      </c>
      <c r="AG111" s="43" t="e">
        <f t="shared" si="64"/>
        <v>#N/A</v>
      </c>
      <c r="AH111" s="51" t="e">
        <f>HLOOKUP(I111,ElecAvoidedCostsWOCC!$A$5:$Q$50,T111+1,FALSE)</f>
        <v>#N/A</v>
      </c>
      <c r="AI111" s="43" t="e">
        <f t="shared" si="65"/>
        <v>#N/A</v>
      </c>
      <c r="AJ111" s="43" t="e">
        <f t="shared" si="66"/>
        <v>#N/A</v>
      </c>
      <c r="AK111" s="43" t="e">
        <f>HLOOKUP(I111,ElecAvoidedCostsWOCC!$A$5:$Q$50,G111+1,FALSE)*J111*L111</f>
        <v>#N/A</v>
      </c>
      <c r="AL111" s="43" t="e">
        <f t="shared" si="67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68"/>
        <v>0</v>
      </c>
      <c r="AO111" s="46">
        <f t="shared" si="69"/>
        <v>0</v>
      </c>
      <c r="AP111" s="46" t="e">
        <f t="shared" si="70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ref="T112:T130" si="71">G112+H112</f>
        <v>0</v>
      </c>
      <c r="U112" s="46">
        <f t="shared" ref="U112:U130" si="72">(O112/$A$10)*T112</f>
        <v>0</v>
      </c>
      <c r="V112" s="47">
        <f t="shared" ref="V112:V130" si="73">N112-M112</f>
        <v>0</v>
      </c>
      <c r="W112" s="48">
        <f t="shared" ref="W112:W130" si="74">(O112/A$10)</f>
        <v>0</v>
      </c>
      <c r="X112" s="43">
        <f t="shared" ref="X112:X130" si="75">W112*A$8</f>
        <v>0</v>
      </c>
      <c r="Y112" s="43">
        <f t="shared" ref="Y112:Y130" si="76">Q112-P112</f>
        <v>0</v>
      </c>
      <c r="Z112" s="43">
        <f t="shared" ref="Z112:Z130" si="77">X112+(A$6*W112)</f>
        <v>0</v>
      </c>
      <c r="AA112" s="49">
        <f t="shared" ref="AA112:AA130" si="78">Q112+X112</f>
        <v>0</v>
      </c>
      <c r="AB112" s="50">
        <f t="shared" ref="AB112:AB130" si="79">Z112/(1+ElecDiscountRate)^1</f>
        <v>0</v>
      </c>
      <c r="AC112" s="43">
        <f t="shared" ref="AC112:AC130" si="80">AA112/(1+ElecDiscountRate)^1</f>
        <v>0</v>
      </c>
      <c r="AD112" s="43">
        <f t="shared" ref="AD112:AD130" si="81">-PV(ElecDiscountRate,T112,R112)*J112</f>
        <v>0</v>
      </c>
      <c r="AE112" s="43">
        <f t="shared" ref="AE112:AE130" si="82">-PV(ElecDiscountRate,T112,S112)*J112</f>
        <v>0</v>
      </c>
      <c r="AF112" s="51" t="e">
        <f>HLOOKUP(I112,ElecAvoidedCostsWOCC!$A$5:$Q$50,G112+1,FALSE)</f>
        <v>#N/A</v>
      </c>
      <c r="AG112" s="43" t="e">
        <f t="shared" ref="AG112:AG130" si="83">AF112*J112*K112</f>
        <v>#N/A</v>
      </c>
      <c r="AH112" s="51" t="e">
        <f>HLOOKUP(I112,ElecAvoidedCostsWOCC!$A$5:$Q$50,T112+1,FALSE)</f>
        <v>#N/A</v>
      </c>
      <c r="AI112" s="43" t="e">
        <f t="shared" ref="AI112:AI130" si="84">AH112*J112*L112</f>
        <v>#N/A</v>
      </c>
      <c r="AJ112" s="43" t="e">
        <f t="shared" ref="AJ112:AJ130" si="85">AG112+AI112</f>
        <v>#N/A</v>
      </c>
      <c r="AK112" s="43" t="e">
        <f>HLOOKUP(I112,ElecAvoidedCostsWOCC!$A$5:$Q$50,G112+1,FALSE)*J112*L112</f>
        <v>#N/A</v>
      </c>
      <c r="AL112" s="43" t="e">
        <f t="shared" ref="AL112:AL130" si="86">AG112+AI112-AK112</f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ref="AN112:AN130" si="87">AM112*1.1+AD112+AE112</f>
        <v>0</v>
      </c>
      <c r="AO112" s="46">
        <f t="shared" ref="AO112:AO130" si="88">IFERROR(AM112/AB112,0)</f>
        <v>0</v>
      </c>
      <c r="AP112" s="46" t="e">
        <f t="shared" ref="AP112:AP130" si="89">AN112/AC112</f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71"/>
        <v>0</v>
      </c>
      <c r="U113" s="46">
        <f t="shared" si="72"/>
        <v>0</v>
      </c>
      <c r="V113" s="47">
        <f t="shared" si="73"/>
        <v>0</v>
      </c>
      <c r="W113" s="48">
        <f t="shared" si="74"/>
        <v>0</v>
      </c>
      <c r="X113" s="43">
        <f t="shared" si="75"/>
        <v>0</v>
      </c>
      <c r="Y113" s="43">
        <f t="shared" si="76"/>
        <v>0</v>
      </c>
      <c r="Z113" s="43">
        <f t="shared" si="77"/>
        <v>0</v>
      </c>
      <c r="AA113" s="49">
        <f t="shared" si="78"/>
        <v>0</v>
      </c>
      <c r="AB113" s="50">
        <f t="shared" si="79"/>
        <v>0</v>
      </c>
      <c r="AC113" s="43">
        <f t="shared" si="80"/>
        <v>0</v>
      </c>
      <c r="AD113" s="43">
        <f t="shared" si="81"/>
        <v>0</v>
      </c>
      <c r="AE113" s="43">
        <f t="shared" si="82"/>
        <v>0</v>
      </c>
      <c r="AF113" s="51" t="e">
        <f>HLOOKUP(I113,ElecAvoidedCostsWOCC!$A$5:$Q$50,G113+1,FALSE)</f>
        <v>#N/A</v>
      </c>
      <c r="AG113" s="43" t="e">
        <f t="shared" si="83"/>
        <v>#N/A</v>
      </c>
      <c r="AH113" s="51" t="e">
        <f>HLOOKUP(I113,ElecAvoidedCostsWOCC!$A$5:$Q$50,T113+1,FALSE)</f>
        <v>#N/A</v>
      </c>
      <c r="AI113" s="43" t="e">
        <f t="shared" si="84"/>
        <v>#N/A</v>
      </c>
      <c r="AJ113" s="43" t="e">
        <f t="shared" si="85"/>
        <v>#N/A</v>
      </c>
      <c r="AK113" s="43" t="e">
        <f>HLOOKUP(I113,ElecAvoidedCostsWOCC!$A$5:$Q$50,G113+1,FALSE)*J113*L113</f>
        <v>#N/A</v>
      </c>
      <c r="AL113" s="43" t="e">
        <f t="shared" si="86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87"/>
        <v>0</v>
      </c>
      <c r="AO113" s="46">
        <f t="shared" si="88"/>
        <v>0</v>
      </c>
      <c r="AP113" s="46" t="e">
        <f t="shared" si="89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71"/>
        <v>0</v>
      </c>
      <c r="U114" s="46">
        <f t="shared" si="72"/>
        <v>0</v>
      </c>
      <c r="V114" s="47">
        <f t="shared" si="73"/>
        <v>0</v>
      </c>
      <c r="W114" s="48">
        <f t="shared" si="74"/>
        <v>0</v>
      </c>
      <c r="X114" s="43">
        <f t="shared" si="75"/>
        <v>0</v>
      </c>
      <c r="Y114" s="43">
        <f t="shared" si="76"/>
        <v>0</v>
      </c>
      <c r="Z114" s="43">
        <f t="shared" si="77"/>
        <v>0</v>
      </c>
      <c r="AA114" s="49">
        <f t="shared" si="78"/>
        <v>0</v>
      </c>
      <c r="AB114" s="50">
        <f t="shared" si="79"/>
        <v>0</v>
      </c>
      <c r="AC114" s="43">
        <f t="shared" si="80"/>
        <v>0</v>
      </c>
      <c r="AD114" s="43">
        <f t="shared" si="81"/>
        <v>0</v>
      </c>
      <c r="AE114" s="43">
        <f t="shared" si="82"/>
        <v>0</v>
      </c>
      <c r="AF114" s="51" t="e">
        <f>HLOOKUP(I114,ElecAvoidedCostsWOCC!$A$5:$Q$50,G114+1,FALSE)</f>
        <v>#N/A</v>
      </c>
      <c r="AG114" s="43" t="e">
        <f t="shared" si="83"/>
        <v>#N/A</v>
      </c>
      <c r="AH114" s="51" t="e">
        <f>HLOOKUP(I114,ElecAvoidedCostsWOCC!$A$5:$Q$50,T114+1,FALSE)</f>
        <v>#N/A</v>
      </c>
      <c r="AI114" s="43" t="e">
        <f t="shared" si="84"/>
        <v>#N/A</v>
      </c>
      <c r="AJ114" s="43" t="e">
        <f t="shared" si="85"/>
        <v>#N/A</v>
      </c>
      <c r="AK114" s="43" t="e">
        <f>HLOOKUP(I114,ElecAvoidedCostsWOCC!$A$5:$Q$50,G114+1,FALSE)*J114*L114</f>
        <v>#N/A</v>
      </c>
      <c r="AL114" s="43" t="e">
        <f t="shared" si="86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87"/>
        <v>0</v>
      </c>
      <c r="AO114" s="46">
        <f t="shared" si="88"/>
        <v>0</v>
      </c>
      <c r="AP114" s="46" t="e">
        <f t="shared" si="89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71"/>
        <v>0</v>
      </c>
      <c r="U115" s="46">
        <f t="shared" si="72"/>
        <v>0</v>
      </c>
      <c r="V115" s="47">
        <f t="shared" si="73"/>
        <v>0</v>
      </c>
      <c r="W115" s="48">
        <f t="shared" si="74"/>
        <v>0</v>
      </c>
      <c r="X115" s="43">
        <f t="shared" si="75"/>
        <v>0</v>
      </c>
      <c r="Y115" s="43">
        <f t="shared" si="76"/>
        <v>0</v>
      </c>
      <c r="Z115" s="43">
        <f t="shared" si="77"/>
        <v>0</v>
      </c>
      <c r="AA115" s="49">
        <f t="shared" si="78"/>
        <v>0</v>
      </c>
      <c r="AB115" s="50">
        <f t="shared" si="79"/>
        <v>0</v>
      </c>
      <c r="AC115" s="43">
        <f t="shared" si="80"/>
        <v>0</v>
      </c>
      <c r="AD115" s="43">
        <f t="shared" si="81"/>
        <v>0</v>
      </c>
      <c r="AE115" s="43">
        <f t="shared" si="82"/>
        <v>0</v>
      </c>
      <c r="AF115" s="51" t="e">
        <f>HLOOKUP(I115,ElecAvoidedCostsWOCC!$A$5:$Q$50,G115+1,FALSE)</f>
        <v>#N/A</v>
      </c>
      <c r="AG115" s="43" t="e">
        <f t="shared" si="83"/>
        <v>#N/A</v>
      </c>
      <c r="AH115" s="51" t="e">
        <f>HLOOKUP(I115,ElecAvoidedCostsWOCC!$A$5:$Q$50,T115+1,FALSE)</f>
        <v>#N/A</v>
      </c>
      <c r="AI115" s="43" t="e">
        <f t="shared" si="84"/>
        <v>#N/A</v>
      </c>
      <c r="AJ115" s="43" t="e">
        <f t="shared" si="85"/>
        <v>#N/A</v>
      </c>
      <c r="AK115" s="43" t="e">
        <f>HLOOKUP(I115,ElecAvoidedCostsWOCC!$A$5:$Q$50,G115+1,FALSE)*J115*L115</f>
        <v>#N/A</v>
      </c>
      <c r="AL115" s="43" t="e">
        <f t="shared" si="86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87"/>
        <v>0</v>
      </c>
      <c r="AO115" s="46">
        <f t="shared" si="88"/>
        <v>0</v>
      </c>
      <c r="AP115" s="46" t="e">
        <f t="shared" si="89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71"/>
        <v>0</v>
      </c>
      <c r="U116" s="46">
        <f t="shared" si="72"/>
        <v>0</v>
      </c>
      <c r="V116" s="47">
        <f t="shared" si="73"/>
        <v>0</v>
      </c>
      <c r="W116" s="48">
        <f t="shared" si="74"/>
        <v>0</v>
      </c>
      <c r="X116" s="43">
        <f t="shared" si="75"/>
        <v>0</v>
      </c>
      <c r="Y116" s="43">
        <f t="shared" si="76"/>
        <v>0</v>
      </c>
      <c r="Z116" s="43">
        <f t="shared" si="77"/>
        <v>0</v>
      </c>
      <c r="AA116" s="49">
        <f t="shared" si="78"/>
        <v>0</v>
      </c>
      <c r="AB116" s="50">
        <f t="shared" si="79"/>
        <v>0</v>
      </c>
      <c r="AC116" s="43">
        <f t="shared" si="80"/>
        <v>0</v>
      </c>
      <c r="AD116" s="43">
        <f t="shared" si="81"/>
        <v>0</v>
      </c>
      <c r="AE116" s="43">
        <f t="shared" si="82"/>
        <v>0</v>
      </c>
      <c r="AF116" s="51" t="e">
        <f>HLOOKUP(I116,ElecAvoidedCostsWOCC!$A$5:$Q$50,G116+1,FALSE)</f>
        <v>#N/A</v>
      </c>
      <c r="AG116" s="43" t="e">
        <f t="shared" si="83"/>
        <v>#N/A</v>
      </c>
      <c r="AH116" s="51" t="e">
        <f>HLOOKUP(I116,ElecAvoidedCostsWOCC!$A$5:$Q$50,T116+1,FALSE)</f>
        <v>#N/A</v>
      </c>
      <c r="AI116" s="43" t="e">
        <f t="shared" si="84"/>
        <v>#N/A</v>
      </c>
      <c r="AJ116" s="43" t="e">
        <f t="shared" si="85"/>
        <v>#N/A</v>
      </c>
      <c r="AK116" s="43" t="e">
        <f>HLOOKUP(I116,ElecAvoidedCostsWOCC!$A$5:$Q$50,G116+1,FALSE)*J116*L116</f>
        <v>#N/A</v>
      </c>
      <c r="AL116" s="43" t="e">
        <f t="shared" si="86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87"/>
        <v>0</v>
      </c>
      <c r="AO116" s="46">
        <f t="shared" si="88"/>
        <v>0</v>
      </c>
      <c r="AP116" s="46" t="e">
        <f t="shared" si="89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71"/>
        <v>0</v>
      </c>
      <c r="U117" s="46">
        <f t="shared" si="72"/>
        <v>0</v>
      </c>
      <c r="V117" s="47">
        <f t="shared" si="73"/>
        <v>0</v>
      </c>
      <c r="W117" s="48">
        <f t="shared" si="74"/>
        <v>0</v>
      </c>
      <c r="X117" s="43">
        <f t="shared" si="75"/>
        <v>0</v>
      </c>
      <c r="Y117" s="43">
        <f t="shared" si="76"/>
        <v>0</v>
      </c>
      <c r="Z117" s="43">
        <f t="shared" si="77"/>
        <v>0</v>
      </c>
      <c r="AA117" s="49">
        <f t="shared" si="78"/>
        <v>0</v>
      </c>
      <c r="AB117" s="50">
        <f t="shared" si="79"/>
        <v>0</v>
      </c>
      <c r="AC117" s="43">
        <f t="shared" si="80"/>
        <v>0</v>
      </c>
      <c r="AD117" s="43">
        <f t="shared" si="81"/>
        <v>0</v>
      </c>
      <c r="AE117" s="43">
        <f t="shared" si="82"/>
        <v>0</v>
      </c>
      <c r="AF117" s="51" t="e">
        <f>HLOOKUP(I117,ElecAvoidedCostsWOCC!$A$5:$Q$50,G117+1,FALSE)</f>
        <v>#N/A</v>
      </c>
      <c r="AG117" s="43" t="e">
        <f t="shared" si="83"/>
        <v>#N/A</v>
      </c>
      <c r="AH117" s="51" t="e">
        <f>HLOOKUP(I117,ElecAvoidedCostsWOCC!$A$5:$Q$50,T117+1,FALSE)</f>
        <v>#N/A</v>
      </c>
      <c r="AI117" s="43" t="e">
        <f t="shared" si="84"/>
        <v>#N/A</v>
      </c>
      <c r="AJ117" s="43" t="e">
        <f t="shared" si="85"/>
        <v>#N/A</v>
      </c>
      <c r="AK117" s="43" t="e">
        <f>HLOOKUP(I117,ElecAvoidedCostsWOCC!$A$5:$Q$50,G117+1,FALSE)*J117*L117</f>
        <v>#N/A</v>
      </c>
      <c r="AL117" s="43" t="e">
        <f t="shared" si="86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87"/>
        <v>0</v>
      </c>
      <c r="AO117" s="46">
        <f t="shared" si="88"/>
        <v>0</v>
      </c>
      <c r="AP117" s="46" t="e">
        <f t="shared" si="89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71"/>
        <v>0</v>
      </c>
      <c r="U118" s="46">
        <f t="shared" si="72"/>
        <v>0</v>
      </c>
      <c r="V118" s="47">
        <f t="shared" si="73"/>
        <v>0</v>
      </c>
      <c r="W118" s="48">
        <f t="shared" si="74"/>
        <v>0</v>
      </c>
      <c r="X118" s="43">
        <f t="shared" si="75"/>
        <v>0</v>
      </c>
      <c r="Y118" s="43">
        <f t="shared" si="76"/>
        <v>0</v>
      </c>
      <c r="Z118" s="43">
        <f t="shared" si="77"/>
        <v>0</v>
      </c>
      <c r="AA118" s="49">
        <f t="shared" si="78"/>
        <v>0</v>
      </c>
      <c r="AB118" s="50">
        <f t="shared" si="79"/>
        <v>0</v>
      </c>
      <c r="AC118" s="43">
        <f t="shared" si="80"/>
        <v>0</v>
      </c>
      <c r="AD118" s="43">
        <f t="shared" si="81"/>
        <v>0</v>
      </c>
      <c r="AE118" s="43">
        <f t="shared" si="82"/>
        <v>0</v>
      </c>
      <c r="AF118" s="51" t="e">
        <f>HLOOKUP(I118,ElecAvoidedCostsWOCC!$A$5:$Q$50,G118+1,FALSE)</f>
        <v>#N/A</v>
      </c>
      <c r="AG118" s="43" t="e">
        <f t="shared" si="83"/>
        <v>#N/A</v>
      </c>
      <c r="AH118" s="51" t="e">
        <f>HLOOKUP(I118,ElecAvoidedCostsWOCC!$A$5:$Q$50,T118+1,FALSE)</f>
        <v>#N/A</v>
      </c>
      <c r="AI118" s="43" t="e">
        <f t="shared" si="84"/>
        <v>#N/A</v>
      </c>
      <c r="AJ118" s="43" t="e">
        <f t="shared" si="85"/>
        <v>#N/A</v>
      </c>
      <c r="AK118" s="43" t="e">
        <f>HLOOKUP(I118,ElecAvoidedCostsWOCC!$A$5:$Q$50,G118+1,FALSE)*J118*L118</f>
        <v>#N/A</v>
      </c>
      <c r="AL118" s="43" t="e">
        <f t="shared" si="86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87"/>
        <v>0</v>
      </c>
      <c r="AO118" s="46">
        <f t="shared" si="88"/>
        <v>0</v>
      </c>
      <c r="AP118" s="46" t="e">
        <f t="shared" si="89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71"/>
        <v>0</v>
      </c>
      <c r="U119" s="46">
        <f t="shared" si="72"/>
        <v>0</v>
      </c>
      <c r="V119" s="47">
        <f t="shared" si="73"/>
        <v>0</v>
      </c>
      <c r="W119" s="48">
        <f t="shared" si="74"/>
        <v>0</v>
      </c>
      <c r="X119" s="43">
        <f t="shared" si="75"/>
        <v>0</v>
      </c>
      <c r="Y119" s="43">
        <f t="shared" si="76"/>
        <v>0</v>
      </c>
      <c r="Z119" s="43">
        <f t="shared" si="77"/>
        <v>0</v>
      </c>
      <c r="AA119" s="49">
        <f t="shared" si="78"/>
        <v>0</v>
      </c>
      <c r="AB119" s="50">
        <f t="shared" si="79"/>
        <v>0</v>
      </c>
      <c r="AC119" s="43">
        <f t="shared" si="80"/>
        <v>0</v>
      </c>
      <c r="AD119" s="43">
        <f t="shared" si="81"/>
        <v>0</v>
      </c>
      <c r="AE119" s="43">
        <f t="shared" si="82"/>
        <v>0</v>
      </c>
      <c r="AF119" s="51" t="e">
        <f>HLOOKUP(I119,ElecAvoidedCostsWOCC!$A$5:$Q$50,G119+1,FALSE)</f>
        <v>#N/A</v>
      </c>
      <c r="AG119" s="43" t="e">
        <f t="shared" si="83"/>
        <v>#N/A</v>
      </c>
      <c r="AH119" s="51" t="e">
        <f>HLOOKUP(I119,ElecAvoidedCostsWOCC!$A$5:$Q$50,T119+1,FALSE)</f>
        <v>#N/A</v>
      </c>
      <c r="AI119" s="43" t="e">
        <f t="shared" si="84"/>
        <v>#N/A</v>
      </c>
      <c r="AJ119" s="43" t="e">
        <f t="shared" si="85"/>
        <v>#N/A</v>
      </c>
      <c r="AK119" s="43" t="e">
        <f>HLOOKUP(I119,ElecAvoidedCostsWOCC!$A$5:$Q$50,G119+1,FALSE)*J119*L119</f>
        <v>#N/A</v>
      </c>
      <c r="AL119" s="43" t="e">
        <f t="shared" si="86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87"/>
        <v>0</v>
      </c>
      <c r="AO119" s="46">
        <f t="shared" si="88"/>
        <v>0</v>
      </c>
      <c r="AP119" s="46" t="e">
        <f t="shared" si="89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71"/>
        <v>0</v>
      </c>
      <c r="U120" s="46">
        <f t="shared" si="72"/>
        <v>0</v>
      </c>
      <c r="V120" s="47">
        <f t="shared" si="73"/>
        <v>0</v>
      </c>
      <c r="W120" s="48">
        <f t="shared" si="74"/>
        <v>0</v>
      </c>
      <c r="X120" s="43">
        <f t="shared" si="75"/>
        <v>0</v>
      </c>
      <c r="Y120" s="43">
        <f t="shared" si="76"/>
        <v>0</v>
      </c>
      <c r="Z120" s="43">
        <f t="shared" si="77"/>
        <v>0</v>
      </c>
      <c r="AA120" s="49">
        <f t="shared" si="78"/>
        <v>0</v>
      </c>
      <c r="AB120" s="50">
        <f t="shared" si="79"/>
        <v>0</v>
      </c>
      <c r="AC120" s="43">
        <f t="shared" si="80"/>
        <v>0</v>
      </c>
      <c r="AD120" s="43">
        <f t="shared" si="81"/>
        <v>0</v>
      </c>
      <c r="AE120" s="43">
        <f t="shared" si="82"/>
        <v>0</v>
      </c>
      <c r="AF120" s="51" t="e">
        <f>HLOOKUP(I120,ElecAvoidedCostsWOCC!$A$5:$Q$50,G120+1,FALSE)</f>
        <v>#N/A</v>
      </c>
      <c r="AG120" s="43" t="e">
        <f t="shared" si="83"/>
        <v>#N/A</v>
      </c>
      <c r="AH120" s="51" t="e">
        <f>HLOOKUP(I120,ElecAvoidedCostsWOCC!$A$5:$Q$50,T120+1,FALSE)</f>
        <v>#N/A</v>
      </c>
      <c r="AI120" s="43" t="e">
        <f t="shared" si="84"/>
        <v>#N/A</v>
      </c>
      <c r="AJ120" s="43" t="e">
        <f t="shared" si="85"/>
        <v>#N/A</v>
      </c>
      <c r="AK120" s="43" t="e">
        <f>HLOOKUP(I120,ElecAvoidedCostsWOCC!$A$5:$Q$50,G120+1,FALSE)*J120*L120</f>
        <v>#N/A</v>
      </c>
      <c r="AL120" s="43" t="e">
        <f t="shared" si="86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87"/>
        <v>0</v>
      </c>
      <c r="AO120" s="46">
        <f t="shared" si="88"/>
        <v>0</v>
      </c>
      <c r="AP120" s="46" t="e">
        <f t="shared" si="89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71"/>
        <v>0</v>
      </c>
      <c r="U121" s="46">
        <f t="shared" si="72"/>
        <v>0</v>
      </c>
      <c r="V121" s="47">
        <f t="shared" si="73"/>
        <v>0</v>
      </c>
      <c r="W121" s="48">
        <f t="shared" si="74"/>
        <v>0</v>
      </c>
      <c r="X121" s="43">
        <f t="shared" si="75"/>
        <v>0</v>
      </c>
      <c r="Y121" s="43">
        <f t="shared" si="76"/>
        <v>0</v>
      </c>
      <c r="Z121" s="43">
        <f t="shared" si="77"/>
        <v>0</v>
      </c>
      <c r="AA121" s="49">
        <f t="shared" si="78"/>
        <v>0</v>
      </c>
      <c r="AB121" s="50">
        <f t="shared" si="79"/>
        <v>0</v>
      </c>
      <c r="AC121" s="43">
        <f t="shared" si="80"/>
        <v>0</v>
      </c>
      <c r="AD121" s="43">
        <f t="shared" si="81"/>
        <v>0</v>
      </c>
      <c r="AE121" s="43">
        <f t="shared" si="82"/>
        <v>0</v>
      </c>
      <c r="AF121" s="51" t="e">
        <f>HLOOKUP(I121,ElecAvoidedCostsWOCC!$A$5:$Q$50,G121+1,FALSE)</f>
        <v>#N/A</v>
      </c>
      <c r="AG121" s="43" t="e">
        <f t="shared" si="83"/>
        <v>#N/A</v>
      </c>
      <c r="AH121" s="51" t="e">
        <f>HLOOKUP(I121,ElecAvoidedCostsWOCC!$A$5:$Q$50,T121+1,FALSE)</f>
        <v>#N/A</v>
      </c>
      <c r="AI121" s="43" t="e">
        <f t="shared" si="84"/>
        <v>#N/A</v>
      </c>
      <c r="AJ121" s="43" t="e">
        <f t="shared" si="85"/>
        <v>#N/A</v>
      </c>
      <c r="AK121" s="43" t="e">
        <f>HLOOKUP(I121,ElecAvoidedCostsWOCC!$A$5:$Q$50,G121+1,FALSE)*J121*L121</f>
        <v>#N/A</v>
      </c>
      <c r="AL121" s="43" t="e">
        <f t="shared" si="86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87"/>
        <v>0</v>
      </c>
      <c r="AO121" s="46">
        <f t="shared" si="88"/>
        <v>0</v>
      </c>
      <c r="AP121" s="46" t="e">
        <f t="shared" si="89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71"/>
        <v>0</v>
      </c>
      <c r="U122" s="46">
        <f t="shared" si="72"/>
        <v>0</v>
      </c>
      <c r="V122" s="47">
        <f t="shared" si="73"/>
        <v>0</v>
      </c>
      <c r="W122" s="48">
        <f t="shared" si="74"/>
        <v>0</v>
      </c>
      <c r="X122" s="43">
        <f t="shared" si="75"/>
        <v>0</v>
      </c>
      <c r="Y122" s="43">
        <f t="shared" si="76"/>
        <v>0</v>
      </c>
      <c r="Z122" s="43">
        <f t="shared" si="77"/>
        <v>0</v>
      </c>
      <c r="AA122" s="49">
        <f t="shared" si="78"/>
        <v>0</v>
      </c>
      <c r="AB122" s="50">
        <f t="shared" si="79"/>
        <v>0</v>
      </c>
      <c r="AC122" s="43">
        <f t="shared" si="80"/>
        <v>0</v>
      </c>
      <c r="AD122" s="43">
        <f t="shared" si="81"/>
        <v>0</v>
      </c>
      <c r="AE122" s="43">
        <f t="shared" si="82"/>
        <v>0</v>
      </c>
      <c r="AF122" s="51" t="e">
        <f>HLOOKUP(I122,ElecAvoidedCostsWOCC!$A$5:$Q$50,G122+1,FALSE)</f>
        <v>#N/A</v>
      </c>
      <c r="AG122" s="43" t="e">
        <f t="shared" si="83"/>
        <v>#N/A</v>
      </c>
      <c r="AH122" s="51" t="e">
        <f>HLOOKUP(I122,ElecAvoidedCostsWOCC!$A$5:$Q$50,T122+1,FALSE)</f>
        <v>#N/A</v>
      </c>
      <c r="AI122" s="43" t="e">
        <f t="shared" si="84"/>
        <v>#N/A</v>
      </c>
      <c r="AJ122" s="43" t="e">
        <f t="shared" si="85"/>
        <v>#N/A</v>
      </c>
      <c r="AK122" s="43" t="e">
        <f>HLOOKUP(I122,ElecAvoidedCostsWOCC!$A$5:$Q$50,G122+1,FALSE)*J122*L122</f>
        <v>#N/A</v>
      </c>
      <c r="AL122" s="43" t="e">
        <f t="shared" si="86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87"/>
        <v>0</v>
      </c>
      <c r="AO122" s="46">
        <f t="shared" si="88"/>
        <v>0</v>
      </c>
      <c r="AP122" s="46" t="e">
        <f t="shared" si="89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71"/>
        <v>0</v>
      </c>
      <c r="U123" s="46">
        <f t="shared" si="72"/>
        <v>0</v>
      </c>
      <c r="V123" s="47">
        <f t="shared" si="73"/>
        <v>0</v>
      </c>
      <c r="W123" s="48">
        <f t="shared" si="74"/>
        <v>0</v>
      </c>
      <c r="X123" s="43">
        <f t="shared" si="75"/>
        <v>0</v>
      </c>
      <c r="Y123" s="43">
        <f t="shared" si="76"/>
        <v>0</v>
      </c>
      <c r="Z123" s="43">
        <f t="shared" si="77"/>
        <v>0</v>
      </c>
      <c r="AA123" s="49">
        <f t="shared" si="78"/>
        <v>0</v>
      </c>
      <c r="AB123" s="50">
        <f t="shared" si="79"/>
        <v>0</v>
      </c>
      <c r="AC123" s="43">
        <f t="shared" si="80"/>
        <v>0</v>
      </c>
      <c r="AD123" s="43">
        <f t="shared" si="81"/>
        <v>0</v>
      </c>
      <c r="AE123" s="43">
        <f t="shared" si="82"/>
        <v>0</v>
      </c>
      <c r="AF123" s="51" t="e">
        <f>HLOOKUP(I123,ElecAvoidedCostsWOCC!$A$5:$Q$50,G123+1,FALSE)</f>
        <v>#N/A</v>
      </c>
      <c r="AG123" s="43" t="e">
        <f t="shared" si="83"/>
        <v>#N/A</v>
      </c>
      <c r="AH123" s="51" t="e">
        <f>HLOOKUP(I123,ElecAvoidedCostsWOCC!$A$5:$Q$50,T123+1,FALSE)</f>
        <v>#N/A</v>
      </c>
      <c r="AI123" s="43" t="e">
        <f t="shared" si="84"/>
        <v>#N/A</v>
      </c>
      <c r="AJ123" s="43" t="e">
        <f t="shared" si="85"/>
        <v>#N/A</v>
      </c>
      <c r="AK123" s="43" t="e">
        <f>HLOOKUP(I123,ElecAvoidedCostsWOCC!$A$5:$Q$50,G123+1,FALSE)*J123*L123</f>
        <v>#N/A</v>
      </c>
      <c r="AL123" s="43" t="e">
        <f t="shared" si="86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87"/>
        <v>0</v>
      </c>
      <c r="AO123" s="46">
        <f t="shared" si="88"/>
        <v>0</v>
      </c>
      <c r="AP123" s="46" t="e">
        <f t="shared" si="89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71"/>
        <v>0</v>
      </c>
      <c r="U124" s="46">
        <f t="shared" si="72"/>
        <v>0</v>
      </c>
      <c r="V124" s="47">
        <f t="shared" si="73"/>
        <v>0</v>
      </c>
      <c r="W124" s="48">
        <f t="shared" si="74"/>
        <v>0</v>
      </c>
      <c r="X124" s="43">
        <f t="shared" si="75"/>
        <v>0</v>
      </c>
      <c r="Y124" s="43">
        <f t="shared" si="76"/>
        <v>0</v>
      </c>
      <c r="Z124" s="43">
        <f t="shared" si="77"/>
        <v>0</v>
      </c>
      <c r="AA124" s="49">
        <f t="shared" si="78"/>
        <v>0</v>
      </c>
      <c r="AB124" s="50">
        <f t="shared" si="79"/>
        <v>0</v>
      </c>
      <c r="AC124" s="43">
        <f t="shared" si="80"/>
        <v>0</v>
      </c>
      <c r="AD124" s="43">
        <f t="shared" si="81"/>
        <v>0</v>
      </c>
      <c r="AE124" s="43">
        <f t="shared" si="82"/>
        <v>0</v>
      </c>
      <c r="AF124" s="51" t="e">
        <f>HLOOKUP(I124,ElecAvoidedCostsWOCC!$A$5:$Q$50,G124+1,FALSE)</f>
        <v>#N/A</v>
      </c>
      <c r="AG124" s="43" t="e">
        <f t="shared" si="83"/>
        <v>#N/A</v>
      </c>
      <c r="AH124" s="51" t="e">
        <f>HLOOKUP(I124,ElecAvoidedCostsWOCC!$A$5:$Q$50,T124+1,FALSE)</f>
        <v>#N/A</v>
      </c>
      <c r="AI124" s="43" t="e">
        <f t="shared" si="84"/>
        <v>#N/A</v>
      </c>
      <c r="AJ124" s="43" t="e">
        <f t="shared" si="85"/>
        <v>#N/A</v>
      </c>
      <c r="AK124" s="43" t="e">
        <f>HLOOKUP(I124,ElecAvoidedCostsWOCC!$A$5:$Q$50,G124+1,FALSE)*J124*L124</f>
        <v>#N/A</v>
      </c>
      <c r="AL124" s="43" t="e">
        <f t="shared" si="86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87"/>
        <v>0</v>
      </c>
      <c r="AO124" s="46">
        <f t="shared" si="88"/>
        <v>0</v>
      </c>
      <c r="AP124" s="46" t="e">
        <f t="shared" si="89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71"/>
        <v>0</v>
      </c>
      <c r="U125" s="46">
        <f t="shared" si="72"/>
        <v>0</v>
      </c>
      <c r="V125" s="47">
        <f t="shared" si="73"/>
        <v>0</v>
      </c>
      <c r="W125" s="48">
        <f t="shared" si="74"/>
        <v>0</v>
      </c>
      <c r="X125" s="43">
        <f t="shared" si="75"/>
        <v>0</v>
      </c>
      <c r="Y125" s="43">
        <f t="shared" si="76"/>
        <v>0</v>
      </c>
      <c r="Z125" s="43">
        <f t="shared" si="77"/>
        <v>0</v>
      </c>
      <c r="AA125" s="49">
        <f t="shared" si="78"/>
        <v>0</v>
      </c>
      <c r="AB125" s="50">
        <f t="shared" si="79"/>
        <v>0</v>
      </c>
      <c r="AC125" s="43">
        <f t="shared" si="80"/>
        <v>0</v>
      </c>
      <c r="AD125" s="43">
        <f t="shared" si="81"/>
        <v>0</v>
      </c>
      <c r="AE125" s="43">
        <f t="shared" si="82"/>
        <v>0</v>
      </c>
      <c r="AF125" s="51" t="e">
        <f>HLOOKUP(I125,ElecAvoidedCostsWOCC!$A$5:$Q$50,G125+1,FALSE)</f>
        <v>#N/A</v>
      </c>
      <c r="AG125" s="43" t="e">
        <f t="shared" si="83"/>
        <v>#N/A</v>
      </c>
      <c r="AH125" s="51" t="e">
        <f>HLOOKUP(I125,ElecAvoidedCostsWOCC!$A$5:$Q$50,T125+1,FALSE)</f>
        <v>#N/A</v>
      </c>
      <c r="AI125" s="43" t="e">
        <f t="shared" si="84"/>
        <v>#N/A</v>
      </c>
      <c r="AJ125" s="43" t="e">
        <f t="shared" si="85"/>
        <v>#N/A</v>
      </c>
      <c r="AK125" s="43" t="e">
        <f>HLOOKUP(I125,ElecAvoidedCostsWOCC!$A$5:$Q$50,G125+1,FALSE)*J125*L125</f>
        <v>#N/A</v>
      </c>
      <c r="AL125" s="43" t="e">
        <f t="shared" si="86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87"/>
        <v>0</v>
      </c>
      <c r="AO125" s="46">
        <f t="shared" si="88"/>
        <v>0</v>
      </c>
      <c r="AP125" s="46" t="e">
        <f t="shared" si="89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71"/>
        <v>0</v>
      </c>
      <c r="U126" s="46">
        <f t="shared" si="72"/>
        <v>0</v>
      </c>
      <c r="V126" s="47">
        <f t="shared" si="73"/>
        <v>0</v>
      </c>
      <c r="W126" s="48">
        <f t="shared" si="74"/>
        <v>0</v>
      </c>
      <c r="X126" s="43">
        <f t="shared" si="75"/>
        <v>0</v>
      </c>
      <c r="Y126" s="43">
        <f t="shared" si="76"/>
        <v>0</v>
      </c>
      <c r="Z126" s="43">
        <f t="shared" si="77"/>
        <v>0</v>
      </c>
      <c r="AA126" s="49">
        <f t="shared" si="78"/>
        <v>0</v>
      </c>
      <c r="AB126" s="50">
        <f t="shared" si="79"/>
        <v>0</v>
      </c>
      <c r="AC126" s="43">
        <f t="shared" si="80"/>
        <v>0</v>
      </c>
      <c r="AD126" s="43">
        <f t="shared" si="81"/>
        <v>0</v>
      </c>
      <c r="AE126" s="43">
        <f t="shared" si="82"/>
        <v>0</v>
      </c>
      <c r="AF126" s="51" t="e">
        <f>HLOOKUP(I126,ElecAvoidedCostsWOCC!$A$5:$Q$50,G126+1,FALSE)</f>
        <v>#N/A</v>
      </c>
      <c r="AG126" s="43" t="e">
        <f t="shared" si="83"/>
        <v>#N/A</v>
      </c>
      <c r="AH126" s="51" t="e">
        <f>HLOOKUP(I126,ElecAvoidedCostsWOCC!$A$5:$Q$50,T126+1,FALSE)</f>
        <v>#N/A</v>
      </c>
      <c r="AI126" s="43" t="e">
        <f t="shared" si="84"/>
        <v>#N/A</v>
      </c>
      <c r="AJ126" s="43" t="e">
        <f t="shared" si="85"/>
        <v>#N/A</v>
      </c>
      <c r="AK126" s="43" t="e">
        <f>HLOOKUP(I126,ElecAvoidedCostsWOCC!$A$5:$Q$50,G126+1,FALSE)*J126*L126</f>
        <v>#N/A</v>
      </c>
      <c r="AL126" s="43" t="e">
        <f t="shared" si="86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87"/>
        <v>0</v>
      </c>
      <c r="AO126" s="46">
        <f t="shared" si="88"/>
        <v>0</v>
      </c>
      <c r="AP126" s="46" t="e">
        <f t="shared" si="89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71"/>
        <v>0</v>
      </c>
      <c r="U127" s="46">
        <f t="shared" si="72"/>
        <v>0</v>
      </c>
      <c r="V127" s="47">
        <f t="shared" si="73"/>
        <v>0</v>
      </c>
      <c r="W127" s="48">
        <f t="shared" si="74"/>
        <v>0</v>
      </c>
      <c r="X127" s="43">
        <f t="shared" si="75"/>
        <v>0</v>
      </c>
      <c r="Y127" s="43">
        <f t="shared" si="76"/>
        <v>0</v>
      </c>
      <c r="Z127" s="43">
        <f t="shared" si="77"/>
        <v>0</v>
      </c>
      <c r="AA127" s="49">
        <f t="shared" si="78"/>
        <v>0</v>
      </c>
      <c r="AB127" s="50">
        <f t="shared" si="79"/>
        <v>0</v>
      </c>
      <c r="AC127" s="43">
        <f t="shared" si="80"/>
        <v>0</v>
      </c>
      <c r="AD127" s="43">
        <f t="shared" si="81"/>
        <v>0</v>
      </c>
      <c r="AE127" s="43">
        <f t="shared" si="82"/>
        <v>0</v>
      </c>
      <c r="AF127" s="51" t="e">
        <f>HLOOKUP(I127,ElecAvoidedCostsWOCC!$A$5:$Q$50,G127+1,FALSE)</f>
        <v>#N/A</v>
      </c>
      <c r="AG127" s="43" t="e">
        <f t="shared" si="83"/>
        <v>#N/A</v>
      </c>
      <c r="AH127" s="51" t="e">
        <f>HLOOKUP(I127,ElecAvoidedCostsWOCC!$A$5:$Q$50,T127+1,FALSE)</f>
        <v>#N/A</v>
      </c>
      <c r="AI127" s="43" t="e">
        <f t="shared" si="84"/>
        <v>#N/A</v>
      </c>
      <c r="AJ127" s="43" t="e">
        <f t="shared" si="85"/>
        <v>#N/A</v>
      </c>
      <c r="AK127" s="43" t="e">
        <f>HLOOKUP(I127,ElecAvoidedCostsWOCC!$A$5:$Q$50,G127+1,FALSE)*J127*L127</f>
        <v>#N/A</v>
      </c>
      <c r="AL127" s="43" t="e">
        <f t="shared" si="86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87"/>
        <v>0</v>
      </c>
      <c r="AO127" s="46">
        <f t="shared" si="88"/>
        <v>0</v>
      </c>
      <c r="AP127" s="46" t="e">
        <f t="shared" si="89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71"/>
        <v>0</v>
      </c>
      <c r="U128" s="46">
        <f t="shared" si="72"/>
        <v>0</v>
      </c>
      <c r="V128" s="47">
        <f t="shared" si="73"/>
        <v>0</v>
      </c>
      <c r="W128" s="48">
        <f t="shared" si="74"/>
        <v>0</v>
      </c>
      <c r="X128" s="43">
        <f t="shared" si="75"/>
        <v>0</v>
      </c>
      <c r="Y128" s="43">
        <f t="shared" si="76"/>
        <v>0</v>
      </c>
      <c r="Z128" s="43">
        <f t="shared" si="77"/>
        <v>0</v>
      </c>
      <c r="AA128" s="49">
        <f t="shared" si="78"/>
        <v>0</v>
      </c>
      <c r="AB128" s="50">
        <f t="shared" si="79"/>
        <v>0</v>
      </c>
      <c r="AC128" s="43">
        <f t="shared" si="80"/>
        <v>0</v>
      </c>
      <c r="AD128" s="43">
        <f t="shared" si="81"/>
        <v>0</v>
      </c>
      <c r="AE128" s="43">
        <f t="shared" si="82"/>
        <v>0</v>
      </c>
      <c r="AF128" s="51" t="e">
        <f>HLOOKUP(I128,ElecAvoidedCostsWOCC!$A$5:$Q$50,G128+1,FALSE)</f>
        <v>#N/A</v>
      </c>
      <c r="AG128" s="43" t="e">
        <f t="shared" si="83"/>
        <v>#N/A</v>
      </c>
      <c r="AH128" s="51" t="e">
        <f>HLOOKUP(I128,ElecAvoidedCostsWOCC!$A$5:$Q$50,T128+1,FALSE)</f>
        <v>#N/A</v>
      </c>
      <c r="AI128" s="43" t="e">
        <f t="shared" si="84"/>
        <v>#N/A</v>
      </c>
      <c r="AJ128" s="43" t="e">
        <f t="shared" si="85"/>
        <v>#N/A</v>
      </c>
      <c r="AK128" s="43" t="e">
        <f>HLOOKUP(I128,ElecAvoidedCostsWOCC!$A$5:$Q$50,G128+1,FALSE)*J128*L128</f>
        <v>#N/A</v>
      </c>
      <c r="AL128" s="43" t="e">
        <f t="shared" si="86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87"/>
        <v>0</v>
      </c>
      <c r="AO128" s="46">
        <f t="shared" si="88"/>
        <v>0</v>
      </c>
      <c r="AP128" s="46" t="e">
        <f t="shared" si="89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71"/>
        <v>0</v>
      </c>
      <c r="U129" s="46">
        <f t="shared" si="72"/>
        <v>0</v>
      </c>
      <c r="V129" s="47">
        <f t="shared" si="73"/>
        <v>0</v>
      </c>
      <c r="W129" s="48">
        <f t="shared" si="74"/>
        <v>0</v>
      </c>
      <c r="X129" s="43">
        <f t="shared" si="75"/>
        <v>0</v>
      </c>
      <c r="Y129" s="43">
        <f t="shared" si="76"/>
        <v>0</v>
      </c>
      <c r="Z129" s="43">
        <f t="shared" si="77"/>
        <v>0</v>
      </c>
      <c r="AA129" s="49">
        <f t="shared" si="78"/>
        <v>0</v>
      </c>
      <c r="AB129" s="50">
        <f t="shared" si="79"/>
        <v>0</v>
      </c>
      <c r="AC129" s="43">
        <f t="shared" si="80"/>
        <v>0</v>
      </c>
      <c r="AD129" s="43">
        <f t="shared" si="81"/>
        <v>0</v>
      </c>
      <c r="AE129" s="43">
        <f t="shared" si="82"/>
        <v>0</v>
      </c>
      <c r="AF129" s="51" t="e">
        <f>HLOOKUP(I129,ElecAvoidedCostsWOCC!$A$5:$Q$50,G129+1,FALSE)</f>
        <v>#N/A</v>
      </c>
      <c r="AG129" s="43" t="e">
        <f t="shared" si="83"/>
        <v>#N/A</v>
      </c>
      <c r="AH129" s="51" t="e">
        <f>HLOOKUP(I129,ElecAvoidedCostsWOCC!$A$5:$Q$50,T129+1,FALSE)</f>
        <v>#N/A</v>
      </c>
      <c r="AI129" s="43" t="e">
        <f t="shared" si="84"/>
        <v>#N/A</v>
      </c>
      <c r="AJ129" s="43" t="e">
        <f t="shared" si="85"/>
        <v>#N/A</v>
      </c>
      <c r="AK129" s="43" t="e">
        <f>HLOOKUP(I129,ElecAvoidedCostsWOCC!$A$5:$Q$50,G129+1,FALSE)*J129*L129</f>
        <v>#N/A</v>
      </c>
      <c r="AL129" s="43" t="e">
        <f t="shared" si="86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87"/>
        <v>0</v>
      </c>
      <c r="AO129" s="46">
        <f t="shared" si="88"/>
        <v>0</v>
      </c>
      <c r="AP129" s="46" t="e">
        <f t="shared" si="89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71"/>
        <v>0</v>
      </c>
      <c r="U130" s="46">
        <f t="shared" si="72"/>
        <v>0</v>
      </c>
      <c r="V130" s="47">
        <f t="shared" si="73"/>
        <v>0</v>
      </c>
      <c r="W130" s="48">
        <f t="shared" si="74"/>
        <v>0</v>
      </c>
      <c r="X130" s="43">
        <f t="shared" si="75"/>
        <v>0</v>
      </c>
      <c r="Y130" s="43">
        <f t="shared" si="76"/>
        <v>0</v>
      </c>
      <c r="Z130" s="43">
        <f t="shared" si="77"/>
        <v>0</v>
      </c>
      <c r="AA130" s="49">
        <f t="shared" si="78"/>
        <v>0</v>
      </c>
      <c r="AB130" s="50">
        <f t="shared" si="79"/>
        <v>0</v>
      </c>
      <c r="AC130" s="43">
        <f t="shared" si="80"/>
        <v>0</v>
      </c>
      <c r="AD130" s="43">
        <f t="shared" si="81"/>
        <v>0</v>
      </c>
      <c r="AE130" s="43">
        <f t="shared" si="82"/>
        <v>0</v>
      </c>
      <c r="AF130" s="51" t="e">
        <f>HLOOKUP(I130,ElecAvoidedCostsWOCC!$A$5:$Q$50,G130+1,FALSE)</f>
        <v>#N/A</v>
      </c>
      <c r="AG130" s="43" t="e">
        <f t="shared" si="83"/>
        <v>#N/A</v>
      </c>
      <c r="AH130" s="51" t="e">
        <f>HLOOKUP(I130,ElecAvoidedCostsWOCC!$A$5:$Q$50,T130+1,FALSE)</f>
        <v>#N/A</v>
      </c>
      <c r="AI130" s="43" t="e">
        <f t="shared" si="84"/>
        <v>#N/A</v>
      </c>
      <c r="AJ130" s="43" t="e">
        <f t="shared" si="85"/>
        <v>#N/A</v>
      </c>
      <c r="AK130" s="43" t="e">
        <f>HLOOKUP(I130,ElecAvoidedCostsWOCC!$A$5:$Q$50,G130+1,FALSE)*J130*L130</f>
        <v>#N/A</v>
      </c>
      <c r="AL130" s="43" t="e">
        <f t="shared" si="86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87"/>
        <v>0</v>
      </c>
      <c r="AO130" s="46">
        <f t="shared" si="88"/>
        <v>0</v>
      </c>
      <c r="AP130" s="46" t="e">
        <f t="shared" si="89"/>
        <v>#DIV/0!</v>
      </c>
    </row>
  </sheetData>
  <autoFilter ref="B4:AP130"/>
  <conditionalFormatting sqref="J5:L130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130 R5:S130">
    <cfRule type="expression" dxfId="197" priority="2">
      <formula>ISTEXT(M5)</formula>
    </cfRule>
  </conditionalFormatting>
  <conditionalFormatting sqref="M5:N130 R5:S130">
    <cfRule type="notContainsBlanks" dxfId="196" priority="3">
      <formula>LEN(TRIM(M5))&gt;0</formula>
    </cfRule>
  </conditionalFormatting>
  <conditionalFormatting sqref="R5:S130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11"/>
  <sheetViews>
    <sheetView zoomScale="85" zoomScaleNormal="85" workbookViewId="0">
      <selection activeCell="F36" sqref="F3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18230718</v>
      </c>
      <c r="D2" s="19" t="s">
        <v>125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18230718</v>
      </c>
      <c r="D5" s="60" t="s">
        <v>125</v>
      </c>
      <c r="E5" s="37" t="s">
        <v>814</v>
      </c>
      <c r="F5" s="508" t="s">
        <v>715</v>
      </c>
      <c r="G5" s="38">
        <v>15</v>
      </c>
      <c r="H5" s="38">
        <v>0</v>
      </c>
      <c r="I5" s="39" t="s">
        <v>260</v>
      </c>
      <c r="J5" s="40">
        <v>75</v>
      </c>
      <c r="K5" s="40">
        <v>522</v>
      </c>
      <c r="L5" s="40">
        <v>0</v>
      </c>
      <c r="M5" s="41">
        <v>1000</v>
      </c>
      <c r="N5" s="41">
        <v>225.2</v>
      </c>
      <c r="O5" s="42">
        <v>39150</v>
      </c>
      <c r="P5" s="43">
        <v>6000</v>
      </c>
      <c r="Q5" s="43">
        <v>16890</v>
      </c>
      <c r="R5" s="44">
        <v>6.73</v>
      </c>
      <c r="S5" s="45">
        <v>6.73</v>
      </c>
      <c r="T5" s="38">
        <f t="shared" ref="T5:T24" si="0">G5+H5</f>
        <v>15</v>
      </c>
      <c r="U5" s="46">
        <f t="shared" ref="U5:U24" si="1">(O5/$A$10)*T5</f>
        <v>0.30841881747104766</v>
      </c>
      <c r="V5" s="47">
        <f t="shared" ref="V5:V24" si="2">N5-M5</f>
        <v>-774.8</v>
      </c>
      <c r="W5" s="48">
        <f t="shared" ref="W5:W24" si="3">(O5/A$10)</f>
        <v>2.0561254498069843E-2</v>
      </c>
      <c r="X5" s="43">
        <f t="shared" ref="X5:X24" si="4">W5*A$8</f>
        <v>9975.3995382619742</v>
      </c>
      <c r="Y5" s="43">
        <f t="shared" ref="Y5:Y24" si="5">Q5-P5</f>
        <v>10890</v>
      </c>
      <c r="Z5" s="43">
        <f t="shared" ref="Z5:Z24" si="6">X5+(A$6*W5)</f>
        <v>28003.507482169611</v>
      </c>
      <c r="AA5" s="49">
        <f t="shared" ref="AA5:AA24" si="7">Q5+X5</f>
        <v>26865.399538261976</v>
      </c>
      <c r="AB5" s="50">
        <f t="shared" ref="AB5:AC20" si="8">Z5/(1+ElecDiscountRate)^1</f>
        <v>26220.512623754315</v>
      </c>
      <c r="AC5" s="43">
        <f t="shared" si="8"/>
        <v>25154.868481518704</v>
      </c>
      <c r="AD5" s="43">
        <f t="shared" ref="AD5:AD24" si="9">-PV(ElecDiscountRate,T5,R5)*J5</f>
        <v>4655.8612355590958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51958.994289098075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51958.994289098075</v>
      </c>
      <c r="AK5" s="43">
        <f>HLOOKUP(I5,ElecAvoidedCostsWOCC!$A$5:$Q$50,G5+1,FALSE)*J5*L5</f>
        <v>0</v>
      </c>
      <c r="AL5" s="43">
        <f>AG5+AI5-AK5</f>
        <v>51958.994289098075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51958.994289098075</v>
      </c>
      <c r="AN5" s="47">
        <f>AM5*1.1+AD5+AE5</f>
        <v>61810.754953566982</v>
      </c>
      <c r="AO5" s="46">
        <f>IFERROR(AM5/AB5,0)</f>
        <v>1.9816162648943079</v>
      </c>
      <c r="AP5" s="46">
        <f>AN5/AC5</f>
        <v>2.4572084325934513</v>
      </c>
    </row>
    <row r="6" spans="1:42" ht="13.5" customHeight="1" x14ac:dyDescent="0.25">
      <c r="A6" s="52">
        <f>SUMIF('Program Costs'!D:D,C2,'Program Costs'!L:L)</f>
        <v>876800</v>
      </c>
      <c r="B6" s="88" t="s">
        <v>67</v>
      </c>
      <c r="C6" s="89">
        <v>18230718</v>
      </c>
      <c r="D6" s="60" t="s">
        <v>125</v>
      </c>
      <c r="E6" s="37" t="s">
        <v>815</v>
      </c>
      <c r="F6" s="508" t="s">
        <v>816</v>
      </c>
      <c r="G6" s="38">
        <v>15</v>
      </c>
      <c r="H6" s="38">
        <v>0</v>
      </c>
      <c r="I6" s="39" t="s">
        <v>260</v>
      </c>
      <c r="J6" s="40">
        <v>70</v>
      </c>
      <c r="K6" s="40">
        <v>440</v>
      </c>
      <c r="L6" s="40">
        <v>0</v>
      </c>
      <c r="M6" s="41">
        <v>1000</v>
      </c>
      <c r="N6" s="41">
        <v>225.2</v>
      </c>
      <c r="O6" s="42">
        <v>30800</v>
      </c>
      <c r="P6" s="43">
        <v>6000</v>
      </c>
      <c r="Q6" s="43">
        <v>15764</v>
      </c>
      <c r="R6" s="44">
        <v>5.67</v>
      </c>
      <c r="S6" s="45">
        <v>5.67</v>
      </c>
      <c r="T6" s="38">
        <f t="shared" si="0"/>
        <v>15</v>
      </c>
      <c r="U6" s="46">
        <f t="shared" si="1"/>
        <v>0.24263855882779736</v>
      </c>
      <c r="V6" s="47">
        <f t="shared" si="2"/>
        <v>-774.8</v>
      </c>
      <c r="W6" s="48">
        <f t="shared" si="3"/>
        <v>1.6175903921853158E-2</v>
      </c>
      <c r="X6" s="43">
        <f t="shared" si="4"/>
        <v>7847.823902387453</v>
      </c>
      <c r="Y6" s="43">
        <f t="shared" si="5"/>
        <v>9764</v>
      </c>
      <c r="Z6" s="43">
        <f t="shared" si="6"/>
        <v>22030.856461068302</v>
      </c>
      <c r="AA6" s="49">
        <f t="shared" si="7"/>
        <v>23611.823902387452</v>
      </c>
      <c r="AB6" s="50">
        <f t="shared" si="8"/>
        <v>20628.142753809272</v>
      </c>
      <c r="AC6" s="43">
        <f t="shared" si="8"/>
        <v>22108.449346804729</v>
      </c>
      <c r="AD6" s="43">
        <f t="shared" si="9"/>
        <v>3661.0427427308664</v>
      </c>
      <c r="AE6" s="43">
        <v>0</v>
      </c>
      <c r="AF6" s="51">
        <f>HLOOKUP(I6,ElecAvoidedCostsWOCC!$A$5:$Q$50,G6+1,FALSE)</f>
        <v>1.3271773764776009</v>
      </c>
      <c r="AG6" s="43">
        <f t="shared" si="10"/>
        <v>40877.063195510105</v>
      </c>
      <c r="AH6" s="51">
        <f>HLOOKUP(I6,ElecAvoidedCostsWOCC!$A$5:$Q$50,T6+1,FALSE)</f>
        <v>1.3271773764776009</v>
      </c>
      <c r="AI6" s="43">
        <f t="shared" si="11"/>
        <v>0</v>
      </c>
      <c r="AJ6" s="43">
        <f t="shared" ref="AJ6:AJ24" si="12">AG6+AI6</f>
        <v>40877.063195510105</v>
      </c>
      <c r="AK6" s="43">
        <f>HLOOKUP(I6,ElecAvoidedCostsWOCC!$A$5:$Q$50,G6+1,FALSE)*J6*L6</f>
        <v>0</v>
      </c>
      <c r="AL6" s="43">
        <f t="shared" ref="AL6:AL24" si="13">AG6+AI6-AK6</f>
        <v>40877.063195510105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40877.063195510113</v>
      </c>
      <c r="AN6" s="47">
        <f t="shared" ref="AN6:AN24" si="14">AM6*1.1+AD6+AE6</f>
        <v>48625.812257791993</v>
      </c>
      <c r="AO6" s="46">
        <f t="shared" ref="AO6:AO24" si="15">IFERROR(AM6/AB6,0)</f>
        <v>1.9816162648943079</v>
      </c>
      <c r="AP6" s="46">
        <f t="shared" ref="AP6:AP24" si="16">AN6/AC6</f>
        <v>2.1994221075852947</v>
      </c>
    </row>
    <row r="7" spans="1:42" ht="13.5" customHeight="1" x14ac:dyDescent="0.25">
      <c r="A7" s="35" t="s">
        <v>239</v>
      </c>
      <c r="B7" s="88" t="s">
        <v>67</v>
      </c>
      <c r="C7" s="89">
        <v>18230718</v>
      </c>
      <c r="D7" s="60" t="s">
        <v>125</v>
      </c>
      <c r="E7" s="37" t="s">
        <v>817</v>
      </c>
      <c r="F7" s="508" t="s">
        <v>716</v>
      </c>
      <c r="G7" s="38">
        <v>15</v>
      </c>
      <c r="H7" s="38">
        <v>0</v>
      </c>
      <c r="I7" s="39" t="s">
        <v>260</v>
      </c>
      <c r="J7" s="40">
        <v>110</v>
      </c>
      <c r="K7" s="40">
        <v>522</v>
      </c>
      <c r="L7" s="40">
        <v>0</v>
      </c>
      <c r="M7" s="41">
        <v>800</v>
      </c>
      <c r="N7" s="41">
        <v>225.2</v>
      </c>
      <c r="O7" s="42">
        <v>57420</v>
      </c>
      <c r="P7" s="43">
        <v>12000</v>
      </c>
      <c r="Q7" s="43">
        <v>24772</v>
      </c>
      <c r="R7" s="44">
        <v>6.73</v>
      </c>
      <c r="S7" s="45">
        <v>6.73</v>
      </c>
      <c r="T7" s="38">
        <f t="shared" si="0"/>
        <v>15</v>
      </c>
      <c r="U7" s="46">
        <f t="shared" si="1"/>
        <v>0.45234759895753651</v>
      </c>
      <c r="V7" s="47">
        <f t="shared" si="2"/>
        <v>-574.79999999999995</v>
      </c>
      <c r="W7" s="48">
        <f t="shared" si="3"/>
        <v>3.0156506597169102E-2</v>
      </c>
      <c r="X7" s="43">
        <f t="shared" si="4"/>
        <v>14630.585989450894</v>
      </c>
      <c r="Y7" s="43">
        <f t="shared" si="5"/>
        <v>12772</v>
      </c>
      <c r="Z7" s="43">
        <f t="shared" si="6"/>
        <v>41071.810973848762</v>
      </c>
      <c r="AA7" s="49">
        <f t="shared" si="7"/>
        <v>39402.58598945089</v>
      </c>
      <c r="AB7" s="50">
        <f t="shared" si="8"/>
        <v>38456.751848172993</v>
      </c>
      <c r="AC7" s="43">
        <f t="shared" si="8"/>
        <v>36893.807106227425</v>
      </c>
      <c r="AD7" s="43">
        <f t="shared" si="9"/>
        <v>6828.5964788200072</v>
      </c>
      <c r="AE7" s="43">
        <v>0</v>
      </c>
      <c r="AF7" s="51">
        <f>HLOOKUP(I7,ElecAvoidedCostsWOCC!$A$5:$Q$50,G7+1,FALSE)</f>
        <v>1.3271773764776009</v>
      </c>
      <c r="AG7" s="43">
        <f t="shared" si="10"/>
        <v>76206.524957343849</v>
      </c>
      <c r="AH7" s="51">
        <f>HLOOKUP(I7,ElecAvoidedCostsWOCC!$A$5:$Q$50,T7+1,FALSE)</f>
        <v>1.3271773764776009</v>
      </c>
      <c r="AI7" s="43">
        <f t="shared" si="11"/>
        <v>0</v>
      </c>
      <c r="AJ7" s="43">
        <f t="shared" si="12"/>
        <v>76206.524957343849</v>
      </c>
      <c r="AK7" s="43">
        <f>HLOOKUP(I7,ElecAvoidedCostsWOCC!$A$5:$Q$50,G7+1,FALSE)*J7*L7</f>
        <v>0</v>
      </c>
      <c r="AL7" s="43">
        <f t="shared" si="13"/>
        <v>76206.524957343849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76206.524957343834</v>
      </c>
      <c r="AN7" s="47">
        <f t="shared" si="14"/>
        <v>90655.773931898235</v>
      </c>
      <c r="AO7" s="46">
        <f t="shared" si="15"/>
        <v>1.9816162648943079</v>
      </c>
      <c r="AP7" s="46">
        <f t="shared" si="16"/>
        <v>2.4572084325934513</v>
      </c>
    </row>
    <row r="8" spans="1:42" ht="13.5" customHeight="1" x14ac:dyDescent="0.25">
      <c r="A8" s="52">
        <f>SUMIF('Program Costs'!D:D,C2,'Program Costs'!O:O)</f>
        <v>485155.19999999995</v>
      </c>
      <c r="B8" s="88" t="s">
        <v>67</v>
      </c>
      <c r="C8" s="89">
        <v>18230718</v>
      </c>
      <c r="D8" s="60" t="s">
        <v>125</v>
      </c>
      <c r="E8" s="37" t="s">
        <v>818</v>
      </c>
      <c r="F8" s="508" t="s">
        <v>819</v>
      </c>
      <c r="G8" s="38">
        <v>15</v>
      </c>
      <c r="H8" s="38">
        <v>0</v>
      </c>
      <c r="I8" s="39" t="s">
        <v>260</v>
      </c>
      <c r="J8" s="40">
        <v>70</v>
      </c>
      <c r="K8" s="40">
        <v>440</v>
      </c>
      <c r="L8" s="40">
        <v>0</v>
      </c>
      <c r="M8" s="41">
        <v>800</v>
      </c>
      <c r="N8" s="41">
        <v>225.2</v>
      </c>
      <c r="O8" s="42">
        <v>30800</v>
      </c>
      <c r="P8" s="43">
        <v>8000</v>
      </c>
      <c r="Q8" s="43">
        <v>15764</v>
      </c>
      <c r="R8" s="44">
        <v>5.67</v>
      </c>
      <c r="S8" s="45">
        <v>5.67</v>
      </c>
      <c r="T8" s="38">
        <f t="shared" si="0"/>
        <v>15</v>
      </c>
      <c r="U8" s="46">
        <f t="shared" si="1"/>
        <v>0.24263855882779736</v>
      </c>
      <c r="V8" s="47">
        <f t="shared" si="2"/>
        <v>-574.79999999999995</v>
      </c>
      <c r="W8" s="48">
        <f t="shared" si="3"/>
        <v>1.6175903921853158E-2</v>
      </c>
      <c r="X8" s="43">
        <f t="shared" si="4"/>
        <v>7847.823902387453</v>
      </c>
      <c r="Y8" s="43">
        <f t="shared" si="5"/>
        <v>7764</v>
      </c>
      <c r="Z8" s="43">
        <f t="shared" si="6"/>
        <v>22030.856461068302</v>
      </c>
      <c r="AA8" s="49">
        <f t="shared" si="7"/>
        <v>23611.823902387452</v>
      </c>
      <c r="AB8" s="50">
        <f t="shared" si="8"/>
        <v>20628.142753809272</v>
      </c>
      <c r="AC8" s="43">
        <f t="shared" si="8"/>
        <v>22108.449346804729</v>
      </c>
      <c r="AD8" s="43">
        <f t="shared" si="9"/>
        <v>3661.0427427308664</v>
      </c>
      <c r="AE8" s="43">
        <v>0</v>
      </c>
      <c r="AF8" s="51">
        <f>HLOOKUP(I8,ElecAvoidedCostsWOCC!$A$5:$Q$50,G8+1,FALSE)</f>
        <v>1.3271773764776009</v>
      </c>
      <c r="AG8" s="43">
        <f t="shared" si="10"/>
        <v>40877.063195510105</v>
      </c>
      <c r="AH8" s="51">
        <f>HLOOKUP(I8,ElecAvoidedCostsWOCC!$A$5:$Q$50,T8+1,FALSE)</f>
        <v>1.3271773764776009</v>
      </c>
      <c r="AI8" s="43">
        <f t="shared" si="11"/>
        <v>0</v>
      </c>
      <c r="AJ8" s="43">
        <f t="shared" si="12"/>
        <v>40877.063195510105</v>
      </c>
      <c r="AK8" s="43">
        <f>HLOOKUP(I8,ElecAvoidedCostsWOCC!$A$5:$Q$50,G8+1,FALSE)*J8*L8</f>
        <v>0</v>
      </c>
      <c r="AL8" s="43">
        <f t="shared" si="13"/>
        <v>40877.063195510105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40877.063195510113</v>
      </c>
      <c r="AN8" s="47">
        <f t="shared" si="14"/>
        <v>48625.812257791993</v>
      </c>
      <c r="AO8" s="46">
        <f t="shared" si="15"/>
        <v>1.9816162648943079</v>
      </c>
      <c r="AP8" s="46">
        <f t="shared" si="16"/>
        <v>2.1994221075852947</v>
      </c>
    </row>
    <row r="9" spans="1:42" ht="13.5" customHeight="1" x14ac:dyDescent="0.25">
      <c r="A9" s="35" t="s">
        <v>241</v>
      </c>
      <c r="B9" s="88" t="s">
        <v>67</v>
      </c>
      <c r="C9" s="89">
        <v>18230718</v>
      </c>
      <c r="D9" s="60" t="s">
        <v>125</v>
      </c>
      <c r="E9" s="37" t="s">
        <v>820</v>
      </c>
      <c r="F9" s="508" t="s">
        <v>717</v>
      </c>
      <c r="G9" s="38">
        <v>15</v>
      </c>
      <c r="H9" s="38">
        <v>0</v>
      </c>
      <c r="I9" s="39" t="s">
        <v>260</v>
      </c>
      <c r="J9" s="40">
        <v>31</v>
      </c>
      <c r="K9" s="40">
        <v>522</v>
      </c>
      <c r="L9" s="40">
        <v>0</v>
      </c>
      <c r="M9" s="41">
        <v>500</v>
      </c>
      <c r="N9" s="41">
        <v>275</v>
      </c>
      <c r="O9" s="42">
        <v>16182</v>
      </c>
      <c r="P9" s="43">
        <v>5000</v>
      </c>
      <c r="Q9" s="43">
        <v>8525</v>
      </c>
      <c r="R9" s="44">
        <v>6.73</v>
      </c>
      <c r="S9" s="45">
        <v>6.73</v>
      </c>
      <c r="T9" s="38">
        <f t="shared" si="0"/>
        <v>15</v>
      </c>
      <c r="U9" s="46">
        <f t="shared" si="1"/>
        <v>0.12747977788803302</v>
      </c>
      <c r="V9" s="47">
        <f t="shared" si="2"/>
        <v>-225</v>
      </c>
      <c r="W9" s="48">
        <f t="shared" si="3"/>
        <v>8.4986518592022019E-3</v>
      </c>
      <c r="X9" s="43">
        <f t="shared" si="4"/>
        <v>4123.1651424816155</v>
      </c>
      <c r="Y9" s="43">
        <f t="shared" si="5"/>
        <v>3525</v>
      </c>
      <c r="Z9" s="43">
        <f t="shared" si="6"/>
        <v>11574.783092630107</v>
      </c>
      <c r="AA9" s="49">
        <f t="shared" si="7"/>
        <v>12648.165142481615</v>
      </c>
      <c r="AB9" s="50">
        <f t="shared" si="8"/>
        <v>10837.811884485118</v>
      </c>
      <c r="AC9" s="43">
        <f t="shared" si="8"/>
        <v>11842.851257005257</v>
      </c>
      <c r="AD9" s="43">
        <f t="shared" si="9"/>
        <v>1924.4226440310929</v>
      </c>
      <c r="AE9" s="43">
        <f t="shared" ref="AE9:AE24" si="17">-PV(ElecDiscountRate,T9,S9)*J9</f>
        <v>1924.4226440310929</v>
      </c>
      <c r="AF9" s="51">
        <f>HLOOKUP(I9,ElecAvoidedCostsWOCC!$A$5:$Q$50,G9+1,FALSE)</f>
        <v>1.3271773764776009</v>
      </c>
      <c r="AG9" s="43">
        <f t="shared" si="10"/>
        <v>21476.38430616054</v>
      </c>
      <c r="AH9" s="51">
        <f>HLOOKUP(I9,ElecAvoidedCostsWOCC!$A$5:$Q$50,T9+1,FALSE)</f>
        <v>1.3271773764776009</v>
      </c>
      <c r="AI9" s="43">
        <f t="shared" si="11"/>
        <v>0</v>
      </c>
      <c r="AJ9" s="43">
        <f t="shared" si="12"/>
        <v>21476.38430616054</v>
      </c>
      <c r="AK9" s="43">
        <f>HLOOKUP(I9,ElecAvoidedCostsWOCC!$A$5:$Q$50,G9+1,FALSE)*J9*L9</f>
        <v>0</v>
      </c>
      <c r="AL9" s="43">
        <f t="shared" si="13"/>
        <v>21476.38430616054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21476.384306160537</v>
      </c>
      <c r="AN9" s="47">
        <f t="shared" si="14"/>
        <v>27472.868024838775</v>
      </c>
      <c r="AO9" s="46">
        <f t="shared" si="15"/>
        <v>1.9816162648943076</v>
      </c>
      <c r="AP9" s="46">
        <f t="shared" si="16"/>
        <v>2.3197849427170745</v>
      </c>
    </row>
    <row r="10" spans="1:42" ht="13.5" customHeight="1" x14ac:dyDescent="0.25">
      <c r="A10" s="53">
        <f>SUM(O5:O995)</f>
        <v>1904066.7</v>
      </c>
      <c r="B10" s="88" t="s">
        <v>67</v>
      </c>
      <c r="C10" s="89">
        <v>18230718</v>
      </c>
      <c r="D10" s="60" t="s">
        <v>125</v>
      </c>
      <c r="E10" s="37" t="s">
        <v>821</v>
      </c>
      <c r="F10" s="508" t="s">
        <v>822</v>
      </c>
      <c r="G10" s="38">
        <v>15</v>
      </c>
      <c r="H10" s="38">
        <v>0</v>
      </c>
      <c r="I10" s="39" t="s">
        <v>260</v>
      </c>
      <c r="J10" s="40">
        <v>30</v>
      </c>
      <c r="K10" s="40">
        <v>440</v>
      </c>
      <c r="L10" s="40">
        <v>0</v>
      </c>
      <c r="M10" s="41">
        <v>500</v>
      </c>
      <c r="N10" s="41">
        <v>275</v>
      </c>
      <c r="O10" s="42">
        <v>13200</v>
      </c>
      <c r="P10" s="43">
        <v>5000</v>
      </c>
      <c r="Q10" s="43">
        <v>8250</v>
      </c>
      <c r="R10" s="44">
        <v>5.67</v>
      </c>
      <c r="S10" s="45">
        <v>5.67</v>
      </c>
      <c r="T10" s="38">
        <f t="shared" si="0"/>
        <v>15</v>
      </c>
      <c r="U10" s="46">
        <f t="shared" si="1"/>
        <v>0.10398795378334173</v>
      </c>
      <c r="V10" s="47">
        <f t="shared" si="2"/>
        <v>-225</v>
      </c>
      <c r="W10" s="48">
        <f t="shared" si="3"/>
        <v>6.9325302522227818E-3</v>
      </c>
      <c r="X10" s="43">
        <f t="shared" si="4"/>
        <v>3363.3531010231936</v>
      </c>
      <c r="Y10" s="43">
        <f t="shared" si="5"/>
        <v>3250</v>
      </c>
      <c r="Z10" s="43">
        <f t="shared" si="6"/>
        <v>9441.7956261721283</v>
      </c>
      <c r="AA10" s="49">
        <f t="shared" si="7"/>
        <v>11613.353101023193</v>
      </c>
      <c r="AB10" s="50">
        <f t="shared" si="8"/>
        <v>8840.6326087754005</v>
      </c>
      <c r="AC10" s="43">
        <f t="shared" si="8"/>
        <v>10873.926124553551</v>
      </c>
      <c r="AD10" s="43">
        <f t="shared" si="9"/>
        <v>1569.0183183132285</v>
      </c>
      <c r="AE10" s="43">
        <f t="shared" si="17"/>
        <v>1569.0183183132285</v>
      </c>
      <c r="AF10" s="51">
        <f>HLOOKUP(I10,ElecAvoidedCostsWOCC!$A$5:$Q$50,G10+1,FALSE)</f>
        <v>1.3271773764776009</v>
      </c>
      <c r="AG10" s="43">
        <f t="shared" si="10"/>
        <v>17518.741369504332</v>
      </c>
      <c r="AH10" s="51">
        <f>HLOOKUP(I10,ElecAvoidedCostsWOCC!$A$5:$Q$50,T10+1,FALSE)</f>
        <v>1.3271773764776009</v>
      </c>
      <c r="AI10" s="43">
        <f t="shared" si="11"/>
        <v>0</v>
      </c>
      <c r="AJ10" s="43">
        <f t="shared" si="12"/>
        <v>17518.741369504332</v>
      </c>
      <c r="AK10" s="43">
        <f>HLOOKUP(I10,ElecAvoidedCostsWOCC!$A$5:$Q$50,G10+1,FALSE)*J10*L10</f>
        <v>0</v>
      </c>
      <c r="AL10" s="43">
        <f t="shared" si="13"/>
        <v>17518.741369504332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17518.741369504332</v>
      </c>
      <c r="AN10" s="47">
        <f t="shared" si="14"/>
        <v>22408.652143081224</v>
      </c>
      <c r="AO10" s="46">
        <f t="shared" si="15"/>
        <v>1.9816162648943081</v>
      </c>
      <c r="AP10" s="46">
        <f t="shared" si="16"/>
        <v>2.0607692094286003</v>
      </c>
    </row>
    <row r="11" spans="1:42" ht="13.5" customHeight="1" x14ac:dyDescent="0.25">
      <c r="A11" s="35" t="s">
        <v>242</v>
      </c>
      <c r="B11" s="88" t="s">
        <v>67</v>
      </c>
      <c r="C11" s="89">
        <v>18230718</v>
      </c>
      <c r="D11" s="60" t="s">
        <v>125</v>
      </c>
      <c r="E11" s="37" t="s">
        <v>823</v>
      </c>
      <c r="F11" s="508" t="s">
        <v>824</v>
      </c>
      <c r="G11" s="38">
        <v>15</v>
      </c>
      <c r="H11" s="38">
        <v>0</v>
      </c>
      <c r="I11" s="39" t="s">
        <v>260</v>
      </c>
      <c r="J11" s="40">
        <v>80</v>
      </c>
      <c r="K11" s="40">
        <v>522</v>
      </c>
      <c r="L11" s="40">
        <v>0</v>
      </c>
      <c r="M11" s="41">
        <v>2000</v>
      </c>
      <c r="N11" s="41">
        <v>225.2</v>
      </c>
      <c r="O11" s="42">
        <v>41760</v>
      </c>
      <c r="P11" s="43">
        <v>8000</v>
      </c>
      <c r="Q11" s="43">
        <v>18016</v>
      </c>
      <c r="R11" s="44">
        <v>6.73</v>
      </c>
      <c r="S11" s="45">
        <v>6.73</v>
      </c>
      <c r="T11" s="38">
        <f t="shared" si="0"/>
        <v>15</v>
      </c>
      <c r="U11" s="46">
        <f t="shared" si="1"/>
        <v>0.32898007196911749</v>
      </c>
      <c r="V11" s="47">
        <f t="shared" si="2"/>
        <v>-1774.8</v>
      </c>
      <c r="W11" s="48">
        <f t="shared" si="3"/>
        <v>2.1932004797941166E-2</v>
      </c>
      <c r="X11" s="43">
        <f t="shared" si="4"/>
        <v>10640.426174146105</v>
      </c>
      <c r="Y11" s="43">
        <f t="shared" si="5"/>
        <v>10016</v>
      </c>
      <c r="Z11" s="43">
        <f t="shared" si="6"/>
        <v>29870.407980980919</v>
      </c>
      <c r="AA11" s="49">
        <f t="shared" si="7"/>
        <v>28656.426174146105</v>
      </c>
      <c r="AB11" s="50">
        <f t="shared" si="8"/>
        <v>27968.546798671272</v>
      </c>
      <c r="AC11" s="43">
        <f t="shared" si="8"/>
        <v>26831.859713619946</v>
      </c>
      <c r="AD11" s="43">
        <f t="shared" si="9"/>
        <v>4966.2519845963689</v>
      </c>
      <c r="AE11" s="43">
        <f t="shared" si="17"/>
        <v>4966.2519845963689</v>
      </c>
      <c r="AF11" s="51">
        <f>HLOOKUP(I11,ElecAvoidedCostsWOCC!$A$5:$Q$50,G11+1,FALSE)</f>
        <v>1.3271773764776009</v>
      </c>
      <c r="AG11" s="43">
        <f t="shared" si="10"/>
        <v>55422.927241704616</v>
      </c>
      <c r="AH11" s="51">
        <f>HLOOKUP(I11,ElecAvoidedCostsWOCC!$A$5:$Q$50,T11+1,FALSE)</f>
        <v>1.3271773764776009</v>
      </c>
      <c r="AI11" s="43">
        <f t="shared" si="11"/>
        <v>0</v>
      </c>
      <c r="AJ11" s="43">
        <f t="shared" si="12"/>
        <v>55422.927241704616</v>
      </c>
      <c r="AK11" s="43">
        <f>HLOOKUP(I11,ElecAvoidedCostsWOCC!$A$5:$Q$50,G11+1,FALSE)*J11*L11</f>
        <v>0</v>
      </c>
      <c r="AL11" s="43">
        <f t="shared" si="13"/>
        <v>55422.927241704616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55422.927241704609</v>
      </c>
      <c r="AN11" s="47">
        <f t="shared" si="14"/>
        <v>70897.723935067814</v>
      </c>
      <c r="AO11" s="46">
        <f t="shared" si="15"/>
        <v>1.9816162648943076</v>
      </c>
      <c r="AP11" s="46">
        <f t="shared" si="16"/>
        <v>2.6422963108695696</v>
      </c>
    </row>
    <row r="12" spans="1:42" ht="13.5" customHeight="1" x14ac:dyDescent="0.25">
      <c r="A12" s="54">
        <f>SUM(P5:P996)</f>
        <v>876800</v>
      </c>
      <c r="B12" s="88" t="s">
        <v>67</v>
      </c>
      <c r="C12" s="89">
        <v>18230718</v>
      </c>
      <c r="D12" s="60" t="s">
        <v>125</v>
      </c>
      <c r="E12" s="37" t="s">
        <v>825</v>
      </c>
      <c r="F12" s="508" t="s">
        <v>826</v>
      </c>
      <c r="G12" s="38">
        <v>15</v>
      </c>
      <c r="H12" s="38">
        <v>0</v>
      </c>
      <c r="I12" s="39" t="s">
        <v>260</v>
      </c>
      <c r="J12" s="40">
        <v>75</v>
      </c>
      <c r="K12" s="40">
        <v>440</v>
      </c>
      <c r="L12" s="40">
        <v>0</v>
      </c>
      <c r="M12" s="41">
        <v>2000</v>
      </c>
      <c r="N12" s="41">
        <v>225.2</v>
      </c>
      <c r="O12" s="42">
        <v>33000</v>
      </c>
      <c r="P12" s="43">
        <v>6000</v>
      </c>
      <c r="Q12" s="43">
        <v>16890</v>
      </c>
      <c r="R12" s="44">
        <v>5.67</v>
      </c>
      <c r="S12" s="45">
        <v>5.67</v>
      </c>
      <c r="T12" s="38">
        <f t="shared" si="0"/>
        <v>15</v>
      </c>
      <c r="U12" s="46">
        <f t="shared" si="1"/>
        <v>0.25996988445835434</v>
      </c>
      <c r="V12" s="47">
        <f t="shared" si="2"/>
        <v>-1774.8</v>
      </c>
      <c r="W12" s="48">
        <f t="shared" si="3"/>
        <v>1.7331325630556955E-2</v>
      </c>
      <c r="X12" s="43">
        <f t="shared" si="4"/>
        <v>8408.3827525579854</v>
      </c>
      <c r="Y12" s="43">
        <f t="shared" si="5"/>
        <v>10890</v>
      </c>
      <c r="Z12" s="43">
        <f t="shared" si="6"/>
        <v>23604.489065430324</v>
      </c>
      <c r="AA12" s="49">
        <f t="shared" si="7"/>
        <v>25298.382752557984</v>
      </c>
      <c r="AB12" s="50">
        <f t="shared" si="8"/>
        <v>22101.581521938504</v>
      </c>
      <c r="AC12" s="43">
        <f t="shared" si="8"/>
        <v>23687.624300147923</v>
      </c>
      <c r="AD12" s="43">
        <f t="shared" si="9"/>
        <v>3922.5457957830713</v>
      </c>
      <c r="AE12" s="43">
        <f t="shared" si="17"/>
        <v>3922.5457957830713</v>
      </c>
      <c r="AF12" s="51">
        <f>HLOOKUP(I12,ElecAvoidedCostsWOCC!$A$5:$Q$50,G12+1,FALSE)</f>
        <v>1.3271773764776009</v>
      </c>
      <c r="AG12" s="43">
        <f t="shared" si="10"/>
        <v>43796.853423760833</v>
      </c>
      <c r="AH12" s="51">
        <f>HLOOKUP(I12,ElecAvoidedCostsWOCC!$A$5:$Q$50,T12+1,FALSE)</f>
        <v>1.3271773764776009</v>
      </c>
      <c r="AI12" s="43">
        <f t="shared" si="11"/>
        <v>0</v>
      </c>
      <c r="AJ12" s="43">
        <f t="shared" si="12"/>
        <v>43796.853423760833</v>
      </c>
      <c r="AK12" s="43">
        <f>HLOOKUP(I12,ElecAvoidedCostsWOCC!$A$5:$Q$50,G12+1,FALSE)*J12*L12</f>
        <v>0</v>
      </c>
      <c r="AL12" s="43">
        <f t="shared" si="13"/>
        <v>43796.853423760833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43796.853423760833</v>
      </c>
      <c r="AN12" s="47">
        <f t="shared" si="14"/>
        <v>56021.630357703063</v>
      </c>
      <c r="AO12" s="46">
        <f t="shared" si="15"/>
        <v>1.9816162648943079</v>
      </c>
      <c r="AP12" s="46">
        <f t="shared" si="16"/>
        <v>2.3650168395043831</v>
      </c>
    </row>
    <row r="13" spans="1:42" ht="13.5" customHeight="1" x14ac:dyDescent="0.25">
      <c r="A13" s="55" t="s">
        <v>245</v>
      </c>
      <c r="B13" s="88" t="s">
        <v>67</v>
      </c>
      <c r="C13" s="89">
        <v>18230718</v>
      </c>
      <c r="D13" s="60" t="s">
        <v>125</v>
      </c>
      <c r="E13" s="37" t="s">
        <v>827</v>
      </c>
      <c r="F13" s="508" t="s">
        <v>718</v>
      </c>
      <c r="G13" s="38">
        <v>15</v>
      </c>
      <c r="H13" s="38">
        <v>0</v>
      </c>
      <c r="I13" s="39" t="s">
        <v>260</v>
      </c>
      <c r="J13" s="40">
        <v>350</v>
      </c>
      <c r="K13" s="40">
        <v>803</v>
      </c>
      <c r="L13" s="40">
        <v>0</v>
      </c>
      <c r="M13" s="41">
        <v>2500</v>
      </c>
      <c r="N13" s="41">
        <v>312.91000000000003</v>
      </c>
      <c r="O13" s="42">
        <v>281050</v>
      </c>
      <c r="P13" s="43">
        <v>87500</v>
      </c>
      <c r="Q13" s="43">
        <v>109518.50000000001</v>
      </c>
      <c r="R13" s="44">
        <v>10.36</v>
      </c>
      <c r="S13" s="45">
        <v>10.36</v>
      </c>
      <c r="T13" s="38">
        <f t="shared" si="0"/>
        <v>15</v>
      </c>
      <c r="U13" s="46">
        <f t="shared" si="1"/>
        <v>2.2140768493036509</v>
      </c>
      <c r="V13" s="47">
        <f t="shared" si="2"/>
        <v>-2187.09</v>
      </c>
      <c r="W13" s="48">
        <f t="shared" si="3"/>
        <v>0.14760512328691006</v>
      </c>
      <c r="X13" s="43">
        <f t="shared" si="4"/>
        <v>71611.393109285505</v>
      </c>
      <c r="Y13" s="43">
        <f t="shared" si="5"/>
        <v>22018.500000000015</v>
      </c>
      <c r="Z13" s="43">
        <f t="shared" si="6"/>
        <v>201031.56520724826</v>
      </c>
      <c r="AA13" s="49">
        <f t="shared" si="7"/>
        <v>181129.89310928551</v>
      </c>
      <c r="AB13" s="50">
        <f t="shared" si="8"/>
        <v>188231.80262850961</v>
      </c>
      <c r="AC13" s="43">
        <f t="shared" si="8"/>
        <v>169597.27819221487</v>
      </c>
      <c r="AD13" s="43">
        <f t="shared" si="9"/>
        <v>33446.563328652359</v>
      </c>
      <c r="AE13" s="43">
        <f t="shared" si="17"/>
        <v>33446.563328652359</v>
      </c>
      <c r="AF13" s="51">
        <f>HLOOKUP(I13,ElecAvoidedCostsWOCC!$A$5:$Q$50,G13+1,FALSE)</f>
        <v>1.3271773764776009</v>
      </c>
      <c r="AG13" s="43">
        <f t="shared" si="10"/>
        <v>373003.20165902976</v>
      </c>
      <c r="AH13" s="51">
        <f>HLOOKUP(I13,ElecAvoidedCostsWOCC!$A$5:$Q$50,T13+1,FALSE)</f>
        <v>1.3271773764776009</v>
      </c>
      <c r="AI13" s="43">
        <f t="shared" si="11"/>
        <v>0</v>
      </c>
      <c r="AJ13" s="43">
        <f t="shared" si="12"/>
        <v>373003.20165902976</v>
      </c>
      <c r="AK13" s="43">
        <f>HLOOKUP(I13,ElecAvoidedCostsWOCC!$A$5:$Q$50,G13+1,FALSE)*J13*L13</f>
        <v>0</v>
      </c>
      <c r="AL13" s="43">
        <f t="shared" si="13"/>
        <v>373003.20165902976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373003.20165902976</v>
      </c>
      <c r="AN13" s="47">
        <f t="shared" si="14"/>
        <v>477196.64848223748</v>
      </c>
      <c r="AO13" s="46">
        <f t="shared" si="15"/>
        <v>1.9816162648943076</v>
      </c>
      <c r="AP13" s="46">
        <f t="shared" si="16"/>
        <v>2.8137046394188094</v>
      </c>
    </row>
    <row r="14" spans="1:42" ht="13.5" customHeight="1" x14ac:dyDescent="0.25">
      <c r="A14" s="54">
        <f>SUM(Y5:Y996)</f>
        <v>877232.89000000013</v>
      </c>
      <c r="B14" s="88" t="s">
        <v>67</v>
      </c>
      <c r="C14" s="89">
        <v>18230718</v>
      </c>
      <c r="D14" s="60" t="s">
        <v>125</v>
      </c>
      <c r="E14" s="37" t="s">
        <v>828</v>
      </c>
      <c r="F14" s="508" t="s">
        <v>829</v>
      </c>
      <c r="G14" s="38">
        <v>15</v>
      </c>
      <c r="H14" s="38">
        <v>0</v>
      </c>
      <c r="I14" s="39" t="s">
        <v>260</v>
      </c>
      <c r="J14" s="40">
        <v>37</v>
      </c>
      <c r="K14" s="40">
        <v>955</v>
      </c>
      <c r="L14" s="40">
        <v>0</v>
      </c>
      <c r="M14" s="41">
        <v>2500</v>
      </c>
      <c r="N14" s="41">
        <v>312.91000000000003</v>
      </c>
      <c r="O14" s="42">
        <v>35335</v>
      </c>
      <c r="P14" s="43">
        <v>7500</v>
      </c>
      <c r="Q14" s="43">
        <v>11577.67</v>
      </c>
      <c r="R14" s="44">
        <v>12.32</v>
      </c>
      <c r="S14" s="45">
        <v>12.32</v>
      </c>
      <c r="T14" s="38">
        <f t="shared" si="0"/>
        <v>15</v>
      </c>
      <c r="U14" s="46">
        <f t="shared" si="1"/>
        <v>0.27836472325260453</v>
      </c>
      <c r="V14" s="47">
        <f t="shared" si="2"/>
        <v>-2187.09</v>
      </c>
      <c r="W14" s="48">
        <f t="shared" si="3"/>
        <v>1.8557648216840302E-2</v>
      </c>
      <c r="X14" s="43">
        <f t="shared" si="4"/>
        <v>9003.3395321707994</v>
      </c>
      <c r="Y14" s="43">
        <f t="shared" si="5"/>
        <v>4077.67</v>
      </c>
      <c r="Z14" s="43">
        <f t="shared" si="6"/>
        <v>25274.685488696377</v>
      </c>
      <c r="AA14" s="49">
        <f t="shared" si="7"/>
        <v>20581.0095321708</v>
      </c>
      <c r="AB14" s="50">
        <f t="shared" si="8"/>
        <v>23665.435850839302</v>
      </c>
      <c r="AC14" s="43">
        <f t="shared" si="8"/>
        <v>19270.608176189886</v>
      </c>
      <c r="AD14" s="43">
        <f t="shared" si="9"/>
        <v>4204.7108184591543</v>
      </c>
      <c r="AE14" s="43">
        <f t="shared" si="17"/>
        <v>4204.7108184591543</v>
      </c>
      <c r="AF14" s="51">
        <f>HLOOKUP(I14,ElecAvoidedCostsWOCC!$A$5:$Q$50,G14+1,FALSE)</f>
        <v>1.3271773764776009</v>
      </c>
      <c r="AG14" s="43">
        <f t="shared" si="10"/>
        <v>46895.812597836033</v>
      </c>
      <c r="AH14" s="51">
        <f>HLOOKUP(I14,ElecAvoidedCostsWOCC!$A$5:$Q$50,T14+1,FALSE)</f>
        <v>1.3271773764776009</v>
      </c>
      <c r="AI14" s="43">
        <f t="shared" si="11"/>
        <v>0</v>
      </c>
      <c r="AJ14" s="43">
        <f t="shared" si="12"/>
        <v>46895.812597836033</v>
      </c>
      <c r="AK14" s="43">
        <f>HLOOKUP(I14,ElecAvoidedCostsWOCC!$A$5:$Q$50,G14+1,FALSE)*J14*L14</f>
        <v>0</v>
      </c>
      <c r="AL14" s="43">
        <f t="shared" si="13"/>
        <v>46895.812597836033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46895.812597836026</v>
      </c>
      <c r="AN14" s="47">
        <f t="shared" si="14"/>
        <v>59994.815494537943</v>
      </c>
      <c r="AO14" s="46">
        <f t="shared" si="15"/>
        <v>1.9816162648943079</v>
      </c>
      <c r="AP14" s="46">
        <f t="shared" si="16"/>
        <v>3.1132808547612689</v>
      </c>
    </row>
    <row r="15" spans="1:42" ht="13.5" customHeight="1" x14ac:dyDescent="0.25">
      <c r="A15" s="56" t="s">
        <v>248</v>
      </c>
      <c r="B15" s="88" t="s">
        <v>67</v>
      </c>
      <c r="C15" s="89">
        <v>18230718</v>
      </c>
      <c r="D15" s="60" t="s">
        <v>125</v>
      </c>
      <c r="E15" s="37" t="s">
        <v>830</v>
      </c>
      <c r="F15" s="508" t="s">
        <v>719</v>
      </c>
      <c r="G15" s="38">
        <v>15</v>
      </c>
      <c r="H15" s="38">
        <v>0</v>
      </c>
      <c r="I15" s="39" t="s">
        <v>260</v>
      </c>
      <c r="J15" s="40">
        <v>290</v>
      </c>
      <c r="K15" s="40">
        <v>803</v>
      </c>
      <c r="L15" s="40">
        <v>0</v>
      </c>
      <c r="M15" s="41">
        <v>1500</v>
      </c>
      <c r="N15" s="41">
        <v>312.91000000000003</v>
      </c>
      <c r="O15" s="42">
        <v>232870</v>
      </c>
      <c r="P15" s="43">
        <v>57000</v>
      </c>
      <c r="Q15" s="43">
        <v>90743.900000000009</v>
      </c>
      <c r="R15" s="44">
        <v>10.36</v>
      </c>
      <c r="S15" s="45">
        <v>10.36</v>
      </c>
      <c r="T15" s="38">
        <f t="shared" si="0"/>
        <v>15</v>
      </c>
      <c r="U15" s="46">
        <f t="shared" si="1"/>
        <v>1.8345208179944539</v>
      </c>
      <c r="V15" s="47">
        <f t="shared" si="2"/>
        <v>-1187.0899999999999</v>
      </c>
      <c r="W15" s="48">
        <f t="shared" si="3"/>
        <v>0.12230138786629692</v>
      </c>
      <c r="X15" s="43">
        <f t="shared" si="4"/>
        <v>59335.154290550847</v>
      </c>
      <c r="Y15" s="43">
        <f t="shared" si="5"/>
        <v>33743.900000000009</v>
      </c>
      <c r="Z15" s="43">
        <f t="shared" si="6"/>
        <v>166569.01117171999</v>
      </c>
      <c r="AA15" s="49">
        <f t="shared" si="7"/>
        <v>150079.05429055085</v>
      </c>
      <c r="AB15" s="50">
        <f t="shared" si="8"/>
        <v>155963.49360647937</v>
      </c>
      <c r="AC15" s="43">
        <f t="shared" si="8"/>
        <v>140523.45907354949</v>
      </c>
      <c r="AD15" s="43">
        <f t="shared" si="9"/>
        <v>27712.866758026237</v>
      </c>
      <c r="AE15" s="43">
        <f t="shared" si="17"/>
        <v>27712.866758026237</v>
      </c>
      <c r="AF15" s="51">
        <f>HLOOKUP(I15,ElecAvoidedCostsWOCC!$A$5:$Q$50,G15+1,FALSE)</f>
        <v>1.3271773764776009</v>
      </c>
      <c r="AG15" s="43">
        <f t="shared" si="10"/>
        <v>309059.79566033889</v>
      </c>
      <c r="AH15" s="51">
        <f>HLOOKUP(I15,ElecAvoidedCostsWOCC!$A$5:$Q$50,T15+1,FALSE)</f>
        <v>1.3271773764776009</v>
      </c>
      <c r="AI15" s="43">
        <f t="shared" si="11"/>
        <v>0</v>
      </c>
      <c r="AJ15" s="43">
        <f t="shared" si="12"/>
        <v>309059.79566033889</v>
      </c>
      <c r="AK15" s="43">
        <f>HLOOKUP(I15,ElecAvoidedCostsWOCC!$A$5:$Q$50,G15+1,FALSE)*J15*L15</f>
        <v>0</v>
      </c>
      <c r="AL15" s="43">
        <f t="shared" si="13"/>
        <v>309059.79566033889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309059.79566033895</v>
      </c>
      <c r="AN15" s="47">
        <f t="shared" si="14"/>
        <v>395391.50874242536</v>
      </c>
      <c r="AO15" s="46">
        <f t="shared" si="15"/>
        <v>1.9816162648943081</v>
      </c>
      <c r="AP15" s="46">
        <f t="shared" si="16"/>
        <v>2.8137046394188094</v>
      </c>
    </row>
    <row r="16" spans="1:42" ht="13.5" customHeight="1" x14ac:dyDescent="0.25">
      <c r="A16" s="53">
        <f>SUM(U5:U995)</f>
        <v>18.730439695206055</v>
      </c>
      <c r="B16" s="88" t="s">
        <v>67</v>
      </c>
      <c r="C16" s="89">
        <v>18230718</v>
      </c>
      <c r="D16" s="60" t="s">
        <v>125</v>
      </c>
      <c r="E16" s="37" t="s">
        <v>831</v>
      </c>
      <c r="F16" s="508" t="s">
        <v>832</v>
      </c>
      <c r="G16" s="38">
        <v>15</v>
      </c>
      <c r="H16" s="38">
        <v>0</v>
      </c>
      <c r="I16" s="39" t="s">
        <v>260</v>
      </c>
      <c r="J16" s="40">
        <v>40</v>
      </c>
      <c r="K16" s="40">
        <v>955</v>
      </c>
      <c r="L16" s="40">
        <v>0</v>
      </c>
      <c r="M16" s="41">
        <v>1500</v>
      </c>
      <c r="N16" s="41">
        <v>312.91000000000003</v>
      </c>
      <c r="O16" s="42">
        <v>38200</v>
      </c>
      <c r="P16" s="43">
        <v>9000</v>
      </c>
      <c r="Q16" s="43">
        <v>12516.400000000001</v>
      </c>
      <c r="R16" s="44">
        <v>12.32</v>
      </c>
      <c r="S16" s="45">
        <v>12.32</v>
      </c>
      <c r="T16" s="38">
        <f t="shared" si="0"/>
        <v>15</v>
      </c>
      <c r="U16" s="46">
        <f t="shared" si="1"/>
        <v>0.30093483594876169</v>
      </c>
      <c r="V16" s="47">
        <f t="shared" si="2"/>
        <v>-1187.0899999999999</v>
      </c>
      <c r="W16" s="48">
        <f t="shared" si="3"/>
        <v>2.0062322396584113E-2</v>
      </c>
      <c r="X16" s="43">
        <f t="shared" si="4"/>
        <v>9733.3400347792431</v>
      </c>
      <c r="Y16" s="43">
        <f t="shared" si="5"/>
        <v>3516.4000000000015</v>
      </c>
      <c r="Z16" s="43">
        <f t="shared" si="6"/>
        <v>27323.984312104192</v>
      </c>
      <c r="AA16" s="49">
        <f t="shared" si="7"/>
        <v>22249.740034779243</v>
      </c>
      <c r="AB16" s="50">
        <f t="shared" si="8"/>
        <v>25584.254973880328</v>
      </c>
      <c r="AC16" s="43">
        <f t="shared" si="8"/>
        <v>20833.089920205282</v>
      </c>
      <c r="AD16" s="43">
        <f t="shared" si="9"/>
        <v>4545.6333172531395</v>
      </c>
      <c r="AE16" s="43">
        <f t="shared" si="17"/>
        <v>4545.6333172531395</v>
      </c>
      <c r="AF16" s="51">
        <f>HLOOKUP(I16,ElecAvoidedCostsWOCC!$A$5:$Q$50,G16+1,FALSE)</f>
        <v>1.3271773764776009</v>
      </c>
      <c r="AG16" s="43">
        <f t="shared" si="10"/>
        <v>50698.175781444355</v>
      </c>
      <c r="AH16" s="51">
        <f>HLOOKUP(I16,ElecAvoidedCostsWOCC!$A$5:$Q$50,T16+1,FALSE)</f>
        <v>1.3271773764776009</v>
      </c>
      <c r="AI16" s="43">
        <f t="shared" si="11"/>
        <v>0</v>
      </c>
      <c r="AJ16" s="43">
        <f t="shared" si="12"/>
        <v>50698.175781444355</v>
      </c>
      <c r="AK16" s="43">
        <f>HLOOKUP(I16,ElecAvoidedCostsWOCC!$A$5:$Q$50,G16+1,FALSE)*J16*L16</f>
        <v>0</v>
      </c>
      <c r="AL16" s="43">
        <f t="shared" si="13"/>
        <v>50698.175781444355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50698.175781444355</v>
      </c>
      <c r="AN16" s="47">
        <f t="shared" si="14"/>
        <v>64859.259994095068</v>
      </c>
      <c r="AO16" s="46">
        <f t="shared" si="15"/>
        <v>1.9816162648943079</v>
      </c>
      <c r="AP16" s="46">
        <f t="shared" si="16"/>
        <v>3.1132808547612685</v>
      </c>
    </row>
    <row r="17" spans="1:42" ht="13.5" customHeight="1" x14ac:dyDescent="0.25">
      <c r="A17" s="57" t="s">
        <v>251</v>
      </c>
      <c r="B17" s="88" t="s">
        <v>67</v>
      </c>
      <c r="C17" s="89">
        <v>18230718</v>
      </c>
      <c r="D17" s="60" t="s">
        <v>125</v>
      </c>
      <c r="E17" s="37" t="s">
        <v>833</v>
      </c>
      <c r="F17" s="508" t="s">
        <v>720</v>
      </c>
      <c r="G17" s="38">
        <v>15</v>
      </c>
      <c r="H17" s="38">
        <v>0</v>
      </c>
      <c r="I17" s="39" t="s">
        <v>260</v>
      </c>
      <c r="J17" s="40">
        <v>450</v>
      </c>
      <c r="K17" s="40">
        <v>803</v>
      </c>
      <c r="L17" s="40">
        <v>0</v>
      </c>
      <c r="M17" s="41">
        <v>4500</v>
      </c>
      <c r="N17" s="41">
        <v>312.91000000000003</v>
      </c>
      <c r="O17" s="42">
        <v>361350</v>
      </c>
      <c r="P17" s="43">
        <v>90000</v>
      </c>
      <c r="Q17" s="43">
        <v>140809.5</v>
      </c>
      <c r="R17" s="44">
        <v>10.36</v>
      </c>
      <c r="S17" s="45">
        <v>10.36</v>
      </c>
      <c r="T17" s="38">
        <f t="shared" si="0"/>
        <v>15</v>
      </c>
      <c r="U17" s="46">
        <f t="shared" si="1"/>
        <v>2.8466702348189798</v>
      </c>
      <c r="V17" s="47">
        <f t="shared" si="2"/>
        <v>-4187.09</v>
      </c>
      <c r="W17" s="48">
        <f t="shared" si="3"/>
        <v>0.18977801565459865</v>
      </c>
      <c r="X17" s="43">
        <f t="shared" si="4"/>
        <v>92071.791140509929</v>
      </c>
      <c r="Y17" s="43">
        <f t="shared" si="5"/>
        <v>50809.5</v>
      </c>
      <c r="Z17" s="43">
        <f t="shared" si="6"/>
        <v>258469.15526646201</v>
      </c>
      <c r="AA17" s="49">
        <f t="shared" si="7"/>
        <v>232881.29114050994</v>
      </c>
      <c r="AB17" s="50">
        <f t="shared" si="8"/>
        <v>242012.31766522658</v>
      </c>
      <c r="AC17" s="43">
        <f t="shared" si="8"/>
        <v>218053.64338999058</v>
      </c>
      <c r="AD17" s="43">
        <f t="shared" si="9"/>
        <v>43002.724279695889</v>
      </c>
      <c r="AE17" s="43">
        <f t="shared" si="17"/>
        <v>43002.724279695889</v>
      </c>
      <c r="AF17" s="51">
        <f>HLOOKUP(I17,ElecAvoidedCostsWOCC!$A$5:$Q$50,G17+1,FALSE)</f>
        <v>1.3271773764776009</v>
      </c>
      <c r="AG17" s="43">
        <f t="shared" si="10"/>
        <v>479575.54499018105</v>
      </c>
      <c r="AH17" s="51">
        <f>HLOOKUP(I17,ElecAvoidedCostsWOCC!$A$5:$Q$50,T17+1,FALSE)</f>
        <v>1.3271773764776009</v>
      </c>
      <c r="AI17" s="43">
        <f t="shared" si="11"/>
        <v>0</v>
      </c>
      <c r="AJ17" s="43">
        <f t="shared" si="12"/>
        <v>479575.54499018105</v>
      </c>
      <c r="AK17" s="43">
        <f>HLOOKUP(I17,ElecAvoidedCostsWOCC!$A$5:$Q$50,G17+1,FALSE)*J17*L17</f>
        <v>0</v>
      </c>
      <c r="AL17" s="43">
        <f t="shared" si="13"/>
        <v>479575.54499018105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479575.54499018117</v>
      </c>
      <c r="AN17" s="47">
        <f t="shared" si="14"/>
        <v>613538.54804859112</v>
      </c>
      <c r="AO17" s="46">
        <f t="shared" si="15"/>
        <v>1.9816162648943085</v>
      </c>
      <c r="AP17" s="46">
        <f t="shared" si="16"/>
        <v>2.8137046394188094</v>
      </c>
    </row>
    <row r="18" spans="1:42" ht="13.5" customHeight="1" x14ac:dyDescent="0.25">
      <c r="A18" s="58">
        <f>A6+A8</f>
        <v>1361955.2</v>
      </c>
      <c r="B18" s="88" t="s">
        <v>67</v>
      </c>
      <c r="C18" s="89">
        <v>18230718</v>
      </c>
      <c r="D18" s="60" t="s">
        <v>125</v>
      </c>
      <c r="E18" s="37" t="s">
        <v>834</v>
      </c>
      <c r="F18" s="38" t="s">
        <v>835</v>
      </c>
      <c r="G18" s="38">
        <v>15</v>
      </c>
      <c r="H18" s="38">
        <v>0</v>
      </c>
      <c r="I18" s="39" t="s">
        <v>260</v>
      </c>
      <c r="J18" s="40">
        <v>40</v>
      </c>
      <c r="K18" s="40">
        <v>955</v>
      </c>
      <c r="L18" s="40">
        <v>0</v>
      </c>
      <c r="M18" s="41">
        <v>4500</v>
      </c>
      <c r="N18" s="41">
        <v>312.91000000000003</v>
      </c>
      <c r="O18" s="42">
        <v>38200</v>
      </c>
      <c r="P18" s="43">
        <v>9000</v>
      </c>
      <c r="Q18" s="43">
        <v>12516.400000000001</v>
      </c>
      <c r="R18" s="44">
        <v>12.32</v>
      </c>
      <c r="S18" s="45">
        <v>12.32</v>
      </c>
      <c r="T18" s="38">
        <f t="shared" si="0"/>
        <v>15</v>
      </c>
      <c r="U18" s="46">
        <f t="shared" si="1"/>
        <v>0.30093483594876169</v>
      </c>
      <c r="V18" s="47">
        <f t="shared" si="2"/>
        <v>-4187.09</v>
      </c>
      <c r="W18" s="48">
        <f t="shared" si="3"/>
        <v>2.0062322396584113E-2</v>
      </c>
      <c r="X18" s="43">
        <f t="shared" si="4"/>
        <v>9733.3400347792431</v>
      </c>
      <c r="Y18" s="43">
        <f t="shared" si="5"/>
        <v>3516.4000000000015</v>
      </c>
      <c r="Z18" s="43">
        <f t="shared" si="6"/>
        <v>27323.984312104192</v>
      </c>
      <c r="AA18" s="49">
        <f t="shared" si="7"/>
        <v>22249.740034779243</v>
      </c>
      <c r="AB18" s="50">
        <f t="shared" si="8"/>
        <v>25584.254973880328</v>
      </c>
      <c r="AC18" s="43">
        <f t="shared" si="8"/>
        <v>20833.089920205282</v>
      </c>
      <c r="AD18" s="43">
        <f t="shared" si="9"/>
        <v>4545.6333172531395</v>
      </c>
      <c r="AE18" s="43">
        <f t="shared" si="17"/>
        <v>4545.6333172531395</v>
      </c>
      <c r="AF18" s="51">
        <f>HLOOKUP(I18,ElecAvoidedCostsWOCC!$A$5:$Q$50,G18+1,FALSE)</f>
        <v>1.3271773764776009</v>
      </c>
      <c r="AG18" s="43">
        <f t="shared" si="10"/>
        <v>50698.175781444355</v>
      </c>
      <c r="AH18" s="51">
        <f>HLOOKUP(I18,ElecAvoidedCostsWOCC!$A$5:$Q$50,T18+1,FALSE)</f>
        <v>1.3271773764776009</v>
      </c>
      <c r="AI18" s="43">
        <f t="shared" si="11"/>
        <v>0</v>
      </c>
      <c r="AJ18" s="43">
        <f t="shared" si="12"/>
        <v>50698.175781444355</v>
      </c>
      <c r="AK18" s="43">
        <f>HLOOKUP(I18,ElecAvoidedCostsWOCC!$A$5:$Q$50,G18+1,FALSE)*J18*L18</f>
        <v>0</v>
      </c>
      <c r="AL18" s="43">
        <f t="shared" si="13"/>
        <v>50698.175781444355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50698.175781444355</v>
      </c>
      <c r="AN18" s="47">
        <f t="shared" si="14"/>
        <v>64859.259994095068</v>
      </c>
      <c r="AO18" s="46">
        <f t="shared" si="15"/>
        <v>1.9816162648943079</v>
      </c>
      <c r="AP18" s="46">
        <f t="shared" si="16"/>
        <v>3.1132808547612685</v>
      </c>
    </row>
    <row r="19" spans="1:42" ht="13.5" customHeight="1" x14ac:dyDescent="0.25">
      <c r="A19" s="57" t="s">
        <v>221</v>
      </c>
      <c r="B19" s="88" t="s">
        <v>67</v>
      </c>
      <c r="C19" s="89">
        <v>18230718</v>
      </c>
      <c r="D19" s="60" t="s">
        <v>125</v>
      </c>
      <c r="E19" s="37" t="s">
        <v>836</v>
      </c>
      <c r="F19" s="38" t="s">
        <v>837</v>
      </c>
      <c r="G19" s="38">
        <v>15</v>
      </c>
      <c r="H19" s="38">
        <v>0</v>
      </c>
      <c r="I19" s="39" t="s">
        <v>265</v>
      </c>
      <c r="J19" s="40">
        <v>208</v>
      </c>
      <c r="K19" s="40">
        <v>1589</v>
      </c>
      <c r="L19" s="40">
        <v>0</v>
      </c>
      <c r="M19" s="41">
        <v>1000</v>
      </c>
      <c r="N19" s="41">
        <v>2115.35</v>
      </c>
      <c r="O19" s="42">
        <v>330512</v>
      </c>
      <c r="P19" s="43">
        <v>208000</v>
      </c>
      <c r="Q19" s="43">
        <v>439992.8</v>
      </c>
      <c r="R19" s="44">
        <v>0</v>
      </c>
      <c r="S19" s="45">
        <v>0</v>
      </c>
      <c r="T19" s="38">
        <f t="shared" si="0"/>
        <v>15</v>
      </c>
      <c r="U19" s="46">
        <f t="shared" si="1"/>
        <v>2.6037323167302913</v>
      </c>
      <c r="V19" s="47">
        <f t="shared" si="2"/>
        <v>1115.3499999999999</v>
      </c>
      <c r="W19" s="48">
        <f t="shared" si="3"/>
        <v>0.17358215444868608</v>
      </c>
      <c r="X19" s="43">
        <f t="shared" si="4"/>
        <v>84214.284857983177</v>
      </c>
      <c r="Y19" s="43">
        <f t="shared" si="5"/>
        <v>231992.8</v>
      </c>
      <c r="Z19" s="43">
        <f t="shared" si="6"/>
        <v>236411.11787859112</v>
      </c>
      <c r="AA19" s="49">
        <f t="shared" si="7"/>
        <v>524207.08485798317</v>
      </c>
      <c r="AB19" s="50">
        <f t="shared" si="8"/>
        <v>221358.72460542238</v>
      </c>
      <c r="AC19" s="43">
        <f t="shared" si="8"/>
        <v>490830.6037996097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567576.94928235409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567576.94928235409</v>
      </c>
      <c r="AK19" s="43">
        <f>HLOOKUP(I19,ElecAvoidedCostsWOCC!$A$5:$Q$50,G19+1,FALSE)*J19*L19</f>
        <v>0</v>
      </c>
      <c r="AL19" s="43">
        <f t="shared" si="13"/>
        <v>567576.94928235409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567576.94928235409</v>
      </c>
      <c r="AN19" s="47">
        <f t="shared" si="14"/>
        <v>624334.64421058958</v>
      </c>
      <c r="AO19" s="46">
        <f t="shared" si="15"/>
        <v>2.5640595386248028</v>
      </c>
      <c r="AP19" s="46">
        <f t="shared" si="16"/>
        <v>1.2719961619701392</v>
      </c>
    </row>
    <row r="20" spans="1:42" ht="13.5" customHeight="1" x14ac:dyDescent="0.25">
      <c r="A20" s="58">
        <f>A8+SUM(Q5:Q902)</f>
        <v>2239188.09</v>
      </c>
      <c r="B20" s="36"/>
      <c r="E20" s="37" t="s">
        <v>838</v>
      </c>
      <c r="F20" s="38" t="s">
        <v>710</v>
      </c>
      <c r="G20" s="38">
        <v>10</v>
      </c>
      <c r="H20" s="38">
        <v>0</v>
      </c>
      <c r="I20" s="39" t="s">
        <v>265</v>
      </c>
      <c r="J20" s="40">
        <v>4</v>
      </c>
      <c r="K20" s="40">
        <v>501</v>
      </c>
      <c r="L20" s="40">
        <v>0</v>
      </c>
      <c r="M20" s="41">
        <v>200</v>
      </c>
      <c r="N20" s="41">
        <v>74.22</v>
      </c>
      <c r="O20" s="42">
        <v>2004</v>
      </c>
      <c r="P20" s="43">
        <v>400</v>
      </c>
      <c r="Q20" s="43">
        <v>296.88</v>
      </c>
      <c r="R20" s="44">
        <v>0</v>
      </c>
      <c r="S20" s="45">
        <v>0</v>
      </c>
      <c r="T20" s="38">
        <f t="shared" si="0"/>
        <v>10</v>
      </c>
      <c r="U20" s="46">
        <f t="shared" si="1"/>
        <v>1.0524841382920041E-2</v>
      </c>
      <c r="V20" s="47">
        <f t="shared" si="2"/>
        <v>-125.78</v>
      </c>
      <c r="W20" s="48">
        <f t="shared" si="3"/>
        <v>1.0524841382920042E-3</v>
      </c>
      <c r="X20" s="43">
        <f t="shared" si="4"/>
        <v>510.61815260988487</v>
      </c>
      <c r="Y20" s="43">
        <f t="shared" si="5"/>
        <v>-103.12</v>
      </c>
      <c r="Z20" s="43">
        <f t="shared" si="6"/>
        <v>1433.4362450643141</v>
      </c>
      <c r="AA20" s="49">
        <f t="shared" si="7"/>
        <v>807.49815260988487</v>
      </c>
      <c r="AB20" s="50">
        <f t="shared" si="8"/>
        <v>1342.1687687868109</v>
      </c>
      <c r="AC20" s="43">
        <f t="shared" si="8"/>
        <v>756.08441255607192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1.2963360504949972</v>
      </c>
      <c r="AG20" s="43">
        <f t="shared" si="10"/>
        <v>2597.8574451919744</v>
      </c>
      <c r="AH20" s="51">
        <f>HLOOKUP(I20,ElecAvoidedCostsWOCC!$A$5:$Q$50,T20+1,FALSE)</f>
        <v>1.2963360504949972</v>
      </c>
      <c r="AI20" s="43">
        <f t="shared" si="11"/>
        <v>0</v>
      </c>
      <c r="AJ20" s="43">
        <f t="shared" si="12"/>
        <v>2597.8574451919744</v>
      </c>
      <c r="AK20" s="43">
        <f>HLOOKUP(I20,ElecAvoidedCostsWOCC!$A$5:$Q$50,G20+1,FALSE)*J20*L20</f>
        <v>0</v>
      </c>
      <c r="AL20" s="43">
        <f t="shared" si="13"/>
        <v>2597.8574451919744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2597.8574451919744</v>
      </c>
      <c r="AN20" s="47">
        <f t="shared" si="14"/>
        <v>2857.643189711172</v>
      </c>
      <c r="AO20" s="46">
        <f t="shared" si="15"/>
        <v>1.9355669015754129</v>
      </c>
      <c r="AP20" s="46">
        <f t="shared" si="16"/>
        <v>3.7795292989183884</v>
      </c>
    </row>
    <row r="21" spans="1:42" ht="13.5" customHeight="1" x14ac:dyDescent="0.25">
      <c r="A21" s="57" t="s">
        <v>235</v>
      </c>
      <c r="B21" s="36"/>
      <c r="E21" s="37" t="s">
        <v>839</v>
      </c>
      <c r="F21" s="38" t="s">
        <v>840</v>
      </c>
      <c r="G21" s="38">
        <v>10</v>
      </c>
      <c r="H21" s="38">
        <v>0</v>
      </c>
      <c r="I21" s="39" t="s">
        <v>265</v>
      </c>
      <c r="J21" s="40">
        <v>6</v>
      </c>
      <c r="K21" s="40">
        <v>295</v>
      </c>
      <c r="L21" s="40">
        <v>0</v>
      </c>
      <c r="M21" s="41">
        <v>200</v>
      </c>
      <c r="N21" s="41">
        <v>74.22</v>
      </c>
      <c r="O21" s="42">
        <v>1770</v>
      </c>
      <c r="P21" s="43">
        <v>600</v>
      </c>
      <c r="Q21" s="43">
        <v>445.32</v>
      </c>
      <c r="R21" s="44">
        <v>0</v>
      </c>
      <c r="S21" s="45">
        <v>0</v>
      </c>
      <c r="T21" s="38">
        <f t="shared" si="0"/>
        <v>10</v>
      </c>
      <c r="U21" s="46">
        <f t="shared" si="1"/>
        <v>9.2958928382078226E-3</v>
      </c>
      <c r="V21" s="47">
        <f t="shared" si="2"/>
        <v>-125.78</v>
      </c>
      <c r="W21" s="48">
        <f t="shared" si="3"/>
        <v>9.2958928382078218E-4</v>
      </c>
      <c r="X21" s="43">
        <f t="shared" si="4"/>
        <v>450.99507490992829</v>
      </c>
      <c r="Y21" s="43">
        <f t="shared" si="5"/>
        <v>-154.68</v>
      </c>
      <c r="Z21" s="43">
        <f t="shared" si="6"/>
        <v>1266.0589589639901</v>
      </c>
      <c r="AA21" s="49">
        <f t="shared" si="7"/>
        <v>896.31507490992828</v>
      </c>
      <c r="AB21" s="50">
        <f t="shared" ref="AB21:AC24" si="18">Z21/(1+ElecDiscountRate)^1</f>
        <v>1185.4484634494288</v>
      </c>
      <c r="AC21" s="43">
        <f t="shared" si="18"/>
        <v>839.24632482203015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1.2963360504949972</v>
      </c>
      <c r="AG21" s="43">
        <f t="shared" si="10"/>
        <v>2294.514809376145</v>
      </c>
      <c r="AH21" s="51">
        <f>HLOOKUP(I21,ElecAvoidedCostsWOCC!$A$5:$Q$50,T21+1,FALSE)</f>
        <v>1.2963360504949972</v>
      </c>
      <c r="AI21" s="43">
        <f t="shared" si="11"/>
        <v>0</v>
      </c>
      <c r="AJ21" s="43">
        <f t="shared" si="12"/>
        <v>2294.514809376145</v>
      </c>
      <c r="AK21" s="43">
        <f>HLOOKUP(I21,ElecAvoidedCostsWOCC!$A$5:$Q$50,G21+1,FALSE)*J21*L21</f>
        <v>0</v>
      </c>
      <c r="AL21" s="43">
        <f t="shared" si="13"/>
        <v>2294.514809376145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2294.514809376145</v>
      </c>
      <c r="AN21" s="47">
        <f t="shared" si="14"/>
        <v>2523.9662903137596</v>
      </c>
      <c r="AO21" s="46">
        <f t="shared" si="15"/>
        <v>1.9355669015754129</v>
      </c>
      <c r="AP21" s="46">
        <f t="shared" si="16"/>
        <v>3.0074201288268849</v>
      </c>
    </row>
    <row r="22" spans="1:42" ht="13.5" customHeight="1" x14ac:dyDescent="0.25">
      <c r="A22" s="59">
        <f>(SUM(AM5:AM996)/(SUM(AB5:AB996)))</f>
        <v>2.4994989992525438</v>
      </c>
      <c r="B22" s="36"/>
      <c r="E22" s="37" t="s">
        <v>841</v>
      </c>
      <c r="F22" s="38" t="s">
        <v>842</v>
      </c>
      <c r="G22" s="38">
        <v>10</v>
      </c>
      <c r="H22" s="38">
        <v>0</v>
      </c>
      <c r="I22" s="39" t="s">
        <v>265</v>
      </c>
      <c r="J22" s="40">
        <v>3</v>
      </c>
      <c r="K22" s="40">
        <v>108</v>
      </c>
      <c r="L22" s="40">
        <v>0</v>
      </c>
      <c r="M22" s="41">
        <v>200</v>
      </c>
      <c r="N22" s="41">
        <v>74.22</v>
      </c>
      <c r="O22" s="42">
        <v>324</v>
      </c>
      <c r="P22" s="43">
        <v>400</v>
      </c>
      <c r="Q22" s="43">
        <v>222.66</v>
      </c>
      <c r="R22" s="44">
        <v>0</v>
      </c>
      <c r="S22" s="45">
        <v>0</v>
      </c>
      <c r="T22" s="38">
        <f t="shared" si="0"/>
        <v>10</v>
      </c>
      <c r="U22" s="46">
        <f t="shared" si="1"/>
        <v>1.7016210619092281E-3</v>
      </c>
      <c r="V22" s="47">
        <f t="shared" si="2"/>
        <v>-125.78</v>
      </c>
      <c r="W22" s="48">
        <f t="shared" si="3"/>
        <v>1.7016210619092282E-4</v>
      </c>
      <c r="X22" s="43">
        <f t="shared" si="4"/>
        <v>82.555030661478398</v>
      </c>
      <c r="Y22" s="43">
        <f t="shared" si="5"/>
        <v>-177.34</v>
      </c>
      <c r="Z22" s="43">
        <f t="shared" si="6"/>
        <v>231.75316536967955</v>
      </c>
      <c r="AA22" s="49">
        <f t="shared" si="7"/>
        <v>305.21503066147841</v>
      </c>
      <c r="AB22" s="50">
        <f t="shared" si="18"/>
        <v>216.99734585175986</v>
      </c>
      <c r="AC22" s="43">
        <f t="shared" si="18"/>
        <v>285.78186391524196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1.2963360504949972</v>
      </c>
      <c r="AG22" s="43">
        <f t="shared" si="10"/>
        <v>420.01288036037909</v>
      </c>
      <c r="AH22" s="51">
        <f>HLOOKUP(I22,ElecAvoidedCostsWOCC!$A$5:$Q$50,T22+1,FALSE)</f>
        <v>1.2963360504949972</v>
      </c>
      <c r="AI22" s="43">
        <f t="shared" si="11"/>
        <v>0</v>
      </c>
      <c r="AJ22" s="43">
        <f t="shared" si="12"/>
        <v>420.01288036037909</v>
      </c>
      <c r="AK22" s="43">
        <f>HLOOKUP(I22,ElecAvoidedCostsWOCC!$A$5:$Q$50,G22+1,FALSE)*J22*L22</f>
        <v>0</v>
      </c>
      <c r="AL22" s="43">
        <f t="shared" si="13"/>
        <v>420.01288036037909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420.01288036037909</v>
      </c>
      <c r="AN22" s="47">
        <f t="shared" si="14"/>
        <v>462.01416839641701</v>
      </c>
      <c r="AO22" s="46">
        <f t="shared" si="15"/>
        <v>1.9355669015754129</v>
      </c>
      <c r="AP22" s="46">
        <f t="shared" si="16"/>
        <v>1.6166672092720431</v>
      </c>
    </row>
    <row r="23" spans="1:42" ht="13.5" customHeight="1" x14ac:dyDescent="0.25">
      <c r="A23" s="57" t="s">
        <v>236</v>
      </c>
      <c r="B23" s="36"/>
      <c r="E23" s="37" t="s">
        <v>843</v>
      </c>
      <c r="F23" s="38" t="s">
        <v>844</v>
      </c>
      <c r="G23" s="38">
        <v>10</v>
      </c>
      <c r="H23" s="38">
        <v>0</v>
      </c>
      <c r="I23" s="39" t="s">
        <v>265</v>
      </c>
      <c r="J23" s="40">
        <v>4</v>
      </c>
      <c r="K23" s="40">
        <v>499</v>
      </c>
      <c r="L23" s="40">
        <v>0</v>
      </c>
      <c r="M23" s="41">
        <v>200</v>
      </c>
      <c r="N23" s="41">
        <v>74.22</v>
      </c>
      <c r="O23" s="42">
        <v>1996</v>
      </c>
      <c r="P23" s="43">
        <v>400</v>
      </c>
      <c r="Q23" s="43">
        <v>296.88</v>
      </c>
      <c r="R23" s="44">
        <v>0</v>
      </c>
      <c r="S23" s="45">
        <v>0</v>
      </c>
      <c r="T23" s="38">
        <f t="shared" si="0"/>
        <v>10</v>
      </c>
      <c r="U23" s="46">
        <f t="shared" si="1"/>
        <v>1.0482826048058086E-2</v>
      </c>
      <c r="V23" s="47">
        <f t="shared" si="2"/>
        <v>-125.78</v>
      </c>
      <c r="W23" s="48">
        <f t="shared" si="3"/>
        <v>1.0482826048058085E-3</v>
      </c>
      <c r="X23" s="43">
        <f t="shared" si="4"/>
        <v>508.57975679108296</v>
      </c>
      <c r="Y23" s="43">
        <f t="shared" si="5"/>
        <v>-103.12</v>
      </c>
      <c r="Z23" s="43">
        <f t="shared" si="6"/>
        <v>1427.7139446848159</v>
      </c>
      <c r="AA23" s="49">
        <f t="shared" si="7"/>
        <v>805.45975679108301</v>
      </c>
      <c r="AB23" s="50">
        <f t="shared" si="18"/>
        <v>1336.8108096299775</v>
      </c>
      <c r="AC23" s="43">
        <f t="shared" si="18"/>
        <v>754.1758022388417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1.2963360504949972</v>
      </c>
      <c r="AG23" s="43">
        <f t="shared" si="10"/>
        <v>2587.4867567880146</v>
      </c>
      <c r="AH23" s="51">
        <f>HLOOKUP(I23,ElecAvoidedCostsWOCC!$A$5:$Q$50,T23+1,FALSE)</f>
        <v>1.2963360504949972</v>
      </c>
      <c r="AI23" s="43">
        <f t="shared" si="11"/>
        <v>0</v>
      </c>
      <c r="AJ23" s="43">
        <f t="shared" si="12"/>
        <v>2587.4867567880146</v>
      </c>
      <c r="AK23" s="43">
        <f>HLOOKUP(I23,ElecAvoidedCostsWOCC!$A$5:$Q$50,G23+1,FALSE)*J23*L23</f>
        <v>0</v>
      </c>
      <c r="AL23" s="43">
        <f t="shared" si="13"/>
        <v>2587.4867567880146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2587.4867567880146</v>
      </c>
      <c r="AN23" s="47">
        <f t="shared" si="14"/>
        <v>2846.2354324668163</v>
      </c>
      <c r="AO23" s="46">
        <f t="shared" si="15"/>
        <v>1.9355669015754129</v>
      </c>
      <c r="AP23" s="46">
        <f t="shared" si="16"/>
        <v>3.7739681172711972</v>
      </c>
    </row>
    <row r="24" spans="1:42" ht="13.5" customHeight="1" x14ac:dyDescent="0.25">
      <c r="A24" s="59">
        <f>(SUM(AN5:AN996)/SUM(AC5:AC996))</f>
        <v>1.8051411862535756</v>
      </c>
      <c r="B24" s="36"/>
      <c r="C24" s="60"/>
      <c r="D24" s="60"/>
      <c r="E24" s="37" t="s">
        <v>845</v>
      </c>
      <c r="F24" s="38" t="s">
        <v>846</v>
      </c>
      <c r="G24" s="38">
        <v>10</v>
      </c>
      <c r="H24" s="38">
        <v>0</v>
      </c>
      <c r="I24" s="39" t="s">
        <v>265</v>
      </c>
      <c r="J24" s="40">
        <v>4</v>
      </c>
      <c r="K24" s="40">
        <v>293</v>
      </c>
      <c r="L24" s="40">
        <v>0</v>
      </c>
      <c r="M24" s="41">
        <v>200</v>
      </c>
      <c r="N24" s="41">
        <v>74.22</v>
      </c>
      <c r="O24" s="42">
        <v>1172</v>
      </c>
      <c r="P24" s="43">
        <v>400</v>
      </c>
      <c r="Q24" s="43">
        <v>296.88</v>
      </c>
      <c r="R24" s="44">
        <v>0</v>
      </c>
      <c r="S24" s="45">
        <v>0</v>
      </c>
      <c r="T24" s="38">
        <f t="shared" si="0"/>
        <v>10</v>
      </c>
      <c r="U24" s="46">
        <f t="shared" si="1"/>
        <v>6.1552465572765908E-3</v>
      </c>
      <c r="V24" s="47">
        <f t="shared" si="2"/>
        <v>-125.78</v>
      </c>
      <c r="W24" s="48">
        <f t="shared" si="3"/>
        <v>6.1552465572765913E-4</v>
      </c>
      <c r="X24" s="43">
        <f t="shared" si="4"/>
        <v>298.62498745448357</v>
      </c>
      <c r="Y24" s="43">
        <f t="shared" si="5"/>
        <v>-103.12</v>
      </c>
      <c r="Z24" s="43">
        <f t="shared" si="6"/>
        <v>838.31700559649516</v>
      </c>
      <c r="AA24" s="49">
        <f t="shared" si="7"/>
        <v>595.50498745448363</v>
      </c>
      <c r="AB24" s="50">
        <f t="shared" si="18"/>
        <v>784.94101647611899</v>
      </c>
      <c r="AC24" s="43">
        <f t="shared" si="18"/>
        <v>557.58893956412317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1.2963360504949972</v>
      </c>
      <c r="AG24" s="43">
        <f t="shared" si="10"/>
        <v>1519.3058511801366</v>
      </c>
      <c r="AH24" s="51">
        <f>HLOOKUP(I24,ElecAvoidedCostsWOCC!$A$5:$Q$50,T24+1,FALSE)</f>
        <v>1.2963360504949972</v>
      </c>
      <c r="AI24" s="43">
        <f t="shared" si="11"/>
        <v>0</v>
      </c>
      <c r="AJ24" s="43">
        <f t="shared" si="12"/>
        <v>1519.3058511801366</v>
      </c>
      <c r="AK24" s="43">
        <f>HLOOKUP(I24,ElecAvoidedCostsWOCC!$A$5:$Q$50,G24+1,FALSE)*J24*L24</f>
        <v>0</v>
      </c>
      <c r="AL24" s="43">
        <f t="shared" si="13"/>
        <v>1519.3058511801366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1519.3058511801366</v>
      </c>
      <c r="AN24" s="47">
        <f t="shared" si="14"/>
        <v>1671.2364362981505</v>
      </c>
      <c r="AO24" s="46">
        <f t="shared" si="15"/>
        <v>1.9355669015754127</v>
      </c>
      <c r="AP24" s="46">
        <f t="shared" si="16"/>
        <v>2.997255357332921</v>
      </c>
    </row>
    <row r="25" spans="1:42" ht="13.5" customHeight="1" x14ac:dyDescent="0.25">
      <c r="B25" s="36"/>
      <c r="C25" s="60"/>
      <c r="D25" s="60"/>
      <c r="E25" s="37" t="s">
        <v>847</v>
      </c>
      <c r="F25" s="38" t="s">
        <v>711</v>
      </c>
      <c r="G25" s="38">
        <v>10</v>
      </c>
      <c r="H25" s="38">
        <v>0</v>
      </c>
      <c r="I25" s="39" t="s">
        <v>265</v>
      </c>
      <c r="J25" s="40">
        <v>20</v>
      </c>
      <c r="K25" s="40">
        <v>106</v>
      </c>
      <c r="L25" s="40">
        <v>0</v>
      </c>
      <c r="M25" s="41">
        <v>200</v>
      </c>
      <c r="N25" s="41">
        <v>74.22</v>
      </c>
      <c r="O25" s="42">
        <v>2120</v>
      </c>
      <c r="P25" s="43">
        <v>400</v>
      </c>
      <c r="Q25" s="43">
        <v>1484.4</v>
      </c>
      <c r="R25" s="44">
        <v>0</v>
      </c>
      <c r="S25" s="45">
        <v>0</v>
      </c>
      <c r="T25" s="38">
        <f t="shared" ref="T25:T84" si="19">G25+H25</f>
        <v>10</v>
      </c>
      <c r="U25" s="46">
        <f t="shared" ref="U25:U84" si="20">(O25/$A$10)*T25</f>
        <v>1.1134063738418406E-2</v>
      </c>
      <c r="V25" s="47">
        <f t="shared" ref="V25:V84" si="21">N25-M25</f>
        <v>-125.78</v>
      </c>
      <c r="W25" s="48">
        <f t="shared" ref="W25:W84" si="22">(O25/A$10)</f>
        <v>1.1134063738418407E-3</v>
      </c>
      <c r="X25" s="43">
        <f t="shared" ref="X25:X84" si="23">W25*A$8</f>
        <v>540.17489198251292</v>
      </c>
      <c r="Y25" s="43">
        <f t="shared" ref="Y25:Y84" si="24">Q25-P25</f>
        <v>1084.4000000000001</v>
      </c>
      <c r="Z25" s="43">
        <f t="shared" ref="Z25:Z84" si="25">X25+(A$6*W25)</f>
        <v>1516.409600567039</v>
      </c>
      <c r="AA25" s="49">
        <f t="shared" ref="AA25:AA84" si="26">Q25+X25</f>
        <v>2024.574891982513</v>
      </c>
      <c r="AB25" s="50">
        <f t="shared" ref="AB25:AB84" si="27">Z25/(1+ElecDiscountRate)^1</f>
        <v>1419.8591765608978</v>
      </c>
      <c r="AC25" s="43">
        <f t="shared" ref="AC25:AC84" si="28">AA25/(1+ElecDiscountRate)^1</f>
        <v>1895.6693745154614</v>
      </c>
      <c r="AD25" s="43">
        <f t="shared" ref="AD25:AD84" si="29">-PV(ElecDiscountRate,T25,R25)*J25</f>
        <v>0</v>
      </c>
      <c r="AE25" s="43">
        <f t="shared" ref="AE25:AE84" si="30">-PV(ElecDiscountRate,T25,S25)*J25</f>
        <v>0</v>
      </c>
      <c r="AF25" s="51">
        <f>HLOOKUP(I25,ElecAvoidedCostsWOCC!$A$5:$Q$50,G25+1,FALSE)</f>
        <v>1.2963360504949972</v>
      </c>
      <c r="AG25" s="43">
        <f t="shared" ref="AG25:AG84" si="31">AF25*J25*K25</f>
        <v>2748.2324270493941</v>
      </c>
      <c r="AH25" s="51">
        <f>HLOOKUP(I25,ElecAvoidedCostsWOCC!$A$5:$Q$50,T25+1,FALSE)</f>
        <v>1.2963360504949972</v>
      </c>
      <c r="AI25" s="43">
        <f t="shared" ref="AI25:AI84" si="32">AH25*J25*L25</f>
        <v>0</v>
      </c>
      <c r="AJ25" s="43">
        <f t="shared" ref="AJ25:AJ84" si="33">AG25+AI25</f>
        <v>2748.2324270493941</v>
      </c>
      <c r="AK25" s="43">
        <f>HLOOKUP(I25,ElecAvoidedCostsWOCC!$A$5:$Q$50,G25+1,FALSE)*J25*L25</f>
        <v>0</v>
      </c>
      <c r="AL25" s="43">
        <f t="shared" ref="AL25:AL84" si="34">AG25+AI25-AK25</f>
        <v>2748.2324270493941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2748.2324270493937</v>
      </c>
      <c r="AN25" s="47">
        <f t="shared" ref="AN25:AN84" si="35">AM25*1.1+AD25+AE25</f>
        <v>3023.0556697543334</v>
      </c>
      <c r="AO25" s="46">
        <f t="shared" ref="AO25:AO84" si="36">IFERROR(AM25/AB25,0)</f>
        <v>1.9355669015754127</v>
      </c>
      <c r="AP25" s="46">
        <f t="shared" ref="AP25:AP84" si="37">AN25/AC25</f>
        <v>1.5947167319338242</v>
      </c>
    </row>
    <row r="26" spans="1:42" ht="13.5" customHeight="1" x14ac:dyDescent="0.25">
      <c r="B26" s="36"/>
      <c r="C26" s="60"/>
      <c r="D26" s="60"/>
      <c r="E26" s="37" t="s">
        <v>848</v>
      </c>
      <c r="F26" s="38" t="s">
        <v>712</v>
      </c>
      <c r="G26" s="38">
        <v>10</v>
      </c>
      <c r="H26" s="38">
        <v>0</v>
      </c>
      <c r="I26" s="39" t="s">
        <v>265</v>
      </c>
      <c r="J26" s="40">
        <v>66</v>
      </c>
      <c r="K26" s="40">
        <v>188</v>
      </c>
      <c r="L26" s="40">
        <v>0</v>
      </c>
      <c r="M26" s="41">
        <v>200</v>
      </c>
      <c r="N26" s="41">
        <v>74.22</v>
      </c>
      <c r="O26" s="42">
        <v>12408</v>
      </c>
      <c r="P26" s="43">
        <v>2200</v>
      </c>
      <c r="Q26" s="43">
        <v>4898.5199999999995</v>
      </c>
      <c r="R26" s="44">
        <v>0</v>
      </c>
      <c r="S26" s="45">
        <v>0</v>
      </c>
      <c r="T26" s="38">
        <f t="shared" si="19"/>
        <v>10</v>
      </c>
      <c r="U26" s="46">
        <f t="shared" si="20"/>
        <v>6.5165784370894153E-2</v>
      </c>
      <c r="V26" s="47">
        <f t="shared" si="21"/>
        <v>-125.78</v>
      </c>
      <c r="W26" s="48">
        <f t="shared" si="22"/>
        <v>6.5165784370894153E-3</v>
      </c>
      <c r="X26" s="43">
        <f t="shared" si="23"/>
        <v>3161.5519149618026</v>
      </c>
      <c r="Y26" s="43">
        <f t="shared" si="24"/>
        <v>2698.5199999999995</v>
      </c>
      <c r="Z26" s="43">
        <f t="shared" si="25"/>
        <v>8875.2878886018025</v>
      </c>
      <c r="AA26" s="49">
        <f t="shared" si="26"/>
        <v>8060.0719149618017</v>
      </c>
      <c r="AB26" s="50">
        <f t="shared" si="27"/>
        <v>8310.1946522488779</v>
      </c>
      <c r="AC26" s="43">
        <f t="shared" si="28"/>
        <v>7546.8838155073045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1.2963360504949972</v>
      </c>
      <c r="AG26" s="43">
        <f t="shared" si="31"/>
        <v>16084.937714541928</v>
      </c>
      <c r="AH26" s="51">
        <f>HLOOKUP(I26,ElecAvoidedCostsWOCC!$A$5:$Q$50,T26+1,FALSE)</f>
        <v>1.2963360504949972</v>
      </c>
      <c r="AI26" s="43">
        <f t="shared" si="32"/>
        <v>0</v>
      </c>
      <c r="AJ26" s="43">
        <f t="shared" si="33"/>
        <v>16084.937714541928</v>
      </c>
      <c r="AK26" s="43">
        <f>HLOOKUP(I26,ElecAvoidedCostsWOCC!$A$5:$Q$50,G26+1,FALSE)*J26*L26</f>
        <v>0</v>
      </c>
      <c r="AL26" s="43">
        <f t="shared" si="34"/>
        <v>16084.937714541928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16084.937714541924</v>
      </c>
      <c r="AN26" s="47">
        <f t="shared" si="35"/>
        <v>17693.431485996116</v>
      </c>
      <c r="AO26" s="46">
        <f t="shared" si="36"/>
        <v>1.9355669015754127</v>
      </c>
      <c r="AP26" s="46">
        <f t="shared" si="37"/>
        <v>2.3444685142283137</v>
      </c>
    </row>
    <row r="27" spans="1:42" ht="13.5" customHeight="1" x14ac:dyDescent="0.25">
      <c r="B27" s="36"/>
      <c r="C27" s="60"/>
      <c r="D27" s="60"/>
      <c r="E27" s="37" t="s">
        <v>849</v>
      </c>
      <c r="F27" s="38" t="s">
        <v>713</v>
      </c>
      <c r="G27" s="38">
        <v>10</v>
      </c>
      <c r="H27" s="38">
        <v>0</v>
      </c>
      <c r="I27" s="39" t="s">
        <v>265</v>
      </c>
      <c r="J27" s="40">
        <v>390</v>
      </c>
      <c r="K27" s="40">
        <v>116</v>
      </c>
      <c r="L27" s="40">
        <v>0</v>
      </c>
      <c r="M27" s="41">
        <v>200</v>
      </c>
      <c r="N27" s="41">
        <v>74.22</v>
      </c>
      <c r="O27" s="42">
        <v>45240</v>
      </c>
      <c r="P27" s="43">
        <v>7800</v>
      </c>
      <c r="Q27" s="43">
        <v>28945.8</v>
      </c>
      <c r="R27" s="44">
        <v>0</v>
      </c>
      <c r="S27" s="45">
        <v>0</v>
      </c>
      <c r="T27" s="38">
        <f t="shared" si="19"/>
        <v>10</v>
      </c>
      <c r="U27" s="46">
        <f t="shared" si="20"/>
        <v>0.2375967186443626</v>
      </c>
      <c r="V27" s="47">
        <f t="shared" si="21"/>
        <v>-125.78</v>
      </c>
      <c r="W27" s="48">
        <f t="shared" si="22"/>
        <v>2.3759671864436262E-2</v>
      </c>
      <c r="X27" s="43">
        <f t="shared" si="23"/>
        <v>11527.128355324947</v>
      </c>
      <c r="Y27" s="43">
        <f t="shared" si="24"/>
        <v>21145.8</v>
      </c>
      <c r="Z27" s="43">
        <f t="shared" si="25"/>
        <v>32359.608646062661</v>
      </c>
      <c r="AA27" s="49">
        <f t="shared" si="26"/>
        <v>40472.928355324948</v>
      </c>
      <c r="AB27" s="50">
        <f t="shared" si="27"/>
        <v>30299.259031893875</v>
      </c>
      <c r="AC27" s="43">
        <f t="shared" si="28"/>
        <v>37896.00033270126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1.2963360504949972</v>
      </c>
      <c r="AG27" s="43">
        <f t="shared" si="31"/>
        <v>58646.242924393679</v>
      </c>
      <c r="AH27" s="51">
        <f>HLOOKUP(I27,ElecAvoidedCostsWOCC!$A$5:$Q$50,T27+1,FALSE)</f>
        <v>1.2963360504949972</v>
      </c>
      <c r="AI27" s="43">
        <f t="shared" si="32"/>
        <v>0</v>
      </c>
      <c r="AJ27" s="43">
        <f t="shared" si="33"/>
        <v>58646.242924393679</v>
      </c>
      <c r="AK27" s="43">
        <f>HLOOKUP(I27,ElecAvoidedCostsWOCC!$A$5:$Q$50,G27+1,FALSE)*J27*L27</f>
        <v>0</v>
      </c>
      <c r="AL27" s="43">
        <f t="shared" si="34"/>
        <v>58646.242924393679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58646.242924393671</v>
      </c>
      <c r="AN27" s="47">
        <f t="shared" si="35"/>
        <v>64510.867216833045</v>
      </c>
      <c r="AO27" s="46">
        <f t="shared" si="36"/>
        <v>1.9355669015754129</v>
      </c>
      <c r="AP27" s="46">
        <f t="shared" si="37"/>
        <v>1.7023133483869339</v>
      </c>
    </row>
    <row r="28" spans="1:42" ht="13.5" customHeight="1" x14ac:dyDescent="0.25">
      <c r="B28" s="36"/>
      <c r="C28" s="60"/>
      <c r="D28" s="60"/>
      <c r="E28" s="37" t="s">
        <v>850</v>
      </c>
      <c r="F28" s="38" t="s">
        <v>714</v>
      </c>
      <c r="G28" s="38">
        <v>10</v>
      </c>
      <c r="H28" s="38">
        <v>0</v>
      </c>
      <c r="I28" s="39" t="s">
        <v>265</v>
      </c>
      <c r="J28" s="40">
        <v>100</v>
      </c>
      <c r="K28" s="40">
        <v>51</v>
      </c>
      <c r="L28" s="40">
        <v>0</v>
      </c>
      <c r="M28" s="41">
        <v>200</v>
      </c>
      <c r="N28" s="41">
        <v>74.22</v>
      </c>
      <c r="O28" s="42">
        <v>5100</v>
      </c>
      <c r="P28" s="43">
        <v>6000</v>
      </c>
      <c r="Q28" s="43">
        <v>7422</v>
      </c>
      <c r="R28" s="44">
        <v>0</v>
      </c>
      <c r="S28" s="45">
        <v>0</v>
      </c>
      <c r="T28" s="38">
        <f t="shared" si="19"/>
        <v>10</v>
      </c>
      <c r="U28" s="46">
        <f t="shared" si="20"/>
        <v>2.6784775974497112E-2</v>
      </c>
      <c r="V28" s="47">
        <f t="shared" si="21"/>
        <v>-125.78</v>
      </c>
      <c r="W28" s="48">
        <f t="shared" si="22"/>
        <v>2.6784775974497111E-3</v>
      </c>
      <c r="X28" s="43">
        <f t="shared" si="23"/>
        <v>1299.477334486234</v>
      </c>
      <c r="Y28" s="43">
        <f t="shared" si="24"/>
        <v>1422</v>
      </c>
      <c r="Z28" s="43">
        <f t="shared" si="25"/>
        <v>3647.9664919301404</v>
      </c>
      <c r="AA28" s="49">
        <f t="shared" si="26"/>
        <v>8721.4773344862333</v>
      </c>
      <c r="AB28" s="50">
        <f t="shared" si="27"/>
        <v>3415.6989624814046</v>
      </c>
      <c r="AC28" s="43">
        <f t="shared" si="28"/>
        <v>8166.1772794814915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6611.3138575244857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6611.3138575244857</v>
      </c>
      <c r="AK28" s="43">
        <f>HLOOKUP(I28,ElecAvoidedCostsWOCC!$A$5:$Q$50,G28+1,FALSE)*J28*L28</f>
        <v>0</v>
      </c>
      <c r="AL28" s="43">
        <f t="shared" si="34"/>
        <v>6611.3138575244857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6611.3138575244857</v>
      </c>
      <c r="AN28" s="47">
        <f t="shared" si="35"/>
        <v>7272.4452432769349</v>
      </c>
      <c r="AO28" s="46">
        <f t="shared" si="36"/>
        <v>1.9355669015754131</v>
      </c>
      <c r="AP28" s="46">
        <f t="shared" si="37"/>
        <v>0.89055686576261739</v>
      </c>
    </row>
    <row r="29" spans="1:42" x14ac:dyDescent="0.25">
      <c r="B29" s="36"/>
      <c r="C29" s="60"/>
      <c r="D29" s="60"/>
      <c r="E29" s="37" t="s">
        <v>851</v>
      </c>
      <c r="F29" s="38" t="s">
        <v>852</v>
      </c>
      <c r="G29" s="38">
        <v>10</v>
      </c>
      <c r="H29" s="38">
        <v>0</v>
      </c>
      <c r="I29" s="39" t="s">
        <v>265</v>
      </c>
      <c r="J29" s="40">
        <v>8</v>
      </c>
      <c r="K29" s="40">
        <v>183</v>
      </c>
      <c r="L29" s="40">
        <v>0</v>
      </c>
      <c r="M29" s="41">
        <v>200</v>
      </c>
      <c r="N29" s="41">
        <v>74.22</v>
      </c>
      <c r="O29" s="42">
        <v>1464</v>
      </c>
      <c r="P29" s="43">
        <v>400</v>
      </c>
      <c r="Q29" s="43">
        <v>593.76</v>
      </c>
      <c r="R29" s="44">
        <v>0</v>
      </c>
      <c r="S29" s="45">
        <v>0</v>
      </c>
      <c r="T29" s="38">
        <f t="shared" si="19"/>
        <v>10</v>
      </c>
      <c r="U29" s="46">
        <f t="shared" si="20"/>
        <v>7.6888062797379943E-3</v>
      </c>
      <c r="V29" s="47">
        <f t="shared" si="21"/>
        <v>-125.78</v>
      </c>
      <c r="W29" s="48">
        <f t="shared" si="22"/>
        <v>7.6888062797379948E-4</v>
      </c>
      <c r="X29" s="43">
        <f t="shared" si="23"/>
        <v>373.02643484075423</v>
      </c>
      <c r="Y29" s="43">
        <f t="shared" si="24"/>
        <v>193.76</v>
      </c>
      <c r="Z29" s="43">
        <f t="shared" si="25"/>
        <v>1047.1809694481817</v>
      </c>
      <c r="AA29" s="49">
        <f t="shared" si="26"/>
        <v>966.78643484075428</v>
      </c>
      <c r="AB29" s="50">
        <f t="shared" si="27"/>
        <v>980.50652570054467</v>
      </c>
      <c r="AC29" s="43">
        <f t="shared" si="28"/>
        <v>905.23074423291598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1897.8359779246759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1897.8359779246759</v>
      </c>
      <c r="AK29" s="43">
        <f>HLOOKUP(I29,ElecAvoidedCostsWOCC!$A$5:$Q$50,G29+1,FALSE)*J29*L29</f>
        <v>0</v>
      </c>
      <c r="AL29" s="43">
        <f t="shared" si="34"/>
        <v>1897.8359779246759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1897.8359779246759</v>
      </c>
      <c r="AN29" s="47">
        <f t="shared" si="35"/>
        <v>2087.6195757171436</v>
      </c>
      <c r="AO29" s="46">
        <f t="shared" si="36"/>
        <v>1.9355669015754127</v>
      </c>
      <c r="AP29" s="46">
        <f t="shared" si="37"/>
        <v>2.3061739661595042</v>
      </c>
    </row>
    <row r="30" spans="1:42" x14ac:dyDescent="0.25">
      <c r="B30" s="36"/>
      <c r="C30" s="60"/>
      <c r="D30" s="60"/>
      <c r="E30" s="37" t="s">
        <v>853</v>
      </c>
      <c r="F30" s="38" t="s">
        <v>854</v>
      </c>
      <c r="G30" s="38">
        <v>10</v>
      </c>
      <c r="H30" s="38">
        <v>0</v>
      </c>
      <c r="I30" s="39" t="s">
        <v>265</v>
      </c>
      <c r="J30" s="40">
        <v>6</v>
      </c>
      <c r="K30" s="40">
        <v>112</v>
      </c>
      <c r="L30" s="40">
        <v>0</v>
      </c>
      <c r="M30" s="41">
        <v>200</v>
      </c>
      <c r="N30" s="41">
        <v>74.22</v>
      </c>
      <c r="O30" s="42">
        <v>672</v>
      </c>
      <c r="P30" s="43">
        <v>400</v>
      </c>
      <c r="Q30" s="43">
        <v>445.32</v>
      </c>
      <c r="R30" s="44">
        <v>0</v>
      </c>
      <c r="S30" s="45">
        <v>0</v>
      </c>
      <c r="T30" s="38">
        <f t="shared" si="19"/>
        <v>10</v>
      </c>
      <c r="U30" s="46">
        <f t="shared" si="20"/>
        <v>3.5292881284043251E-3</v>
      </c>
      <c r="V30" s="47">
        <f t="shared" si="21"/>
        <v>-125.78</v>
      </c>
      <c r="W30" s="48">
        <f t="shared" si="22"/>
        <v>3.5292881284043251E-4</v>
      </c>
      <c r="X30" s="43">
        <f t="shared" si="23"/>
        <v>171.2252487793626</v>
      </c>
      <c r="Y30" s="43">
        <f t="shared" si="24"/>
        <v>45.319999999999993</v>
      </c>
      <c r="Z30" s="43">
        <f t="shared" si="25"/>
        <v>480.67323187785382</v>
      </c>
      <c r="AA30" s="49">
        <f t="shared" si="26"/>
        <v>616.54524877936262</v>
      </c>
      <c r="AB30" s="50">
        <f t="shared" si="27"/>
        <v>450.06856917402041</v>
      </c>
      <c r="AC30" s="43">
        <f t="shared" si="28"/>
        <v>577.28955878217471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871.13782593263818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871.13782593263818</v>
      </c>
      <c r="AK30" s="43">
        <f>HLOOKUP(I30,ElecAvoidedCostsWOCC!$A$5:$Q$50,G30+1,FALSE)*J30*L30</f>
        <v>0</v>
      </c>
      <c r="AL30" s="43">
        <f t="shared" si="34"/>
        <v>871.13782593263818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871.13782593263818</v>
      </c>
      <c r="AN30" s="47">
        <f t="shared" si="35"/>
        <v>958.25160852590204</v>
      </c>
      <c r="AO30" s="46">
        <f t="shared" si="36"/>
        <v>1.9355669015754131</v>
      </c>
      <c r="AP30" s="46">
        <f t="shared" si="37"/>
        <v>1.6599150182923601</v>
      </c>
    </row>
    <row r="31" spans="1:42" x14ac:dyDescent="0.25">
      <c r="B31" s="36"/>
      <c r="C31" s="60"/>
      <c r="D31" s="60"/>
      <c r="E31" s="37" t="s">
        <v>855</v>
      </c>
      <c r="F31" s="38" t="s">
        <v>856</v>
      </c>
      <c r="G31" s="38">
        <v>10</v>
      </c>
      <c r="H31" s="38">
        <v>0</v>
      </c>
      <c r="I31" s="39" t="s">
        <v>265</v>
      </c>
      <c r="J31" s="40">
        <v>15</v>
      </c>
      <c r="K31" s="40">
        <v>47</v>
      </c>
      <c r="L31" s="40">
        <v>0</v>
      </c>
      <c r="M31" s="41">
        <v>200</v>
      </c>
      <c r="N31" s="41">
        <v>74.22</v>
      </c>
      <c r="O31" s="42">
        <v>705</v>
      </c>
      <c r="P31" s="43">
        <v>400</v>
      </c>
      <c r="Q31" s="43">
        <v>1113.3</v>
      </c>
      <c r="R31" s="44">
        <v>0</v>
      </c>
      <c r="S31" s="45">
        <v>0</v>
      </c>
      <c r="T31" s="38">
        <f t="shared" si="19"/>
        <v>10</v>
      </c>
      <c r="U31" s="46">
        <f t="shared" si="20"/>
        <v>3.7026013847098948E-3</v>
      </c>
      <c r="V31" s="47">
        <f t="shared" si="21"/>
        <v>-125.78</v>
      </c>
      <c r="W31" s="48">
        <f t="shared" si="22"/>
        <v>3.7026013847098947E-4</v>
      </c>
      <c r="X31" s="43">
        <f t="shared" si="23"/>
        <v>179.63363153192057</v>
      </c>
      <c r="Y31" s="43">
        <f t="shared" si="24"/>
        <v>713.3</v>
      </c>
      <c r="Z31" s="43">
        <f t="shared" si="25"/>
        <v>504.27772094328412</v>
      </c>
      <c r="AA31" s="49">
        <f t="shared" si="26"/>
        <v>1292.9336315319206</v>
      </c>
      <c r="AB31" s="50">
        <f t="shared" si="27"/>
        <v>472.17015069595891</v>
      </c>
      <c r="AC31" s="43">
        <f t="shared" si="28"/>
        <v>1210.6120145429968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913.91691559897311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913.91691559897311</v>
      </c>
      <c r="AK31" s="43">
        <f>HLOOKUP(I31,ElecAvoidedCostsWOCC!$A$5:$Q$50,G31+1,FALSE)*J31*L31</f>
        <v>0</v>
      </c>
      <c r="AL31" s="43">
        <f t="shared" si="34"/>
        <v>913.91691559897311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913.91691559897299</v>
      </c>
      <c r="AN31" s="47">
        <f t="shared" si="35"/>
        <v>1005.3086071588704</v>
      </c>
      <c r="AO31" s="46">
        <f t="shared" si="36"/>
        <v>1.9355669015754129</v>
      </c>
      <c r="AP31" s="46">
        <f t="shared" si="37"/>
        <v>0.83041353883999902</v>
      </c>
    </row>
    <row r="32" spans="1:42" x14ac:dyDescent="0.25">
      <c r="B32" s="36"/>
      <c r="C32" s="60"/>
      <c r="D32" s="60"/>
      <c r="E32" s="37" t="s">
        <v>857</v>
      </c>
      <c r="F32" s="38" t="s">
        <v>858</v>
      </c>
      <c r="G32" s="38">
        <v>45</v>
      </c>
      <c r="H32" s="38">
        <v>0</v>
      </c>
      <c r="I32" s="39" t="s">
        <v>265</v>
      </c>
      <c r="J32" s="40">
        <v>2000</v>
      </c>
      <c r="K32" s="40">
        <v>1.48</v>
      </c>
      <c r="L32" s="40">
        <v>0</v>
      </c>
      <c r="M32" s="41">
        <v>1.4</v>
      </c>
      <c r="N32" s="41">
        <v>1.64</v>
      </c>
      <c r="O32" s="42">
        <v>2960</v>
      </c>
      <c r="P32" s="43">
        <v>2800</v>
      </c>
      <c r="Q32" s="43">
        <v>3280</v>
      </c>
      <c r="R32" s="44">
        <v>0</v>
      </c>
      <c r="S32" s="45">
        <v>0</v>
      </c>
      <c r="T32" s="38">
        <f t="shared" si="19"/>
        <v>45</v>
      </c>
      <c r="U32" s="46">
        <f t="shared" si="20"/>
        <v>6.9955532545157156E-2</v>
      </c>
      <c r="V32" s="47">
        <f t="shared" si="21"/>
        <v>0.24</v>
      </c>
      <c r="W32" s="48">
        <f t="shared" si="22"/>
        <v>1.5545673898923814E-3</v>
      </c>
      <c r="X32" s="43">
        <f t="shared" si="23"/>
        <v>754.20645295671613</v>
      </c>
      <c r="Y32" s="43">
        <f t="shared" si="24"/>
        <v>480</v>
      </c>
      <c r="Z32" s="43">
        <f t="shared" si="25"/>
        <v>2117.2511404143561</v>
      </c>
      <c r="AA32" s="49">
        <f t="shared" si="26"/>
        <v>4034.206452956716</v>
      </c>
      <c r="AB32" s="50">
        <f t="shared" si="27"/>
        <v>1982.4448880284233</v>
      </c>
      <c r="AC32" s="43">
        <f t="shared" si="28"/>
        <v>3777.3468660643407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3.4687238784313914</v>
      </c>
      <c r="AG32" s="43">
        <f t="shared" si="31"/>
        <v>10267.422680156918</v>
      </c>
      <c r="AH32" s="51">
        <f>HLOOKUP(I32,ElecAvoidedCostsWOCC!$A$5:$Q$50,T32+1,FALSE)</f>
        <v>3.4687238784313914</v>
      </c>
      <c r="AI32" s="43">
        <f t="shared" si="32"/>
        <v>0</v>
      </c>
      <c r="AJ32" s="43">
        <f t="shared" si="33"/>
        <v>10267.422680156918</v>
      </c>
      <c r="AK32" s="43">
        <f>HLOOKUP(I32,ElecAvoidedCostsWOCC!$A$5:$Q$50,G32+1,FALSE)*J32*L32</f>
        <v>0</v>
      </c>
      <c r="AL32" s="43">
        <f t="shared" si="34"/>
        <v>10267.422680156918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10267.422680156918</v>
      </c>
      <c r="AN32" s="47">
        <f t="shared" si="35"/>
        <v>11294.164948172611</v>
      </c>
      <c r="AO32" s="46">
        <f t="shared" si="36"/>
        <v>5.1791718106060705</v>
      </c>
      <c r="AP32" s="46">
        <f t="shared" si="37"/>
        <v>2.9899729489074236</v>
      </c>
    </row>
    <row r="33" spans="2:42" x14ac:dyDescent="0.25">
      <c r="B33" s="36"/>
      <c r="C33" s="60"/>
      <c r="D33" s="60"/>
      <c r="E33" s="37" t="s">
        <v>857</v>
      </c>
      <c r="F33" s="38" t="s">
        <v>859</v>
      </c>
      <c r="G33" s="38">
        <v>45</v>
      </c>
      <c r="H33" s="38">
        <v>0</v>
      </c>
      <c r="I33" s="39" t="s">
        <v>265</v>
      </c>
      <c r="J33" s="40">
        <v>38000</v>
      </c>
      <c r="K33" s="40">
        <v>1.173</v>
      </c>
      <c r="L33" s="40">
        <v>0</v>
      </c>
      <c r="M33" s="41">
        <v>1.4</v>
      </c>
      <c r="N33" s="41">
        <v>1.64</v>
      </c>
      <c r="O33" s="42">
        <v>44574</v>
      </c>
      <c r="P33" s="43">
        <v>53200</v>
      </c>
      <c r="Q33" s="43">
        <v>62319.999999999993</v>
      </c>
      <c r="R33" s="44">
        <v>0</v>
      </c>
      <c r="S33" s="45">
        <v>0</v>
      </c>
      <c r="T33" s="38">
        <f t="shared" si="19"/>
        <v>45</v>
      </c>
      <c r="U33" s="46">
        <f t="shared" si="20"/>
        <v>1.0534452390769713</v>
      </c>
      <c r="V33" s="47">
        <f t="shared" si="21"/>
        <v>0.24</v>
      </c>
      <c r="W33" s="48">
        <f t="shared" si="22"/>
        <v>2.3409894201710475E-2</v>
      </c>
      <c r="X33" s="43">
        <f t="shared" si="23"/>
        <v>11357.431903409684</v>
      </c>
      <c r="Y33" s="43">
        <f t="shared" si="24"/>
        <v>9119.9999999999927</v>
      </c>
      <c r="Z33" s="43">
        <f t="shared" si="25"/>
        <v>31883.227139469429</v>
      </c>
      <c r="AA33" s="49">
        <f t="shared" si="26"/>
        <v>73677.431903409684</v>
      </c>
      <c r="AB33" s="50">
        <f t="shared" si="27"/>
        <v>29853.20893208748</v>
      </c>
      <c r="AC33" s="43">
        <f t="shared" si="28"/>
        <v>68986.359460121428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3.4687238784313914</v>
      </c>
      <c r="AG33" s="43">
        <f t="shared" si="31"/>
        <v>154614.89815720083</v>
      </c>
      <c r="AH33" s="51">
        <f>HLOOKUP(I33,ElecAvoidedCostsWOCC!$A$5:$Q$50,T33+1,FALSE)</f>
        <v>3.4687238784313914</v>
      </c>
      <c r="AI33" s="43">
        <f t="shared" si="32"/>
        <v>0</v>
      </c>
      <c r="AJ33" s="43">
        <f t="shared" si="33"/>
        <v>154614.89815720083</v>
      </c>
      <c r="AK33" s="43">
        <f>HLOOKUP(I33,ElecAvoidedCostsWOCC!$A$5:$Q$50,G33+1,FALSE)*J33*L33</f>
        <v>0</v>
      </c>
      <c r="AL33" s="43">
        <f t="shared" si="34"/>
        <v>154614.89815720083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154614.89815720083</v>
      </c>
      <c r="AN33" s="47">
        <f t="shared" si="35"/>
        <v>170076.38797292093</v>
      </c>
      <c r="AO33" s="46">
        <f t="shared" si="36"/>
        <v>5.1791718106060705</v>
      </c>
      <c r="AP33" s="46">
        <f t="shared" si="37"/>
        <v>2.4653625630330018</v>
      </c>
    </row>
    <row r="34" spans="2:42" x14ac:dyDescent="0.25">
      <c r="B34" s="36"/>
      <c r="C34" s="60"/>
      <c r="D34" s="60"/>
      <c r="E34" s="37" t="s">
        <v>857</v>
      </c>
      <c r="F34" s="38" t="s">
        <v>860</v>
      </c>
      <c r="G34" s="38">
        <v>45</v>
      </c>
      <c r="H34" s="38">
        <v>0</v>
      </c>
      <c r="I34" s="39" t="s">
        <v>265</v>
      </c>
      <c r="J34" s="40">
        <v>2000</v>
      </c>
      <c r="K34" s="40">
        <v>1.639</v>
      </c>
      <c r="L34" s="40">
        <v>0</v>
      </c>
      <c r="M34" s="41">
        <v>1.5</v>
      </c>
      <c r="N34" s="41">
        <v>2.57</v>
      </c>
      <c r="O34" s="42">
        <v>3278</v>
      </c>
      <c r="P34" s="43">
        <v>3000</v>
      </c>
      <c r="Q34" s="43">
        <v>5140</v>
      </c>
      <c r="R34" s="44">
        <v>0</v>
      </c>
      <c r="S34" s="45">
        <v>0</v>
      </c>
      <c r="T34" s="38">
        <f t="shared" si="19"/>
        <v>45</v>
      </c>
      <c r="U34" s="46">
        <f t="shared" si="20"/>
        <v>7.7471025568589591E-2</v>
      </c>
      <c r="V34" s="47">
        <f t="shared" si="21"/>
        <v>1.0699999999999998</v>
      </c>
      <c r="W34" s="48">
        <f t="shared" si="22"/>
        <v>1.7215783459686575E-3</v>
      </c>
      <c r="X34" s="43">
        <f t="shared" si="23"/>
        <v>835.23268675409315</v>
      </c>
      <c r="Y34" s="43">
        <f t="shared" si="24"/>
        <v>2140</v>
      </c>
      <c r="Z34" s="43">
        <f t="shared" si="25"/>
        <v>2344.7125804994121</v>
      </c>
      <c r="AA34" s="49">
        <f t="shared" si="26"/>
        <v>5975.2326867540933</v>
      </c>
      <c r="AB34" s="50">
        <f t="shared" si="27"/>
        <v>2195.4237645125581</v>
      </c>
      <c r="AC34" s="43">
        <f t="shared" si="28"/>
        <v>5594.7871598821093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3.4687238784313914</v>
      </c>
      <c r="AG34" s="43">
        <f t="shared" si="31"/>
        <v>11370.476873498101</v>
      </c>
      <c r="AH34" s="51">
        <f>HLOOKUP(I34,ElecAvoidedCostsWOCC!$A$5:$Q$50,T34+1,FALSE)</f>
        <v>3.4687238784313914</v>
      </c>
      <c r="AI34" s="43">
        <f t="shared" si="32"/>
        <v>0</v>
      </c>
      <c r="AJ34" s="43">
        <f t="shared" si="33"/>
        <v>11370.476873498101</v>
      </c>
      <c r="AK34" s="43">
        <f>HLOOKUP(I34,ElecAvoidedCostsWOCC!$A$5:$Q$50,G34+1,FALSE)*J34*L34</f>
        <v>0</v>
      </c>
      <c r="AL34" s="43">
        <f t="shared" si="34"/>
        <v>11370.476873498101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11370.476873498101</v>
      </c>
      <c r="AN34" s="47">
        <f t="shared" si="35"/>
        <v>12507.524560847913</v>
      </c>
      <c r="AO34" s="46">
        <f t="shared" si="36"/>
        <v>5.1791718106060705</v>
      </c>
      <c r="AP34" s="46">
        <f t="shared" si="37"/>
        <v>2.2355675387500291</v>
      </c>
    </row>
    <row r="35" spans="2:42" x14ac:dyDescent="0.25">
      <c r="B35" s="36"/>
      <c r="C35" s="60"/>
      <c r="D35" s="60"/>
      <c r="E35" s="37" t="s">
        <v>857</v>
      </c>
      <c r="F35" s="38" t="s">
        <v>861</v>
      </c>
      <c r="G35" s="38">
        <v>45</v>
      </c>
      <c r="H35" s="38">
        <v>0</v>
      </c>
      <c r="I35" s="39" t="s">
        <v>265</v>
      </c>
      <c r="J35" s="40">
        <v>38000</v>
      </c>
      <c r="K35" s="40">
        <v>1.2889999999999999</v>
      </c>
      <c r="L35" s="40">
        <v>0</v>
      </c>
      <c r="M35" s="41">
        <v>1.5</v>
      </c>
      <c r="N35" s="41">
        <v>2.57</v>
      </c>
      <c r="O35" s="42">
        <v>48982</v>
      </c>
      <c r="P35" s="43">
        <v>57000</v>
      </c>
      <c r="Q35" s="43">
        <v>97660</v>
      </c>
      <c r="R35" s="44">
        <v>0</v>
      </c>
      <c r="S35" s="45">
        <v>0</v>
      </c>
      <c r="T35" s="38">
        <f t="shared" si="19"/>
        <v>45</v>
      </c>
      <c r="U35" s="46">
        <f t="shared" si="20"/>
        <v>1.1576222618671919</v>
      </c>
      <c r="V35" s="47">
        <f t="shared" si="21"/>
        <v>1.0699999999999998</v>
      </c>
      <c r="W35" s="48">
        <f t="shared" si="22"/>
        <v>2.5724939152604265E-2</v>
      </c>
      <c r="X35" s="43">
        <f t="shared" si="23"/>
        <v>12480.587999569552</v>
      </c>
      <c r="Y35" s="43">
        <f t="shared" si="24"/>
        <v>40660</v>
      </c>
      <c r="Z35" s="43">
        <f t="shared" si="25"/>
        <v>35036.214648572968</v>
      </c>
      <c r="AA35" s="49">
        <f t="shared" si="26"/>
        <v>110140.58799956956</v>
      </c>
      <c r="AB35" s="50">
        <f t="shared" si="27"/>
        <v>32805.444427502778</v>
      </c>
      <c r="AC35" s="43">
        <f t="shared" si="28"/>
        <v>103127.89138536475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3.4687238784313914</v>
      </c>
      <c r="AG35" s="43">
        <f t="shared" si="31"/>
        <v>169905.03301332641</v>
      </c>
      <c r="AH35" s="51">
        <f>HLOOKUP(I35,ElecAvoidedCostsWOCC!$A$5:$Q$50,T35+1,FALSE)</f>
        <v>3.4687238784313914</v>
      </c>
      <c r="AI35" s="43">
        <f t="shared" si="32"/>
        <v>0</v>
      </c>
      <c r="AJ35" s="43">
        <f t="shared" si="33"/>
        <v>169905.03301332641</v>
      </c>
      <c r="AK35" s="43">
        <f>HLOOKUP(I35,ElecAvoidedCostsWOCC!$A$5:$Q$50,G35+1,FALSE)*J35*L35</f>
        <v>0</v>
      </c>
      <c r="AL35" s="43">
        <f t="shared" si="34"/>
        <v>169905.03301332641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169905.03301332641</v>
      </c>
      <c r="AN35" s="47">
        <f t="shared" si="35"/>
        <v>186895.53631465905</v>
      </c>
      <c r="AO35" s="46">
        <f t="shared" si="36"/>
        <v>5.1791718106060713</v>
      </c>
      <c r="AP35" s="46">
        <f t="shared" si="37"/>
        <v>1.8122695403154734</v>
      </c>
    </row>
    <row r="36" spans="2:42" x14ac:dyDescent="0.25">
      <c r="B36" s="36"/>
      <c r="C36" s="60"/>
      <c r="D36" s="60"/>
      <c r="E36" s="37" t="s">
        <v>857</v>
      </c>
      <c r="F36" s="38" t="s">
        <v>862</v>
      </c>
      <c r="G36" s="38">
        <v>45</v>
      </c>
      <c r="H36" s="38">
        <v>0</v>
      </c>
      <c r="I36" s="39" t="s">
        <v>265</v>
      </c>
      <c r="J36" s="40">
        <v>2000</v>
      </c>
      <c r="K36" s="40">
        <v>0.80100000000000005</v>
      </c>
      <c r="L36" s="40">
        <v>0</v>
      </c>
      <c r="M36" s="41">
        <v>0.75</v>
      </c>
      <c r="N36" s="41">
        <v>3.04</v>
      </c>
      <c r="O36" s="42">
        <v>1602</v>
      </c>
      <c r="P36" s="43">
        <v>1500</v>
      </c>
      <c r="Q36" s="43">
        <v>6080</v>
      </c>
      <c r="R36" s="44">
        <v>0</v>
      </c>
      <c r="S36" s="45">
        <v>0</v>
      </c>
      <c r="T36" s="38">
        <f t="shared" si="19"/>
        <v>45</v>
      </c>
      <c r="U36" s="46">
        <f t="shared" si="20"/>
        <v>3.7861068627480329E-2</v>
      </c>
      <c r="V36" s="47">
        <f t="shared" si="21"/>
        <v>2.29</v>
      </c>
      <c r="W36" s="48">
        <f t="shared" si="22"/>
        <v>8.4135708061067399E-4</v>
      </c>
      <c r="X36" s="43">
        <f t="shared" si="23"/>
        <v>408.18876271508765</v>
      </c>
      <c r="Y36" s="43">
        <f t="shared" si="24"/>
        <v>4580</v>
      </c>
      <c r="Z36" s="43">
        <f t="shared" si="25"/>
        <v>1145.8906509945266</v>
      </c>
      <c r="AA36" s="49">
        <f t="shared" si="26"/>
        <v>6488.1887627150873</v>
      </c>
      <c r="AB36" s="50">
        <f t="shared" si="27"/>
        <v>1072.9313211559238</v>
      </c>
      <c r="AC36" s="43">
        <f t="shared" si="28"/>
        <v>6075.0831111564485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3.4687238784313914</v>
      </c>
      <c r="AG36" s="43">
        <f t="shared" si="31"/>
        <v>5556.8956532470893</v>
      </c>
      <c r="AH36" s="51">
        <f>HLOOKUP(I36,ElecAvoidedCostsWOCC!$A$5:$Q$50,T36+1,FALSE)</f>
        <v>3.4687238784313914</v>
      </c>
      <c r="AI36" s="43">
        <f t="shared" si="32"/>
        <v>0</v>
      </c>
      <c r="AJ36" s="43">
        <f t="shared" si="33"/>
        <v>5556.8956532470893</v>
      </c>
      <c r="AK36" s="43">
        <f>HLOOKUP(I36,ElecAvoidedCostsWOCC!$A$5:$Q$50,G36+1,FALSE)*J36*L36</f>
        <v>0</v>
      </c>
      <c r="AL36" s="43">
        <f t="shared" si="34"/>
        <v>5556.8956532470893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5556.8956532470893</v>
      </c>
      <c r="AN36" s="47">
        <f t="shared" si="35"/>
        <v>6112.5852185717986</v>
      </c>
      <c r="AO36" s="46">
        <f t="shared" si="36"/>
        <v>5.1791718106060705</v>
      </c>
      <c r="AP36" s="46">
        <f t="shared" si="37"/>
        <v>1.0061731019525446</v>
      </c>
    </row>
    <row r="37" spans="2:42" x14ac:dyDescent="0.25">
      <c r="B37" s="36"/>
      <c r="C37" s="60"/>
      <c r="D37" s="60"/>
      <c r="E37" s="37" t="s">
        <v>857</v>
      </c>
      <c r="F37" s="38" t="s">
        <v>863</v>
      </c>
      <c r="G37" s="38">
        <v>45</v>
      </c>
      <c r="H37" s="38">
        <v>0</v>
      </c>
      <c r="I37" s="39" t="s">
        <v>265</v>
      </c>
      <c r="J37" s="40">
        <v>2000</v>
      </c>
      <c r="K37" s="40">
        <v>0.92900000000000005</v>
      </c>
      <c r="L37" s="40">
        <v>0</v>
      </c>
      <c r="M37" s="41">
        <v>1</v>
      </c>
      <c r="N37" s="41">
        <v>4.33</v>
      </c>
      <c r="O37" s="42">
        <v>1858</v>
      </c>
      <c r="P37" s="43">
        <v>2000</v>
      </c>
      <c r="Q37" s="43">
        <v>8660</v>
      </c>
      <c r="R37" s="44">
        <v>0</v>
      </c>
      <c r="S37" s="45">
        <v>0</v>
      </c>
      <c r="T37" s="38">
        <f t="shared" si="19"/>
        <v>45</v>
      </c>
      <c r="U37" s="46">
        <f t="shared" si="20"/>
        <v>4.3911276847602029E-2</v>
      </c>
      <c r="V37" s="47">
        <f t="shared" si="21"/>
        <v>3.33</v>
      </c>
      <c r="W37" s="48">
        <f t="shared" si="22"/>
        <v>9.7580615216893399E-4</v>
      </c>
      <c r="X37" s="43">
        <f t="shared" si="23"/>
        <v>473.41742891674954</v>
      </c>
      <c r="Y37" s="43">
        <f t="shared" si="24"/>
        <v>6660</v>
      </c>
      <c r="Z37" s="43">
        <f t="shared" si="25"/>
        <v>1329.0042631384708</v>
      </c>
      <c r="AA37" s="49">
        <f t="shared" si="26"/>
        <v>9133.4174289167495</v>
      </c>
      <c r="AB37" s="50">
        <f t="shared" si="27"/>
        <v>1244.3860141745981</v>
      </c>
      <c r="AC37" s="43">
        <f t="shared" si="28"/>
        <v>8551.8889783864688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3.4687238784313914</v>
      </c>
      <c r="AG37" s="43">
        <f t="shared" si="31"/>
        <v>6444.8889661255253</v>
      </c>
      <c r="AH37" s="51">
        <f>HLOOKUP(I37,ElecAvoidedCostsWOCC!$A$5:$Q$50,T37+1,FALSE)</f>
        <v>3.4687238784313914</v>
      </c>
      <c r="AI37" s="43">
        <f t="shared" si="32"/>
        <v>0</v>
      </c>
      <c r="AJ37" s="43">
        <f t="shared" si="33"/>
        <v>6444.8889661255253</v>
      </c>
      <c r="AK37" s="43">
        <f>HLOOKUP(I37,ElecAvoidedCostsWOCC!$A$5:$Q$50,G37+1,FALSE)*J37*L37</f>
        <v>0</v>
      </c>
      <c r="AL37" s="43">
        <f t="shared" si="34"/>
        <v>6444.8889661255253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6444.8889661255262</v>
      </c>
      <c r="AN37" s="47">
        <f t="shared" si="35"/>
        <v>7089.3778627380798</v>
      </c>
      <c r="AO37" s="46">
        <f t="shared" si="36"/>
        <v>5.1791718106060713</v>
      </c>
      <c r="AP37" s="46">
        <f t="shared" si="37"/>
        <v>0.8289838514806902</v>
      </c>
    </row>
    <row r="38" spans="2:42" x14ac:dyDescent="0.25">
      <c r="B38" s="36"/>
      <c r="C38" s="60"/>
      <c r="D38" s="60"/>
      <c r="E38" s="37" t="s">
        <v>857</v>
      </c>
      <c r="F38" s="38" t="s">
        <v>864</v>
      </c>
      <c r="G38" s="38">
        <v>45</v>
      </c>
      <c r="H38" s="38">
        <v>0</v>
      </c>
      <c r="I38" s="39" t="s">
        <v>265</v>
      </c>
      <c r="J38" s="40">
        <v>16000</v>
      </c>
      <c r="K38" s="40">
        <v>0.90800000000000003</v>
      </c>
      <c r="L38" s="40">
        <v>0</v>
      </c>
      <c r="M38" s="41">
        <v>0.75</v>
      </c>
      <c r="N38" s="41">
        <v>3.04</v>
      </c>
      <c r="O38" s="42">
        <v>14528</v>
      </c>
      <c r="P38" s="43">
        <v>12000</v>
      </c>
      <c r="Q38" s="43">
        <v>48640</v>
      </c>
      <c r="R38" s="44">
        <v>0</v>
      </c>
      <c r="S38" s="45">
        <v>0</v>
      </c>
      <c r="T38" s="38">
        <f t="shared" si="19"/>
        <v>45</v>
      </c>
      <c r="U38" s="46">
        <f t="shared" si="20"/>
        <v>0.34334931649190648</v>
      </c>
      <c r="V38" s="47">
        <f t="shared" si="21"/>
        <v>2.29</v>
      </c>
      <c r="W38" s="48">
        <f t="shared" si="22"/>
        <v>7.6299848109312556E-3</v>
      </c>
      <c r="X38" s="43">
        <f t="shared" si="23"/>
        <v>3701.7268069443153</v>
      </c>
      <c r="Y38" s="43">
        <f t="shared" si="24"/>
        <v>36640</v>
      </c>
      <c r="Z38" s="43">
        <f t="shared" si="25"/>
        <v>10391.697489168841</v>
      </c>
      <c r="AA38" s="49">
        <f t="shared" si="26"/>
        <v>52341.726806944316</v>
      </c>
      <c r="AB38" s="50">
        <f t="shared" si="27"/>
        <v>9730.053828809776</v>
      </c>
      <c r="AC38" s="43">
        <f t="shared" si="28"/>
        <v>49009.107497138873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3.4687238784313914</v>
      </c>
      <c r="AG38" s="43">
        <f t="shared" si="31"/>
        <v>50393.620505851257</v>
      </c>
      <c r="AH38" s="51">
        <f>HLOOKUP(I38,ElecAvoidedCostsWOCC!$A$5:$Q$50,T38+1,FALSE)</f>
        <v>3.4687238784313914</v>
      </c>
      <c r="AI38" s="43">
        <f t="shared" si="32"/>
        <v>0</v>
      </c>
      <c r="AJ38" s="43">
        <f t="shared" si="33"/>
        <v>50393.620505851257</v>
      </c>
      <c r="AK38" s="43">
        <f>HLOOKUP(I38,ElecAvoidedCostsWOCC!$A$5:$Q$50,G38+1,FALSE)*J38*L38</f>
        <v>0</v>
      </c>
      <c r="AL38" s="43">
        <f t="shared" si="34"/>
        <v>50393.620505851257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50393.62050585125</v>
      </c>
      <c r="AN38" s="47">
        <f t="shared" si="35"/>
        <v>55432.982556436378</v>
      </c>
      <c r="AO38" s="46">
        <f t="shared" si="36"/>
        <v>5.1791718106060696</v>
      </c>
      <c r="AP38" s="46">
        <f t="shared" si="37"/>
        <v>1.1310751284273546</v>
      </c>
    </row>
    <row r="39" spans="2:42" x14ac:dyDescent="0.25">
      <c r="B39" s="36"/>
      <c r="C39" s="60"/>
      <c r="D39" s="60"/>
      <c r="E39" s="37" t="s">
        <v>857</v>
      </c>
      <c r="F39" s="38" t="s">
        <v>865</v>
      </c>
      <c r="G39" s="38">
        <v>45</v>
      </c>
      <c r="H39" s="38">
        <v>0</v>
      </c>
      <c r="I39" s="39" t="s">
        <v>265</v>
      </c>
      <c r="J39" s="40">
        <v>16000</v>
      </c>
      <c r="K39" s="40">
        <v>1.0429999999999999</v>
      </c>
      <c r="L39" s="40">
        <v>0</v>
      </c>
      <c r="M39" s="41">
        <v>1</v>
      </c>
      <c r="N39" s="41">
        <v>4.33</v>
      </c>
      <c r="O39" s="42">
        <v>16688</v>
      </c>
      <c r="P39" s="43">
        <v>16000</v>
      </c>
      <c r="Q39" s="43">
        <v>69280</v>
      </c>
      <c r="R39" s="44">
        <v>0</v>
      </c>
      <c r="S39" s="45">
        <v>0</v>
      </c>
      <c r="T39" s="38">
        <f t="shared" si="19"/>
        <v>45</v>
      </c>
      <c r="U39" s="46">
        <f t="shared" si="20"/>
        <v>0.39439794834918335</v>
      </c>
      <c r="V39" s="47">
        <f t="shared" si="21"/>
        <v>3.33</v>
      </c>
      <c r="W39" s="48">
        <f t="shared" si="22"/>
        <v>8.7643988522040743E-3</v>
      </c>
      <c r="X39" s="43">
        <f t="shared" si="23"/>
        <v>4252.0936780208376</v>
      </c>
      <c r="Y39" s="43">
        <f t="shared" si="24"/>
        <v>53280</v>
      </c>
      <c r="Z39" s="43">
        <f t="shared" si="25"/>
        <v>11936.718591633369</v>
      </c>
      <c r="AA39" s="49">
        <f t="shared" si="26"/>
        <v>73532.093678020843</v>
      </c>
      <c r="AB39" s="50">
        <f t="shared" si="27"/>
        <v>11176.702801154839</v>
      </c>
      <c r="AC39" s="43">
        <f t="shared" si="28"/>
        <v>68850.274979420268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3.4687238784313914</v>
      </c>
      <c r="AG39" s="43">
        <f t="shared" si="31"/>
        <v>57886.064083263052</v>
      </c>
      <c r="AH39" s="51">
        <f>HLOOKUP(I39,ElecAvoidedCostsWOCC!$A$5:$Q$50,T39+1,FALSE)</f>
        <v>3.4687238784313914</v>
      </c>
      <c r="AI39" s="43">
        <f t="shared" si="32"/>
        <v>0</v>
      </c>
      <c r="AJ39" s="43">
        <f t="shared" si="33"/>
        <v>57886.064083263052</v>
      </c>
      <c r="AK39" s="43">
        <f>HLOOKUP(I39,ElecAvoidedCostsWOCC!$A$5:$Q$50,G39+1,FALSE)*J39*L39</f>
        <v>0</v>
      </c>
      <c r="AL39" s="43">
        <f t="shared" si="34"/>
        <v>57886.064083263052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57886.06408326306</v>
      </c>
      <c r="AN39" s="47">
        <f t="shared" si="35"/>
        <v>63674.670491589372</v>
      </c>
      <c r="AO39" s="46">
        <f t="shared" si="36"/>
        <v>5.1791718106060713</v>
      </c>
      <c r="AP39" s="46">
        <f t="shared" si="37"/>
        <v>0.92482812175582574</v>
      </c>
    </row>
    <row r="40" spans="2:42" x14ac:dyDescent="0.25">
      <c r="B40" s="36"/>
      <c r="C40" s="60"/>
      <c r="D40" s="60"/>
      <c r="E40" s="37" t="s">
        <v>857</v>
      </c>
      <c r="F40" s="38" t="s">
        <v>866</v>
      </c>
      <c r="G40" s="38">
        <v>45</v>
      </c>
      <c r="H40" s="38">
        <v>0</v>
      </c>
      <c r="I40" s="39" t="s">
        <v>265</v>
      </c>
      <c r="J40" s="40">
        <v>6200</v>
      </c>
      <c r="K40" s="40">
        <v>12.244</v>
      </c>
      <c r="L40" s="40">
        <v>0</v>
      </c>
      <c r="M40" s="41">
        <v>20</v>
      </c>
      <c r="N40" s="41">
        <v>54</v>
      </c>
      <c r="O40" s="42">
        <v>75912.800000000003</v>
      </c>
      <c r="P40" s="43">
        <v>124000</v>
      </c>
      <c r="Q40" s="43">
        <v>334800</v>
      </c>
      <c r="R40" s="44">
        <v>0</v>
      </c>
      <c r="S40" s="45">
        <v>0</v>
      </c>
      <c r="T40" s="38">
        <f t="shared" si="19"/>
        <v>45</v>
      </c>
      <c r="U40" s="46">
        <f t="shared" si="20"/>
        <v>1.7940947131736509</v>
      </c>
      <c r="V40" s="47">
        <f t="shared" si="21"/>
        <v>34</v>
      </c>
      <c r="W40" s="48">
        <f t="shared" si="22"/>
        <v>3.9868771403858909E-2</v>
      </c>
      <c r="X40" s="43">
        <f t="shared" si="23"/>
        <v>19342.541764193447</v>
      </c>
      <c r="Y40" s="43">
        <f t="shared" si="24"/>
        <v>210800</v>
      </c>
      <c r="Z40" s="43">
        <f t="shared" si="25"/>
        <v>54299.480531096939</v>
      </c>
      <c r="AA40" s="49">
        <f t="shared" si="26"/>
        <v>354142.54176419345</v>
      </c>
      <c r="AB40" s="50">
        <f t="shared" si="27"/>
        <v>50842.210235109487</v>
      </c>
      <c r="AC40" s="43">
        <f t="shared" si="28"/>
        <v>331594.14022864553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3.4687238784313914</v>
      </c>
      <c r="AG40" s="43">
        <f t="shared" si="31"/>
        <v>263320.54203858651</v>
      </c>
      <c r="AH40" s="51">
        <f>HLOOKUP(I40,ElecAvoidedCostsWOCC!$A$5:$Q$50,T40+1,FALSE)</f>
        <v>3.4687238784313914</v>
      </c>
      <c r="AI40" s="43">
        <f t="shared" si="32"/>
        <v>0</v>
      </c>
      <c r="AJ40" s="43">
        <f t="shared" si="33"/>
        <v>263320.54203858651</v>
      </c>
      <c r="AK40" s="43">
        <f>HLOOKUP(I40,ElecAvoidedCostsWOCC!$A$5:$Q$50,G40+1,FALSE)*J40*L40</f>
        <v>0</v>
      </c>
      <c r="AL40" s="43">
        <f t="shared" si="34"/>
        <v>263320.54203858651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263320.54203858651</v>
      </c>
      <c r="AN40" s="47">
        <f t="shared" si="35"/>
        <v>289652.59624244517</v>
      </c>
      <c r="AO40" s="46">
        <f t="shared" si="36"/>
        <v>5.1791718106060713</v>
      </c>
      <c r="AP40" s="46">
        <f t="shared" si="37"/>
        <v>0.87351542473796362</v>
      </c>
    </row>
    <row r="41" spans="2:42" x14ac:dyDescent="0.25">
      <c r="B41" s="36"/>
      <c r="C41" s="60"/>
      <c r="D41" s="60"/>
      <c r="E41" s="37" t="s">
        <v>857</v>
      </c>
      <c r="F41" s="38" t="s">
        <v>867</v>
      </c>
      <c r="G41" s="38">
        <v>45</v>
      </c>
      <c r="H41" s="38">
        <v>0</v>
      </c>
      <c r="I41" s="39" t="s">
        <v>265</v>
      </c>
      <c r="J41" s="40">
        <v>600</v>
      </c>
      <c r="K41" s="40">
        <v>9.4339999999999993</v>
      </c>
      <c r="L41" s="40">
        <v>0</v>
      </c>
      <c r="M41" s="41">
        <v>20</v>
      </c>
      <c r="N41" s="41">
        <v>54.4</v>
      </c>
      <c r="O41" s="42">
        <v>5660.4</v>
      </c>
      <c r="P41" s="43">
        <v>12000</v>
      </c>
      <c r="Q41" s="43">
        <v>32640</v>
      </c>
      <c r="R41" s="44">
        <v>0</v>
      </c>
      <c r="S41" s="45">
        <v>0</v>
      </c>
      <c r="T41" s="38">
        <f t="shared" si="19"/>
        <v>45</v>
      </c>
      <c r="U41" s="46">
        <f t="shared" si="20"/>
        <v>0.13377577581709715</v>
      </c>
      <c r="V41" s="47">
        <f t="shared" si="21"/>
        <v>34.4</v>
      </c>
      <c r="W41" s="48">
        <f t="shared" si="22"/>
        <v>2.9727950181577148E-3</v>
      </c>
      <c r="X41" s="43">
        <f t="shared" si="23"/>
        <v>1442.2669615933096</v>
      </c>
      <c r="Y41" s="43">
        <f t="shared" si="24"/>
        <v>20640</v>
      </c>
      <c r="Z41" s="43">
        <f t="shared" si="25"/>
        <v>4048.8136335139939</v>
      </c>
      <c r="AA41" s="49">
        <f t="shared" si="26"/>
        <v>34082.266961593312</v>
      </c>
      <c r="AB41" s="50">
        <f t="shared" si="27"/>
        <v>3791.024001417597</v>
      </c>
      <c r="AC41" s="43">
        <f t="shared" si="28"/>
        <v>31912.234982765272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3.4687238784313914</v>
      </c>
      <c r="AG41" s="43">
        <f t="shared" si="31"/>
        <v>19634.364641473047</v>
      </c>
      <c r="AH41" s="51">
        <f>HLOOKUP(I41,ElecAvoidedCostsWOCC!$A$5:$Q$50,T41+1,FALSE)</f>
        <v>3.4687238784313914</v>
      </c>
      <c r="AI41" s="43">
        <f t="shared" si="32"/>
        <v>0</v>
      </c>
      <c r="AJ41" s="43">
        <f t="shared" si="33"/>
        <v>19634.364641473047</v>
      </c>
      <c r="AK41" s="43">
        <f>HLOOKUP(I41,ElecAvoidedCostsWOCC!$A$5:$Q$50,G41+1,FALSE)*J41*L41</f>
        <v>0</v>
      </c>
      <c r="AL41" s="43">
        <f t="shared" si="34"/>
        <v>19634.364641473047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19634.364641473047</v>
      </c>
      <c r="AN41" s="47">
        <f t="shared" si="35"/>
        <v>21597.801105620354</v>
      </c>
      <c r="AO41" s="46">
        <f t="shared" si="36"/>
        <v>5.1791718106060705</v>
      </c>
      <c r="AP41" s="46">
        <f t="shared" si="37"/>
        <v>0.67678748032798708</v>
      </c>
    </row>
    <row r="42" spans="2:42" x14ac:dyDescent="0.25">
      <c r="B42" s="36"/>
      <c r="C42" s="60"/>
      <c r="D42" s="60"/>
      <c r="E42" s="37" t="s">
        <v>857</v>
      </c>
      <c r="F42" s="38" t="s">
        <v>868</v>
      </c>
      <c r="G42" s="38">
        <v>45</v>
      </c>
      <c r="H42" s="38">
        <v>0</v>
      </c>
      <c r="I42" s="39" t="s">
        <v>265</v>
      </c>
      <c r="J42" s="40">
        <v>5000</v>
      </c>
      <c r="K42" s="40">
        <v>6.2190000000000003</v>
      </c>
      <c r="L42" s="40">
        <v>0</v>
      </c>
      <c r="M42" s="41">
        <v>9</v>
      </c>
      <c r="N42" s="41">
        <v>17.55</v>
      </c>
      <c r="O42" s="42">
        <v>31095</v>
      </c>
      <c r="P42" s="43">
        <v>45000</v>
      </c>
      <c r="Q42" s="43">
        <v>87750</v>
      </c>
      <c r="R42" s="44">
        <v>0</v>
      </c>
      <c r="S42" s="45"/>
      <c r="T42" s="38">
        <f t="shared" si="19"/>
        <v>45</v>
      </c>
      <c r="U42" s="46">
        <f t="shared" si="20"/>
        <v>0.73488759611204801</v>
      </c>
      <c r="V42" s="47">
        <f t="shared" si="21"/>
        <v>8.5500000000000007</v>
      </c>
      <c r="W42" s="48">
        <f t="shared" si="22"/>
        <v>1.6330835469156622E-2</v>
      </c>
      <c r="X42" s="43">
        <f t="shared" si="23"/>
        <v>7922.989748205774</v>
      </c>
      <c r="Y42" s="43">
        <f t="shared" si="24"/>
        <v>42750</v>
      </c>
      <c r="Z42" s="43">
        <f t="shared" si="25"/>
        <v>22241.866287562301</v>
      </c>
      <c r="AA42" s="49">
        <f t="shared" si="26"/>
        <v>95672.989748205771</v>
      </c>
      <c r="AB42" s="50">
        <f t="shared" si="27"/>
        <v>20825.717497717509</v>
      </c>
      <c r="AC42" s="43">
        <f t="shared" si="28"/>
        <v>89581.45107509903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3.4687238784313914</v>
      </c>
      <c r="AG42" s="43">
        <f t="shared" si="31"/>
        <v>107859.96899982412</v>
      </c>
      <c r="AH42" s="51">
        <f>HLOOKUP(I42,ElecAvoidedCostsWOCC!$A$5:$Q$50,T42+1,FALSE)</f>
        <v>3.4687238784313914</v>
      </c>
      <c r="AI42" s="43">
        <f t="shared" si="32"/>
        <v>0</v>
      </c>
      <c r="AJ42" s="43">
        <f t="shared" si="33"/>
        <v>107859.96899982412</v>
      </c>
      <c r="AK42" s="43">
        <f>HLOOKUP(I42,ElecAvoidedCostsWOCC!$A$5:$Q$50,G42+1,FALSE)*J42*L42</f>
        <v>0</v>
      </c>
      <c r="AL42" s="43">
        <f t="shared" si="34"/>
        <v>107859.96899982412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107859.96899982412</v>
      </c>
      <c r="AN42" s="47">
        <f t="shared" si="35"/>
        <v>118645.96589980654</v>
      </c>
      <c r="AO42" s="46">
        <f t="shared" si="36"/>
        <v>5.1791718106060705</v>
      </c>
      <c r="AP42" s="46">
        <f t="shared" si="37"/>
        <v>1.3244479127754003</v>
      </c>
    </row>
    <row r="43" spans="2:42" x14ac:dyDescent="0.25">
      <c r="B43" s="36"/>
      <c r="C43" s="60"/>
      <c r="D43" s="60"/>
      <c r="E43" s="37" t="s">
        <v>857</v>
      </c>
      <c r="F43" s="38" t="s">
        <v>869</v>
      </c>
      <c r="G43" s="38">
        <v>45</v>
      </c>
      <c r="H43" s="38">
        <v>0</v>
      </c>
      <c r="I43" s="39" t="s">
        <v>265</v>
      </c>
      <c r="J43" s="40">
        <v>500</v>
      </c>
      <c r="K43" s="40">
        <v>4.2489999999999997</v>
      </c>
      <c r="L43" s="40">
        <v>0</v>
      </c>
      <c r="M43" s="41">
        <v>9</v>
      </c>
      <c r="N43" s="41">
        <v>17.55</v>
      </c>
      <c r="O43" s="42">
        <v>2124.5</v>
      </c>
      <c r="P43" s="43">
        <v>4500</v>
      </c>
      <c r="Q43" s="43">
        <v>8775</v>
      </c>
      <c r="R43" s="44">
        <v>0</v>
      </c>
      <c r="S43" s="45"/>
      <c r="T43" s="38">
        <f t="shared" si="19"/>
        <v>45</v>
      </c>
      <c r="U43" s="46">
        <f t="shared" si="20"/>
        <v>5.0209638139252159E-2</v>
      </c>
      <c r="V43" s="47">
        <f t="shared" si="21"/>
        <v>8.5500000000000007</v>
      </c>
      <c r="W43" s="48">
        <f t="shared" si="22"/>
        <v>1.1157697364278258E-3</v>
      </c>
      <c r="X43" s="43">
        <f t="shared" si="23"/>
        <v>541.3214896305891</v>
      </c>
      <c r="Y43" s="43">
        <f t="shared" si="24"/>
        <v>4275</v>
      </c>
      <c r="Z43" s="43">
        <f t="shared" si="25"/>
        <v>1519.6283945305067</v>
      </c>
      <c r="AA43" s="49">
        <f t="shared" si="26"/>
        <v>9316.321489630589</v>
      </c>
      <c r="AB43" s="50">
        <f t="shared" si="27"/>
        <v>1422.8730285866168</v>
      </c>
      <c r="AC43" s="43">
        <f t="shared" si="28"/>
        <v>8723.1474622009264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3.4687238784313914</v>
      </c>
      <c r="AG43" s="43">
        <f t="shared" si="31"/>
        <v>7369.3038797274903</v>
      </c>
      <c r="AH43" s="51">
        <f>HLOOKUP(I43,ElecAvoidedCostsWOCC!$A$5:$Q$50,T43+1,FALSE)</f>
        <v>3.4687238784313914</v>
      </c>
      <c r="AI43" s="43">
        <f t="shared" si="32"/>
        <v>0</v>
      </c>
      <c r="AJ43" s="43">
        <f t="shared" si="33"/>
        <v>7369.3038797274903</v>
      </c>
      <c r="AK43" s="43">
        <f>HLOOKUP(I43,ElecAvoidedCostsWOCC!$A$5:$Q$50,G43+1,FALSE)*J43*L43</f>
        <v>0</v>
      </c>
      <c r="AL43" s="43">
        <f t="shared" si="34"/>
        <v>7369.3038797274903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7369.3038797274903</v>
      </c>
      <c r="AN43" s="47">
        <f t="shared" si="35"/>
        <v>8106.2342677002398</v>
      </c>
      <c r="AO43" s="46">
        <f t="shared" si="36"/>
        <v>5.1791718106060696</v>
      </c>
      <c r="AP43" s="46">
        <f t="shared" si="37"/>
        <v>0.92927860073741841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ref="T85:T111" si="38">G85+H85</f>
        <v>0</v>
      </c>
      <c r="U85" s="46">
        <f t="shared" ref="U85:U111" si="39">(O85/$A$10)*T85</f>
        <v>0</v>
      </c>
      <c r="V85" s="47">
        <f t="shared" ref="V85:V111" si="40">N85-M85</f>
        <v>0</v>
      </c>
      <c r="W85" s="48">
        <f t="shared" ref="W85:W111" si="41">(O85/A$10)</f>
        <v>0</v>
      </c>
      <c r="X85" s="43">
        <f t="shared" ref="X85:X111" si="42">W85*A$8</f>
        <v>0</v>
      </c>
      <c r="Y85" s="43">
        <f t="shared" ref="Y85:Y111" si="43">Q85-P85</f>
        <v>0</v>
      </c>
      <c r="Z85" s="43">
        <f t="shared" ref="Z85:Z111" si="44">X85+(A$6*W85)</f>
        <v>0</v>
      </c>
      <c r="AA85" s="49">
        <f t="shared" ref="AA85:AA111" si="45">Q85+X85</f>
        <v>0</v>
      </c>
      <c r="AB85" s="50">
        <f t="shared" ref="AB85:AB111" si="46">Z85/(1+ElecDiscountRate)^1</f>
        <v>0</v>
      </c>
      <c r="AC85" s="43">
        <f t="shared" ref="AC85:AC111" si="47">AA85/(1+ElecDiscountRate)^1</f>
        <v>0</v>
      </c>
      <c r="AD85" s="43">
        <f t="shared" ref="AD85:AD111" si="48">-PV(ElecDiscountRate,T85,R85)*J85</f>
        <v>0</v>
      </c>
      <c r="AE85" s="43">
        <f t="shared" ref="AE85:AE111" si="49">-PV(ElecDiscountRate,T85,S85)*J85</f>
        <v>0</v>
      </c>
      <c r="AF85" s="51" t="e">
        <f>HLOOKUP(I85,ElecAvoidedCostsWOCC!$A$5:$Q$50,G85+1,FALSE)</f>
        <v>#N/A</v>
      </c>
      <c r="AG85" s="43" t="e">
        <f t="shared" ref="AG85:AG111" si="50">AF85*J85*K85</f>
        <v>#N/A</v>
      </c>
      <c r="AH85" s="51" t="e">
        <f>HLOOKUP(I85,ElecAvoidedCostsWOCC!$A$5:$Q$50,T85+1,FALSE)</f>
        <v>#N/A</v>
      </c>
      <c r="AI85" s="43" t="e">
        <f t="shared" ref="AI85:AI111" si="51">AH85*J85*L85</f>
        <v>#N/A</v>
      </c>
      <c r="AJ85" s="43" t="e">
        <f t="shared" ref="AJ85:AJ111" si="52">AG85+AI85</f>
        <v>#N/A</v>
      </c>
      <c r="AK85" s="43" t="e">
        <f>HLOOKUP(I85,ElecAvoidedCostsWOCC!$A$5:$Q$50,G85+1,FALSE)*J85*L85</f>
        <v>#N/A</v>
      </c>
      <c r="AL85" s="43" t="e">
        <f t="shared" ref="AL85:AL111" si="53">AG85+AI85-AK85</f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ref="AN85:AN111" si="54">AM85*1.1+AD85+AE85</f>
        <v>0</v>
      </c>
      <c r="AO85" s="46">
        <f t="shared" ref="AO85:AO111" si="55">IFERROR(AM85/AB85,0)</f>
        <v>0</v>
      </c>
      <c r="AP85" s="46" t="e">
        <f t="shared" ref="AP85:AP111" si="56">AN85/AC85</f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</sheetData>
  <conditionalFormatting sqref="J5:L11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11 R5:S111">
    <cfRule type="expression" dxfId="192" priority="2">
      <formula>ISTEXT(M5)</formula>
    </cfRule>
  </conditionalFormatting>
  <conditionalFormatting sqref="M5:N111 R5:S111">
    <cfRule type="notContainsBlanks" dxfId="191" priority="3">
      <formula>LEN(TRIM(M5))&gt;0</formula>
    </cfRule>
  </conditionalFormatting>
  <conditionalFormatting sqref="R5:S11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I19" sqref="I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18230524</v>
      </c>
      <c r="D2" s="19" t="s">
        <v>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18230524</v>
      </c>
      <c r="D5" s="60" t="s">
        <v>68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265</v>
      </c>
      <c r="J5" s="40">
        <v>1</v>
      </c>
      <c r="K5" s="40">
        <v>609000</v>
      </c>
      <c r="L5" s="40">
        <v>0</v>
      </c>
      <c r="M5" s="41">
        <v>390000</v>
      </c>
      <c r="N5" s="41">
        <v>682500</v>
      </c>
      <c r="O5" s="42">
        <v>609000</v>
      </c>
      <c r="P5" s="43">
        <v>390000</v>
      </c>
      <c r="Q5" s="43">
        <v>682500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7.3170731707317067</v>
      </c>
      <c r="V5" s="47">
        <f t="shared" ref="V5:V24" si="2">N5-M5</f>
        <v>292500</v>
      </c>
      <c r="W5" s="48">
        <f t="shared" ref="W5:W24" si="3">(O5/A$10)</f>
        <v>0.48780487804878048</v>
      </c>
      <c r="X5" s="43">
        <f t="shared" ref="X5:X24" si="4">W5*A$8</f>
        <v>238096.09756097561</v>
      </c>
      <c r="Y5" s="43">
        <f t="shared" ref="Y5:Y24" si="5">Q5-P5</f>
        <v>292500</v>
      </c>
      <c r="Z5" s="43">
        <f t="shared" ref="Z5:Z24" si="6">X5+(A$6*W5)</f>
        <v>628096.09756097558</v>
      </c>
      <c r="AA5" s="49">
        <f t="shared" ref="AA5:AA24" si="7">Q5+X5</f>
        <v>920596.09756097558</v>
      </c>
      <c r="AB5" s="50">
        <f t="shared" ref="AB5:AC20" si="8">Z5/(1+ElecDiscountRate)^1</f>
        <v>588104.96026308567</v>
      </c>
      <c r="AC5" s="43">
        <f t="shared" si="8"/>
        <v>861981.36475746776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1.7172657854551547</v>
      </c>
      <c r="AG5" s="43">
        <f t="shared" ref="AG5:AG24" si="10">AF5*J5*K5</f>
        <v>1045814.8633421892</v>
      </c>
      <c r="AH5" s="51">
        <f>HLOOKUP(I5,ElecAvoidedCostsWOCC!$A$5:$Q$50,T5+1,FALSE)</f>
        <v>1.7172657854551547</v>
      </c>
      <c r="AI5" s="43">
        <f t="shared" ref="AI5:AI24" si="11">AH5*J5*L5</f>
        <v>0</v>
      </c>
      <c r="AJ5" s="43">
        <f>AG5+AI5</f>
        <v>1045814.8633421892</v>
      </c>
      <c r="AK5" s="43">
        <f>HLOOKUP(I5,ElecAvoidedCostsWOCC!$A$5:$Q$50,G5+1,FALSE)*J5*L5</f>
        <v>0</v>
      </c>
      <c r="AL5" s="43">
        <f>AG5+AI5-AK5</f>
        <v>1045814.8633421892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1045814.8633421892</v>
      </c>
      <c r="AN5" s="47">
        <f>AM5*1.1+AD5+AE5</f>
        <v>1150396.3496764083</v>
      </c>
      <c r="AO5" s="46">
        <f>IFERROR(AM5/AB5,0)</f>
        <v>1.7782792766691671</v>
      </c>
      <c r="AP5" s="46">
        <f>AN5/AC5</f>
        <v>1.3345953830453061</v>
      </c>
    </row>
    <row r="6" spans="1:42" ht="13.5" customHeight="1" x14ac:dyDescent="0.25">
      <c r="A6" s="52">
        <f>SUMIF('Program Costs'!D:D,C2,'Program Costs'!L:L)</f>
        <v>799500</v>
      </c>
      <c r="B6" s="88" t="s">
        <v>67</v>
      </c>
      <c r="C6" s="89">
        <v>18230524</v>
      </c>
      <c r="D6" s="60" t="s">
        <v>68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265</v>
      </c>
      <c r="J6" s="40">
        <v>1</v>
      </c>
      <c r="K6" s="40">
        <v>639450</v>
      </c>
      <c r="L6" s="40">
        <v>0</v>
      </c>
      <c r="M6" s="41">
        <v>409500</v>
      </c>
      <c r="N6" s="41">
        <v>716625</v>
      </c>
      <c r="O6" s="42">
        <v>639450</v>
      </c>
      <c r="P6" s="43">
        <v>409500</v>
      </c>
      <c r="Q6" s="43">
        <v>716625</v>
      </c>
      <c r="R6" s="44">
        <v>0</v>
      </c>
      <c r="S6" s="45"/>
      <c r="T6" s="38">
        <f t="shared" si="0"/>
        <v>15</v>
      </c>
      <c r="U6" s="46">
        <f t="shared" si="1"/>
        <v>7.6829268292682933</v>
      </c>
      <c r="V6" s="47">
        <f t="shared" si="2"/>
        <v>307125</v>
      </c>
      <c r="W6" s="48">
        <f t="shared" si="3"/>
        <v>0.51219512195121952</v>
      </c>
      <c r="X6" s="43">
        <f t="shared" si="4"/>
        <v>250000.90243902439</v>
      </c>
      <c r="Y6" s="43">
        <f t="shared" si="5"/>
        <v>307125</v>
      </c>
      <c r="Z6" s="43">
        <f t="shared" si="6"/>
        <v>659500.90243902442</v>
      </c>
      <c r="AA6" s="49">
        <f t="shared" si="7"/>
        <v>966625.90243902442</v>
      </c>
      <c r="AB6" s="50">
        <f t="shared" si="8"/>
        <v>617510.20827624004</v>
      </c>
      <c r="AC6" s="43">
        <f t="shared" si="8"/>
        <v>905080.43299534114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1098105.6065092988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1098105.6065092988</v>
      </c>
      <c r="AK6" s="43">
        <f>HLOOKUP(I6,ElecAvoidedCostsWOCC!$A$5:$Q$50,G6+1,FALSE)*J6*L6</f>
        <v>0</v>
      </c>
      <c r="AL6" s="43">
        <f t="shared" ref="AL6:AL24" si="13">AG6+AI6-AK6</f>
        <v>1098105.6065092988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1098105.6065092988</v>
      </c>
      <c r="AN6" s="47">
        <f t="shared" ref="AN6:AN24" si="14">AM6*1.1+AD6+AE6</f>
        <v>1207916.1671602288</v>
      </c>
      <c r="AO6" s="46">
        <f t="shared" ref="AO6:AO24" si="15">IFERROR(AM6/AB6,0)</f>
        <v>1.7782792766691671</v>
      </c>
      <c r="AP6" s="46">
        <f t="shared" ref="AP6:AP24" si="16">AN6/AC6</f>
        <v>1.3345953830453061</v>
      </c>
    </row>
    <row r="7" spans="1:42" ht="13.5" customHeight="1" x14ac:dyDescent="0.25">
      <c r="A7" s="35" t="s">
        <v>239</v>
      </c>
      <c r="B7" s="88" t="s">
        <v>67</v>
      </c>
      <c r="C7" s="89">
        <v>18230524</v>
      </c>
      <c r="D7" s="60" t="s">
        <v>68</v>
      </c>
      <c r="E7" s="37" t="s">
        <v>876</v>
      </c>
      <c r="F7" s="38" t="s">
        <v>877</v>
      </c>
      <c r="G7" s="38">
        <v>15</v>
      </c>
      <c r="H7" s="38">
        <v>0</v>
      </c>
      <c r="I7" s="39" t="s">
        <v>265</v>
      </c>
      <c r="J7" s="40">
        <v>0</v>
      </c>
      <c r="K7" s="40">
        <v>0</v>
      </c>
      <c r="L7" s="40">
        <v>0</v>
      </c>
      <c r="M7" s="41">
        <v>65</v>
      </c>
      <c r="N7" s="41">
        <v>135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70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1.7172657854551547</v>
      </c>
      <c r="AG7" s="43">
        <f t="shared" si="10"/>
        <v>0</v>
      </c>
      <c r="AH7" s="51">
        <f>HLOOKUP(I7,ElecAvoidedCostsWOCC!$A$5:$Q$50,T7+1,FALSE)</f>
        <v>1.7172657854551547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488097</v>
      </c>
      <c r="B8" s="88" t="s">
        <v>67</v>
      </c>
      <c r="C8" s="89">
        <v>18230524</v>
      </c>
      <c r="D8" s="60" t="s">
        <v>68</v>
      </c>
      <c r="E8" s="37" t="s">
        <v>878</v>
      </c>
      <c r="F8" s="38" t="s">
        <v>879</v>
      </c>
      <c r="G8" s="38">
        <v>15</v>
      </c>
      <c r="H8" s="38">
        <v>0</v>
      </c>
      <c r="I8" s="39" t="s">
        <v>265</v>
      </c>
      <c r="J8" s="40">
        <v>0</v>
      </c>
      <c r="K8" s="40">
        <v>0</v>
      </c>
      <c r="L8" s="40">
        <v>0</v>
      </c>
      <c r="M8" s="41">
        <v>65</v>
      </c>
      <c r="N8" s="41">
        <v>96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31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0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18230524</v>
      </c>
      <c r="D9" s="60" t="s">
        <v>68</v>
      </c>
      <c r="E9" s="37" t="s">
        <v>880</v>
      </c>
      <c r="F9" s="38" t="s">
        <v>881</v>
      </c>
      <c r="G9" s="38">
        <v>15</v>
      </c>
      <c r="H9" s="38">
        <v>0</v>
      </c>
      <c r="I9" s="39" t="s">
        <v>265</v>
      </c>
      <c r="J9" s="40">
        <v>0</v>
      </c>
      <c r="K9" s="40">
        <v>0</v>
      </c>
      <c r="L9" s="40">
        <v>0</v>
      </c>
      <c r="M9" s="41">
        <v>65</v>
      </c>
      <c r="N9" s="41">
        <v>191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126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1.7172657854551547</v>
      </c>
      <c r="AG9" s="43">
        <f t="shared" si="10"/>
        <v>0</v>
      </c>
      <c r="AH9" s="51">
        <f>HLOOKUP(I9,ElecAvoidedCostsWOCC!$A$5:$Q$50,T9+1,FALSE)</f>
        <v>1.7172657854551547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1248450</v>
      </c>
      <c r="B10" s="88" t="s">
        <v>67</v>
      </c>
      <c r="C10" s="89">
        <v>18230524</v>
      </c>
      <c r="D10" s="60" t="s">
        <v>68</v>
      </c>
      <c r="E10" s="37" t="s">
        <v>882</v>
      </c>
      <c r="F10" s="38" t="s">
        <v>883</v>
      </c>
      <c r="G10" s="38">
        <v>15</v>
      </c>
      <c r="H10" s="38">
        <v>0</v>
      </c>
      <c r="I10" s="39" t="s">
        <v>265</v>
      </c>
      <c r="J10" s="40">
        <v>0</v>
      </c>
      <c r="K10" s="40">
        <v>0</v>
      </c>
      <c r="L10" s="40">
        <v>0</v>
      </c>
      <c r="M10" s="41">
        <v>100</v>
      </c>
      <c r="N10" s="41">
        <v>170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70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1.7172657854551547</v>
      </c>
      <c r="AG10" s="43">
        <f t="shared" si="10"/>
        <v>0</v>
      </c>
      <c r="AH10" s="51">
        <f>HLOOKUP(I10,ElecAvoidedCostsWOCC!$A$5:$Q$50,T10+1,FALSE)</f>
        <v>1.7172657854551547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18230524</v>
      </c>
      <c r="D11" s="60" t="s">
        <v>68</v>
      </c>
      <c r="E11" s="37" t="s">
        <v>884</v>
      </c>
      <c r="F11" s="38" t="s">
        <v>885</v>
      </c>
      <c r="G11" s="38">
        <v>15</v>
      </c>
      <c r="H11" s="38">
        <v>0</v>
      </c>
      <c r="I11" s="39" t="s">
        <v>265</v>
      </c>
      <c r="J11" s="40">
        <v>0</v>
      </c>
      <c r="K11" s="40">
        <v>0</v>
      </c>
      <c r="L11" s="40">
        <v>0</v>
      </c>
      <c r="M11" s="41">
        <v>100</v>
      </c>
      <c r="N11" s="41">
        <v>186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86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1.7172657854551547</v>
      </c>
      <c r="AG11" s="43">
        <f t="shared" si="10"/>
        <v>0</v>
      </c>
      <c r="AH11" s="51">
        <f>HLOOKUP(I11,ElecAvoidedCostsWOCC!$A$5:$Q$50,T11+1,FALSE)</f>
        <v>1.7172657854551547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799500</v>
      </c>
      <c r="B12" s="88" t="s">
        <v>67</v>
      </c>
      <c r="C12" s="89">
        <v>18230524</v>
      </c>
      <c r="D12" s="60" t="s">
        <v>68</v>
      </c>
      <c r="E12" s="37" t="s">
        <v>886</v>
      </c>
      <c r="F12" s="38" t="s">
        <v>887</v>
      </c>
      <c r="G12" s="38">
        <v>15</v>
      </c>
      <c r="H12" s="38">
        <v>0</v>
      </c>
      <c r="I12" s="39" t="s">
        <v>265</v>
      </c>
      <c r="J12" s="40">
        <v>0</v>
      </c>
      <c r="K12" s="40">
        <v>0</v>
      </c>
      <c r="L12" s="40">
        <v>0</v>
      </c>
      <c r="M12" s="41">
        <v>100</v>
      </c>
      <c r="N12" s="41">
        <v>245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145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1.7172657854551547</v>
      </c>
      <c r="AG12" s="43">
        <f t="shared" si="10"/>
        <v>0</v>
      </c>
      <c r="AH12" s="51">
        <f>HLOOKUP(I12,ElecAvoidedCostsWOCC!$A$5:$Q$50,T12+1,FALSE)</f>
        <v>1.7172657854551547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18230524</v>
      </c>
      <c r="D13" s="60" t="s">
        <v>68</v>
      </c>
      <c r="E13" s="37" t="s">
        <v>888</v>
      </c>
      <c r="F13" s="38" t="s">
        <v>889</v>
      </c>
      <c r="G13" s="38">
        <v>15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40</v>
      </c>
      <c r="N13" s="41">
        <v>95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1.7172657854551547</v>
      </c>
      <c r="AG13" s="43">
        <f t="shared" si="10"/>
        <v>0</v>
      </c>
      <c r="AH13" s="51">
        <f>HLOOKUP(I13,ElecAvoidedCostsWOCC!$A$5:$Q$50,T13+1,FALSE)</f>
        <v>1.7172657854551547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599625</v>
      </c>
      <c r="B14" s="88" t="s">
        <v>67</v>
      </c>
      <c r="C14" s="89">
        <v>18230524</v>
      </c>
      <c r="D14" s="60" t="s">
        <v>68</v>
      </c>
      <c r="E14" s="37" t="s">
        <v>890</v>
      </c>
      <c r="F14" s="38" t="s">
        <v>891</v>
      </c>
      <c r="G14" s="38">
        <v>15</v>
      </c>
      <c r="H14" s="38">
        <v>0</v>
      </c>
      <c r="I14" s="39" t="s">
        <v>265</v>
      </c>
      <c r="J14" s="40">
        <v>0</v>
      </c>
      <c r="K14" s="40">
        <v>0</v>
      </c>
      <c r="L14" s="40">
        <v>0</v>
      </c>
      <c r="M14" s="41">
        <v>125</v>
      </c>
      <c r="N14" s="41">
        <v>204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79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18230524</v>
      </c>
      <c r="D15" s="60" t="s">
        <v>68</v>
      </c>
      <c r="E15" s="37" t="s">
        <v>892</v>
      </c>
      <c r="F15" s="38" t="s">
        <v>893</v>
      </c>
      <c r="G15" s="38">
        <v>15</v>
      </c>
      <c r="H15" s="38">
        <v>0</v>
      </c>
      <c r="I15" s="39" t="s">
        <v>265</v>
      </c>
      <c r="J15" s="40">
        <v>0</v>
      </c>
      <c r="K15" s="40">
        <v>0</v>
      </c>
      <c r="L15" s="40">
        <v>0</v>
      </c>
      <c r="M15" s="41">
        <v>125</v>
      </c>
      <c r="N15" s="41">
        <v>287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162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1.7172657854551547</v>
      </c>
      <c r="AG15" s="43">
        <f t="shared" si="10"/>
        <v>0</v>
      </c>
      <c r="AH15" s="51">
        <f>HLOOKUP(I15,ElecAvoidedCostsWOCC!$A$5:$Q$50,T15+1,FALSE)</f>
        <v>1.7172657854551547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18230524</v>
      </c>
      <c r="D16" s="60" t="s">
        <v>68</v>
      </c>
      <c r="E16" s="37" t="s">
        <v>894</v>
      </c>
      <c r="F16" s="38" t="s">
        <v>895</v>
      </c>
      <c r="G16" s="38">
        <v>15</v>
      </c>
      <c r="H16" s="38">
        <v>0</v>
      </c>
      <c r="I16" s="39" t="s">
        <v>265</v>
      </c>
      <c r="J16" s="40">
        <v>0</v>
      </c>
      <c r="K16" s="40">
        <v>0</v>
      </c>
      <c r="L16" s="40">
        <v>0</v>
      </c>
      <c r="M16" s="41">
        <v>125</v>
      </c>
      <c r="N16" s="41">
        <v>298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173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1.7172657854551547</v>
      </c>
      <c r="AG16" s="43">
        <f t="shared" si="10"/>
        <v>0</v>
      </c>
      <c r="AH16" s="51">
        <f>HLOOKUP(I16,ElecAvoidedCostsWOCC!$A$5:$Q$50,T16+1,FALSE)</f>
        <v>1.7172657854551547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18230524</v>
      </c>
      <c r="D17" s="60" t="s">
        <v>68</v>
      </c>
      <c r="E17" s="37" t="s">
        <v>896</v>
      </c>
      <c r="F17" s="38" t="s">
        <v>897</v>
      </c>
      <c r="G17" s="38">
        <v>15</v>
      </c>
      <c r="H17" s="38">
        <v>0</v>
      </c>
      <c r="I17" s="39" t="s">
        <v>265</v>
      </c>
      <c r="J17" s="40">
        <v>0</v>
      </c>
      <c r="K17" s="40">
        <v>0</v>
      </c>
      <c r="L17" s="40">
        <v>0</v>
      </c>
      <c r="M17" s="41">
        <v>65</v>
      </c>
      <c r="N17" s="41">
        <v>158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93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1.7172657854551547</v>
      </c>
      <c r="AG17" s="43">
        <f t="shared" si="10"/>
        <v>0</v>
      </c>
      <c r="AH17" s="51">
        <f>HLOOKUP(I17,ElecAvoidedCostsWOCC!$A$5:$Q$50,T17+1,FALSE)</f>
        <v>1.7172657854551547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1287597</v>
      </c>
      <c r="B18" s="88" t="s">
        <v>67</v>
      </c>
      <c r="C18" s="89">
        <v>18230524</v>
      </c>
      <c r="D18" s="60" t="s">
        <v>68</v>
      </c>
      <c r="E18" s="37" t="s">
        <v>898</v>
      </c>
      <c r="F18" s="38" t="s">
        <v>899</v>
      </c>
      <c r="G18" s="38">
        <v>15</v>
      </c>
      <c r="H18" s="38">
        <v>0</v>
      </c>
      <c r="I18" s="39" t="s">
        <v>265</v>
      </c>
      <c r="J18" s="40">
        <v>0</v>
      </c>
      <c r="K18" s="40">
        <v>0</v>
      </c>
      <c r="L18" s="40">
        <v>0</v>
      </c>
      <c r="M18" s="41">
        <v>125</v>
      </c>
      <c r="N18" s="41">
        <v>262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137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1.7172657854551547</v>
      </c>
      <c r="AG18" s="43">
        <f t="shared" si="10"/>
        <v>0</v>
      </c>
      <c r="AH18" s="51">
        <f>HLOOKUP(I18,ElecAvoidedCostsWOCC!$A$5:$Q$50,T18+1,FALSE)</f>
        <v>1.7172657854551547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18230524</v>
      </c>
      <c r="D19" s="60" t="s">
        <v>68</v>
      </c>
      <c r="E19" s="37" t="s">
        <v>900</v>
      </c>
      <c r="F19" s="38" t="s">
        <v>901</v>
      </c>
      <c r="G19" s="38">
        <v>15</v>
      </c>
      <c r="H19" s="38">
        <v>0</v>
      </c>
      <c r="I19" s="39" t="s">
        <v>265</v>
      </c>
      <c r="J19" s="40">
        <v>0</v>
      </c>
      <c r="K19" s="40">
        <v>0</v>
      </c>
      <c r="L19" s="40">
        <v>0</v>
      </c>
      <c r="M19" s="41">
        <v>50</v>
      </c>
      <c r="N19" s="41">
        <v>100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50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0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1887222</v>
      </c>
      <c r="B20" s="88" t="s">
        <v>67</v>
      </c>
      <c r="C20" s="89">
        <v>18230524</v>
      </c>
      <c r="D20" s="60" t="s">
        <v>68</v>
      </c>
      <c r="E20" s="37" t="s">
        <v>902</v>
      </c>
      <c r="F20" s="38" t="s">
        <v>903</v>
      </c>
      <c r="G20" s="38">
        <v>15</v>
      </c>
      <c r="H20" s="38">
        <v>0</v>
      </c>
      <c r="I20" s="39" t="s">
        <v>265</v>
      </c>
      <c r="J20" s="40">
        <v>0</v>
      </c>
      <c r="K20" s="40">
        <v>0</v>
      </c>
      <c r="L20" s="40">
        <v>0</v>
      </c>
      <c r="M20" s="41">
        <v>40</v>
      </c>
      <c r="N20" s="41">
        <v>100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60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1.7172657854551547</v>
      </c>
      <c r="AG20" s="43">
        <f t="shared" si="10"/>
        <v>0</v>
      </c>
      <c r="AH20" s="51">
        <f>HLOOKUP(I20,ElecAvoidedCostsWOCC!$A$5:$Q$50,T20+1,FALSE)</f>
        <v>1.7172657854551547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18230524</v>
      </c>
      <c r="D21" s="60" t="s">
        <v>68</v>
      </c>
      <c r="E21" s="37" t="s">
        <v>904</v>
      </c>
      <c r="F21" s="38" t="s">
        <v>905</v>
      </c>
      <c r="G21" s="38">
        <v>15</v>
      </c>
      <c r="H21" s="38">
        <v>0</v>
      </c>
      <c r="I21" s="39" t="s">
        <v>265</v>
      </c>
      <c r="J21" s="40">
        <v>0</v>
      </c>
      <c r="K21" s="40">
        <v>0</v>
      </c>
      <c r="L21" s="40">
        <v>0</v>
      </c>
      <c r="M21" s="41">
        <v>50</v>
      </c>
      <c r="N21" s="41">
        <v>150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15</v>
      </c>
      <c r="U21" s="46">
        <f t="shared" si="1"/>
        <v>0</v>
      </c>
      <c r="V21" s="47">
        <f t="shared" si="2"/>
        <v>100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1.7172657854551547</v>
      </c>
      <c r="AG21" s="43">
        <f t="shared" si="10"/>
        <v>0</v>
      </c>
      <c r="AH21" s="51">
        <f>HLOOKUP(I21,ElecAvoidedCostsWOCC!$A$5:$Q$50,T21+1,FALSE)</f>
        <v>1.7172657854551547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1.7782792766691673</v>
      </c>
      <c r="B22" s="88" t="s">
        <v>67</v>
      </c>
      <c r="C22" s="89">
        <v>18230524</v>
      </c>
      <c r="D22" s="60" t="s">
        <v>68</v>
      </c>
      <c r="E22" s="37" t="s">
        <v>906</v>
      </c>
      <c r="F22" s="38" t="s">
        <v>907</v>
      </c>
      <c r="G22" s="38">
        <v>15</v>
      </c>
      <c r="H22" s="38">
        <v>0</v>
      </c>
      <c r="I22" s="39" t="s">
        <v>265</v>
      </c>
      <c r="J22" s="40">
        <v>0</v>
      </c>
      <c r="K22" s="40">
        <v>0</v>
      </c>
      <c r="L22" s="40">
        <v>0</v>
      </c>
      <c r="M22" s="41">
        <v>50</v>
      </c>
      <c r="N22" s="41">
        <v>150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15</v>
      </c>
      <c r="U22" s="46">
        <f t="shared" si="1"/>
        <v>0</v>
      </c>
      <c r="V22" s="47">
        <f t="shared" si="2"/>
        <v>100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1.7172657854551547</v>
      </c>
      <c r="AG22" s="43">
        <f t="shared" si="10"/>
        <v>0</v>
      </c>
      <c r="AH22" s="51">
        <f>HLOOKUP(I22,ElecAvoidedCostsWOCC!$A$5:$Q$50,T22+1,FALSE)</f>
        <v>1.7172657854551547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18230524</v>
      </c>
      <c r="D23" s="60" t="s">
        <v>68</v>
      </c>
      <c r="E23" s="37" t="s">
        <v>908</v>
      </c>
      <c r="F23" s="38" t="s">
        <v>909</v>
      </c>
      <c r="G23" s="38">
        <v>15</v>
      </c>
      <c r="H23" s="38">
        <v>0</v>
      </c>
      <c r="I23" s="39" t="s">
        <v>265</v>
      </c>
      <c r="J23" s="40">
        <v>0</v>
      </c>
      <c r="K23" s="40">
        <v>0</v>
      </c>
      <c r="L23" s="40">
        <v>0</v>
      </c>
      <c r="M23" s="41">
        <v>40</v>
      </c>
      <c r="N23" s="41">
        <v>100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15</v>
      </c>
      <c r="U23" s="46">
        <f t="shared" si="1"/>
        <v>0</v>
      </c>
      <c r="V23" s="47">
        <f t="shared" si="2"/>
        <v>60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1.7172657854551547</v>
      </c>
      <c r="AG23" s="43">
        <f t="shared" si="10"/>
        <v>0</v>
      </c>
      <c r="AH23" s="51">
        <f>HLOOKUP(I23,ElecAvoidedCostsWOCC!$A$5:$Q$50,T23+1,FALSE)</f>
        <v>1.7172657854551547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1.3345953830453061</v>
      </c>
      <c r="B24" s="88" t="s">
        <v>67</v>
      </c>
      <c r="C24" s="89">
        <v>18230524</v>
      </c>
      <c r="D24" s="60" t="s">
        <v>68</v>
      </c>
      <c r="E24" s="37" t="s">
        <v>910</v>
      </c>
      <c r="F24" s="38" t="s">
        <v>911</v>
      </c>
      <c r="G24" s="38">
        <v>15</v>
      </c>
      <c r="H24" s="38">
        <v>0</v>
      </c>
      <c r="I24" s="39" t="s">
        <v>265</v>
      </c>
      <c r="J24" s="40">
        <v>0</v>
      </c>
      <c r="K24" s="40">
        <v>0</v>
      </c>
      <c r="L24" s="40">
        <v>0</v>
      </c>
      <c r="M24" s="41">
        <v>50</v>
      </c>
      <c r="N24" s="41">
        <v>100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15</v>
      </c>
      <c r="U24" s="46">
        <f t="shared" si="1"/>
        <v>0</v>
      </c>
      <c r="V24" s="47">
        <f t="shared" si="2"/>
        <v>50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1.7172657854551547</v>
      </c>
      <c r="AG24" s="43">
        <f t="shared" si="10"/>
        <v>0</v>
      </c>
      <c r="AH24" s="51">
        <f>HLOOKUP(I24,ElecAvoidedCostsWOCC!$A$5:$Q$50,T24+1,FALSE)</f>
        <v>1.7172657854551547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18230524</v>
      </c>
      <c r="D25" s="60" t="s">
        <v>68</v>
      </c>
      <c r="E25" s="37" t="s">
        <v>912</v>
      </c>
      <c r="F25" s="38" t="s">
        <v>913</v>
      </c>
      <c r="G25" s="38">
        <v>15</v>
      </c>
      <c r="H25" s="38">
        <v>0</v>
      </c>
      <c r="I25" s="39" t="s">
        <v>265</v>
      </c>
      <c r="J25" s="40">
        <v>0</v>
      </c>
      <c r="K25" s="40">
        <v>0</v>
      </c>
      <c r="L25" s="40">
        <v>0</v>
      </c>
      <c r="M25" s="41">
        <v>40</v>
      </c>
      <c r="N25" s="41">
        <v>100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59" si="19">G25+H25</f>
        <v>15</v>
      </c>
      <c r="U25" s="46">
        <f t="shared" ref="U25:U59" si="20">(O25/$A$10)*T25</f>
        <v>0</v>
      </c>
      <c r="V25" s="47">
        <f t="shared" ref="V25:V59" si="21">N25-M25</f>
        <v>60</v>
      </c>
      <c r="W25" s="48">
        <f t="shared" ref="W25:W59" si="22">(O25/A$10)</f>
        <v>0</v>
      </c>
      <c r="X25" s="43">
        <f t="shared" ref="X25:X59" si="23">W25*A$8</f>
        <v>0</v>
      </c>
      <c r="Y25" s="43">
        <f t="shared" ref="Y25:Y59" si="24">Q25-P25</f>
        <v>0</v>
      </c>
      <c r="Z25" s="43">
        <f t="shared" ref="Z25:Z59" si="25">X25+(A$6*W25)</f>
        <v>0</v>
      </c>
      <c r="AA25" s="49">
        <f t="shared" ref="AA25:AA59" si="26">Q25+X25</f>
        <v>0</v>
      </c>
      <c r="AB25" s="50">
        <f t="shared" ref="AB25:AB59" si="27">Z25/(1+ElecDiscountRate)^1</f>
        <v>0</v>
      </c>
      <c r="AC25" s="43">
        <f t="shared" ref="AC25:AC59" si="28">AA25/(1+ElecDiscountRate)^1</f>
        <v>0</v>
      </c>
      <c r="AD25" s="43">
        <f t="shared" ref="AD25:AD59" si="29">-PV(ElecDiscountRate,T25,R25)*J25</f>
        <v>0</v>
      </c>
      <c r="AE25" s="43">
        <f t="shared" ref="AE25:AE59" si="30">-PV(ElecDiscountRate,T25,S25)*J25</f>
        <v>0</v>
      </c>
      <c r="AF25" s="51">
        <f>HLOOKUP(I25,ElecAvoidedCostsWOCC!$A$5:$Q$50,G25+1,FALSE)</f>
        <v>1.7172657854551547</v>
      </c>
      <c r="AG25" s="43">
        <f t="shared" ref="AG25:AG59" si="31">AF25*J25*K25</f>
        <v>0</v>
      </c>
      <c r="AH25" s="51">
        <f>HLOOKUP(I25,ElecAvoidedCostsWOCC!$A$5:$Q$50,T25+1,FALSE)</f>
        <v>1.7172657854551547</v>
      </c>
      <c r="AI25" s="43">
        <f t="shared" ref="AI25:AI59" si="32">AH25*J25*L25</f>
        <v>0</v>
      </c>
      <c r="AJ25" s="43">
        <f t="shared" ref="AJ25:AJ59" si="33">AG25+AI25</f>
        <v>0</v>
      </c>
      <c r="AK25" s="43">
        <f>HLOOKUP(I25,ElecAvoidedCostsWOCC!$A$5:$Q$50,G25+1,FALSE)*J25*L25</f>
        <v>0</v>
      </c>
      <c r="AL25" s="43">
        <f t="shared" ref="AL25:AL59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9" si="35">AM25*1.1+AD25+AE25</f>
        <v>0</v>
      </c>
      <c r="AO25" s="46">
        <f t="shared" ref="AO25:AO59" si="36">IFERROR(AM25/AB25,0)</f>
        <v>0</v>
      </c>
      <c r="AP25" s="46" t="e">
        <f t="shared" ref="AP25:AP59" si="37">AN25/AC25</f>
        <v>#DIV/0!</v>
      </c>
    </row>
    <row r="26" spans="1:42" ht="13.5" customHeight="1" x14ac:dyDescent="0.25">
      <c r="B26" s="88" t="s">
        <v>67</v>
      </c>
      <c r="C26" s="89">
        <v>18230524</v>
      </c>
      <c r="D26" s="60" t="s">
        <v>68</v>
      </c>
      <c r="E26" s="37" t="s">
        <v>914</v>
      </c>
      <c r="F26" s="38" t="s">
        <v>915</v>
      </c>
      <c r="G26" s="38">
        <v>15</v>
      </c>
      <c r="H26" s="38">
        <v>0</v>
      </c>
      <c r="I26" s="39" t="s">
        <v>265</v>
      </c>
      <c r="J26" s="40">
        <v>0</v>
      </c>
      <c r="K26" s="40">
        <v>0</v>
      </c>
      <c r="L26" s="40">
        <v>0</v>
      </c>
      <c r="M26" s="41">
        <v>50</v>
      </c>
      <c r="N26" s="41">
        <v>150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15</v>
      </c>
      <c r="U26" s="46">
        <f t="shared" si="20"/>
        <v>0</v>
      </c>
      <c r="V26" s="47">
        <f t="shared" si="21"/>
        <v>100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1.7172657854551547</v>
      </c>
      <c r="AG26" s="43">
        <f t="shared" si="31"/>
        <v>0</v>
      </c>
      <c r="AH26" s="51">
        <f>HLOOKUP(I26,ElecAvoidedCostsWOCC!$A$5:$Q$50,T26+1,FALSE)</f>
        <v>1.7172657854551547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18230524</v>
      </c>
      <c r="D27" s="60" t="s">
        <v>68</v>
      </c>
      <c r="E27" s="37" t="s">
        <v>916</v>
      </c>
      <c r="F27" s="38" t="s">
        <v>917</v>
      </c>
      <c r="G27" s="38">
        <v>15</v>
      </c>
      <c r="H27" s="38">
        <v>0</v>
      </c>
      <c r="I27" s="39" t="s">
        <v>265</v>
      </c>
      <c r="J27" s="40">
        <v>0</v>
      </c>
      <c r="K27" s="40">
        <v>0</v>
      </c>
      <c r="L27" s="40">
        <v>0</v>
      </c>
      <c r="M27" s="41">
        <v>50</v>
      </c>
      <c r="N27" s="41">
        <v>150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15</v>
      </c>
      <c r="U27" s="46">
        <f t="shared" si="20"/>
        <v>0</v>
      </c>
      <c r="V27" s="47">
        <f t="shared" si="21"/>
        <v>100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1.7172657854551547</v>
      </c>
      <c r="AG27" s="43">
        <f t="shared" si="31"/>
        <v>0</v>
      </c>
      <c r="AH27" s="51">
        <f>HLOOKUP(I27,ElecAvoidedCostsWOCC!$A$5:$Q$50,T27+1,FALSE)</f>
        <v>1.7172657854551547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18230524</v>
      </c>
      <c r="D28" s="60" t="s">
        <v>68</v>
      </c>
      <c r="E28" s="37" t="s">
        <v>918</v>
      </c>
      <c r="F28" s="38" t="s">
        <v>919</v>
      </c>
      <c r="G28" s="38">
        <v>15</v>
      </c>
      <c r="H28" s="38">
        <v>0</v>
      </c>
      <c r="I28" s="39" t="s">
        <v>265</v>
      </c>
      <c r="J28" s="40">
        <v>0</v>
      </c>
      <c r="K28" s="40">
        <v>0</v>
      </c>
      <c r="L28" s="40">
        <v>0</v>
      </c>
      <c r="M28" s="41">
        <v>40</v>
      </c>
      <c r="N28" s="41">
        <v>100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15</v>
      </c>
      <c r="U28" s="46">
        <f t="shared" si="20"/>
        <v>0</v>
      </c>
      <c r="V28" s="47">
        <f t="shared" si="21"/>
        <v>60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1.7172657854551547</v>
      </c>
      <c r="AG28" s="43">
        <f t="shared" si="31"/>
        <v>0</v>
      </c>
      <c r="AH28" s="51">
        <f>HLOOKUP(I28,ElecAvoidedCostsWOCC!$A$5:$Q$50,T28+1,FALSE)</f>
        <v>1.7172657854551547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 t="s">
        <v>920</v>
      </c>
      <c r="F29" s="38" t="s">
        <v>921</v>
      </c>
      <c r="G29" s="38">
        <v>15</v>
      </c>
      <c r="H29" s="38">
        <v>0</v>
      </c>
      <c r="I29" s="39" t="s">
        <v>265</v>
      </c>
      <c r="J29" s="40">
        <v>0</v>
      </c>
      <c r="K29" s="40">
        <v>0</v>
      </c>
      <c r="L29" s="40">
        <v>0</v>
      </c>
      <c r="M29" s="41">
        <v>65</v>
      </c>
      <c r="N29" s="41">
        <v>96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15</v>
      </c>
      <c r="U29" s="46">
        <f t="shared" si="20"/>
        <v>0</v>
      </c>
      <c r="V29" s="47">
        <f t="shared" si="21"/>
        <v>31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1.7172657854551547</v>
      </c>
      <c r="AG29" s="43">
        <f t="shared" si="31"/>
        <v>0</v>
      </c>
      <c r="AH29" s="51">
        <f>HLOOKUP(I29,ElecAvoidedCostsWOCC!$A$5:$Q$50,T29+1,FALSE)</f>
        <v>1.7172657854551547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922</v>
      </c>
      <c r="F30" s="38" t="s">
        <v>923</v>
      </c>
      <c r="G30" s="38">
        <v>15</v>
      </c>
      <c r="H30" s="38">
        <v>0</v>
      </c>
      <c r="I30" s="39" t="s">
        <v>265</v>
      </c>
      <c r="J30" s="40">
        <v>0</v>
      </c>
      <c r="K30" s="40">
        <v>0</v>
      </c>
      <c r="L30" s="40">
        <v>0</v>
      </c>
      <c r="M30" s="41">
        <v>40</v>
      </c>
      <c r="N30" s="41">
        <v>95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15</v>
      </c>
      <c r="U30" s="46">
        <f t="shared" si="20"/>
        <v>0</v>
      </c>
      <c r="V30" s="47">
        <f t="shared" si="21"/>
        <v>55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1.7172657854551547</v>
      </c>
      <c r="AG30" s="43">
        <f t="shared" si="31"/>
        <v>0</v>
      </c>
      <c r="AH30" s="51">
        <f>HLOOKUP(I30,ElecAvoidedCostsWOCC!$A$5:$Q$50,T30+1,FALSE)</f>
        <v>1.7172657854551547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924</v>
      </c>
      <c r="F31" s="38" t="s">
        <v>925</v>
      </c>
      <c r="G31" s="38">
        <v>15</v>
      </c>
      <c r="H31" s="38">
        <v>0</v>
      </c>
      <c r="I31" s="39" t="s">
        <v>265</v>
      </c>
      <c r="J31" s="40">
        <v>0</v>
      </c>
      <c r="K31" s="40">
        <v>0</v>
      </c>
      <c r="L31" s="40">
        <v>0</v>
      </c>
      <c r="M31" s="41">
        <v>300</v>
      </c>
      <c r="N31" s="41">
        <v>366.3</v>
      </c>
      <c r="O31" s="42">
        <v>0</v>
      </c>
      <c r="P31" s="43">
        <v>0</v>
      </c>
      <c r="Q31" s="43">
        <v>0</v>
      </c>
      <c r="R31" s="44">
        <v>0</v>
      </c>
      <c r="S31" s="45"/>
      <c r="T31" s="38">
        <f t="shared" si="19"/>
        <v>15</v>
      </c>
      <c r="U31" s="46">
        <f t="shared" si="20"/>
        <v>0</v>
      </c>
      <c r="V31" s="47">
        <f t="shared" si="21"/>
        <v>66.300000000000011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1.7172657854551547</v>
      </c>
      <c r="AG31" s="43">
        <f t="shared" si="31"/>
        <v>0</v>
      </c>
      <c r="AH31" s="51">
        <f>HLOOKUP(I31,ElecAvoidedCostsWOCC!$A$5:$Q$50,T31+1,FALSE)</f>
        <v>1.7172657854551547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926</v>
      </c>
      <c r="F32" s="38" t="s">
        <v>927</v>
      </c>
      <c r="G32" s="38">
        <v>15</v>
      </c>
      <c r="H32" s="38">
        <v>0</v>
      </c>
      <c r="I32" s="39" t="s">
        <v>265</v>
      </c>
      <c r="J32" s="40">
        <v>0</v>
      </c>
      <c r="K32" s="40">
        <v>0</v>
      </c>
      <c r="L32" s="40">
        <v>0</v>
      </c>
      <c r="M32" s="41">
        <v>65</v>
      </c>
      <c r="N32" s="41">
        <v>135</v>
      </c>
      <c r="O32" s="42">
        <v>0</v>
      </c>
      <c r="P32" s="43">
        <v>0</v>
      </c>
      <c r="Q32" s="43">
        <v>0</v>
      </c>
      <c r="R32" s="44">
        <v>0</v>
      </c>
      <c r="S32" s="45"/>
      <c r="T32" s="38">
        <f t="shared" si="19"/>
        <v>15</v>
      </c>
      <c r="U32" s="46">
        <f t="shared" si="20"/>
        <v>0</v>
      </c>
      <c r="V32" s="47">
        <f t="shared" si="21"/>
        <v>70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1.7172657854551547</v>
      </c>
      <c r="AG32" s="43">
        <f t="shared" si="31"/>
        <v>0</v>
      </c>
      <c r="AH32" s="51">
        <f>HLOOKUP(I32,ElecAvoidedCostsWOCC!$A$5:$Q$50,T32+1,FALSE)</f>
        <v>1.7172657854551547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928</v>
      </c>
      <c r="F33" s="38" t="s">
        <v>929</v>
      </c>
      <c r="G33" s="38">
        <v>15</v>
      </c>
      <c r="H33" s="38">
        <v>0</v>
      </c>
      <c r="I33" s="39" t="s">
        <v>265</v>
      </c>
      <c r="J33" s="40">
        <v>0</v>
      </c>
      <c r="K33" s="40">
        <v>0</v>
      </c>
      <c r="L33" s="40">
        <v>0</v>
      </c>
      <c r="M33" s="41">
        <v>100</v>
      </c>
      <c r="N33" s="41">
        <v>141</v>
      </c>
      <c r="O33" s="42">
        <v>0</v>
      </c>
      <c r="P33" s="43">
        <v>0</v>
      </c>
      <c r="Q33" s="43">
        <v>0</v>
      </c>
      <c r="R33" s="44">
        <v>0</v>
      </c>
      <c r="S33" s="45"/>
      <c r="T33" s="38">
        <f t="shared" si="19"/>
        <v>15</v>
      </c>
      <c r="U33" s="46">
        <f t="shared" si="20"/>
        <v>0</v>
      </c>
      <c r="V33" s="47">
        <f t="shared" si="21"/>
        <v>41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1.7172657854551547</v>
      </c>
      <c r="AG33" s="43">
        <f t="shared" si="31"/>
        <v>0</v>
      </c>
      <c r="AH33" s="51">
        <f>HLOOKUP(I33,ElecAvoidedCostsWOCC!$A$5:$Q$50,T33+1,FALSE)</f>
        <v>1.7172657854551547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 t="s">
        <v>930</v>
      </c>
      <c r="F34" s="38" t="s">
        <v>931</v>
      </c>
      <c r="G34" s="38">
        <v>15</v>
      </c>
      <c r="H34" s="38">
        <v>0</v>
      </c>
      <c r="I34" s="39" t="s">
        <v>265</v>
      </c>
      <c r="J34" s="40">
        <v>0</v>
      </c>
      <c r="K34" s="40">
        <v>0</v>
      </c>
      <c r="L34" s="40">
        <v>0</v>
      </c>
      <c r="M34" s="41">
        <v>65</v>
      </c>
      <c r="N34" s="41">
        <v>158</v>
      </c>
      <c r="O34" s="42">
        <v>0</v>
      </c>
      <c r="P34" s="43">
        <v>0</v>
      </c>
      <c r="Q34" s="43">
        <v>0</v>
      </c>
      <c r="R34" s="44">
        <v>0</v>
      </c>
      <c r="S34" s="45"/>
      <c r="T34" s="38">
        <f t="shared" si="19"/>
        <v>15</v>
      </c>
      <c r="U34" s="46">
        <f t="shared" si="20"/>
        <v>0</v>
      </c>
      <c r="V34" s="47">
        <f t="shared" si="21"/>
        <v>93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1.7172657854551547</v>
      </c>
      <c r="AG34" s="43">
        <f t="shared" si="31"/>
        <v>0</v>
      </c>
      <c r="AH34" s="51">
        <f>HLOOKUP(I34,ElecAvoidedCostsWOCC!$A$5:$Q$50,T34+1,FALSE)</f>
        <v>1.7172657854551547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 t="s">
        <v>932</v>
      </c>
      <c r="F35" s="38" t="s">
        <v>933</v>
      </c>
      <c r="G35" s="38">
        <v>15</v>
      </c>
      <c r="H35" s="38">
        <v>0</v>
      </c>
      <c r="I35" s="39" t="s">
        <v>265</v>
      </c>
      <c r="J35" s="40">
        <v>0</v>
      </c>
      <c r="K35" s="40">
        <v>0</v>
      </c>
      <c r="L35" s="40">
        <v>0</v>
      </c>
      <c r="M35" s="41">
        <v>400</v>
      </c>
      <c r="N35" s="41">
        <v>460</v>
      </c>
      <c r="O35" s="42">
        <v>0</v>
      </c>
      <c r="P35" s="43">
        <v>0</v>
      </c>
      <c r="Q35" s="43">
        <v>0</v>
      </c>
      <c r="R35" s="44">
        <v>0</v>
      </c>
      <c r="S35" s="45"/>
      <c r="T35" s="38">
        <f t="shared" si="19"/>
        <v>15</v>
      </c>
      <c r="U35" s="46">
        <f t="shared" si="20"/>
        <v>0</v>
      </c>
      <c r="V35" s="47">
        <f t="shared" si="21"/>
        <v>60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1.7172657854551547</v>
      </c>
      <c r="AG35" s="43">
        <f t="shared" si="31"/>
        <v>0</v>
      </c>
      <c r="AH35" s="51">
        <f>HLOOKUP(I35,ElecAvoidedCostsWOCC!$A$5:$Q$50,T35+1,FALSE)</f>
        <v>1.7172657854551547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 t="s">
        <v>934</v>
      </c>
      <c r="F36" s="38" t="s">
        <v>935</v>
      </c>
      <c r="G36" s="38">
        <v>15</v>
      </c>
      <c r="H36" s="38">
        <v>0</v>
      </c>
      <c r="I36" s="39" t="s">
        <v>265</v>
      </c>
      <c r="J36" s="40">
        <v>0</v>
      </c>
      <c r="K36" s="40">
        <v>0</v>
      </c>
      <c r="L36" s="40">
        <v>0</v>
      </c>
      <c r="M36" s="41">
        <v>100</v>
      </c>
      <c r="N36" s="41">
        <v>170</v>
      </c>
      <c r="O36" s="42">
        <v>0</v>
      </c>
      <c r="P36" s="43">
        <v>0</v>
      </c>
      <c r="Q36" s="43">
        <v>0</v>
      </c>
      <c r="R36" s="44">
        <v>0</v>
      </c>
      <c r="S36" s="45"/>
      <c r="T36" s="38">
        <f t="shared" si="19"/>
        <v>15</v>
      </c>
      <c r="U36" s="46">
        <f t="shared" si="20"/>
        <v>0</v>
      </c>
      <c r="V36" s="47">
        <f t="shared" si="21"/>
        <v>70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1.7172657854551547</v>
      </c>
      <c r="AG36" s="43">
        <f t="shared" si="31"/>
        <v>0</v>
      </c>
      <c r="AH36" s="51">
        <f>HLOOKUP(I36,ElecAvoidedCostsWOCC!$A$5:$Q$50,T36+1,FALSE)</f>
        <v>1.7172657854551547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 t="s">
        <v>936</v>
      </c>
      <c r="F37" s="38" t="s">
        <v>937</v>
      </c>
      <c r="G37" s="38">
        <v>15</v>
      </c>
      <c r="H37" s="38">
        <v>0</v>
      </c>
      <c r="I37" s="39" t="s">
        <v>265</v>
      </c>
      <c r="J37" s="40">
        <v>0</v>
      </c>
      <c r="K37" s="40">
        <v>0</v>
      </c>
      <c r="L37" s="40">
        <v>0</v>
      </c>
      <c r="M37" s="41">
        <v>125</v>
      </c>
      <c r="N37" s="41">
        <v>186</v>
      </c>
      <c r="O37" s="42">
        <v>0</v>
      </c>
      <c r="P37" s="43">
        <v>0</v>
      </c>
      <c r="Q37" s="43">
        <v>0</v>
      </c>
      <c r="R37" s="44">
        <v>0</v>
      </c>
      <c r="S37" s="45"/>
      <c r="T37" s="38">
        <f t="shared" si="19"/>
        <v>15</v>
      </c>
      <c r="U37" s="46">
        <f t="shared" si="20"/>
        <v>0</v>
      </c>
      <c r="V37" s="47">
        <f t="shared" si="21"/>
        <v>61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1.7172657854551547</v>
      </c>
      <c r="AG37" s="43">
        <f t="shared" si="31"/>
        <v>0</v>
      </c>
      <c r="AH37" s="51">
        <f>HLOOKUP(I37,ElecAvoidedCostsWOCC!$A$5:$Q$50,T37+1,FALSE)</f>
        <v>1.7172657854551547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 t="s">
        <v>938</v>
      </c>
      <c r="F38" s="38" t="s">
        <v>939</v>
      </c>
      <c r="G38" s="38">
        <v>15</v>
      </c>
      <c r="H38" s="38">
        <v>0</v>
      </c>
      <c r="I38" s="39" t="s">
        <v>265</v>
      </c>
      <c r="J38" s="40">
        <v>0</v>
      </c>
      <c r="K38" s="40">
        <v>0</v>
      </c>
      <c r="L38" s="40">
        <v>0</v>
      </c>
      <c r="M38" s="41">
        <v>100</v>
      </c>
      <c r="N38" s="41">
        <v>262</v>
      </c>
      <c r="O38" s="42">
        <v>0</v>
      </c>
      <c r="P38" s="43">
        <v>0</v>
      </c>
      <c r="Q38" s="43">
        <v>0</v>
      </c>
      <c r="R38" s="44">
        <v>0</v>
      </c>
      <c r="S38" s="45"/>
      <c r="T38" s="38">
        <f t="shared" si="19"/>
        <v>15</v>
      </c>
      <c r="U38" s="46">
        <f t="shared" si="20"/>
        <v>0</v>
      </c>
      <c r="V38" s="47">
        <f t="shared" si="21"/>
        <v>162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1.7172657854551547</v>
      </c>
      <c r="AG38" s="43">
        <f t="shared" si="31"/>
        <v>0</v>
      </c>
      <c r="AH38" s="51">
        <f>HLOOKUP(I38,ElecAvoidedCostsWOCC!$A$5:$Q$50,T38+1,FALSE)</f>
        <v>1.7172657854551547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 t="s">
        <v>940</v>
      </c>
      <c r="F39" s="38" t="s">
        <v>941</v>
      </c>
      <c r="G39" s="38">
        <v>15</v>
      </c>
      <c r="H39" s="38">
        <v>0</v>
      </c>
      <c r="I39" s="39" t="s">
        <v>265</v>
      </c>
      <c r="J39" s="40">
        <v>0</v>
      </c>
      <c r="K39" s="40">
        <v>0</v>
      </c>
      <c r="L39" s="40">
        <v>0</v>
      </c>
      <c r="M39" s="41">
        <v>600</v>
      </c>
      <c r="N39" s="41">
        <v>765.9</v>
      </c>
      <c r="O39" s="42">
        <v>0</v>
      </c>
      <c r="P39" s="43">
        <v>0</v>
      </c>
      <c r="Q39" s="43">
        <v>0</v>
      </c>
      <c r="R39" s="44">
        <v>0</v>
      </c>
      <c r="S39" s="45"/>
      <c r="T39" s="38">
        <f t="shared" si="19"/>
        <v>15</v>
      </c>
      <c r="U39" s="46">
        <f t="shared" si="20"/>
        <v>0</v>
      </c>
      <c r="V39" s="47">
        <f t="shared" si="21"/>
        <v>165.89999999999998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1.7172657854551547</v>
      </c>
      <c r="AG39" s="43">
        <f t="shared" si="31"/>
        <v>0</v>
      </c>
      <c r="AH39" s="51">
        <f>HLOOKUP(I39,ElecAvoidedCostsWOCC!$A$5:$Q$50,T39+1,FALSE)</f>
        <v>1.7172657854551547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 t="s">
        <v>942</v>
      </c>
      <c r="F40" s="38" t="s">
        <v>943</v>
      </c>
      <c r="G40" s="38">
        <v>15</v>
      </c>
      <c r="H40" s="38">
        <v>0</v>
      </c>
      <c r="I40" s="39" t="s">
        <v>265</v>
      </c>
      <c r="J40" s="40">
        <v>0</v>
      </c>
      <c r="K40" s="40">
        <v>0</v>
      </c>
      <c r="L40" s="40">
        <v>0</v>
      </c>
      <c r="M40" s="41">
        <v>125</v>
      </c>
      <c r="N40" s="41">
        <v>204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15</v>
      </c>
      <c r="U40" s="46">
        <f t="shared" si="20"/>
        <v>0</v>
      </c>
      <c r="V40" s="47">
        <f t="shared" si="21"/>
        <v>79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1.7172657854551547</v>
      </c>
      <c r="AG40" s="43">
        <f t="shared" si="31"/>
        <v>0</v>
      </c>
      <c r="AH40" s="51">
        <f>HLOOKUP(I40,ElecAvoidedCostsWOCC!$A$5:$Q$50,T40+1,FALSE)</f>
        <v>1.7172657854551547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 t="s">
        <v>944</v>
      </c>
      <c r="F41" s="38" t="s">
        <v>945</v>
      </c>
      <c r="G41" s="38">
        <v>15</v>
      </c>
      <c r="H41" s="38">
        <v>0</v>
      </c>
      <c r="I41" s="39" t="s">
        <v>265</v>
      </c>
      <c r="J41" s="40">
        <v>0</v>
      </c>
      <c r="K41" s="40">
        <v>0</v>
      </c>
      <c r="L41" s="40">
        <v>0</v>
      </c>
      <c r="M41" s="41">
        <v>400</v>
      </c>
      <c r="N41" s="41">
        <v>460</v>
      </c>
      <c r="O41" s="42">
        <v>0</v>
      </c>
      <c r="P41" s="43">
        <v>0</v>
      </c>
      <c r="Q41" s="43">
        <v>0</v>
      </c>
      <c r="R41" s="44">
        <v>0</v>
      </c>
      <c r="S41" s="45"/>
      <c r="T41" s="38">
        <f t="shared" si="19"/>
        <v>15</v>
      </c>
      <c r="U41" s="46">
        <f t="shared" si="20"/>
        <v>0</v>
      </c>
      <c r="V41" s="47">
        <f t="shared" si="21"/>
        <v>60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1.7172657854551547</v>
      </c>
      <c r="AG41" s="43">
        <f t="shared" si="31"/>
        <v>0</v>
      </c>
      <c r="AH41" s="51">
        <f>HLOOKUP(I41,ElecAvoidedCostsWOCC!$A$5:$Q$50,T41+1,FALSE)</f>
        <v>1.7172657854551547</v>
      </c>
      <c r="AI41" s="43">
        <f t="shared" si="32"/>
        <v>0</v>
      </c>
      <c r="AJ41" s="43">
        <f t="shared" si="33"/>
        <v>0</v>
      </c>
      <c r="AK41" s="43">
        <f>HLOOKUP(I41,ElecAvoidedCostsWOCC!$A$5:$Q$50,G41+1,FALSE)*J41*L41</f>
        <v>0</v>
      </c>
      <c r="AL41" s="43">
        <f t="shared" si="34"/>
        <v>0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 t="s">
        <v>946</v>
      </c>
      <c r="F42" s="38" t="s">
        <v>947</v>
      </c>
      <c r="G42" s="38">
        <v>15</v>
      </c>
      <c r="H42" s="38">
        <v>0</v>
      </c>
      <c r="I42" s="39" t="s">
        <v>265</v>
      </c>
      <c r="J42" s="40">
        <v>0</v>
      </c>
      <c r="K42" s="40">
        <v>0</v>
      </c>
      <c r="L42" s="40">
        <v>0</v>
      </c>
      <c r="M42" s="41">
        <v>600</v>
      </c>
      <c r="N42" s="41">
        <v>830</v>
      </c>
      <c r="O42" s="42">
        <v>0</v>
      </c>
      <c r="P42" s="43">
        <v>0</v>
      </c>
      <c r="Q42" s="43">
        <v>0</v>
      </c>
      <c r="R42" s="44">
        <v>0</v>
      </c>
      <c r="S42" s="45"/>
      <c r="T42" s="38">
        <f t="shared" si="19"/>
        <v>15</v>
      </c>
      <c r="U42" s="46">
        <f t="shared" si="20"/>
        <v>0</v>
      </c>
      <c r="V42" s="47">
        <f t="shared" si="21"/>
        <v>230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1.7172657854551547</v>
      </c>
      <c r="AG42" s="43">
        <f t="shared" si="31"/>
        <v>0</v>
      </c>
      <c r="AH42" s="51">
        <f>HLOOKUP(I42,ElecAvoidedCostsWOCC!$A$5:$Q$50,T42+1,FALSE)</f>
        <v>1.7172657854551547</v>
      </c>
      <c r="AI42" s="43">
        <f t="shared" si="32"/>
        <v>0</v>
      </c>
      <c r="AJ42" s="43">
        <f t="shared" si="33"/>
        <v>0</v>
      </c>
      <c r="AK42" s="43">
        <f>HLOOKUP(I42,ElecAvoidedCostsWOCC!$A$5:$Q$50,G42+1,FALSE)*J42*L42</f>
        <v>0</v>
      </c>
      <c r="AL42" s="43">
        <f t="shared" si="34"/>
        <v>0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 t="s">
        <v>948</v>
      </c>
      <c r="F43" s="38" t="s">
        <v>949</v>
      </c>
      <c r="G43" s="38">
        <v>15</v>
      </c>
      <c r="H43" s="38">
        <v>0</v>
      </c>
      <c r="I43" s="39" t="s">
        <v>265</v>
      </c>
      <c r="J43" s="40">
        <v>0</v>
      </c>
      <c r="K43" s="40">
        <v>0</v>
      </c>
      <c r="L43" s="40">
        <v>0</v>
      </c>
      <c r="M43" s="41">
        <v>300</v>
      </c>
      <c r="N43" s="41">
        <v>341.88</v>
      </c>
      <c r="O43" s="42">
        <v>0</v>
      </c>
      <c r="P43" s="43">
        <v>0</v>
      </c>
      <c r="Q43" s="43">
        <v>0</v>
      </c>
      <c r="R43" s="44">
        <v>0</v>
      </c>
      <c r="S43" s="45"/>
      <c r="T43" s="38">
        <f t="shared" si="19"/>
        <v>15</v>
      </c>
      <c r="U43" s="46">
        <f t="shared" si="20"/>
        <v>0</v>
      </c>
      <c r="V43" s="47">
        <f t="shared" si="21"/>
        <v>41.879999999999995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1.7172657854551547</v>
      </c>
      <c r="AG43" s="43">
        <f t="shared" si="31"/>
        <v>0</v>
      </c>
      <c r="AH43" s="51">
        <f>HLOOKUP(I43,ElecAvoidedCostsWOCC!$A$5:$Q$50,T43+1,FALSE)</f>
        <v>1.7172657854551547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 t="s">
        <v>950</v>
      </c>
      <c r="F44" s="38" t="s">
        <v>951</v>
      </c>
      <c r="G44" s="38">
        <v>15</v>
      </c>
      <c r="H44" s="38">
        <v>0</v>
      </c>
      <c r="I44" s="39" t="s">
        <v>265</v>
      </c>
      <c r="J44" s="40">
        <v>0</v>
      </c>
      <c r="K44" s="40">
        <v>0</v>
      </c>
      <c r="L44" s="40">
        <v>0</v>
      </c>
      <c r="M44" s="41">
        <v>500</v>
      </c>
      <c r="N44" s="41">
        <v>816.96</v>
      </c>
      <c r="O44" s="42">
        <v>0</v>
      </c>
      <c r="P44" s="43">
        <v>0</v>
      </c>
      <c r="Q44" s="43">
        <v>0</v>
      </c>
      <c r="R44" s="44">
        <v>0</v>
      </c>
      <c r="S44" s="45"/>
      <c r="T44" s="38">
        <f t="shared" si="19"/>
        <v>15</v>
      </c>
      <c r="U44" s="46">
        <f t="shared" si="20"/>
        <v>0</v>
      </c>
      <c r="V44" s="47">
        <f t="shared" si="21"/>
        <v>316.96000000000004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1.7172657854551547</v>
      </c>
      <c r="AG44" s="43">
        <f t="shared" si="31"/>
        <v>0</v>
      </c>
      <c r="AH44" s="51">
        <f>HLOOKUP(I44,ElecAvoidedCostsWOCC!$A$5:$Q$50,T44+1,FALSE)</f>
        <v>1.7172657854551547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 t="s">
        <v>952</v>
      </c>
      <c r="F45" s="38" t="s">
        <v>953</v>
      </c>
      <c r="G45" s="38">
        <v>15</v>
      </c>
      <c r="H45" s="38">
        <v>0</v>
      </c>
      <c r="I45" s="39" t="s">
        <v>265</v>
      </c>
      <c r="J45" s="40">
        <v>0</v>
      </c>
      <c r="K45" s="40">
        <v>0</v>
      </c>
      <c r="L45" s="40">
        <v>0</v>
      </c>
      <c r="M45" s="41">
        <v>300</v>
      </c>
      <c r="N45" s="41">
        <v>341.88</v>
      </c>
      <c r="O45" s="42">
        <v>0</v>
      </c>
      <c r="P45" s="43">
        <v>0</v>
      </c>
      <c r="Q45" s="43">
        <v>0</v>
      </c>
      <c r="R45" s="44">
        <v>0</v>
      </c>
      <c r="S45" s="45"/>
      <c r="T45" s="38">
        <f t="shared" si="19"/>
        <v>15</v>
      </c>
      <c r="U45" s="46">
        <f t="shared" si="20"/>
        <v>0</v>
      </c>
      <c r="V45" s="47">
        <f t="shared" si="21"/>
        <v>41.879999999999995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 t="s">
        <v>954</v>
      </c>
      <c r="F46" s="38" t="s">
        <v>955</v>
      </c>
      <c r="G46" s="38">
        <v>15</v>
      </c>
      <c r="H46" s="38">
        <v>0</v>
      </c>
      <c r="I46" s="39" t="s">
        <v>265</v>
      </c>
      <c r="J46" s="40">
        <v>0</v>
      </c>
      <c r="K46" s="40">
        <v>0</v>
      </c>
      <c r="L46" s="40">
        <v>0</v>
      </c>
      <c r="M46" s="41">
        <v>500</v>
      </c>
      <c r="N46" s="41">
        <v>816.96</v>
      </c>
      <c r="O46" s="42">
        <v>0</v>
      </c>
      <c r="P46" s="43">
        <v>0</v>
      </c>
      <c r="Q46" s="43">
        <v>0</v>
      </c>
      <c r="R46" s="44">
        <v>0</v>
      </c>
      <c r="S46" s="45"/>
      <c r="T46" s="38">
        <f t="shared" si="19"/>
        <v>15</v>
      </c>
      <c r="U46" s="46">
        <f t="shared" si="20"/>
        <v>0</v>
      </c>
      <c r="V46" s="47">
        <f t="shared" si="21"/>
        <v>316.96000000000004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1.7172657854551547</v>
      </c>
      <c r="AG46" s="43">
        <f t="shared" si="31"/>
        <v>0</v>
      </c>
      <c r="AH46" s="51">
        <f>HLOOKUP(I46,ElecAvoidedCostsWOCC!$A$5:$Q$50,T46+1,FALSE)</f>
        <v>1.7172657854551547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 t="s">
        <v>956</v>
      </c>
      <c r="F47" s="38" t="s">
        <v>957</v>
      </c>
      <c r="G47" s="38">
        <v>15</v>
      </c>
      <c r="H47" s="38">
        <v>0</v>
      </c>
      <c r="I47" s="39" t="s">
        <v>265</v>
      </c>
      <c r="J47" s="40">
        <v>0</v>
      </c>
      <c r="K47" s="40">
        <v>0</v>
      </c>
      <c r="L47" s="40">
        <v>0</v>
      </c>
      <c r="M47" s="41">
        <v>125</v>
      </c>
      <c r="N47" s="41">
        <v>200</v>
      </c>
      <c r="O47" s="42">
        <v>0</v>
      </c>
      <c r="P47" s="43">
        <v>0</v>
      </c>
      <c r="Q47" s="43">
        <v>0</v>
      </c>
      <c r="R47" s="44">
        <v>0</v>
      </c>
      <c r="S47" s="45"/>
      <c r="T47" s="38">
        <f t="shared" si="19"/>
        <v>15</v>
      </c>
      <c r="U47" s="46">
        <f t="shared" si="20"/>
        <v>0</v>
      </c>
      <c r="V47" s="47">
        <f t="shared" si="21"/>
        <v>75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1.7172657854551547</v>
      </c>
      <c r="AG47" s="43">
        <f t="shared" si="31"/>
        <v>0</v>
      </c>
      <c r="AH47" s="51">
        <f>HLOOKUP(I47,ElecAvoidedCostsWOCC!$A$5:$Q$50,T47+1,FALSE)</f>
        <v>1.7172657854551547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 t="s">
        <v>958</v>
      </c>
      <c r="F48" s="38" t="s">
        <v>959</v>
      </c>
      <c r="G48" s="38">
        <v>15</v>
      </c>
      <c r="H48" s="38">
        <v>0</v>
      </c>
      <c r="I48" s="39" t="s">
        <v>265</v>
      </c>
      <c r="J48" s="40">
        <v>0</v>
      </c>
      <c r="K48" s="40">
        <v>0</v>
      </c>
      <c r="L48" s="40">
        <v>0</v>
      </c>
      <c r="M48" s="41">
        <v>125</v>
      </c>
      <c r="N48" s="41">
        <v>200</v>
      </c>
      <c r="O48" s="42">
        <v>0</v>
      </c>
      <c r="P48" s="43">
        <v>0</v>
      </c>
      <c r="Q48" s="43">
        <v>0</v>
      </c>
      <c r="R48" s="44">
        <v>0</v>
      </c>
      <c r="S48" s="45"/>
      <c r="T48" s="38">
        <f t="shared" si="19"/>
        <v>15</v>
      </c>
      <c r="U48" s="46">
        <f t="shared" si="20"/>
        <v>0</v>
      </c>
      <c r="V48" s="47">
        <f t="shared" si="21"/>
        <v>75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1.7172657854551547</v>
      </c>
      <c r="AG48" s="43">
        <f t="shared" si="31"/>
        <v>0</v>
      </c>
      <c r="AH48" s="51">
        <f>HLOOKUP(I48,ElecAvoidedCostsWOCC!$A$5:$Q$50,T48+1,FALSE)</f>
        <v>1.7172657854551547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960</v>
      </c>
      <c r="F49" s="38" t="s">
        <v>961</v>
      </c>
      <c r="G49" s="38">
        <v>15</v>
      </c>
      <c r="H49" s="38">
        <v>0</v>
      </c>
      <c r="I49" s="39" t="s">
        <v>265</v>
      </c>
      <c r="J49" s="40">
        <v>0</v>
      </c>
      <c r="K49" s="40">
        <v>0</v>
      </c>
      <c r="L49" s="40">
        <v>0</v>
      </c>
      <c r="M49" s="41">
        <v>50</v>
      </c>
      <c r="N49" s="41">
        <v>163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15</v>
      </c>
      <c r="U49" s="46">
        <f t="shared" si="20"/>
        <v>0</v>
      </c>
      <c r="V49" s="47">
        <f t="shared" si="21"/>
        <v>113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1.7172657854551547</v>
      </c>
      <c r="AG49" s="43">
        <f t="shared" si="31"/>
        <v>0</v>
      </c>
      <c r="AH49" s="51">
        <f>HLOOKUP(I49,ElecAvoidedCostsWOCC!$A$5:$Q$50,T49+1,FALSE)</f>
        <v>1.7172657854551547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962</v>
      </c>
      <c r="F50" s="38" t="s">
        <v>963</v>
      </c>
      <c r="G50" s="38">
        <v>15</v>
      </c>
      <c r="H50" s="38">
        <v>0</v>
      </c>
      <c r="I50" s="39" t="s">
        <v>265</v>
      </c>
      <c r="J50" s="40">
        <v>0</v>
      </c>
      <c r="K50" s="40">
        <v>0</v>
      </c>
      <c r="L50" s="40">
        <v>0</v>
      </c>
      <c r="M50" s="41">
        <v>50</v>
      </c>
      <c r="N50" s="41">
        <v>163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15</v>
      </c>
      <c r="U50" s="46">
        <f t="shared" si="20"/>
        <v>0</v>
      </c>
      <c r="V50" s="47">
        <f t="shared" si="21"/>
        <v>113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1.7172657854551547</v>
      </c>
      <c r="AG50" s="43">
        <f t="shared" si="31"/>
        <v>0</v>
      </c>
      <c r="AH50" s="51">
        <f>HLOOKUP(I50,ElecAvoidedCostsWOCC!$A$5:$Q$50,T50+1,FALSE)</f>
        <v>1.7172657854551547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964</v>
      </c>
      <c r="F51" s="38" t="s">
        <v>965</v>
      </c>
      <c r="G51" s="38">
        <v>15</v>
      </c>
      <c r="H51" s="38">
        <v>0</v>
      </c>
      <c r="I51" s="39" t="s">
        <v>265</v>
      </c>
      <c r="J51" s="40">
        <v>0</v>
      </c>
      <c r="K51" s="40">
        <v>0</v>
      </c>
      <c r="L51" s="40">
        <v>0</v>
      </c>
      <c r="M51" s="41">
        <v>75</v>
      </c>
      <c r="N51" s="41">
        <v>245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15</v>
      </c>
      <c r="U51" s="46">
        <f t="shared" si="20"/>
        <v>0</v>
      </c>
      <c r="V51" s="47">
        <f t="shared" si="21"/>
        <v>170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1.7172657854551547</v>
      </c>
      <c r="AG51" s="43">
        <f t="shared" si="31"/>
        <v>0</v>
      </c>
      <c r="AH51" s="51">
        <f>HLOOKUP(I51,ElecAvoidedCostsWOCC!$A$5:$Q$50,T51+1,FALSE)</f>
        <v>1.7172657854551547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966</v>
      </c>
      <c r="F52" s="38" t="s">
        <v>967</v>
      </c>
      <c r="G52" s="38">
        <v>15</v>
      </c>
      <c r="H52" s="38">
        <v>0</v>
      </c>
      <c r="I52" s="39" t="s">
        <v>265</v>
      </c>
      <c r="J52" s="40">
        <v>0</v>
      </c>
      <c r="K52" s="40">
        <v>0</v>
      </c>
      <c r="L52" s="40">
        <v>0</v>
      </c>
      <c r="M52" s="41">
        <v>75</v>
      </c>
      <c r="N52" s="41">
        <v>245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15</v>
      </c>
      <c r="U52" s="46">
        <f t="shared" si="20"/>
        <v>0</v>
      </c>
      <c r="V52" s="47">
        <f t="shared" si="21"/>
        <v>170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1.7172657854551547</v>
      </c>
      <c r="AG52" s="43">
        <f t="shared" si="31"/>
        <v>0</v>
      </c>
      <c r="AH52" s="51">
        <f>HLOOKUP(I52,ElecAvoidedCostsWOCC!$A$5:$Q$50,T52+1,FALSE)</f>
        <v>1.7172657854551547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968</v>
      </c>
      <c r="F53" s="38" t="s">
        <v>969</v>
      </c>
      <c r="G53" s="38">
        <v>15</v>
      </c>
      <c r="H53" s="38">
        <v>0</v>
      </c>
      <c r="I53" s="39" t="s">
        <v>265</v>
      </c>
      <c r="J53" s="40">
        <v>0</v>
      </c>
      <c r="K53" s="40">
        <v>0</v>
      </c>
      <c r="L53" s="40">
        <v>0</v>
      </c>
      <c r="M53" s="41">
        <v>125</v>
      </c>
      <c r="N53" s="41">
        <v>327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15</v>
      </c>
      <c r="U53" s="46">
        <f t="shared" si="20"/>
        <v>0</v>
      </c>
      <c r="V53" s="47">
        <f t="shared" si="21"/>
        <v>202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1.7172657854551547</v>
      </c>
      <c r="AG53" s="43">
        <f t="shared" si="31"/>
        <v>0</v>
      </c>
      <c r="AH53" s="51">
        <f>HLOOKUP(I53,ElecAvoidedCostsWOCC!$A$5:$Q$50,T53+1,FALSE)</f>
        <v>1.7172657854551547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970</v>
      </c>
      <c r="F54" s="38" t="s">
        <v>971</v>
      </c>
      <c r="G54" s="38">
        <v>15</v>
      </c>
      <c r="H54" s="38">
        <v>0</v>
      </c>
      <c r="I54" s="39" t="s">
        <v>265</v>
      </c>
      <c r="J54" s="40">
        <v>0</v>
      </c>
      <c r="K54" s="40">
        <v>0</v>
      </c>
      <c r="L54" s="40">
        <v>0</v>
      </c>
      <c r="M54" s="41">
        <v>125</v>
      </c>
      <c r="N54" s="41">
        <v>327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15</v>
      </c>
      <c r="U54" s="46">
        <f t="shared" si="20"/>
        <v>0</v>
      </c>
      <c r="V54" s="47">
        <f t="shared" si="21"/>
        <v>202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1.7172657854551547</v>
      </c>
      <c r="AG54" s="43">
        <f t="shared" si="31"/>
        <v>0</v>
      </c>
      <c r="AH54" s="51">
        <f>HLOOKUP(I54,ElecAvoidedCostsWOCC!$A$5:$Q$50,T54+1,FALSE)</f>
        <v>1.7172657854551547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972</v>
      </c>
      <c r="F55" s="38" t="s">
        <v>973</v>
      </c>
      <c r="G55" s="38">
        <v>15</v>
      </c>
      <c r="H55" s="38">
        <v>0</v>
      </c>
      <c r="I55" s="39" t="s">
        <v>265</v>
      </c>
      <c r="J55" s="40">
        <v>0</v>
      </c>
      <c r="K55" s="40">
        <v>0</v>
      </c>
      <c r="L55" s="40">
        <v>0</v>
      </c>
      <c r="M55" s="41">
        <v>100</v>
      </c>
      <c r="N55" s="41">
        <v>0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15</v>
      </c>
      <c r="U55" s="46">
        <f t="shared" si="20"/>
        <v>0</v>
      </c>
      <c r="V55" s="47">
        <f t="shared" si="21"/>
        <v>-100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1.7172657854551547</v>
      </c>
      <c r="AG55" s="43">
        <f t="shared" si="31"/>
        <v>0</v>
      </c>
      <c r="AH55" s="51">
        <f>HLOOKUP(I55,ElecAvoidedCostsWOCC!$A$5:$Q$50,T55+1,FALSE)</f>
        <v>1.7172657854551547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974</v>
      </c>
      <c r="F56" s="38" t="s">
        <v>721</v>
      </c>
      <c r="G56" s="38">
        <v>15</v>
      </c>
      <c r="H56" s="38">
        <v>0</v>
      </c>
      <c r="I56" s="39" t="s">
        <v>265</v>
      </c>
      <c r="J56" s="40">
        <v>0</v>
      </c>
      <c r="K56" s="40">
        <v>0</v>
      </c>
      <c r="L56" s="40">
        <v>0</v>
      </c>
      <c r="M56" s="41">
        <v>50</v>
      </c>
      <c r="N56" s="41">
        <v>0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15</v>
      </c>
      <c r="U56" s="46">
        <f t="shared" si="20"/>
        <v>0</v>
      </c>
      <c r="V56" s="47">
        <f t="shared" si="21"/>
        <v>-50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1.7172657854551547</v>
      </c>
      <c r="AG56" s="43">
        <f t="shared" si="31"/>
        <v>0</v>
      </c>
      <c r="AH56" s="51">
        <f>HLOOKUP(I56,ElecAvoidedCostsWOCC!$A$5:$Q$50,T56+1,FALSE)</f>
        <v>1.7172657854551547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</sheetData>
  <conditionalFormatting sqref="J5:L59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59 R5:S59">
    <cfRule type="expression" dxfId="187" priority="2">
      <formula>ISTEXT(M5)</formula>
    </cfRule>
  </conditionalFormatting>
  <conditionalFormatting sqref="M5:N59 R5:S59">
    <cfRule type="notContainsBlanks" dxfId="186" priority="3">
      <formula>LEN(TRIM(M5))&gt;0</formula>
    </cfRule>
  </conditionalFormatting>
  <conditionalFormatting sqref="R5:S59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K7" sqref="K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18231134</v>
      </c>
      <c r="D2" s="19" t="s">
        <v>166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18231134</v>
      </c>
      <c r="D5" s="60" t="s">
        <v>166</v>
      </c>
      <c r="E5" s="37" t="s">
        <v>1705</v>
      </c>
      <c r="F5" s="38" t="s">
        <v>1706</v>
      </c>
      <c r="G5" s="38">
        <v>10</v>
      </c>
      <c r="H5" s="38">
        <v>0</v>
      </c>
      <c r="I5" s="39" t="s">
        <v>259</v>
      </c>
      <c r="J5" s="40">
        <v>0</v>
      </c>
      <c r="K5" s="40">
        <v>151.6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>
        <v>174.81</v>
      </c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C19" si="8">Z5/(1+ElecDiscountRate)^1</f>
        <v>0</v>
      </c>
      <c r="AC5" s="43">
        <f t="shared" si="8"/>
        <v>0</v>
      </c>
      <c r="AD5" s="43">
        <f t="shared" ref="AD5:AD23" si="9">-PV(ElecDiscountRate,T5,R5)*J5</f>
        <v>0</v>
      </c>
      <c r="AE5" s="43">
        <v>0</v>
      </c>
      <c r="AF5" s="51">
        <f>HLOOKUP(I5,ElecAvoidedCostsWOCC!$A$5:$Q$50,G5+1,FALSE)</f>
        <v>0.74533528594351472</v>
      </c>
      <c r="AG5" s="43">
        <f t="shared" ref="AG5:AG23" si="10">AF5*J5*K5</f>
        <v>0</v>
      </c>
      <c r="AH5" s="51">
        <f>HLOOKUP(I5,ElecAvoidedCostsWOCC!$A$5:$Q$50,T5+1,FALSE)</f>
        <v>0.74533528594351472</v>
      </c>
      <c r="AI5" s="43">
        <f t="shared" ref="AI5:AI23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12219776</v>
      </c>
      <c r="B6" s="88" t="s">
        <v>67</v>
      </c>
      <c r="C6" s="89">
        <v>18231134</v>
      </c>
      <c r="D6" s="60" t="s">
        <v>166</v>
      </c>
      <c r="E6" s="37" t="s">
        <v>1707</v>
      </c>
      <c r="F6" s="38" t="s">
        <v>1708</v>
      </c>
      <c r="G6" s="38">
        <v>10</v>
      </c>
      <c r="H6" s="38">
        <v>0</v>
      </c>
      <c r="I6" s="39" t="s">
        <v>259</v>
      </c>
      <c r="J6" s="40">
        <v>0</v>
      </c>
      <c r="K6" s="40">
        <v>46.6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>
        <v>53.75</v>
      </c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0.74533528594351472</v>
      </c>
      <c r="AG6" s="43">
        <f t="shared" si="10"/>
        <v>0</v>
      </c>
      <c r="AH6" s="51">
        <f>HLOOKUP(I6,ElecAvoidedCostsWOCC!$A$5:$Q$50,T6+1,FALSE)</f>
        <v>0.74533528594351472</v>
      </c>
      <c r="AI6" s="43">
        <f t="shared" si="11"/>
        <v>0</v>
      </c>
      <c r="AJ6" s="43">
        <f t="shared" ref="AJ6:AJ23" si="12">AG6+AI6</f>
        <v>0</v>
      </c>
      <c r="AK6" s="43">
        <f>HLOOKUP(I6,ElecAvoidedCostsWOCC!$A$5:$Q$50,G6+1,FALSE)*J6*L6</f>
        <v>0</v>
      </c>
      <c r="AL6" s="43">
        <f t="shared" ref="AL6:AL23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18231134</v>
      </c>
      <c r="D7" s="60" t="s">
        <v>166</v>
      </c>
      <c r="E7" s="37" t="s">
        <v>1709</v>
      </c>
      <c r="F7" s="38" t="s">
        <v>1710</v>
      </c>
      <c r="G7" s="38">
        <v>10</v>
      </c>
      <c r="H7" s="38">
        <v>0</v>
      </c>
      <c r="I7" s="39" t="s">
        <v>259</v>
      </c>
      <c r="J7" s="40">
        <v>0</v>
      </c>
      <c r="K7" s="40">
        <v>215.1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>
        <v>248.06</v>
      </c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0.74533528594351472</v>
      </c>
      <c r="AG7" s="43">
        <f t="shared" si="10"/>
        <v>0</v>
      </c>
      <c r="AH7" s="51">
        <f>HLOOKUP(I7,ElecAvoidedCostsWOCC!$A$5:$Q$50,T7+1,FALSE)</f>
        <v>0.74533528594351472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3444609.3000000007</v>
      </c>
      <c r="B8" s="88" t="s">
        <v>67</v>
      </c>
      <c r="C8" s="89">
        <v>18231134</v>
      </c>
      <c r="D8" s="60" t="s">
        <v>166</v>
      </c>
      <c r="E8" s="37" t="s">
        <v>1711</v>
      </c>
      <c r="F8" s="38" t="s">
        <v>1712</v>
      </c>
      <c r="G8" s="38">
        <v>10</v>
      </c>
      <c r="H8" s="38">
        <v>0</v>
      </c>
      <c r="I8" s="39" t="s">
        <v>259</v>
      </c>
      <c r="J8" s="40">
        <v>0</v>
      </c>
      <c r="K8" s="40">
        <v>151.6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>
        <v>174.81</v>
      </c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0.74533528594351472</v>
      </c>
      <c r="AG8" s="43">
        <f t="shared" si="10"/>
        <v>0</v>
      </c>
      <c r="AH8" s="51">
        <f>HLOOKUP(I8,ElecAvoidedCostsWOCC!$A$5:$Q$50,T8+1,FALSE)</f>
        <v>0.74533528594351472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18231134</v>
      </c>
      <c r="D9" s="60" t="s">
        <v>166</v>
      </c>
      <c r="E9" s="37" t="s">
        <v>1713</v>
      </c>
      <c r="F9" s="38" t="s">
        <v>1714</v>
      </c>
      <c r="G9" s="38">
        <v>10</v>
      </c>
      <c r="H9" s="38">
        <v>0</v>
      </c>
      <c r="I9" s="39" t="s">
        <v>259</v>
      </c>
      <c r="J9" s="40">
        <v>0</v>
      </c>
      <c r="K9" s="40">
        <v>189.5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>
        <v>210.43</v>
      </c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0.74533528594351472</v>
      </c>
      <c r="AG9" s="43">
        <f t="shared" si="10"/>
        <v>0</v>
      </c>
      <c r="AH9" s="51">
        <f>HLOOKUP(I9,ElecAvoidedCostsWOCC!$A$5:$Q$50,T9+1,FALSE)</f>
        <v>0.74533528594351472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SUM(O5:O997)</f>
        <v>26000000</v>
      </c>
      <c r="B10" s="88" t="s">
        <v>67</v>
      </c>
      <c r="C10" s="89">
        <v>18231134</v>
      </c>
      <c r="D10" s="60" t="s">
        <v>166</v>
      </c>
      <c r="E10" s="37" t="s">
        <v>1715</v>
      </c>
      <c r="F10" s="38" t="s">
        <v>1716</v>
      </c>
      <c r="G10" s="38">
        <v>10</v>
      </c>
      <c r="H10" s="38">
        <v>0</v>
      </c>
      <c r="I10" s="39" t="s">
        <v>259</v>
      </c>
      <c r="J10" s="40">
        <v>0</v>
      </c>
      <c r="K10" s="40">
        <v>270.5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>
        <v>253.8</v>
      </c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0.74533528594351472</v>
      </c>
      <c r="AG10" s="43">
        <f t="shared" si="10"/>
        <v>0</v>
      </c>
      <c r="AH10" s="51">
        <f>HLOOKUP(I10,ElecAvoidedCostsWOCC!$A$5:$Q$50,T10+1,FALSE)</f>
        <v>0.74533528594351472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18231134</v>
      </c>
      <c r="D11" s="60" t="s">
        <v>166</v>
      </c>
      <c r="E11" s="37" t="s">
        <v>1717</v>
      </c>
      <c r="F11" s="38" t="s">
        <v>1718</v>
      </c>
      <c r="G11" s="38">
        <v>10</v>
      </c>
      <c r="H11" s="38">
        <v>0</v>
      </c>
      <c r="I11" s="39" t="s">
        <v>259</v>
      </c>
      <c r="J11" s="40">
        <v>0</v>
      </c>
      <c r="K11" s="40">
        <v>104.4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>
        <v>120.43</v>
      </c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0.74533528594351472</v>
      </c>
      <c r="AG11" s="43">
        <f t="shared" si="10"/>
        <v>0</v>
      </c>
      <c r="AH11" s="51">
        <f>HLOOKUP(I11,ElecAvoidedCostsWOCC!$A$5:$Q$50,T11+1,FALSE)</f>
        <v>0.74533528594351472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SUM(P5:P998)</f>
        <v>12219776</v>
      </c>
      <c r="B12" s="88" t="s">
        <v>67</v>
      </c>
      <c r="C12" s="89">
        <v>18231134</v>
      </c>
      <c r="D12" s="60" t="s">
        <v>166</v>
      </c>
      <c r="E12" s="37" t="s">
        <v>1719</v>
      </c>
      <c r="F12" s="38" t="s">
        <v>1720</v>
      </c>
      <c r="G12" s="38">
        <v>10</v>
      </c>
      <c r="H12" s="38">
        <v>0</v>
      </c>
      <c r="I12" s="39" t="s">
        <v>259</v>
      </c>
      <c r="J12" s="40">
        <v>0</v>
      </c>
      <c r="K12" s="40">
        <v>67.7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>
        <v>78.09</v>
      </c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0.74533528594351472</v>
      </c>
      <c r="AG12" s="43">
        <f t="shared" si="10"/>
        <v>0</v>
      </c>
      <c r="AH12" s="51">
        <f>HLOOKUP(I12,ElecAvoidedCostsWOCC!$A$5:$Q$50,T12+1,FALSE)</f>
        <v>0.74533528594351472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18231134</v>
      </c>
      <c r="D13" s="60" t="s">
        <v>166</v>
      </c>
      <c r="E13" s="37" t="s">
        <v>1721</v>
      </c>
      <c r="F13" s="38" t="s">
        <v>778</v>
      </c>
      <c r="G13" s="38">
        <v>1</v>
      </c>
      <c r="H13" s="38">
        <v>0</v>
      </c>
      <c r="I13" s="39" t="s">
        <v>261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>
        <v>0</v>
      </c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0.12901725255183402</v>
      </c>
      <c r="AG13" s="43">
        <f t="shared" si="10"/>
        <v>0</v>
      </c>
      <c r="AH13" s="51">
        <f>HLOOKUP(I13,ElecAvoidedCostsWOCC!$A$5:$Q$50,T13+1,FALSE)</f>
        <v>0.12901725255183402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SUM(Y5:Y998)</f>
        <v>0</v>
      </c>
      <c r="B14" s="88" t="s">
        <v>67</v>
      </c>
      <c r="C14" s="89">
        <v>18231134</v>
      </c>
      <c r="D14" s="60" t="s">
        <v>166</v>
      </c>
      <c r="E14" s="37" t="s">
        <v>1045</v>
      </c>
      <c r="F14" s="38" t="s">
        <v>781</v>
      </c>
      <c r="G14" s="38">
        <v>15</v>
      </c>
      <c r="H14" s="38">
        <v>0</v>
      </c>
      <c r="I14" s="39" t="s">
        <v>265</v>
      </c>
      <c r="J14" s="40">
        <v>0</v>
      </c>
      <c r="K14" s="40">
        <v>726</v>
      </c>
      <c r="L14" s="40">
        <v>0</v>
      </c>
      <c r="M14" s="41">
        <v>1000</v>
      </c>
      <c r="N14" s="41">
        <v>1165.6199999999999</v>
      </c>
      <c r="O14" s="42">
        <v>0</v>
      </c>
      <c r="P14" s="43">
        <v>0</v>
      </c>
      <c r="Q14" s="43">
        <v>0</v>
      </c>
      <c r="R14" s="44">
        <v>0</v>
      </c>
      <c r="S14" s="45">
        <v>0</v>
      </c>
      <c r="T14" s="38">
        <f t="shared" si="0"/>
        <v>15</v>
      </c>
      <c r="U14" s="46">
        <f t="shared" si="1"/>
        <v>0</v>
      </c>
      <c r="V14" s="47">
        <f t="shared" si="2"/>
        <v>165.61999999999989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18231134</v>
      </c>
      <c r="D15" s="60" t="s">
        <v>166</v>
      </c>
      <c r="E15" s="37" t="s">
        <v>1722</v>
      </c>
      <c r="F15" s="38" t="s">
        <v>1723</v>
      </c>
      <c r="G15" s="38">
        <v>4</v>
      </c>
      <c r="H15" s="38">
        <v>0</v>
      </c>
      <c r="I15" s="39" t="s">
        <v>264</v>
      </c>
      <c r="J15" s="40">
        <v>0</v>
      </c>
      <c r="K15" s="40">
        <v>80</v>
      </c>
      <c r="L15" s="40">
        <v>0</v>
      </c>
      <c r="M15" s="41">
        <v>16.100000000000001</v>
      </c>
      <c r="N15" s="41">
        <v>16.100000000000001</v>
      </c>
      <c r="O15" s="42">
        <v>0</v>
      </c>
      <c r="P15" s="43">
        <v>0</v>
      </c>
      <c r="Q15" s="43">
        <v>0</v>
      </c>
      <c r="R15" s="44">
        <v>0.29430000000000001</v>
      </c>
      <c r="S15" s="45">
        <v>0.29430000000000001</v>
      </c>
      <c r="T15" s="38">
        <f t="shared" si="0"/>
        <v>4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0.45348595395874908</v>
      </c>
      <c r="AG15" s="43">
        <f t="shared" si="10"/>
        <v>0</v>
      </c>
      <c r="AH15" s="51">
        <f>HLOOKUP(I15,ElecAvoidedCostsWOCC!$A$5:$Q$50,T15+1,FALSE)</f>
        <v>0.45348595395874908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SUM(U5:U997)</f>
        <v>15</v>
      </c>
      <c r="B16" s="88" t="s">
        <v>67</v>
      </c>
      <c r="C16" s="89">
        <v>18231134</v>
      </c>
      <c r="D16" s="60" t="s">
        <v>166</v>
      </c>
      <c r="E16" s="37" t="s">
        <v>1724</v>
      </c>
      <c r="F16" s="38" t="s">
        <v>1725</v>
      </c>
      <c r="G16" s="38">
        <v>4</v>
      </c>
      <c r="H16" s="38">
        <v>0</v>
      </c>
      <c r="I16" s="39" t="s">
        <v>264</v>
      </c>
      <c r="J16" s="40">
        <v>0</v>
      </c>
      <c r="K16" s="40">
        <v>340</v>
      </c>
      <c r="L16" s="40">
        <v>0</v>
      </c>
      <c r="M16" s="41">
        <v>16.100000000000001</v>
      </c>
      <c r="N16" s="41">
        <v>16.100000000000001</v>
      </c>
      <c r="O16" s="42">
        <v>0</v>
      </c>
      <c r="P16" s="43">
        <v>0</v>
      </c>
      <c r="Q16" s="43">
        <v>0</v>
      </c>
      <c r="R16" s="44">
        <v>1.2507999999999999</v>
      </c>
      <c r="S16" s="45">
        <v>1.2507999999999999</v>
      </c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0.45348595395874908</v>
      </c>
      <c r="AG16" s="43">
        <f t="shared" si="10"/>
        <v>0</v>
      </c>
      <c r="AH16" s="51">
        <f>HLOOKUP(I16,ElecAvoidedCostsWOCC!$A$5:$Q$50,T16+1,FALSE)</f>
        <v>0.45348595395874908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18231134</v>
      </c>
      <c r="D17" s="60" t="s">
        <v>166</v>
      </c>
      <c r="E17" s="37" t="s">
        <v>1726</v>
      </c>
      <c r="F17" s="38" t="s">
        <v>1727</v>
      </c>
      <c r="G17" s="38">
        <v>4</v>
      </c>
      <c r="H17" s="38">
        <v>0</v>
      </c>
      <c r="I17" s="39" t="s">
        <v>264</v>
      </c>
      <c r="J17" s="40">
        <v>0</v>
      </c>
      <c r="K17" s="40">
        <v>100</v>
      </c>
      <c r="L17" s="40">
        <v>0</v>
      </c>
      <c r="M17" s="41">
        <v>16.100000000000001</v>
      </c>
      <c r="N17" s="41">
        <v>16.100000000000001</v>
      </c>
      <c r="O17" s="42">
        <v>0</v>
      </c>
      <c r="P17" s="43">
        <v>0</v>
      </c>
      <c r="Q17" s="43">
        <v>0</v>
      </c>
      <c r="R17" s="44">
        <v>0.3679</v>
      </c>
      <c r="S17" s="45">
        <v>0.3679</v>
      </c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0.45348595395874908</v>
      </c>
      <c r="AG17" s="43">
        <f t="shared" si="10"/>
        <v>0</v>
      </c>
      <c r="AH17" s="51">
        <f>HLOOKUP(I17,ElecAvoidedCostsWOCC!$A$5:$Q$50,T17+1,FALSE)</f>
        <v>0.45348595395874908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15664385.300000001</v>
      </c>
      <c r="B18" s="88" t="s">
        <v>67</v>
      </c>
      <c r="C18" s="89">
        <v>18231134</v>
      </c>
      <c r="D18" s="60" t="s">
        <v>166</v>
      </c>
      <c r="E18" s="37" t="s">
        <v>1728</v>
      </c>
      <c r="F18" s="38" t="s">
        <v>1729</v>
      </c>
      <c r="G18" s="38">
        <v>12</v>
      </c>
      <c r="H18" s="38">
        <v>0</v>
      </c>
      <c r="I18" s="39" t="s">
        <v>264</v>
      </c>
      <c r="J18" s="40">
        <v>0</v>
      </c>
      <c r="K18" s="40">
        <v>312</v>
      </c>
      <c r="L18" s="40">
        <v>0</v>
      </c>
      <c r="M18" s="41">
        <v>42.4</v>
      </c>
      <c r="N18" s="41">
        <v>42.4</v>
      </c>
      <c r="O18" s="42">
        <v>0</v>
      </c>
      <c r="P18" s="43">
        <v>0</v>
      </c>
      <c r="Q18" s="43">
        <v>0</v>
      </c>
      <c r="R18" s="44">
        <v>1.1471</v>
      </c>
      <c r="S18" s="45">
        <v>1.1471</v>
      </c>
      <c r="T18" s="38">
        <f t="shared" si="0"/>
        <v>12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1.1208301167661243</v>
      </c>
      <c r="AG18" s="43">
        <f t="shared" si="10"/>
        <v>0</v>
      </c>
      <c r="AH18" s="51">
        <f>HLOOKUP(I18,ElecAvoidedCostsWOCC!$A$5:$Q$50,T18+1,FALSE)</f>
        <v>1.1208301167661243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18231134</v>
      </c>
      <c r="D19" s="60" t="s">
        <v>166</v>
      </c>
      <c r="E19" s="37" t="s">
        <v>1730</v>
      </c>
      <c r="F19" s="38" t="s">
        <v>722</v>
      </c>
      <c r="G19" s="38">
        <v>12</v>
      </c>
      <c r="H19" s="38">
        <v>0</v>
      </c>
      <c r="I19" s="39" t="s">
        <v>264</v>
      </c>
      <c r="J19" s="40">
        <v>0</v>
      </c>
      <c r="K19" s="40">
        <v>231</v>
      </c>
      <c r="L19" s="40">
        <v>0</v>
      </c>
      <c r="M19" s="41">
        <v>42.4</v>
      </c>
      <c r="N19" s="41">
        <v>42.4</v>
      </c>
      <c r="O19" s="42">
        <v>0</v>
      </c>
      <c r="P19" s="43">
        <v>0</v>
      </c>
      <c r="Q19" s="43">
        <v>0</v>
      </c>
      <c r="R19" s="44">
        <v>0.84930000000000005</v>
      </c>
      <c r="S19" s="45">
        <v>0.84930000000000005</v>
      </c>
      <c r="T19" s="38">
        <f t="shared" si="0"/>
        <v>12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1.1208301167661243</v>
      </c>
      <c r="AG19" s="43">
        <f t="shared" si="10"/>
        <v>0</v>
      </c>
      <c r="AH19" s="51">
        <f>HLOOKUP(I19,ElecAvoidedCostsWOCC!$A$5:$Q$50,T19+1,FALSE)</f>
        <v>1.1208301167661243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A8+SUM(Q5:Q904)</f>
        <v>15664385.300000001</v>
      </c>
      <c r="B20" s="88" t="s">
        <v>67</v>
      </c>
      <c r="C20" s="89">
        <v>18231134</v>
      </c>
      <c r="D20" s="60" t="s">
        <v>166</v>
      </c>
      <c r="E20" s="37" t="s">
        <v>1731</v>
      </c>
      <c r="F20" s="38" t="s">
        <v>1732</v>
      </c>
      <c r="G20" s="38">
        <v>4</v>
      </c>
      <c r="H20" s="38">
        <v>0</v>
      </c>
      <c r="I20" s="39" t="s">
        <v>259</v>
      </c>
      <c r="J20" s="40">
        <v>0</v>
      </c>
      <c r="K20" s="40">
        <v>943</v>
      </c>
      <c r="L20" s="40">
        <v>0</v>
      </c>
      <c r="M20" s="41">
        <v>76.3</v>
      </c>
      <c r="N20" s="41">
        <v>76.3</v>
      </c>
      <c r="O20" s="42">
        <v>0</v>
      </c>
      <c r="P20" s="43">
        <v>0</v>
      </c>
      <c r="Q20" s="43">
        <v>0</v>
      </c>
      <c r="R20" s="44">
        <v>155.78</v>
      </c>
      <c r="S20" s="45">
        <v>155.78</v>
      </c>
      <c r="T20" s="38">
        <f t="shared" si="0"/>
        <v>4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ref="AB20:AC23" si="18">Z20/(1+ElecDiscountRate)^1</f>
        <v>0</v>
      </c>
      <c r="AC20" s="43">
        <f t="shared" si="1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0.3442572650315045</v>
      </c>
      <c r="AG20" s="43">
        <f t="shared" si="10"/>
        <v>0</v>
      </c>
      <c r="AH20" s="51">
        <f>HLOOKUP(I20,ElecAvoidedCostsWOCC!$A$5:$Q$50,T20+1,FALSE)</f>
        <v>0.3442572650315045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18231134</v>
      </c>
      <c r="D21" s="60" t="s">
        <v>166</v>
      </c>
      <c r="E21" s="37" t="s">
        <v>1733</v>
      </c>
      <c r="F21" s="38" t="s">
        <v>1734</v>
      </c>
      <c r="G21" s="38">
        <v>4</v>
      </c>
      <c r="H21" s="38">
        <v>0</v>
      </c>
      <c r="I21" s="39" t="s">
        <v>259</v>
      </c>
      <c r="J21" s="40">
        <v>0</v>
      </c>
      <c r="K21" s="40">
        <v>1476</v>
      </c>
      <c r="L21" s="40">
        <v>0</v>
      </c>
      <c r="M21" s="41">
        <v>76.3</v>
      </c>
      <c r="N21" s="41">
        <v>76.3</v>
      </c>
      <c r="O21" s="42">
        <v>0</v>
      </c>
      <c r="P21" s="43">
        <v>0</v>
      </c>
      <c r="Q21" s="43">
        <v>0</v>
      </c>
      <c r="R21" s="44">
        <v>243.8</v>
      </c>
      <c r="S21" s="45">
        <v>243.8</v>
      </c>
      <c r="T21" s="38">
        <f t="shared" si="0"/>
        <v>4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18"/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0.3442572650315045</v>
      </c>
      <c r="AG21" s="43">
        <f t="shared" si="10"/>
        <v>0</v>
      </c>
      <c r="AH21" s="51">
        <f>HLOOKUP(I21,ElecAvoidedCostsWOCC!$A$5:$Q$50,T21+1,FALSE)</f>
        <v>0.3442572650315045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(SUM(AM5:AM998)/(SUM(AB5:AB998)))</f>
        <v>2.4120083045882827</v>
      </c>
      <c r="B22" s="88" t="s">
        <v>67</v>
      </c>
      <c r="C22" s="89">
        <v>18231134</v>
      </c>
      <c r="D22" s="60" t="s">
        <v>166</v>
      </c>
      <c r="E22" s="37" t="s">
        <v>1735</v>
      </c>
      <c r="F22" s="38" t="s">
        <v>733</v>
      </c>
      <c r="G22" s="38">
        <v>4</v>
      </c>
      <c r="H22" s="38">
        <v>0</v>
      </c>
      <c r="I22" s="39" t="s">
        <v>259</v>
      </c>
      <c r="J22" s="40">
        <v>0</v>
      </c>
      <c r="K22" s="40">
        <v>2432</v>
      </c>
      <c r="L22" s="40">
        <v>0</v>
      </c>
      <c r="M22" s="41">
        <v>76.3</v>
      </c>
      <c r="N22" s="41">
        <v>76.3</v>
      </c>
      <c r="O22" s="42">
        <v>0</v>
      </c>
      <c r="P22" s="43">
        <v>0</v>
      </c>
      <c r="Q22" s="43">
        <v>0</v>
      </c>
      <c r="R22" s="44">
        <v>401.66</v>
      </c>
      <c r="S22" s="45">
        <v>401.66</v>
      </c>
      <c r="T22" s="38">
        <f t="shared" si="0"/>
        <v>4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0.3442572650315045</v>
      </c>
      <c r="AG22" s="43">
        <f t="shared" si="10"/>
        <v>0</v>
      </c>
      <c r="AH22" s="51">
        <f>HLOOKUP(I22,ElecAvoidedCostsWOCC!$A$5:$Q$50,T22+1,FALSE)</f>
        <v>0.3442572650315045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18231134</v>
      </c>
      <c r="D23" s="60" t="s">
        <v>166</v>
      </c>
      <c r="E23" s="37" t="s">
        <v>1736</v>
      </c>
      <c r="F23" s="38" t="s">
        <v>734</v>
      </c>
      <c r="G23" s="38">
        <v>4</v>
      </c>
      <c r="H23" s="38">
        <v>0</v>
      </c>
      <c r="I23" s="39" t="s">
        <v>259</v>
      </c>
      <c r="J23" s="40">
        <v>0</v>
      </c>
      <c r="K23" s="40">
        <v>1342</v>
      </c>
      <c r="L23" s="40">
        <v>0</v>
      </c>
      <c r="M23" s="41">
        <v>76.3</v>
      </c>
      <c r="N23" s="41">
        <v>76.3</v>
      </c>
      <c r="O23" s="42">
        <v>0</v>
      </c>
      <c r="P23" s="43">
        <v>0</v>
      </c>
      <c r="Q23" s="43">
        <v>0</v>
      </c>
      <c r="R23" s="44">
        <v>221.72</v>
      </c>
      <c r="S23" s="45">
        <v>221.72</v>
      </c>
      <c r="T23" s="38">
        <f t="shared" si="0"/>
        <v>4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0.3442572650315045</v>
      </c>
      <c r="AG23" s="43">
        <f t="shared" si="10"/>
        <v>0</v>
      </c>
      <c r="AH23" s="51">
        <f>HLOOKUP(I23,ElecAvoidedCostsWOCC!$A$5:$Q$50,T23+1,FALSE)</f>
        <v>0.3442572650315045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(SUM(AN5:AN998)/SUM(AC5:AC998))</f>
        <v>2.6532091350471112</v>
      </c>
      <c r="B24" s="88" t="s">
        <v>67</v>
      </c>
      <c r="C24" s="89">
        <v>18231134</v>
      </c>
      <c r="D24" s="60" t="s">
        <v>166</v>
      </c>
      <c r="E24" s="37" t="s">
        <v>1737</v>
      </c>
      <c r="F24" s="38" t="s">
        <v>1738</v>
      </c>
      <c r="G24" s="38">
        <v>4</v>
      </c>
      <c r="H24" s="38">
        <v>0</v>
      </c>
      <c r="I24" s="39" t="s">
        <v>259</v>
      </c>
      <c r="J24" s="40">
        <v>0</v>
      </c>
      <c r="K24" s="40">
        <v>34</v>
      </c>
      <c r="L24" s="40">
        <v>0</v>
      </c>
      <c r="M24" s="41">
        <v>0</v>
      </c>
      <c r="N24" s="41">
        <v>0</v>
      </c>
      <c r="O24" s="42">
        <v>0</v>
      </c>
      <c r="P24" s="43">
        <v>0</v>
      </c>
      <c r="Q24" s="43">
        <v>0</v>
      </c>
      <c r="R24" s="44">
        <v>0</v>
      </c>
      <c r="S24" s="45">
        <v>0</v>
      </c>
      <c r="T24" s="38">
        <f t="shared" ref="T24:T86" si="19">G24+H24</f>
        <v>4</v>
      </c>
      <c r="U24" s="46">
        <f t="shared" ref="U24:U86" si="20">(O24/$A$10)*T24</f>
        <v>0</v>
      </c>
      <c r="V24" s="47">
        <f t="shared" ref="V24:V86" si="21">N24-M24</f>
        <v>0</v>
      </c>
      <c r="W24" s="48">
        <f t="shared" ref="W24:W86" si="22">(O24/A$10)</f>
        <v>0</v>
      </c>
      <c r="X24" s="43">
        <f t="shared" ref="X24:X86" si="23">W24*A$8</f>
        <v>0</v>
      </c>
      <c r="Y24" s="43">
        <f t="shared" ref="Y24:Y86" si="24">Q24-P24</f>
        <v>0</v>
      </c>
      <c r="Z24" s="43">
        <f t="shared" ref="Z24:Z86" si="25">X24+(A$6*W24)</f>
        <v>0</v>
      </c>
      <c r="AA24" s="49">
        <f t="shared" ref="AA24:AA86" si="26">Q24+X24</f>
        <v>0</v>
      </c>
      <c r="AB24" s="50">
        <f t="shared" ref="AB24:AB86" si="27">Z24/(1+ElecDiscountRate)^1</f>
        <v>0</v>
      </c>
      <c r="AC24" s="43">
        <f t="shared" ref="AC24:AC86" si="28">AA24/(1+ElecDiscountRate)^1</f>
        <v>0</v>
      </c>
      <c r="AD24" s="43">
        <f t="shared" ref="AD24:AD86" si="29">-PV(ElecDiscountRate,T24,R24)*J24</f>
        <v>0</v>
      </c>
      <c r="AE24" s="43">
        <f t="shared" ref="AE24:AE86" si="30">-PV(ElecDiscountRate,T24,S24)*J24</f>
        <v>0</v>
      </c>
      <c r="AF24" s="51">
        <f>HLOOKUP(I24,ElecAvoidedCostsWOCC!$A$5:$Q$50,G24+1,FALSE)</f>
        <v>0.3442572650315045</v>
      </c>
      <c r="AG24" s="43">
        <f t="shared" ref="AG24:AG86" si="31">AF24*J24*K24</f>
        <v>0</v>
      </c>
      <c r="AH24" s="51">
        <f>HLOOKUP(I24,ElecAvoidedCostsWOCC!$A$5:$Q$50,T24+1,FALSE)</f>
        <v>0.3442572650315045</v>
      </c>
      <c r="AI24" s="43">
        <f t="shared" ref="AI24:AI86" si="32">AH24*J24*L24</f>
        <v>0</v>
      </c>
      <c r="AJ24" s="43">
        <f t="shared" ref="AJ24:AJ86" si="33">AG24+AI24</f>
        <v>0</v>
      </c>
      <c r="AK24" s="43">
        <f>HLOOKUP(I24,ElecAvoidedCostsWOCC!$A$5:$Q$50,G24+1,FALSE)*J24*L24</f>
        <v>0</v>
      </c>
      <c r="AL24" s="43">
        <f t="shared" ref="AL24:AL86" si="34">AG24+AI24-AK24</f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ref="AN24:AN86" si="35">AM24*1.1+AD24+AE24</f>
        <v>0</v>
      </c>
      <c r="AO24" s="46">
        <f t="shared" ref="AO24:AO86" si="36">IFERROR(AM24/AB24,0)</f>
        <v>0</v>
      </c>
      <c r="AP24" s="46" t="e">
        <f t="shared" ref="AP24:AP86" si="37">AN24/AC24</f>
        <v>#DIV/0!</v>
      </c>
    </row>
    <row r="25" spans="1:42" ht="13.5" customHeight="1" x14ac:dyDescent="0.25">
      <c r="B25" s="88" t="s">
        <v>67</v>
      </c>
      <c r="C25" s="89">
        <v>18231134</v>
      </c>
      <c r="D25" s="60" t="s">
        <v>166</v>
      </c>
      <c r="E25" s="37" t="s">
        <v>1739</v>
      </c>
      <c r="F25" s="38" t="s">
        <v>736</v>
      </c>
      <c r="G25" s="38">
        <v>4</v>
      </c>
      <c r="H25" s="38">
        <v>0</v>
      </c>
      <c r="I25" s="39" t="s">
        <v>259</v>
      </c>
      <c r="J25" s="40">
        <v>0</v>
      </c>
      <c r="K25" s="40">
        <v>54</v>
      </c>
      <c r="L25" s="40">
        <v>0</v>
      </c>
      <c r="M25" s="41">
        <v>0</v>
      </c>
      <c r="N25" s="41">
        <v>0</v>
      </c>
      <c r="O25" s="42">
        <v>0</v>
      </c>
      <c r="P25" s="43">
        <v>0</v>
      </c>
      <c r="Q25" s="43">
        <v>0</v>
      </c>
      <c r="R25" s="44">
        <v>0</v>
      </c>
      <c r="S25" s="45">
        <v>0</v>
      </c>
      <c r="T25" s="38">
        <f t="shared" si="19"/>
        <v>4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>
        <f>HLOOKUP(I25,ElecAvoidedCostsWOCC!$A$5:$Q$50,G25+1,FALSE)</f>
        <v>0.3442572650315045</v>
      </c>
      <c r="AG25" s="43">
        <f t="shared" si="31"/>
        <v>0</v>
      </c>
      <c r="AH25" s="51">
        <f>HLOOKUP(I25,ElecAvoidedCostsWOCC!$A$5:$Q$50,T25+1,FALSE)</f>
        <v>0.3442572650315045</v>
      </c>
      <c r="AI25" s="43">
        <f t="shared" si="32"/>
        <v>0</v>
      </c>
      <c r="AJ25" s="43">
        <f t="shared" si="33"/>
        <v>0</v>
      </c>
      <c r="AK25" s="43">
        <f>HLOOKUP(I25,ElecAvoidedCostsWOCC!$A$5:$Q$50,G25+1,FALSE)*J25*L25</f>
        <v>0</v>
      </c>
      <c r="AL25" s="43">
        <f t="shared" si="34"/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88" t="s">
        <v>67</v>
      </c>
      <c r="C26" s="89">
        <v>18231134</v>
      </c>
      <c r="D26" s="60" t="s">
        <v>166</v>
      </c>
      <c r="E26" s="37" t="s">
        <v>1740</v>
      </c>
      <c r="F26" s="38" t="s">
        <v>738</v>
      </c>
      <c r="G26" s="38">
        <v>4</v>
      </c>
      <c r="H26" s="38">
        <v>0</v>
      </c>
      <c r="I26" s="39" t="s">
        <v>259</v>
      </c>
      <c r="J26" s="40">
        <v>0</v>
      </c>
      <c r="K26" s="40">
        <v>88</v>
      </c>
      <c r="L26" s="40">
        <v>0</v>
      </c>
      <c r="M26" s="41">
        <v>0</v>
      </c>
      <c r="N26" s="41">
        <v>0</v>
      </c>
      <c r="O26" s="42">
        <v>0</v>
      </c>
      <c r="P26" s="43">
        <v>0</v>
      </c>
      <c r="Q26" s="43">
        <v>0</v>
      </c>
      <c r="R26" s="44">
        <v>0</v>
      </c>
      <c r="S26" s="45">
        <v>0</v>
      </c>
      <c r="T26" s="38">
        <f t="shared" si="19"/>
        <v>4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0.3442572650315045</v>
      </c>
      <c r="AG26" s="43">
        <f t="shared" si="31"/>
        <v>0</v>
      </c>
      <c r="AH26" s="51">
        <f>HLOOKUP(I26,ElecAvoidedCostsWOCC!$A$5:$Q$50,T26+1,FALSE)</f>
        <v>0.3442572650315045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18231134</v>
      </c>
      <c r="D27" s="60" t="s">
        <v>166</v>
      </c>
      <c r="E27" s="37" t="s">
        <v>1741</v>
      </c>
      <c r="F27" s="38" t="s">
        <v>1742</v>
      </c>
      <c r="G27" s="38">
        <v>4</v>
      </c>
      <c r="H27" s="38">
        <v>0</v>
      </c>
      <c r="I27" s="39" t="s">
        <v>259</v>
      </c>
      <c r="J27" s="40">
        <v>0</v>
      </c>
      <c r="K27" s="40">
        <v>49</v>
      </c>
      <c r="L27" s="40">
        <v>0</v>
      </c>
      <c r="M27" s="41">
        <v>0</v>
      </c>
      <c r="N27" s="41">
        <v>0</v>
      </c>
      <c r="O27" s="42">
        <v>0</v>
      </c>
      <c r="P27" s="43">
        <v>0</v>
      </c>
      <c r="Q27" s="43">
        <v>0</v>
      </c>
      <c r="R27" s="44">
        <v>0</v>
      </c>
      <c r="S27" s="45">
        <v>0</v>
      </c>
      <c r="T27" s="38">
        <f t="shared" si="19"/>
        <v>4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0.3442572650315045</v>
      </c>
      <c r="AG27" s="43">
        <f t="shared" si="31"/>
        <v>0</v>
      </c>
      <c r="AH27" s="51">
        <f>HLOOKUP(I27,ElecAvoidedCostsWOCC!$A$5:$Q$50,T27+1,FALSE)</f>
        <v>0.3442572650315045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18231134</v>
      </c>
      <c r="D28" s="60" t="s">
        <v>166</v>
      </c>
      <c r="E28" s="37" t="s">
        <v>838</v>
      </c>
      <c r="F28" s="38" t="s">
        <v>710</v>
      </c>
      <c r="G28" s="38">
        <v>10</v>
      </c>
      <c r="H28" s="38">
        <v>0</v>
      </c>
      <c r="I28" s="39" t="s">
        <v>265</v>
      </c>
      <c r="J28" s="40">
        <v>0</v>
      </c>
      <c r="K28" s="40">
        <v>501</v>
      </c>
      <c r="L28" s="40">
        <v>0</v>
      </c>
      <c r="M28" s="41">
        <v>200</v>
      </c>
      <c r="N28" s="41">
        <v>74.22</v>
      </c>
      <c r="O28" s="42">
        <v>0</v>
      </c>
      <c r="P28" s="43">
        <v>0</v>
      </c>
      <c r="Q28" s="43">
        <v>0</v>
      </c>
      <c r="R28" s="44">
        <v>0.2198</v>
      </c>
      <c r="S28" s="45">
        <v>0.2198</v>
      </c>
      <c r="T28" s="38">
        <f t="shared" si="19"/>
        <v>10</v>
      </c>
      <c r="U28" s="46">
        <f t="shared" si="20"/>
        <v>0</v>
      </c>
      <c r="V28" s="47">
        <f t="shared" si="21"/>
        <v>-125.78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0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18231134</v>
      </c>
      <c r="D29" s="60" t="s">
        <v>166</v>
      </c>
      <c r="E29" s="37" t="s">
        <v>839</v>
      </c>
      <c r="F29" s="38" t="s">
        <v>840</v>
      </c>
      <c r="G29" s="38">
        <v>10</v>
      </c>
      <c r="H29" s="38">
        <v>0</v>
      </c>
      <c r="I29" s="39" t="s">
        <v>265</v>
      </c>
      <c r="J29" s="40">
        <v>0</v>
      </c>
      <c r="K29" s="40">
        <v>295</v>
      </c>
      <c r="L29" s="40">
        <v>0</v>
      </c>
      <c r="M29" s="41">
        <v>200</v>
      </c>
      <c r="N29" s="41">
        <v>74.22</v>
      </c>
      <c r="O29" s="42">
        <v>0</v>
      </c>
      <c r="P29" s="43">
        <v>0</v>
      </c>
      <c r="Q29" s="43">
        <v>0</v>
      </c>
      <c r="R29" s="44">
        <v>0.12939999999999999</v>
      </c>
      <c r="S29" s="45">
        <v>0.12939999999999999</v>
      </c>
      <c r="T29" s="38">
        <f t="shared" si="19"/>
        <v>10</v>
      </c>
      <c r="U29" s="46">
        <f t="shared" si="20"/>
        <v>0</v>
      </c>
      <c r="V29" s="47">
        <f t="shared" si="21"/>
        <v>-125.78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0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18231134</v>
      </c>
      <c r="D30" s="60" t="s">
        <v>166</v>
      </c>
      <c r="E30" s="37" t="s">
        <v>841</v>
      </c>
      <c r="F30" s="38" t="s">
        <v>842</v>
      </c>
      <c r="G30" s="38">
        <v>10</v>
      </c>
      <c r="H30" s="38">
        <v>0</v>
      </c>
      <c r="I30" s="39" t="s">
        <v>265</v>
      </c>
      <c r="J30" s="40">
        <v>0</v>
      </c>
      <c r="K30" s="40">
        <v>108</v>
      </c>
      <c r="L30" s="40">
        <v>0</v>
      </c>
      <c r="M30" s="41">
        <v>200</v>
      </c>
      <c r="N30" s="41">
        <v>74.22</v>
      </c>
      <c r="O30" s="42">
        <v>0</v>
      </c>
      <c r="P30" s="43">
        <v>0</v>
      </c>
      <c r="Q30" s="43">
        <v>0</v>
      </c>
      <c r="R30" s="44">
        <v>0</v>
      </c>
      <c r="S30" s="45">
        <v>0</v>
      </c>
      <c r="T30" s="38">
        <f t="shared" si="19"/>
        <v>10</v>
      </c>
      <c r="U30" s="46">
        <f t="shared" si="20"/>
        <v>0</v>
      </c>
      <c r="V30" s="47">
        <f t="shared" si="21"/>
        <v>-125.78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0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18231134</v>
      </c>
      <c r="D31" s="60" t="s">
        <v>166</v>
      </c>
      <c r="E31" s="37" t="s">
        <v>843</v>
      </c>
      <c r="F31" s="38" t="s">
        <v>844</v>
      </c>
      <c r="G31" s="38">
        <v>10</v>
      </c>
      <c r="H31" s="38">
        <v>0</v>
      </c>
      <c r="I31" s="39" t="s">
        <v>265</v>
      </c>
      <c r="J31" s="40">
        <v>0</v>
      </c>
      <c r="K31" s="40">
        <v>499</v>
      </c>
      <c r="L31" s="40">
        <v>0</v>
      </c>
      <c r="M31" s="41">
        <v>200</v>
      </c>
      <c r="N31" s="41">
        <v>74.22</v>
      </c>
      <c r="O31" s="42">
        <v>0</v>
      </c>
      <c r="P31" s="43">
        <v>0</v>
      </c>
      <c r="Q31" s="43">
        <v>0</v>
      </c>
      <c r="R31" s="44">
        <v>0.21890000000000001</v>
      </c>
      <c r="S31" s="45">
        <v>0.21890000000000001</v>
      </c>
      <c r="T31" s="38">
        <f t="shared" si="19"/>
        <v>10</v>
      </c>
      <c r="U31" s="46">
        <f t="shared" si="20"/>
        <v>0</v>
      </c>
      <c r="V31" s="47">
        <f t="shared" si="21"/>
        <v>-125.78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0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18231134</v>
      </c>
      <c r="D32" s="60" t="s">
        <v>166</v>
      </c>
      <c r="E32" s="37" t="s">
        <v>845</v>
      </c>
      <c r="F32" s="38" t="s">
        <v>846</v>
      </c>
      <c r="G32" s="38">
        <v>10</v>
      </c>
      <c r="H32" s="38">
        <v>0</v>
      </c>
      <c r="I32" s="39" t="s">
        <v>265</v>
      </c>
      <c r="J32" s="40">
        <v>0</v>
      </c>
      <c r="K32" s="40">
        <v>293</v>
      </c>
      <c r="L32" s="40">
        <v>0</v>
      </c>
      <c r="M32" s="41">
        <v>200</v>
      </c>
      <c r="N32" s="41">
        <v>74.22</v>
      </c>
      <c r="O32" s="42">
        <v>0</v>
      </c>
      <c r="P32" s="43">
        <v>0</v>
      </c>
      <c r="Q32" s="43">
        <v>0</v>
      </c>
      <c r="R32" s="44">
        <v>0.12859999999999999</v>
      </c>
      <c r="S32" s="45">
        <v>0.12859999999999999</v>
      </c>
      <c r="T32" s="38">
        <f t="shared" si="19"/>
        <v>10</v>
      </c>
      <c r="U32" s="46">
        <f t="shared" si="20"/>
        <v>0</v>
      </c>
      <c r="V32" s="47">
        <f t="shared" si="21"/>
        <v>-125.78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1.2963360504949972</v>
      </c>
      <c r="AG32" s="43">
        <f t="shared" si="31"/>
        <v>0</v>
      </c>
      <c r="AH32" s="51">
        <f>HLOOKUP(I32,ElecAvoidedCostsWOCC!$A$5:$Q$50,T32+1,FALSE)</f>
        <v>1.2963360504949972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18231134</v>
      </c>
      <c r="D33" s="60" t="s">
        <v>166</v>
      </c>
      <c r="E33" s="37" t="s">
        <v>847</v>
      </c>
      <c r="F33" s="38" t="s">
        <v>711</v>
      </c>
      <c r="G33" s="38">
        <v>10</v>
      </c>
      <c r="H33" s="38">
        <v>0</v>
      </c>
      <c r="I33" s="39" t="s">
        <v>265</v>
      </c>
      <c r="J33" s="40">
        <v>0</v>
      </c>
      <c r="K33" s="40">
        <v>106</v>
      </c>
      <c r="L33" s="40">
        <v>0</v>
      </c>
      <c r="M33" s="41">
        <v>200</v>
      </c>
      <c r="N33" s="41">
        <v>74.22</v>
      </c>
      <c r="O33" s="42">
        <v>0</v>
      </c>
      <c r="P33" s="43">
        <v>0</v>
      </c>
      <c r="Q33" s="43">
        <v>0</v>
      </c>
      <c r="R33" s="44">
        <v>0</v>
      </c>
      <c r="S33" s="45">
        <v>0</v>
      </c>
      <c r="T33" s="38">
        <f t="shared" si="19"/>
        <v>10</v>
      </c>
      <c r="U33" s="46">
        <f t="shared" si="20"/>
        <v>0</v>
      </c>
      <c r="V33" s="47">
        <f t="shared" si="21"/>
        <v>-125.78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1.2963360504949972</v>
      </c>
      <c r="AG33" s="43">
        <f t="shared" si="31"/>
        <v>0</v>
      </c>
      <c r="AH33" s="51">
        <f>HLOOKUP(I33,ElecAvoidedCostsWOCC!$A$5:$Q$50,T33+1,FALSE)</f>
        <v>1.2963360504949972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18231134</v>
      </c>
      <c r="D34" s="60" t="s">
        <v>166</v>
      </c>
      <c r="E34" s="37" t="s">
        <v>848</v>
      </c>
      <c r="F34" s="38" t="s">
        <v>712</v>
      </c>
      <c r="G34" s="38">
        <v>10</v>
      </c>
      <c r="H34" s="38">
        <v>0</v>
      </c>
      <c r="I34" s="39" t="s">
        <v>265</v>
      </c>
      <c r="J34" s="40">
        <v>0</v>
      </c>
      <c r="K34" s="40">
        <v>188</v>
      </c>
      <c r="L34" s="40">
        <v>0</v>
      </c>
      <c r="M34" s="41">
        <v>200</v>
      </c>
      <c r="N34" s="41">
        <v>74.22</v>
      </c>
      <c r="O34" s="42">
        <v>0</v>
      </c>
      <c r="P34" s="43">
        <v>0</v>
      </c>
      <c r="Q34" s="43">
        <v>0</v>
      </c>
      <c r="R34" s="44">
        <v>2.0400000000000001E-2</v>
      </c>
      <c r="S34" s="45">
        <v>2.0400000000000001E-2</v>
      </c>
      <c r="T34" s="38">
        <f t="shared" si="19"/>
        <v>10</v>
      </c>
      <c r="U34" s="46">
        <f t="shared" si="20"/>
        <v>0</v>
      </c>
      <c r="V34" s="47">
        <f t="shared" si="21"/>
        <v>-125.78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1.2963360504949972</v>
      </c>
      <c r="AG34" s="43">
        <f t="shared" si="31"/>
        <v>0</v>
      </c>
      <c r="AH34" s="51">
        <f>HLOOKUP(I34,ElecAvoidedCostsWOCC!$A$5:$Q$50,T34+1,FALSE)</f>
        <v>1.2963360504949972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67</v>
      </c>
      <c r="C35" s="89">
        <v>18231134</v>
      </c>
      <c r="D35" s="60" t="s">
        <v>166</v>
      </c>
      <c r="E35" s="37" t="s">
        <v>849</v>
      </c>
      <c r="F35" s="38" t="s">
        <v>713</v>
      </c>
      <c r="G35" s="38">
        <v>10</v>
      </c>
      <c r="H35" s="38">
        <v>0</v>
      </c>
      <c r="I35" s="39" t="s">
        <v>265</v>
      </c>
      <c r="J35" s="40">
        <v>0</v>
      </c>
      <c r="K35" s="40">
        <v>116</v>
      </c>
      <c r="L35" s="40">
        <v>0</v>
      </c>
      <c r="M35" s="41">
        <v>200</v>
      </c>
      <c r="N35" s="41">
        <v>74.22</v>
      </c>
      <c r="O35" s="42">
        <v>0</v>
      </c>
      <c r="P35" s="43">
        <v>0</v>
      </c>
      <c r="Q35" s="43">
        <v>0</v>
      </c>
      <c r="R35" s="44">
        <v>1.26E-2</v>
      </c>
      <c r="S35" s="45">
        <v>1.26E-2</v>
      </c>
      <c r="T35" s="38">
        <f t="shared" si="19"/>
        <v>10</v>
      </c>
      <c r="U35" s="46">
        <f t="shared" si="20"/>
        <v>0</v>
      </c>
      <c r="V35" s="47">
        <f t="shared" si="21"/>
        <v>-125.78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1.2963360504949972</v>
      </c>
      <c r="AG35" s="43">
        <f t="shared" si="31"/>
        <v>0</v>
      </c>
      <c r="AH35" s="51">
        <f>HLOOKUP(I35,ElecAvoidedCostsWOCC!$A$5:$Q$50,T35+1,FALSE)</f>
        <v>1.2963360504949972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67</v>
      </c>
      <c r="C36" s="89">
        <v>18231134</v>
      </c>
      <c r="D36" s="60" t="s">
        <v>166</v>
      </c>
      <c r="E36" s="37" t="s">
        <v>850</v>
      </c>
      <c r="F36" s="38" t="s">
        <v>714</v>
      </c>
      <c r="G36" s="38">
        <v>10</v>
      </c>
      <c r="H36" s="38">
        <v>0</v>
      </c>
      <c r="I36" s="39" t="s">
        <v>265</v>
      </c>
      <c r="J36" s="40">
        <v>0</v>
      </c>
      <c r="K36" s="40">
        <v>51</v>
      </c>
      <c r="L36" s="40">
        <v>0</v>
      </c>
      <c r="M36" s="41">
        <v>200</v>
      </c>
      <c r="N36" s="41">
        <v>74.22</v>
      </c>
      <c r="O36" s="42">
        <v>0</v>
      </c>
      <c r="P36" s="43">
        <v>0</v>
      </c>
      <c r="Q36" s="43">
        <v>0</v>
      </c>
      <c r="R36" s="44">
        <v>0</v>
      </c>
      <c r="S36" s="45">
        <v>0</v>
      </c>
      <c r="T36" s="38">
        <f t="shared" si="19"/>
        <v>10</v>
      </c>
      <c r="U36" s="46">
        <f t="shared" si="20"/>
        <v>0</v>
      </c>
      <c r="V36" s="47">
        <f t="shared" si="21"/>
        <v>-125.78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1.2963360504949972</v>
      </c>
      <c r="AG36" s="43">
        <f t="shared" si="31"/>
        <v>0</v>
      </c>
      <c r="AH36" s="51">
        <f>HLOOKUP(I36,ElecAvoidedCostsWOCC!$A$5:$Q$50,T36+1,FALSE)</f>
        <v>1.2963360504949972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67</v>
      </c>
      <c r="C37" s="89">
        <v>18231134</v>
      </c>
      <c r="D37" s="60" t="s">
        <v>166</v>
      </c>
      <c r="E37" s="37" t="s">
        <v>851</v>
      </c>
      <c r="F37" s="38" t="s">
        <v>852</v>
      </c>
      <c r="G37" s="38">
        <v>10</v>
      </c>
      <c r="H37" s="38">
        <v>0</v>
      </c>
      <c r="I37" s="39" t="s">
        <v>265</v>
      </c>
      <c r="J37" s="40">
        <v>0</v>
      </c>
      <c r="K37" s="40">
        <v>183</v>
      </c>
      <c r="L37" s="40">
        <v>0</v>
      </c>
      <c r="M37" s="41">
        <v>200</v>
      </c>
      <c r="N37" s="41">
        <v>74.22</v>
      </c>
      <c r="O37" s="42">
        <v>0</v>
      </c>
      <c r="P37" s="43">
        <v>0</v>
      </c>
      <c r="Q37" s="43">
        <v>0</v>
      </c>
      <c r="R37" s="44">
        <v>8.0299999999999996E-2</v>
      </c>
      <c r="S37" s="45">
        <v>8.0299999999999996E-2</v>
      </c>
      <c r="T37" s="38">
        <f t="shared" si="19"/>
        <v>10</v>
      </c>
      <c r="U37" s="46">
        <f t="shared" si="20"/>
        <v>0</v>
      </c>
      <c r="V37" s="47">
        <f t="shared" si="21"/>
        <v>-125.78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1.2963360504949972</v>
      </c>
      <c r="AG37" s="43">
        <f t="shared" si="31"/>
        <v>0</v>
      </c>
      <c r="AH37" s="51">
        <f>HLOOKUP(I37,ElecAvoidedCostsWOCC!$A$5:$Q$50,T37+1,FALSE)</f>
        <v>1.2963360504949972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67</v>
      </c>
      <c r="C38" s="89">
        <v>18231134</v>
      </c>
      <c r="D38" s="60" t="s">
        <v>166</v>
      </c>
      <c r="E38" s="37" t="s">
        <v>853</v>
      </c>
      <c r="F38" s="38" t="s">
        <v>854</v>
      </c>
      <c r="G38" s="38">
        <v>10</v>
      </c>
      <c r="H38" s="38">
        <v>0</v>
      </c>
      <c r="I38" s="39" t="s">
        <v>265</v>
      </c>
      <c r="J38" s="40">
        <v>0</v>
      </c>
      <c r="K38" s="40">
        <v>112</v>
      </c>
      <c r="L38" s="40">
        <v>0</v>
      </c>
      <c r="M38" s="41">
        <v>200</v>
      </c>
      <c r="N38" s="41">
        <v>74.22</v>
      </c>
      <c r="O38" s="42">
        <v>0</v>
      </c>
      <c r="P38" s="43">
        <v>0</v>
      </c>
      <c r="Q38" s="43">
        <v>0</v>
      </c>
      <c r="R38" s="44">
        <v>4.9099999999999998E-2</v>
      </c>
      <c r="S38" s="45">
        <v>4.9099999999999998E-2</v>
      </c>
      <c r="T38" s="38">
        <f t="shared" si="19"/>
        <v>10</v>
      </c>
      <c r="U38" s="46">
        <f t="shared" si="20"/>
        <v>0</v>
      </c>
      <c r="V38" s="47">
        <f t="shared" si="21"/>
        <v>-125.78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1.2963360504949972</v>
      </c>
      <c r="AG38" s="43">
        <f t="shared" si="31"/>
        <v>0</v>
      </c>
      <c r="AH38" s="51">
        <f>HLOOKUP(I38,ElecAvoidedCostsWOCC!$A$5:$Q$50,T38+1,FALSE)</f>
        <v>1.2963360504949972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67</v>
      </c>
      <c r="C39" s="89">
        <v>18231134</v>
      </c>
      <c r="D39" s="60" t="s">
        <v>166</v>
      </c>
      <c r="E39" s="37" t="s">
        <v>855</v>
      </c>
      <c r="F39" s="38" t="s">
        <v>856</v>
      </c>
      <c r="G39" s="38">
        <v>10</v>
      </c>
      <c r="H39" s="38">
        <v>0</v>
      </c>
      <c r="I39" s="39" t="s">
        <v>265</v>
      </c>
      <c r="J39" s="40">
        <v>0</v>
      </c>
      <c r="K39" s="40">
        <v>47</v>
      </c>
      <c r="L39" s="40">
        <v>0</v>
      </c>
      <c r="M39" s="41">
        <v>200</v>
      </c>
      <c r="N39" s="41">
        <v>74.22</v>
      </c>
      <c r="O39" s="42">
        <v>0</v>
      </c>
      <c r="P39" s="43">
        <v>0</v>
      </c>
      <c r="Q39" s="43">
        <v>0</v>
      </c>
      <c r="R39" s="44">
        <v>0</v>
      </c>
      <c r="S39" s="45">
        <v>0</v>
      </c>
      <c r="T39" s="38">
        <f t="shared" si="19"/>
        <v>10</v>
      </c>
      <c r="U39" s="46">
        <f t="shared" si="20"/>
        <v>0</v>
      </c>
      <c r="V39" s="47">
        <f t="shared" si="21"/>
        <v>-125.78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1.2963360504949972</v>
      </c>
      <c r="AG39" s="43">
        <f t="shared" si="31"/>
        <v>0</v>
      </c>
      <c r="AH39" s="51">
        <f>HLOOKUP(I39,ElecAvoidedCostsWOCC!$A$5:$Q$50,T39+1,FALSE)</f>
        <v>1.2963360504949972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67</v>
      </c>
      <c r="C40" s="89">
        <v>18231134</v>
      </c>
      <c r="D40" s="60" t="s">
        <v>166</v>
      </c>
      <c r="E40" s="37" t="s">
        <v>1743</v>
      </c>
      <c r="F40" s="38" t="s">
        <v>780</v>
      </c>
      <c r="G40" s="38">
        <v>10</v>
      </c>
      <c r="H40" s="38">
        <v>0</v>
      </c>
      <c r="I40" s="39" t="s">
        <v>265</v>
      </c>
      <c r="J40" s="40">
        <v>0</v>
      </c>
      <c r="K40" s="40">
        <v>253</v>
      </c>
      <c r="L40" s="40">
        <v>0</v>
      </c>
      <c r="M40" s="41">
        <v>200</v>
      </c>
      <c r="N40" s="41">
        <v>206.08</v>
      </c>
      <c r="O40" s="42">
        <v>0</v>
      </c>
      <c r="P40" s="43">
        <v>0</v>
      </c>
      <c r="Q40" s="43">
        <v>0</v>
      </c>
      <c r="R40" s="44">
        <v>0</v>
      </c>
      <c r="S40" s="45">
        <v>0</v>
      </c>
      <c r="T40" s="38">
        <f t="shared" si="19"/>
        <v>10</v>
      </c>
      <c r="U40" s="46">
        <f t="shared" si="20"/>
        <v>0</v>
      </c>
      <c r="V40" s="47">
        <f t="shared" si="21"/>
        <v>6.0800000000000125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1.2963360504949972</v>
      </c>
      <c r="AG40" s="43">
        <f t="shared" si="31"/>
        <v>0</v>
      </c>
      <c r="AH40" s="51">
        <f>HLOOKUP(I40,ElecAvoidedCostsWOCC!$A$5:$Q$50,T40+1,FALSE)</f>
        <v>1.2963360504949972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67</v>
      </c>
      <c r="C41" s="89">
        <v>18231134</v>
      </c>
      <c r="D41" s="60" t="s">
        <v>166</v>
      </c>
      <c r="E41" s="37" t="s">
        <v>1033</v>
      </c>
      <c r="F41" s="38" t="s">
        <v>1744</v>
      </c>
      <c r="G41" s="38">
        <v>15</v>
      </c>
      <c r="H41" s="38">
        <v>0</v>
      </c>
      <c r="I41" s="39" t="s">
        <v>261</v>
      </c>
      <c r="J41" s="40">
        <v>1</v>
      </c>
      <c r="K41" s="40">
        <v>13000000</v>
      </c>
      <c r="L41" s="40">
        <v>0</v>
      </c>
      <c r="M41" s="41">
        <v>6109888</v>
      </c>
      <c r="N41" s="41">
        <v>6109888</v>
      </c>
      <c r="O41" s="42">
        <v>13000000</v>
      </c>
      <c r="P41" s="43">
        <v>6109888</v>
      </c>
      <c r="Q41" s="43">
        <v>6109888</v>
      </c>
      <c r="R41" s="44">
        <v>0</v>
      </c>
      <c r="S41" s="45">
        <v>0</v>
      </c>
      <c r="T41" s="38">
        <f t="shared" si="19"/>
        <v>15</v>
      </c>
      <c r="U41" s="46">
        <f t="shared" si="20"/>
        <v>7.5</v>
      </c>
      <c r="V41" s="47">
        <f t="shared" si="21"/>
        <v>0</v>
      </c>
      <c r="W41" s="48">
        <f t="shared" si="22"/>
        <v>0.5</v>
      </c>
      <c r="X41" s="43">
        <f t="shared" si="23"/>
        <v>1722304.6500000004</v>
      </c>
      <c r="Y41" s="43">
        <f t="shared" si="24"/>
        <v>0</v>
      </c>
      <c r="Z41" s="43">
        <f t="shared" si="25"/>
        <v>7832192.6500000004</v>
      </c>
      <c r="AA41" s="49">
        <f t="shared" si="26"/>
        <v>7832192.6500000004</v>
      </c>
      <c r="AB41" s="50">
        <f t="shared" si="27"/>
        <v>7333513.7172284648</v>
      </c>
      <c r="AC41" s="43">
        <f t="shared" si="28"/>
        <v>7333513.7172284648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1.3606535375205495</v>
      </c>
      <c r="AG41" s="43">
        <f t="shared" si="31"/>
        <v>17688495.987767145</v>
      </c>
      <c r="AH41" s="51">
        <f>HLOOKUP(I41,ElecAvoidedCostsWOCC!$A$5:$Q$50,T41+1,FALSE)</f>
        <v>1.3606535375205495</v>
      </c>
      <c r="AI41" s="43">
        <f t="shared" si="32"/>
        <v>0</v>
      </c>
      <c r="AJ41" s="43">
        <f t="shared" si="33"/>
        <v>17688495.987767145</v>
      </c>
      <c r="AK41" s="43">
        <f>HLOOKUP(I41,ElecAvoidedCostsWOCC!$A$5:$Q$50,G41+1,FALSE)*J41*L41</f>
        <v>0</v>
      </c>
      <c r="AL41" s="43">
        <f t="shared" si="34"/>
        <v>17688495.987767145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17688495.987767145</v>
      </c>
      <c r="AN41" s="47">
        <f t="shared" si="35"/>
        <v>19457345.586543862</v>
      </c>
      <c r="AO41" s="46">
        <f t="shared" si="36"/>
        <v>2.4120083045882827</v>
      </c>
      <c r="AP41" s="46">
        <f t="shared" si="37"/>
        <v>2.6532091350471112</v>
      </c>
    </row>
    <row r="42" spans="2:42" x14ac:dyDescent="0.25">
      <c r="B42" s="88" t="s">
        <v>67</v>
      </c>
      <c r="C42" s="89">
        <v>18231134</v>
      </c>
      <c r="D42" s="60" t="s">
        <v>166</v>
      </c>
      <c r="E42" s="37" t="s">
        <v>1033</v>
      </c>
      <c r="F42" s="38" t="s">
        <v>1745</v>
      </c>
      <c r="G42" s="38">
        <v>15</v>
      </c>
      <c r="H42" s="38">
        <v>0</v>
      </c>
      <c r="I42" s="39" t="s">
        <v>261</v>
      </c>
      <c r="J42" s="40">
        <v>1</v>
      </c>
      <c r="K42" s="40">
        <v>13000000</v>
      </c>
      <c r="L42" s="40">
        <v>0</v>
      </c>
      <c r="M42" s="41">
        <v>6109888</v>
      </c>
      <c r="N42" s="41">
        <v>6109888</v>
      </c>
      <c r="O42" s="42">
        <v>13000000</v>
      </c>
      <c r="P42" s="43">
        <v>6109888</v>
      </c>
      <c r="Q42" s="43">
        <v>6109888</v>
      </c>
      <c r="R42" s="44">
        <v>0</v>
      </c>
      <c r="S42" s="45">
        <v>0</v>
      </c>
      <c r="T42" s="38">
        <f t="shared" si="19"/>
        <v>15</v>
      </c>
      <c r="U42" s="46">
        <f t="shared" si="20"/>
        <v>7.5</v>
      </c>
      <c r="V42" s="47">
        <f t="shared" si="21"/>
        <v>0</v>
      </c>
      <c r="W42" s="48">
        <f t="shared" si="22"/>
        <v>0.5</v>
      </c>
      <c r="X42" s="43">
        <f t="shared" si="23"/>
        <v>1722304.6500000004</v>
      </c>
      <c r="Y42" s="43">
        <f t="shared" si="24"/>
        <v>0</v>
      </c>
      <c r="Z42" s="43">
        <f t="shared" si="25"/>
        <v>7832192.6500000004</v>
      </c>
      <c r="AA42" s="49">
        <f t="shared" si="26"/>
        <v>7832192.6500000004</v>
      </c>
      <c r="AB42" s="50">
        <f t="shared" si="27"/>
        <v>7333513.7172284648</v>
      </c>
      <c r="AC42" s="43">
        <f t="shared" si="28"/>
        <v>7333513.7172284648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1.3606535375205495</v>
      </c>
      <c r="AG42" s="43">
        <f t="shared" si="31"/>
        <v>17688495.987767145</v>
      </c>
      <c r="AH42" s="51">
        <f>HLOOKUP(I42,ElecAvoidedCostsWOCC!$A$5:$Q$50,T42+1,FALSE)</f>
        <v>1.3606535375205495</v>
      </c>
      <c r="AI42" s="43">
        <f t="shared" si="32"/>
        <v>0</v>
      </c>
      <c r="AJ42" s="43">
        <f t="shared" si="33"/>
        <v>17688495.987767145</v>
      </c>
      <c r="AK42" s="43">
        <f>HLOOKUP(I42,ElecAvoidedCostsWOCC!$A$5:$Q$50,G42+1,FALSE)*J42*L42</f>
        <v>0</v>
      </c>
      <c r="AL42" s="43">
        <f t="shared" si="34"/>
        <v>17688495.987767145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17688495.987767145</v>
      </c>
      <c r="AN42" s="47">
        <f t="shared" si="35"/>
        <v>19457345.586543862</v>
      </c>
      <c r="AO42" s="46">
        <f t="shared" si="36"/>
        <v>2.4120083045882827</v>
      </c>
      <c r="AP42" s="46">
        <f t="shared" si="37"/>
        <v>2.6532091350471112</v>
      </c>
    </row>
    <row r="43" spans="2:42" x14ac:dyDescent="0.25">
      <c r="B43" s="88" t="s">
        <v>67</v>
      </c>
      <c r="C43" s="89">
        <v>18231134</v>
      </c>
      <c r="D43" s="60" t="s">
        <v>166</v>
      </c>
      <c r="E43" s="37" t="s">
        <v>1746</v>
      </c>
      <c r="F43" s="38" t="s">
        <v>723</v>
      </c>
      <c r="G43" s="38">
        <v>12</v>
      </c>
      <c r="H43" s="38">
        <v>0</v>
      </c>
      <c r="I43" s="39" t="s">
        <v>261</v>
      </c>
      <c r="J43" s="40">
        <v>0</v>
      </c>
      <c r="K43" s="40">
        <v>51</v>
      </c>
      <c r="L43" s="40">
        <v>0</v>
      </c>
      <c r="M43" s="41">
        <v>43</v>
      </c>
      <c r="N43" s="41">
        <v>43</v>
      </c>
      <c r="O43" s="42">
        <v>0</v>
      </c>
      <c r="P43" s="43">
        <v>0</v>
      </c>
      <c r="Q43" s="43">
        <v>0</v>
      </c>
      <c r="R43" s="44">
        <v>1.7228000000000001</v>
      </c>
      <c r="S43" s="45">
        <v>1.7228000000000001</v>
      </c>
      <c r="T43" s="38">
        <f t="shared" si="19"/>
        <v>12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1.1709909127665883</v>
      </c>
      <c r="AG43" s="43">
        <f t="shared" si="31"/>
        <v>0</v>
      </c>
      <c r="AH43" s="51">
        <f>HLOOKUP(I43,ElecAvoidedCostsWOCC!$A$5:$Q$50,T43+1,FALSE)</f>
        <v>1.1709909127665883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67</v>
      </c>
      <c r="C44" s="89">
        <v>18231134</v>
      </c>
      <c r="D44" s="60" t="s">
        <v>166</v>
      </c>
      <c r="E44" s="37" t="s">
        <v>1747</v>
      </c>
      <c r="F44" s="38" t="s">
        <v>724</v>
      </c>
      <c r="G44" s="38">
        <v>12</v>
      </c>
      <c r="H44" s="38">
        <v>0</v>
      </c>
      <c r="I44" s="39" t="s">
        <v>261</v>
      </c>
      <c r="J44" s="40">
        <v>0</v>
      </c>
      <c r="K44" s="40">
        <v>98</v>
      </c>
      <c r="L44" s="40">
        <v>0</v>
      </c>
      <c r="M44" s="41">
        <v>43</v>
      </c>
      <c r="N44" s="41">
        <v>43</v>
      </c>
      <c r="O44" s="42">
        <v>0</v>
      </c>
      <c r="P44" s="43">
        <v>0</v>
      </c>
      <c r="Q44" s="43">
        <v>0</v>
      </c>
      <c r="R44" s="44">
        <v>3.3104</v>
      </c>
      <c r="S44" s="45">
        <v>3.3104</v>
      </c>
      <c r="T44" s="38">
        <f t="shared" si="19"/>
        <v>12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1.1709909127665883</v>
      </c>
      <c r="AG44" s="43">
        <f t="shared" si="31"/>
        <v>0</v>
      </c>
      <c r="AH44" s="51">
        <f>HLOOKUP(I44,ElecAvoidedCostsWOCC!$A$5:$Q$50,T44+1,FALSE)</f>
        <v>1.1709909127665883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67</v>
      </c>
      <c r="C45" s="89">
        <v>18231134</v>
      </c>
      <c r="D45" s="60" t="s">
        <v>166</v>
      </c>
      <c r="E45" s="37" t="s">
        <v>1748</v>
      </c>
      <c r="F45" s="38" t="s">
        <v>725</v>
      </c>
      <c r="G45" s="38">
        <v>12</v>
      </c>
      <c r="H45" s="38">
        <v>0</v>
      </c>
      <c r="I45" s="39" t="s">
        <v>261</v>
      </c>
      <c r="J45" s="40">
        <v>0</v>
      </c>
      <c r="K45" s="40">
        <v>85</v>
      </c>
      <c r="L45" s="40">
        <v>0</v>
      </c>
      <c r="M45" s="41">
        <v>43</v>
      </c>
      <c r="N45" s="41">
        <v>43</v>
      </c>
      <c r="O45" s="42">
        <v>0</v>
      </c>
      <c r="P45" s="43">
        <v>0</v>
      </c>
      <c r="Q45" s="43">
        <v>0</v>
      </c>
      <c r="R45" s="44">
        <v>2.8713000000000002</v>
      </c>
      <c r="S45" s="45">
        <v>2.8713000000000002</v>
      </c>
      <c r="T45" s="38">
        <f t="shared" si="19"/>
        <v>12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1.1709909127665883</v>
      </c>
      <c r="AG45" s="43">
        <f t="shared" si="31"/>
        <v>0</v>
      </c>
      <c r="AH45" s="51">
        <f>HLOOKUP(I45,ElecAvoidedCostsWOCC!$A$5:$Q$50,T45+1,FALSE)</f>
        <v>1.1709909127665883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67</v>
      </c>
      <c r="C46" s="89">
        <v>18231134</v>
      </c>
      <c r="D46" s="60" t="s">
        <v>166</v>
      </c>
      <c r="E46" s="37" t="s">
        <v>1749</v>
      </c>
      <c r="F46" s="38" t="s">
        <v>726</v>
      </c>
      <c r="G46" s="38">
        <v>12</v>
      </c>
      <c r="H46" s="38">
        <v>0</v>
      </c>
      <c r="I46" s="39" t="s">
        <v>261</v>
      </c>
      <c r="J46" s="40">
        <v>0</v>
      </c>
      <c r="K46" s="40">
        <v>171</v>
      </c>
      <c r="L46" s="40">
        <v>0</v>
      </c>
      <c r="M46" s="41">
        <v>81</v>
      </c>
      <c r="N46" s="41">
        <v>81</v>
      </c>
      <c r="O46" s="42">
        <v>0</v>
      </c>
      <c r="P46" s="43">
        <v>0</v>
      </c>
      <c r="Q46" s="43">
        <v>0</v>
      </c>
      <c r="R46" s="44">
        <v>5.7763</v>
      </c>
      <c r="S46" s="45">
        <v>5.7763</v>
      </c>
      <c r="T46" s="38">
        <f t="shared" si="19"/>
        <v>12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1.1709909127665883</v>
      </c>
      <c r="AG46" s="43">
        <f t="shared" si="31"/>
        <v>0</v>
      </c>
      <c r="AH46" s="51">
        <f>HLOOKUP(I46,ElecAvoidedCostsWOCC!$A$5:$Q$50,T46+1,FALSE)</f>
        <v>1.1709909127665883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67</v>
      </c>
      <c r="C47" s="89">
        <v>18231134</v>
      </c>
      <c r="D47" s="60" t="s">
        <v>166</v>
      </c>
      <c r="E47" s="37" t="s">
        <v>1750</v>
      </c>
      <c r="F47" s="38" t="s">
        <v>727</v>
      </c>
      <c r="G47" s="38">
        <v>12</v>
      </c>
      <c r="H47" s="38">
        <v>0</v>
      </c>
      <c r="I47" s="39" t="s">
        <v>261</v>
      </c>
      <c r="J47" s="40">
        <v>0</v>
      </c>
      <c r="K47" s="40">
        <v>392</v>
      </c>
      <c r="L47" s="40">
        <v>0</v>
      </c>
      <c r="M47" s="41">
        <v>81</v>
      </c>
      <c r="N47" s="41">
        <v>81</v>
      </c>
      <c r="O47" s="42">
        <v>0</v>
      </c>
      <c r="P47" s="43">
        <v>0</v>
      </c>
      <c r="Q47" s="43">
        <v>0</v>
      </c>
      <c r="R47" s="44">
        <v>13.2417</v>
      </c>
      <c r="S47" s="45">
        <v>13.2417</v>
      </c>
      <c r="T47" s="38">
        <f t="shared" si="19"/>
        <v>12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1.1709909127665883</v>
      </c>
      <c r="AG47" s="43">
        <f t="shared" si="31"/>
        <v>0</v>
      </c>
      <c r="AH47" s="51">
        <f>HLOOKUP(I47,ElecAvoidedCostsWOCC!$A$5:$Q$50,T47+1,FALSE)</f>
        <v>1.1709909127665883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67</v>
      </c>
      <c r="C48" s="89">
        <v>18231134</v>
      </c>
      <c r="D48" s="60" t="s">
        <v>166</v>
      </c>
      <c r="E48" s="37" t="s">
        <v>1751</v>
      </c>
      <c r="F48" s="38" t="s">
        <v>728</v>
      </c>
      <c r="G48" s="38">
        <v>12</v>
      </c>
      <c r="H48" s="38">
        <v>0</v>
      </c>
      <c r="I48" s="39" t="s">
        <v>261</v>
      </c>
      <c r="J48" s="40">
        <v>0</v>
      </c>
      <c r="K48" s="40">
        <v>587</v>
      </c>
      <c r="L48" s="40">
        <v>0</v>
      </c>
      <c r="M48" s="41">
        <v>106</v>
      </c>
      <c r="N48" s="41">
        <v>106</v>
      </c>
      <c r="O48" s="42">
        <v>0</v>
      </c>
      <c r="P48" s="43">
        <v>0</v>
      </c>
      <c r="Q48" s="43">
        <v>0</v>
      </c>
      <c r="R48" s="44">
        <v>19.828700000000001</v>
      </c>
      <c r="S48" s="45">
        <v>19.828700000000001</v>
      </c>
      <c r="T48" s="38">
        <f t="shared" si="19"/>
        <v>12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1.1709909127665883</v>
      </c>
      <c r="AG48" s="43">
        <f t="shared" si="31"/>
        <v>0</v>
      </c>
      <c r="AH48" s="51">
        <f>HLOOKUP(I48,ElecAvoidedCostsWOCC!$A$5:$Q$50,T48+1,FALSE)</f>
        <v>1.1709909127665883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67</v>
      </c>
      <c r="C49" s="89">
        <v>18231134</v>
      </c>
      <c r="D49" s="60" t="s">
        <v>166</v>
      </c>
      <c r="E49" s="37" t="s">
        <v>1752</v>
      </c>
      <c r="F49" s="38" t="s">
        <v>729</v>
      </c>
      <c r="G49" s="38">
        <v>12</v>
      </c>
      <c r="H49" s="38">
        <v>0</v>
      </c>
      <c r="I49" s="39" t="s">
        <v>261</v>
      </c>
      <c r="J49" s="40">
        <v>0</v>
      </c>
      <c r="K49" s="40">
        <v>256</v>
      </c>
      <c r="L49" s="40">
        <v>0</v>
      </c>
      <c r="M49" s="41">
        <v>106</v>
      </c>
      <c r="N49" s="41">
        <v>106</v>
      </c>
      <c r="O49" s="42">
        <v>0</v>
      </c>
      <c r="P49" s="43">
        <v>0</v>
      </c>
      <c r="Q49" s="43">
        <v>0</v>
      </c>
      <c r="R49" s="44">
        <v>8.6476000000000006</v>
      </c>
      <c r="S49" s="45">
        <v>8.6476000000000006</v>
      </c>
      <c r="T49" s="38">
        <f t="shared" si="19"/>
        <v>12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1.1709909127665883</v>
      </c>
      <c r="AG49" s="43">
        <f t="shared" si="31"/>
        <v>0</v>
      </c>
      <c r="AH49" s="51">
        <f>HLOOKUP(I49,ElecAvoidedCostsWOCC!$A$5:$Q$50,T49+1,FALSE)</f>
        <v>1.1709909127665883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67</v>
      </c>
      <c r="C50" s="89">
        <v>18231134</v>
      </c>
      <c r="D50" s="60" t="s">
        <v>166</v>
      </c>
      <c r="E50" s="37" t="s">
        <v>1753</v>
      </c>
      <c r="F50" s="38" t="s">
        <v>730</v>
      </c>
      <c r="G50" s="38">
        <v>12</v>
      </c>
      <c r="H50" s="38">
        <v>0</v>
      </c>
      <c r="I50" s="39" t="s">
        <v>261</v>
      </c>
      <c r="J50" s="40">
        <v>0</v>
      </c>
      <c r="K50" s="40">
        <v>341</v>
      </c>
      <c r="L50" s="40">
        <v>0</v>
      </c>
      <c r="M50" s="41">
        <v>133</v>
      </c>
      <c r="N50" s="41">
        <v>133</v>
      </c>
      <c r="O50" s="42">
        <v>0</v>
      </c>
      <c r="P50" s="43">
        <v>0</v>
      </c>
      <c r="Q50" s="43">
        <v>0</v>
      </c>
      <c r="R50" s="44">
        <v>11.5189</v>
      </c>
      <c r="S50" s="45">
        <v>11.5189</v>
      </c>
      <c r="T50" s="38">
        <f t="shared" si="19"/>
        <v>12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1.1709909127665883</v>
      </c>
      <c r="AG50" s="43">
        <f t="shared" si="31"/>
        <v>0</v>
      </c>
      <c r="AH50" s="51">
        <f>HLOOKUP(I50,ElecAvoidedCostsWOCC!$A$5:$Q$50,T50+1,FALSE)</f>
        <v>1.1709909127665883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67</v>
      </c>
      <c r="C51" s="89">
        <v>18231134</v>
      </c>
      <c r="D51" s="60" t="s">
        <v>166</v>
      </c>
      <c r="E51" s="37" t="s">
        <v>1754</v>
      </c>
      <c r="F51" s="38" t="s">
        <v>731</v>
      </c>
      <c r="G51" s="38">
        <v>12</v>
      </c>
      <c r="H51" s="38">
        <v>0</v>
      </c>
      <c r="I51" s="39" t="s">
        <v>261</v>
      </c>
      <c r="J51" s="40">
        <v>0</v>
      </c>
      <c r="K51" s="40">
        <v>783</v>
      </c>
      <c r="L51" s="40">
        <v>0</v>
      </c>
      <c r="M51" s="41">
        <v>133</v>
      </c>
      <c r="N51" s="41">
        <v>133</v>
      </c>
      <c r="O51" s="42">
        <v>0</v>
      </c>
      <c r="P51" s="43">
        <v>0</v>
      </c>
      <c r="Q51" s="43">
        <v>0</v>
      </c>
      <c r="R51" s="44">
        <v>26.4496</v>
      </c>
      <c r="S51" s="45">
        <v>26.4496</v>
      </c>
      <c r="T51" s="38">
        <f t="shared" si="19"/>
        <v>12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1.1709909127665883</v>
      </c>
      <c r="AG51" s="43">
        <f t="shared" si="31"/>
        <v>0</v>
      </c>
      <c r="AH51" s="51">
        <f>HLOOKUP(I51,ElecAvoidedCostsWOCC!$A$5:$Q$50,T51+1,FALSE)</f>
        <v>1.1709909127665883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67</v>
      </c>
      <c r="C52" s="89">
        <v>18231134</v>
      </c>
      <c r="D52" s="60" t="s">
        <v>166</v>
      </c>
      <c r="E52" s="37" t="s">
        <v>1755</v>
      </c>
      <c r="F52" s="38" t="s">
        <v>739</v>
      </c>
      <c r="G52" s="38">
        <v>12</v>
      </c>
      <c r="H52" s="38">
        <v>0</v>
      </c>
      <c r="I52" s="39" t="s">
        <v>261</v>
      </c>
      <c r="J52" s="40">
        <v>0</v>
      </c>
      <c r="K52" s="40">
        <v>39</v>
      </c>
      <c r="L52" s="40">
        <v>0</v>
      </c>
      <c r="M52" s="41">
        <v>43</v>
      </c>
      <c r="N52" s="41">
        <v>43</v>
      </c>
      <c r="O52" s="42">
        <v>0</v>
      </c>
      <c r="P52" s="43">
        <v>0</v>
      </c>
      <c r="Q52" s="43">
        <v>0</v>
      </c>
      <c r="R52" s="44">
        <v>1.3173999999999999</v>
      </c>
      <c r="S52" s="45">
        <v>1.3173999999999999</v>
      </c>
      <c r="T52" s="38">
        <f t="shared" si="19"/>
        <v>12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1.1709909127665883</v>
      </c>
      <c r="AG52" s="43">
        <f t="shared" si="31"/>
        <v>0</v>
      </c>
      <c r="AH52" s="51">
        <f>HLOOKUP(I52,ElecAvoidedCostsWOCC!$A$5:$Q$50,T52+1,FALSE)</f>
        <v>1.1709909127665883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67</v>
      </c>
      <c r="C53" s="89">
        <v>18231134</v>
      </c>
      <c r="D53" s="60" t="s">
        <v>166</v>
      </c>
      <c r="E53" s="37" t="s">
        <v>1756</v>
      </c>
      <c r="F53" s="38" t="s">
        <v>740</v>
      </c>
      <c r="G53" s="38">
        <v>12</v>
      </c>
      <c r="H53" s="38">
        <v>0</v>
      </c>
      <c r="I53" s="39" t="s">
        <v>261</v>
      </c>
      <c r="J53" s="40">
        <v>0</v>
      </c>
      <c r="K53" s="40">
        <v>60</v>
      </c>
      <c r="L53" s="40">
        <v>0</v>
      </c>
      <c r="M53" s="41">
        <v>43</v>
      </c>
      <c r="N53" s="41">
        <v>43</v>
      </c>
      <c r="O53" s="42">
        <v>0</v>
      </c>
      <c r="P53" s="43">
        <v>0</v>
      </c>
      <c r="Q53" s="43">
        <v>0</v>
      </c>
      <c r="R53" s="44">
        <v>2.0268000000000002</v>
      </c>
      <c r="S53" s="45">
        <v>2.0268000000000002</v>
      </c>
      <c r="T53" s="38">
        <f t="shared" si="19"/>
        <v>12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1.1709909127665883</v>
      </c>
      <c r="AG53" s="43">
        <f t="shared" si="31"/>
        <v>0</v>
      </c>
      <c r="AH53" s="51">
        <f>HLOOKUP(I53,ElecAvoidedCostsWOCC!$A$5:$Q$50,T53+1,FALSE)</f>
        <v>1.1709909127665883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88" t="s">
        <v>67</v>
      </c>
      <c r="C54" s="89">
        <v>18231134</v>
      </c>
      <c r="D54" s="60" t="s">
        <v>166</v>
      </c>
      <c r="E54" s="37" t="s">
        <v>1757</v>
      </c>
      <c r="F54" s="38" t="s">
        <v>741</v>
      </c>
      <c r="G54" s="38">
        <v>12</v>
      </c>
      <c r="H54" s="38">
        <v>0</v>
      </c>
      <c r="I54" s="39" t="s">
        <v>261</v>
      </c>
      <c r="J54" s="40">
        <v>0</v>
      </c>
      <c r="K54" s="40">
        <v>79</v>
      </c>
      <c r="L54" s="40">
        <v>0</v>
      </c>
      <c r="M54" s="41">
        <v>81</v>
      </c>
      <c r="N54" s="41">
        <v>81</v>
      </c>
      <c r="O54" s="42">
        <v>0</v>
      </c>
      <c r="P54" s="43">
        <v>0</v>
      </c>
      <c r="Q54" s="43">
        <v>0</v>
      </c>
      <c r="R54" s="44">
        <v>2.6686000000000001</v>
      </c>
      <c r="S54" s="45">
        <v>2.6686000000000001</v>
      </c>
      <c r="T54" s="38">
        <f t="shared" si="19"/>
        <v>12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1.1709909127665883</v>
      </c>
      <c r="AG54" s="43">
        <f t="shared" si="31"/>
        <v>0</v>
      </c>
      <c r="AH54" s="51">
        <f>HLOOKUP(I54,ElecAvoidedCostsWOCC!$A$5:$Q$50,T54+1,FALSE)</f>
        <v>1.1709909127665883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88" t="s">
        <v>67</v>
      </c>
      <c r="C55" s="89">
        <v>18231134</v>
      </c>
      <c r="D55" s="60" t="s">
        <v>166</v>
      </c>
      <c r="E55" s="37" t="s">
        <v>1758</v>
      </c>
      <c r="F55" s="38" t="s">
        <v>742</v>
      </c>
      <c r="G55" s="38">
        <v>12</v>
      </c>
      <c r="H55" s="38">
        <v>0</v>
      </c>
      <c r="I55" s="39" t="s">
        <v>261</v>
      </c>
      <c r="J55" s="40">
        <v>0</v>
      </c>
      <c r="K55" s="40">
        <v>120</v>
      </c>
      <c r="L55" s="40">
        <v>0</v>
      </c>
      <c r="M55" s="41">
        <v>81</v>
      </c>
      <c r="N55" s="41">
        <v>81</v>
      </c>
      <c r="O55" s="42">
        <v>0</v>
      </c>
      <c r="P55" s="43">
        <v>0</v>
      </c>
      <c r="Q55" s="43">
        <v>0</v>
      </c>
      <c r="R55" s="44">
        <v>4.0536000000000003</v>
      </c>
      <c r="S55" s="45">
        <v>4.0536000000000003</v>
      </c>
      <c r="T55" s="38">
        <f t="shared" si="19"/>
        <v>12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1.1709909127665883</v>
      </c>
      <c r="AG55" s="43">
        <f t="shared" si="31"/>
        <v>0</v>
      </c>
      <c r="AH55" s="51">
        <f>HLOOKUP(I55,ElecAvoidedCostsWOCC!$A$5:$Q$50,T55+1,FALSE)</f>
        <v>1.1709909127665883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88" t="s">
        <v>67</v>
      </c>
      <c r="C56" s="89">
        <v>18231134</v>
      </c>
      <c r="D56" s="60" t="s">
        <v>166</v>
      </c>
      <c r="E56" s="37" t="s">
        <v>1759</v>
      </c>
      <c r="F56" s="38" t="s">
        <v>743</v>
      </c>
      <c r="G56" s="38">
        <v>12</v>
      </c>
      <c r="H56" s="38">
        <v>0</v>
      </c>
      <c r="I56" s="39" t="s">
        <v>261</v>
      </c>
      <c r="J56" s="40">
        <v>0</v>
      </c>
      <c r="K56" s="40">
        <v>118</v>
      </c>
      <c r="L56" s="40">
        <v>0</v>
      </c>
      <c r="M56" s="41">
        <v>84</v>
      </c>
      <c r="N56" s="41">
        <v>84</v>
      </c>
      <c r="O56" s="42">
        <v>0</v>
      </c>
      <c r="P56" s="43">
        <v>0</v>
      </c>
      <c r="Q56" s="43">
        <v>0</v>
      </c>
      <c r="R56" s="44">
        <v>3.9860000000000002</v>
      </c>
      <c r="S56" s="45">
        <v>3.9860000000000002</v>
      </c>
      <c r="T56" s="38">
        <f t="shared" si="19"/>
        <v>12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1.1709909127665883</v>
      </c>
      <c r="AG56" s="43">
        <f t="shared" si="31"/>
        <v>0</v>
      </c>
      <c r="AH56" s="51">
        <f>HLOOKUP(I56,ElecAvoidedCostsWOCC!$A$5:$Q$50,T56+1,FALSE)</f>
        <v>1.1709909127665883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88" t="s">
        <v>67</v>
      </c>
      <c r="C57" s="89">
        <v>18231134</v>
      </c>
      <c r="D57" s="60" t="s">
        <v>166</v>
      </c>
      <c r="E57" s="37" t="s">
        <v>1760</v>
      </c>
      <c r="F57" s="38" t="s">
        <v>744</v>
      </c>
      <c r="G57" s="38">
        <v>12</v>
      </c>
      <c r="H57" s="38">
        <v>0</v>
      </c>
      <c r="I57" s="39" t="s">
        <v>261</v>
      </c>
      <c r="J57" s="40">
        <v>0</v>
      </c>
      <c r="K57" s="40">
        <v>180</v>
      </c>
      <c r="L57" s="40">
        <v>0</v>
      </c>
      <c r="M57" s="41">
        <v>84</v>
      </c>
      <c r="N57" s="41">
        <v>84</v>
      </c>
      <c r="O57" s="42">
        <v>0</v>
      </c>
      <c r="P57" s="43">
        <v>0</v>
      </c>
      <c r="Q57" s="43">
        <v>0</v>
      </c>
      <c r="R57" s="44">
        <v>6.0804</v>
      </c>
      <c r="S57" s="45">
        <v>6.0804</v>
      </c>
      <c r="T57" s="38">
        <f t="shared" si="19"/>
        <v>12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HLOOKUP(I57,ElecAvoidedCostsWOCC!$A$5:$Q$50,G57+1,FALSE)</f>
        <v>1.1709909127665883</v>
      </c>
      <c r="AG57" s="43">
        <f t="shared" si="31"/>
        <v>0</v>
      </c>
      <c r="AH57" s="51">
        <f>HLOOKUP(I57,ElecAvoidedCostsWOCC!$A$5:$Q$50,T57+1,FALSE)</f>
        <v>1.1709909127665883</v>
      </c>
      <c r="AI57" s="43">
        <f t="shared" si="32"/>
        <v>0</v>
      </c>
      <c r="AJ57" s="43">
        <f t="shared" si="33"/>
        <v>0</v>
      </c>
      <c r="AK57" s="43">
        <f>HLOOKUP(I57,ElecAvoidedCostsWOCC!$A$5:$Q$50,G57+1,FALSE)*J57*L57</f>
        <v>0</v>
      </c>
      <c r="AL57" s="43">
        <f t="shared" si="34"/>
        <v>0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88" t="s">
        <v>67</v>
      </c>
      <c r="C58" s="89">
        <v>18231134</v>
      </c>
      <c r="D58" s="60" t="s">
        <v>166</v>
      </c>
      <c r="E58" s="37" t="s">
        <v>1761</v>
      </c>
      <c r="F58" s="38" t="s">
        <v>745</v>
      </c>
      <c r="G58" s="38">
        <v>12</v>
      </c>
      <c r="H58" s="38">
        <v>0</v>
      </c>
      <c r="I58" s="39" t="s">
        <v>261</v>
      </c>
      <c r="J58" s="40">
        <v>0</v>
      </c>
      <c r="K58" s="40">
        <v>158</v>
      </c>
      <c r="L58" s="40">
        <v>0</v>
      </c>
      <c r="M58" s="41">
        <v>106</v>
      </c>
      <c r="N58" s="41">
        <v>106</v>
      </c>
      <c r="O58" s="42">
        <v>0</v>
      </c>
      <c r="P58" s="43">
        <v>0</v>
      </c>
      <c r="Q58" s="43">
        <v>0</v>
      </c>
      <c r="R58" s="44">
        <v>5.3372000000000002</v>
      </c>
      <c r="S58" s="45">
        <v>5.3372000000000002</v>
      </c>
      <c r="T58" s="38">
        <f t="shared" si="19"/>
        <v>12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HLOOKUP(I58,ElecAvoidedCostsWOCC!$A$5:$Q$50,G58+1,FALSE)</f>
        <v>1.1709909127665883</v>
      </c>
      <c r="AG58" s="43">
        <f t="shared" si="31"/>
        <v>0</v>
      </c>
      <c r="AH58" s="51">
        <f>HLOOKUP(I58,ElecAvoidedCostsWOCC!$A$5:$Q$50,T58+1,FALSE)</f>
        <v>1.1709909127665883</v>
      </c>
      <c r="AI58" s="43">
        <f t="shared" si="32"/>
        <v>0</v>
      </c>
      <c r="AJ58" s="43">
        <f t="shared" si="33"/>
        <v>0</v>
      </c>
      <c r="AK58" s="43">
        <f>HLOOKUP(I58,ElecAvoidedCostsWOCC!$A$5:$Q$50,G58+1,FALSE)*J58*L58</f>
        <v>0</v>
      </c>
      <c r="AL58" s="43">
        <f t="shared" si="34"/>
        <v>0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88" t="s">
        <v>67</v>
      </c>
      <c r="C59" s="89">
        <v>18231134</v>
      </c>
      <c r="D59" s="60" t="s">
        <v>166</v>
      </c>
      <c r="E59" s="37" t="s">
        <v>1762</v>
      </c>
      <c r="F59" s="38" t="s">
        <v>746</v>
      </c>
      <c r="G59" s="38">
        <v>12</v>
      </c>
      <c r="H59" s="38">
        <v>0</v>
      </c>
      <c r="I59" s="39" t="s">
        <v>261</v>
      </c>
      <c r="J59" s="40">
        <v>0</v>
      </c>
      <c r="K59" s="40">
        <v>240</v>
      </c>
      <c r="L59" s="40">
        <v>0</v>
      </c>
      <c r="M59" s="41">
        <v>106</v>
      </c>
      <c r="N59" s="41">
        <v>106</v>
      </c>
      <c r="O59" s="42">
        <v>0</v>
      </c>
      <c r="P59" s="43">
        <v>0</v>
      </c>
      <c r="Q59" s="43">
        <v>0</v>
      </c>
      <c r="R59" s="44">
        <v>8.1072000000000006</v>
      </c>
      <c r="S59" s="45">
        <v>8.1072000000000006</v>
      </c>
      <c r="T59" s="38">
        <f t="shared" si="19"/>
        <v>12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HLOOKUP(I59,ElecAvoidedCostsWOCC!$A$5:$Q$50,G59+1,FALSE)</f>
        <v>1.1709909127665883</v>
      </c>
      <c r="AG59" s="43">
        <f t="shared" si="31"/>
        <v>0</v>
      </c>
      <c r="AH59" s="51">
        <f>HLOOKUP(I59,ElecAvoidedCostsWOCC!$A$5:$Q$50,T59+1,FALSE)</f>
        <v>1.1709909127665883</v>
      </c>
      <c r="AI59" s="43">
        <f t="shared" si="32"/>
        <v>0</v>
      </c>
      <c r="AJ59" s="43">
        <f t="shared" si="33"/>
        <v>0</v>
      </c>
      <c r="AK59" s="43">
        <f>HLOOKUP(I59,ElecAvoidedCostsWOCC!$A$5:$Q$50,G59+1,FALSE)*J59*L59</f>
        <v>0</v>
      </c>
      <c r="AL59" s="43">
        <f t="shared" si="34"/>
        <v>0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88" t="s">
        <v>67</v>
      </c>
      <c r="C60" s="89">
        <v>18231134</v>
      </c>
      <c r="D60" s="60" t="s">
        <v>166</v>
      </c>
      <c r="E60" s="37" t="s">
        <v>1763</v>
      </c>
      <c r="F60" s="38" t="s">
        <v>1764</v>
      </c>
      <c r="G60" s="38">
        <v>12</v>
      </c>
      <c r="H60" s="38">
        <v>0</v>
      </c>
      <c r="I60" s="39" t="s">
        <v>261</v>
      </c>
      <c r="J60" s="40">
        <v>0</v>
      </c>
      <c r="K60" s="40">
        <v>264</v>
      </c>
      <c r="L60" s="40">
        <v>0</v>
      </c>
      <c r="M60" s="41">
        <v>37</v>
      </c>
      <c r="N60" s="41">
        <v>37</v>
      </c>
      <c r="O60" s="42">
        <v>0</v>
      </c>
      <c r="P60" s="43">
        <v>0</v>
      </c>
      <c r="Q60" s="43">
        <v>0</v>
      </c>
      <c r="R60" s="44">
        <v>8.9179999999999993</v>
      </c>
      <c r="S60" s="45">
        <v>8.9179999999999993</v>
      </c>
      <c r="T60" s="38">
        <f t="shared" si="19"/>
        <v>12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HLOOKUP(I60,ElecAvoidedCostsWOCC!$A$5:$Q$50,G60+1,FALSE)</f>
        <v>1.1709909127665883</v>
      </c>
      <c r="AG60" s="43">
        <f t="shared" si="31"/>
        <v>0</v>
      </c>
      <c r="AH60" s="51">
        <f>HLOOKUP(I60,ElecAvoidedCostsWOCC!$A$5:$Q$50,T60+1,FALSE)</f>
        <v>1.1709909127665883</v>
      </c>
      <c r="AI60" s="43">
        <f t="shared" si="32"/>
        <v>0</v>
      </c>
      <c r="AJ60" s="43">
        <f t="shared" si="33"/>
        <v>0</v>
      </c>
      <c r="AK60" s="43">
        <f>HLOOKUP(I60,ElecAvoidedCostsWOCC!$A$5:$Q$50,G60+1,FALSE)*J60*L60</f>
        <v>0</v>
      </c>
      <c r="AL60" s="43">
        <f t="shared" si="34"/>
        <v>0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88" t="s">
        <v>67</v>
      </c>
      <c r="C61" s="89">
        <v>18231134</v>
      </c>
      <c r="D61" s="60" t="s">
        <v>166</v>
      </c>
      <c r="E61" s="37" t="s">
        <v>1765</v>
      </c>
      <c r="F61" s="38" t="s">
        <v>1766</v>
      </c>
      <c r="G61" s="38">
        <v>12</v>
      </c>
      <c r="H61" s="38">
        <v>0</v>
      </c>
      <c r="I61" s="39" t="s">
        <v>261</v>
      </c>
      <c r="J61" s="40">
        <v>0</v>
      </c>
      <c r="K61" s="40">
        <v>136</v>
      </c>
      <c r="L61" s="40">
        <v>0</v>
      </c>
      <c r="M61" s="41">
        <v>37</v>
      </c>
      <c r="N61" s="41">
        <v>37</v>
      </c>
      <c r="O61" s="42">
        <v>0</v>
      </c>
      <c r="P61" s="43">
        <v>0</v>
      </c>
      <c r="Q61" s="43">
        <v>0</v>
      </c>
      <c r="R61" s="44">
        <v>4.5940000000000003</v>
      </c>
      <c r="S61" s="45">
        <v>4.5940000000000003</v>
      </c>
      <c r="T61" s="38">
        <f t="shared" si="19"/>
        <v>12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1.1709909127665883</v>
      </c>
      <c r="AG61" s="43">
        <f t="shared" si="31"/>
        <v>0</v>
      </c>
      <c r="AH61" s="51">
        <f>HLOOKUP(I61,ElecAvoidedCostsWOCC!$A$5:$Q$50,T61+1,FALSE)</f>
        <v>1.1709909127665883</v>
      </c>
      <c r="AI61" s="43">
        <f t="shared" si="32"/>
        <v>0</v>
      </c>
      <c r="AJ61" s="43">
        <f t="shared" si="33"/>
        <v>0</v>
      </c>
      <c r="AK61" s="43">
        <f>HLOOKUP(I61,ElecAvoidedCostsWOCC!$A$5:$Q$50,G61+1,FALSE)*J61*L61</f>
        <v>0</v>
      </c>
      <c r="AL61" s="43">
        <f t="shared" si="34"/>
        <v>0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88" t="s">
        <v>67</v>
      </c>
      <c r="C62" s="89">
        <v>18231134</v>
      </c>
      <c r="D62" s="60" t="s">
        <v>166</v>
      </c>
      <c r="E62" s="37" t="s">
        <v>1767</v>
      </c>
      <c r="F62" s="38" t="s">
        <v>749</v>
      </c>
      <c r="G62" s="38">
        <v>12</v>
      </c>
      <c r="H62" s="38">
        <v>0</v>
      </c>
      <c r="I62" s="39" t="s">
        <v>261</v>
      </c>
      <c r="J62" s="40">
        <v>0</v>
      </c>
      <c r="K62" s="40">
        <v>230</v>
      </c>
      <c r="L62" s="40">
        <v>0</v>
      </c>
      <c r="M62" s="41">
        <v>37</v>
      </c>
      <c r="N62" s="41">
        <v>37</v>
      </c>
      <c r="O62" s="42">
        <v>0</v>
      </c>
      <c r="P62" s="43">
        <v>0</v>
      </c>
      <c r="Q62" s="43">
        <v>0</v>
      </c>
      <c r="R62" s="44">
        <v>7.7690000000000001</v>
      </c>
      <c r="S62" s="45">
        <v>7.7690000000000001</v>
      </c>
      <c r="T62" s="38">
        <f t="shared" si="19"/>
        <v>12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HLOOKUP(I62,ElecAvoidedCostsWOCC!$A$5:$Q$50,G62+1,FALSE)</f>
        <v>1.1709909127665883</v>
      </c>
      <c r="AG62" s="43">
        <f t="shared" si="31"/>
        <v>0</v>
      </c>
      <c r="AH62" s="51">
        <f>HLOOKUP(I62,ElecAvoidedCostsWOCC!$A$5:$Q$50,T62+1,FALSE)</f>
        <v>1.1709909127665883</v>
      </c>
      <c r="AI62" s="43">
        <f t="shared" si="32"/>
        <v>0</v>
      </c>
      <c r="AJ62" s="43">
        <f t="shared" si="33"/>
        <v>0</v>
      </c>
      <c r="AK62" s="43">
        <f>HLOOKUP(I62,ElecAvoidedCostsWOCC!$A$5:$Q$50,G62+1,FALSE)*J62*L62</f>
        <v>0</v>
      </c>
      <c r="AL62" s="43">
        <f t="shared" si="34"/>
        <v>0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88" t="s">
        <v>67</v>
      </c>
      <c r="C63" s="89">
        <v>18231134</v>
      </c>
      <c r="D63" s="60" t="s">
        <v>166</v>
      </c>
      <c r="E63" s="37" t="s">
        <v>1768</v>
      </c>
      <c r="F63" s="38" t="s">
        <v>750</v>
      </c>
      <c r="G63" s="38">
        <v>12</v>
      </c>
      <c r="H63" s="38">
        <v>0</v>
      </c>
      <c r="I63" s="39" t="s">
        <v>261</v>
      </c>
      <c r="J63" s="40">
        <v>0</v>
      </c>
      <c r="K63" s="40">
        <v>460</v>
      </c>
      <c r="L63" s="40">
        <v>0</v>
      </c>
      <c r="M63" s="41">
        <v>75</v>
      </c>
      <c r="N63" s="41">
        <v>75</v>
      </c>
      <c r="O63" s="42">
        <v>0</v>
      </c>
      <c r="P63" s="43">
        <v>0</v>
      </c>
      <c r="Q63" s="43">
        <v>0</v>
      </c>
      <c r="R63" s="44">
        <v>15.539</v>
      </c>
      <c r="S63" s="45">
        <v>15.539</v>
      </c>
      <c r="T63" s="38">
        <f t="shared" si="19"/>
        <v>12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1.1709909127665883</v>
      </c>
      <c r="AG63" s="43">
        <f t="shared" si="31"/>
        <v>0</v>
      </c>
      <c r="AH63" s="51">
        <f>HLOOKUP(I63,ElecAvoidedCostsWOCC!$A$5:$Q$50,T63+1,FALSE)</f>
        <v>1.1709909127665883</v>
      </c>
      <c r="AI63" s="43">
        <f t="shared" si="32"/>
        <v>0</v>
      </c>
      <c r="AJ63" s="43">
        <f t="shared" si="33"/>
        <v>0</v>
      </c>
      <c r="AK63" s="43">
        <f>HLOOKUP(I63,ElecAvoidedCostsWOCC!$A$5:$Q$50,G63+1,FALSE)*J63*L63</f>
        <v>0</v>
      </c>
      <c r="AL63" s="43">
        <f t="shared" si="34"/>
        <v>0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88" t="s">
        <v>67</v>
      </c>
      <c r="C64" s="89">
        <v>18231134</v>
      </c>
      <c r="D64" s="60" t="s">
        <v>166</v>
      </c>
      <c r="E64" s="37" t="s">
        <v>1769</v>
      </c>
      <c r="F64" s="38" t="s">
        <v>751</v>
      </c>
      <c r="G64" s="38">
        <v>12</v>
      </c>
      <c r="H64" s="38">
        <v>0</v>
      </c>
      <c r="I64" s="39" t="s">
        <v>261</v>
      </c>
      <c r="J64" s="40">
        <v>0</v>
      </c>
      <c r="K64" s="40">
        <v>1056</v>
      </c>
      <c r="L64" s="40">
        <v>0</v>
      </c>
      <c r="M64" s="41">
        <v>75</v>
      </c>
      <c r="N64" s="41">
        <v>75</v>
      </c>
      <c r="O64" s="42">
        <v>0</v>
      </c>
      <c r="P64" s="43">
        <v>0</v>
      </c>
      <c r="Q64" s="43">
        <v>0</v>
      </c>
      <c r="R64" s="44">
        <v>35.670999999999999</v>
      </c>
      <c r="S64" s="45">
        <v>35.670999999999999</v>
      </c>
      <c r="T64" s="38">
        <f t="shared" si="19"/>
        <v>12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HLOOKUP(I64,ElecAvoidedCostsWOCC!$A$5:$Q$50,G64+1,FALSE)</f>
        <v>1.1709909127665883</v>
      </c>
      <c r="AG64" s="43">
        <f t="shared" si="31"/>
        <v>0</v>
      </c>
      <c r="AH64" s="51">
        <f>HLOOKUP(I64,ElecAvoidedCostsWOCC!$A$5:$Q$50,T64+1,FALSE)</f>
        <v>1.1709909127665883</v>
      </c>
      <c r="AI64" s="43">
        <f t="shared" si="32"/>
        <v>0</v>
      </c>
      <c r="AJ64" s="43">
        <f t="shared" si="33"/>
        <v>0</v>
      </c>
      <c r="AK64" s="43">
        <f>HLOOKUP(I64,ElecAvoidedCostsWOCC!$A$5:$Q$50,G64+1,FALSE)*J64*L64</f>
        <v>0</v>
      </c>
      <c r="AL64" s="43">
        <f t="shared" si="34"/>
        <v>0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88" t="s">
        <v>67</v>
      </c>
      <c r="C65" s="89">
        <v>18231134</v>
      </c>
      <c r="D65" s="60" t="s">
        <v>166</v>
      </c>
      <c r="E65" s="37" t="s">
        <v>1770</v>
      </c>
      <c r="F65" s="38" t="s">
        <v>1771</v>
      </c>
      <c r="G65" s="38">
        <v>12</v>
      </c>
      <c r="H65" s="38">
        <v>0</v>
      </c>
      <c r="I65" s="39" t="s">
        <v>261</v>
      </c>
      <c r="J65" s="40">
        <v>0</v>
      </c>
      <c r="K65" s="40">
        <v>690</v>
      </c>
      <c r="L65" s="40">
        <v>0</v>
      </c>
      <c r="M65" s="41">
        <v>100</v>
      </c>
      <c r="N65" s="41">
        <v>100</v>
      </c>
      <c r="O65" s="42">
        <v>0</v>
      </c>
      <c r="P65" s="43">
        <v>0</v>
      </c>
      <c r="Q65" s="43">
        <v>0</v>
      </c>
      <c r="R65" s="44">
        <v>23.308</v>
      </c>
      <c r="S65" s="45">
        <v>23.308</v>
      </c>
      <c r="T65" s="38">
        <f t="shared" si="19"/>
        <v>12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HLOOKUP(I65,ElecAvoidedCostsWOCC!$A$5:$Q$50,G65+1,FALSE)</f>
        <v>1.1709909127665883</v>
      </c>
      <c r="AG65" s="43">
        <f t="shared" si="31"/>
        <v>0</v>
      </c>
      <c r="AH65" s="51">
        <f>HLOOKUP(I65,ElecAvoidedCostsWOCC!$A$5:$Q$50,T65+1,FALSE)</f>
        <v>1.1709909127665883</v>
      </c>
      <c r="AI65" s="43">
        <f t="shared" si="32"/>
        <v>0</v>
      </c>
      <c r="AJ65" s="43">
        <f t="shared" si="33"/>
        <v>0</v>
      </c>
      <c r="AK65" s="43">
        <f>HLOOKUP(I65,ElecAvoidedCostsWOCC!$A$5:$Q$50,G65+1,FALSE)*J65*L65</f>
        <v>0</v>
      </c>
      <c r="AL65" s="43">
        <f t="shared" si="34"/>
        <v>0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88" t="s">
        <v>67</v>
      </c>
      <c r="C66" s="89">
        <v>18231134</v>
      </c>
      <c r="D66" s="60" t="s">
        <v>166</v>
      </c>
      <c r="E66" s="37" t="s">
        <v>1772</v>
      </c>
      <c r="F66" s="38" t="s">
        <v>1773</v>
      </c>
      <c r="G66" s="38">
        <v>12</v>
      </c>
      <c r="H66" s="38">
        <v>0</v>
      </c>
      <c r="I66" s="39" t="s">
        <v>261</v>
      </c>
      <c r="J66" s="40">
        <v>0</v>
      </c>
      <c r="K66" s="40">
        <v>1584</v>
      </c>
      <c r="L66" s="40">
        <v>0</v>
      </c>
      <c r="M66" s="41">
        <v>100</v>
      </c>
      <c r="N66" s="41">
        <v>100</v>
      </c>
      <c r="O66" s="42">
        <v>0</v>
      </c>
      <c r="P66" s="43">
        <v>0</v>
      </c>
      <c r="Q66" s="43">
        <v>0</v>
      </c>
      <c r="R66" s="44">
        <v>53.506999999999998</v>
      </c>
      <c r="S66" s="45">
        <v>53.506999999999998</v>
      </c>
      <c r="T66" s="38">
        <f t="shared" si="19"/>
        <v>12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HLOOKUP(I66,ElecAvoidedCostsWOCC!$A$5:$Q$50,G66+1,FALSE)</f>
        <v>1.1709909127665883</v>
      </c>
      <c r="AG66" s="43">
        <f t="shared" si="31"/>
        <v>0</v>
      </c>
      <c r="AH66" s="51">
        <f>HLOOKUP(I66,ElecAvoidedCostsWOCC!$A$5:$Q$50,T66+1,FALSE)</f>
        <v>1.1709909127665883</v>
      </c>
      <c r="AI66" s="43">
        <f t="shared" si="32"/>
        <v>0</v>
      </c>
      <c r="AJ66" s="43">
        <f t="shared" si="33"/>
        <v>0</v>
      </c>
      <c r="AK66" s="43">
        <f>HLOOKUP(I66,ElecAvoidedCostsWOCC!$A$5:$Q$50,G66+1,FALSE)*J66*L66</f>
        <v>0</v>
      </c>
      <c r="AL66" s="43">
        <f t="shared" si="34"/>
        <v>0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88" t="s">
        <v>67</v>
      </c>
      <c r="C67" s="89">
        <v>18231134</v>
      </c>
      <c r="D67" s="60" t="s">
        <v>166</v>
      </c>
      <c r="E67" s="37" t="s">
        <v>1774</v>
      </c>
      <c r="F67" s="38" t="s">
        <v>752</v>
      </c>
      <c r="G67" s="38">
        <v>12</v>
      </c>
      <c r="H67" s="38">
        <v>0</v>
      </c>
      <c r="I67" s="39" t="s">
        <v>261</v>
      </c>
      <c r="J67" s="40">
        <v>0</v>
      </c>
      <c r="K67" s="40">
        <v>920</v>
      </c>
      <c r="L67" s="40">
        <v>0</v>
      </c>
      <c r="M67" s="41">
        <v>127</v>
      </c>
      <c r="N67" s="41">
        <v>127</v>
      </c>
      <c r="O67" s="42">
        <v>0</v>
      </c>
      <c r="P67" s="43">
        <v>0</v>
      </c>
      <c r="Q67" s="43">
        <v>0</v>
      </c>
      <c r="R67" s="44">
        <v>31.077000000000002</v>
      </c>
      <c r="S67" s="45">
        <v>31.077000000000002</v>
      </c>
      <c r="T67" s="38">
        <f t="shared" si="19"/>
        <v>12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1.1709909127665883</v>
      </c>
      <c r="AG67" s="43">
        <f t="shared" si="31"/>
        <v>0</v>
      </c>
      <c r="AH67" s="51">
        <f>HLOOKUP(I67,ElecAvoidedCostsWOCC!$A$5:$Q$50,T67+1,FALSE)</f>
        <v>1.1709909127665883</v>
      </c>
      <c r="AI67" s="43">
        <f t="shared" si="32"/>
        <v>0</v>
      </c>
      <c r="AJ67" s="43">
        <f t="shared" si="33"/>
        <v>0</v>
      </c>
      <c r="AK67" s="43">
        <f>HLOOKUP(I67,ElecAvoidedCostsWOCC!$A$5:$Q$50,G67+1,FALSE)*J67*L67</f>
        <v>0</v>
      </c>
      <c r="AL67" s="43">
        <f t="shared" si="34"/>
        <v>0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88" t="s">
        <v>67</v>
      </c>
      <c r="C68" s="89">
        <v>18231134</v>
      </c>
      <c r="D68" s="60" t="s">
        <v>166</v>
      </c>
      <c r="E68" s="37" t="s">
        <v>1775</v>
      </c>
      <c r="F68" s="38" t="s">
        <v>1776</v>
      </c>
      <c r="G68" s="38">
        <v>12</v>
      </c>
      <c r="H68" s="38">
        <v>0</v>
      </c>
      <c r="I68" s="39" t="s">
        <v>261</v>
      </c>
      <c r="J68" s="40">
        <v>0</v>
      </c>
      <c r="K68" s="40">
        <v>2112</v>
      </c>
      <c r="L68" s="40">
        <v>0</v>
      </c>
      <c r="M68" s="41">
        <v>127</v>
      </c>
      <c r="N68" s="41">
        <v>127</v>
      </c>
      <c r="O68" s="42">
        <v>0</v>
      </c>
      <c r="P68" s="43">
        <v>0</v>
      </c>
      <c r="Q68" s="43">
        <v>0</v>
      </c>
      <c r="R68" s="44">
        <v>71.343000000000004</v>
      </c>
      <c r="S68" s="45">
        <v>71.343000000000004</v>
      </c>
      <c r="T68" s="38">
        <f t="shared" si="19"/>
        <v>12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HLOOKUP(I68,ElecAvoidedCostsWOCC!$A$5:$Q$50,G68+1,FALSE)</f>
        <v>1.1709909127665883</v>
      </c>
      <c r="AG68" s="43">
        <f t="shared" si="31"/>
        <v>0</v>
      </c>
      <c r="AH68" s="51">
        <f>HLOOKUP(I68,ElecAvoidedCostsWOCC!$A$5:$Q$50,T68+1,FALSE)</f>
        <v>1.1709909127665883</v>
      </c>
      <c r="AI68" s="43">
        <f t="shared" si="32"/>
        <v>0</v>
      </c>
      <c r="AJ68" s="43">
        <f t="shared" si="33"/>
        <v>0</v>
      </c>
      <c r="AK68" s="43">
        <f>HLOOKUP(I68,ElecAvoidedCostsWOCC!$A$5:$Q$50,G68+1,FALSE)*J68*L68</f>
        <v>0</v>
      </c>
      <c r="AL68" s="43">
        <f t="shared" si="34"/>
        <v>0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88" t="s">
        <v>67</v>
      </c>
      <c r="C69" s="89">
        <v>18231134</v>
      </c>
      <c r="D69" s="60" t="s">
        <v>166</v>
      </c>
      <c r="E69" s="37" t="s">
        <v>1777</v>
      </c>
      <c r="F69" s="38" t="s">
        <v>1778</v>
      </c>
      <c r="G69" s="38">
        <v>12</v>
      </c>
      <c r="H69" s="38">
        <v>0</v>
      </c>
      <c r="I69" s="39" t="s">
        <v>261</v>
      </c>
      <c r="J69" s="40">
        <v>0</v>
      </c>
      <c r="K69" s="40">
        <v>119</v>
      </c>
      <c r="L69" s="40">
        <v>0</v>
      </c>
      <c r="M69" s="41">
        <v>37</v>
      </c>
      <c r="N69" s="41">
        <v>37</v>
      </c>
      <c r="O69" s="42">
        <v>0</v>
      </c>
      <c r="P69" s="43">
        <v>0</v>
      </c>
      <c r="Q69" s="43">
        <v>0</v>
      </c>
      <c r="R69" s="44">
        <v>4.0199999999999996</v>
      </c>
      <c r="S69" s="45">
        <v>4.0199999999999996</v>
      </c>
      <c r="T69" s="38">
        <f t="shared" si="19"/>
        <v>12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HLOOKUP(I69,ElecAvoidedCostsWOCC!$A$5:$Q$50,G69+1,FALSE)</f>
        <v>1.1709909127665883</v>
      </c>
      <c r="AG69" s="43">
        <f t="shared" si="31"/>
        <v>0</v>
      </c>
      <c r="AH69" s="51">
        <f>HLOOKUP(I69,ElecAvoidedCostsWOCC!$A$5:$Q$50,T69+1,FALSE)</f>
        <v>1.1709909127665883</v>
      </c>
      <c r="AI69" s="43">
        <f t="shared" si="32"/>
        <v>0</v>
      </c>
      <c r="AJ69" s="43">
        <f t="shared" si="33"/>
        <v>0</v>
      </c>
      <c r="AK69" s="43">
        <f>HLOOKUP(I69,ElecAvoidedCostsWOCC!$A$5:$Q$50,G69+1,FALSE)*J69*L69</f>
        <v>0</v>
      </c>
      <c r="AL69" s="43">
        <f t="shared" si="34"/>
        <v>0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88" t="s">
        <v>67</v>
      </c>
      <c r="C70" s="89">
        <v>18231134</v>
      </c>
      <c r="D70" s="60" t="s">
        <v>166</v>
      </c>
      <c r="E70" s="37" t="s">
        <v>1779</v>
      </c>
      <c r="F70" s="38" t="s">
        <v>753</v>
      </c>
      <c r="G70" s="38">
        <v>12</v>
      </c>
      <c r="H70" s="38">
        <v>0</v>
      </c>
      <c r="I70" s="39" t="s">
        <v>261</v>
      </c>
      <c r="J70" s="40">
        <v>0</v>
      </c>
      <c r="K70" s="40">
        <v>145</v>
      </c>
      <c r="L70" s="40">
        <v>0</v>
      </c>
      <c r="M70" s="41">
        <v>37</v>
      </c>
      <c r="N70" s="41">
        <v>37</v>
      </c>
      <c r="O70" s="42">
        <v>0</v>
      </c>
      <c r="P70" s="43">
        <v>0</v>
      </c>
      <c r="Q70" s="43">
        <v>0</v>
      </c>
      <c r="R70" s="44">
        <v>4.8979999999999997</v>
      </c>
      <c r="S70" s="45">
        <v>4.8979999999999997</v>
      </c>
      <c r="T70" s="38">
        <f t="shared" si="19"/>
        <v>12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>
        <f>HLOOKUP(I70,ElecAvoidedCostsWOCC!$A$5:$Q$50,G70+1,FALSE)</f>
        <v>1.1709909127665883</v>
      </c>
      <c r="AG70" s="43">
        <f t="shared" si="31"/>
        <v>0</v>
      </c>
      <c r="AH70" s="51">
        <f>HLOOKUP(I70,ElecAvoidedCostsWOCC!$A$5:$Q$50,T70+1,FALSE)</f>
        <v>1.1709909127665883</v>
      </c>
      <c r="AI70" s="43">
        <f t="shared" si="32"/>
        <v>0</v>
      </c>
      <c r="AJ70" s="43">
        <f t="shared" si="33"/>
        <v>0</v>
      </c>
      <c r="AK70" s="43">
        <f>HLOOKUP(I70,ElecAvoidedCostsWOCC!$A$5:$Q$50,G70+1,FALSE)*J70*L70</f>
        <v>0</v>
      </c>
      <c r="AL70" s="43">
        <f t="shared" si="34"/>
        <v>0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88" t="s">
        <v>67</v>
      </c>
      <c r="C71" s="89">
        <v>18231134</v>
      </c>
      <c r="D71" s="60" t="s">
        <v>166</v>
      </c>
      <c r="E71" s="37" t="s">
        <v>1780</v>
      </c>
      <c r="F71" s="38" t="s">
        <v>1781</v>
      </c>
      <c r="G71" s="38">
        <v>12</v>
      </c>
      <c r="H71" s="38">
        <v>0</v>
      </c>
      <c r="I71" s="39" t="s">
        <v>261</v>
      </c>
      <c r="J71" s="40">
        <v>0</v>
      </c>
      <c r="K71" s="40">
        <v>221</v>
      </c>
      <c r="L71" s="40">
        <v>0</v>
      </c>
      <c r="M71" s="41">
        <v>37</v>
      </c>
      <c r="N71" s="41">
        <v>37</v>
      </c>
      <c r="O71" s="42">
        <v>0</v>
      </c>
      <c r="P71" s="43">
        <v>0</v>
      </c>
      <c r="Q71" s="43">
        <v>0</v>
      </c>
      <c r="R71" s="44">
        <v>7.4649999999999999</v>
      </c>
      <c r="S71" s="45">
        <v>7.4649999999999999</v>
      </c>
      <c r="T71" s="38">
        <f t="shared" si="19"/>
        <v>12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>
        <f>HLOOKUP(I71,ElecAvoidedCostsWOCC!$A$5:$Q$50,G71+1,FALSE)</f>
        <v>1.1709909127665883</v>
      </c>
      <c r="AG71" s="43">
        <f t="shared" si="31"/>
        <v>0</v>
      </c>
      <c r="AH71" s="51">
        <f>HLOOKUP(I71,ElecAvoidedCostsWOCC!$A$5:$Q$50,T71+1,FALSE)</f>
        <v>1.1709909127665883</v>
      </c>
      <c r="AI71" s="43">
        <f t="shared" si="32"/>
        <v>0</v>
      </c>
      <c r="AJ71" s="43">
        <f t="shared" si="33"/>
        <v>0</v>
      </c>
      <c r="AK71" s="43">
        <f>HLOOKUP(I71,ElecAvoidedCostsWOCC!$A$5:$Q$50,G71+1,FALSE)*J71*L71</f>
        <v>0</v>
      </c>
      <c r="AL71" s="43">
        <f t="shared" si="34"/>
        <v>0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67</v>
      </c>
      <c r="C72" s="89">
        <v>18231134</v>
      </c>
      <c r="D72" s="60" t="s">
        <v>166</v>
      </c>
      <c r="E72" s="37" t="s">
        <v>1782</v>
      </c>
      <c r="F72" s="38" t="s">
        <v>1783</v>
      </c>
      <c r="G72" s="38">
        <v>12</v>
      </c>
      <c r="H72" s="38">
        <v>0</v>
      </c>
      <c r="I72" s="39" t="s">
        <v>261</v>
      </c>
      <c r="J72" s="40">
        <v>0</v>
      </c>
      <c r="K72" s="40">
        <v>94</v>
      </c>
      <c r="L72" s="40">
        <v>0</v>
      </c>
      <c r="M72" s="41">
        <v>37</v>
      </c>
      <c r="N72" s="41">
        <v>37</v>
      </c>
      <c r="O72" s="42">
        <v>0</v>
      </c>
      <c r="P72" s="43">
        <v>0</v>
      </c>
      <c r="Q72" s="43">
        <v>0</v>
      </c>
      <c r="R72" s="44">
        <v>3.1749999999999998</v>
      </c>
      <c r="S72" s="45">
        <v>3.1749999999999998</v>
      </c>
      <c r="T72" s="38">
        <f t="shared" si="19"/>
        <v>12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>
        <f>HLOOKUP(I72,ElecAvoidedCostsWOCC!$A$5:$Q$50,G72+1,FALSE)</f>
        <v>1.1709909127665883</v>
      </c>
      <c r="AG72" s="43">
        <f t="shared" si="31"/>
        <v>0</v>
      </c>
      <c r="AH72" s="51">
        <f>HLOOKUP(I72,ElecAvoidedCostsWOCC!$A$5:$Q$50,T72+1,FALSE)</f>
        <v>1.1709909127665883</v>
      </c>
      <c r="AI72" s="43">
        <f t="shared" si="32"/>
        <v>0</v>
      </c>
      <c r="AJ72" s="43">
        <f t="shared" si="33"/>
        <v>0</v>
      </c>
      <c r="AK72" s="43">
        <f>HLOOKUP(I72,ElecAvoidedCostsWOCC!$A$5:$Q$50,G72+1,FALSE)*J72*L72</f>
        <v>0</v>
      </c>
      <c r="AL72" s="43">
        <f t="shared" si="34"/>
        <v>0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67</v>
      </c>
      <c r="C73" s="89">
        <v>18231134</v>
      </c>
      <c r="D73" s="60" t="s">
        <v>166</v>
      </c>
      <c r="E73" s="37" t="s">
        <v>1784</v>
      </c>
      <c r="F73" s="38" t="s">
        <v>1785</v>
      </c>
      <c r="G73" s="38">
        <v>12</v>
      </c>
      <c r="H73" s="38">
        <v>0</v>
      </c>
      <c r="I73" s="39" t="s">
        <v>261</v>
      </c>
      <c r="J73" s="40">
        <v>0</v>
      </c>
      <c r="K73" s="40">
        <v>119</v>
      </c>
      <c r="L73" s="40">
        <v>0</v>
      </c>
      <c r="M73" s="41">
        <v>37</v>
      </c>
      <c r="N73" s="41">
        <v>37</v>
      </c>
      <c r="O73" s="42">
        <v>0</v>
      </c>
      <c r="P73" s="43">
        <v>0</v>
      </c>
      <c r="Q73" s="43">
        <v>0</v>
      </c>
      <c r="R73" s="44">
        <v>4.0199999999999996</v>
      </c>
      <c r="S73" s="45">
        <v>4.0199999999999996</v>
      </c>
      <c r="T73" s="38">
        <f t="shared" si="19"/>
        <v>12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>
        <f>HLOOKUP(I73,ElecAvoidedCostsWOCC!$A$5:$Q$50,G73+1,FALSE)</f>
        <v>1.1709909127665883</v>
      </c>
      <c r="AG73" s="43">
        <f t="shared" si="31"/>
        <v>0</v>
      </c>
      <c r="AH73" s="51">
        <f>HLOOKUP(I73,ElecAvoidedCostsWOCC!$A$5:$Q$50,T73+1,FALSE)</f>
        <v>1.1709909127665883</v>
      </c>
      <c r="AI73" s="43">
        <f t="shared" si="32"/>
        <v>0</v>
      </c>
      <c r="AJ73" s="43">
        <f t="shared" si="33"/>
        <v>0</v>
      </c>
      <c r="AK73" s="43">
        <f>HLOOKUP(I73,ElecAvoidedCostsWOCC!$A$5:$Q$50,G73+1,FALSE)*J73*L73</f>
        <v>0</v>
      </c>
      <c r="AL73" s="43">
        <f t="shared" si="34"/>
        <v>0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67</v>
      </c>
      <c r="C74" s="89">
        <v>18231134</v>
      </c>
      <c r="D74" s="60" t="s">
        <v>166</v>
      </c>
      <c r="E74" s="37" t="s">
        <v>1786</v>
      </c>
      <c r="F74" s="38" t="s">
        <v>1787</v>
      </c>
      <c r="G74" s="38">
        <v>12</v>
      </c>
      <c r="H74" s="38">
        <v>0</v>
      </c>
      <c r="I74" s="39" t="s">
        <v>261</v>
      </c>
      <c r="J74" s="40">
        <v>0</v>
      </c>
      <c r="K74" s="40">
        <v>239</v>
      </c>
      <c r="L74" s="40">
        <v>0</v>
      </c>
      <c r="M74" s="41">
        <v>75</v>
      </c>
      <c r="N74" s="41">
        <v>75</v>
      </c>
      <c r="O74" s="42">
        <v>0</v>
      </c>
      <c r="P74" s="43">
        <v>0</v>
      </c>
      <c r="Q74" s="43">
        <v>0</v>
      </c>
      <c r="R74" s="44">
        <v>8.0730000000000004</v>
      </c>
      <c r="S74" s="45">
        <v>8.0730000000000004</v>
      </c>
      <c r="T74" s="38">
        <f t="shared" si="19"/>
        <v>12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>
        <f>HLOOKUP(I74,ElecAvoidedCostsWOCC!$A$5:$Q$50,G74+1,FALSE)</f>
        <v>1.1709909127665883</v>
      </c>
      <c r="AG74" s="43">
        <f t="shared" si="31"/>
        <v>0</v>
      </c>
      <c r="AH74" s="51">
        <f>HLOOKUP(I74,ElecAvoidedCostsWOCC!$A$5:$Q$50,T74+1,FALSE)</f>
        <v>1.1709909127665883</v>
      </c>
      <c r="AI74" s="43">
        <f t="shared" si="32"/>
        <v>0</v>
      </c>
      <c r="AJ74" s="43">
        <f t="shared" si="33"/>
        <v>0</v>
      </c>
      <c r="AK74" s="43">
        <f>HLOOKUP(I74,ElecAvoidedCostsWOCC!$A$5:$Q$50,G74+1,FALSE)*J74*L74</f>
        <v>0</v>
      </c>
      <c r="AL74" s="43">
        <f t="shared" si="34"/>
        <v>0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67</v>
      </c>
      <c r="C75" s="89">
        <v>18231134</v>
      </c>
      <c r="D75" s="60" t="s">
        <v>166</v>
      </c>
      <c r="E75" s="37" t="s">
        <v>1788</v>
      </c>
      <c r="F75" s="38" t="s">
        <v>754</v>
      </c>
      <c r="G75" s="38">
        <v>12</v>
      </c>
      <c r="H75" s="38">
        <v>0</v>
      </c>
      <c r="I75" s="39" t="s">
        <v>261</v>
      </c>
      <c r="J75" s="40">
        <v>0</v>
      </c>
      <c r="K75" s="40">
        <v>290</v>
      </c>
      <c r="L75" s="40">
        <v>0</v>
      </c>
      <c r="M75" s="41">
        <v>75</v>
      </c>
      <c r="N75" s="41">
        <v>75</v>
      </c>
      <c r="O75" s="42">
        <v>0</v>
      </c>
      <c r="P75" s="43">
        <v>0</v>
      </c>
      <c r="Q75" s="43">
        <v>0</v>
      </c>
      <c r="R75" s="44">
        <v>9.7959999999999994</v>
      </c>
      <c r="S75" s="45">
        <v>9.7959999999999994</v>
      </c>
      <c r="T75" s="38">
        <f t="shared" si="19"/>
        <v>12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1.1709909127665883</v>
      </c>
      <c r="AG75" s="43">
        <f t="shared" si="31"/>
        <v>0</v>
      </c>
      <c r="AH75" s="51">
        <f>HLOOKUP(I75,ElecAvoidedCostsWOCC!$A$5:$Q$50,T75+1,FALSE)</f>
        <v>1.1709909127665883</v>
      </c>
      <c r="AI75" s="43">
        <f t="shared" si="32"/>
        <v>0</v>
      </c>
      <c r="AJ75" s="43">
        <f t="shared" si="33"/>
        <v>0</v>
      </c>
      <c r="AK75" s="43">
        <f>HLOOKUP(I75,ElecAvoidedCostsWOCC!$A$5:$Q$50,G75+1,FALSE)*J75*L75</f>
        <v>0</v>
      </c>
      <c r="AL75" s="43">
        <f t="shared" si="34"/>
        <v>0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67</v>
      </c>
      <c r="C76" s="89">
        <v>18231134</v>
      </c>
      <c r="D76" s="60" t="s">
        <v>166</v>
      </c>
      <c r="E76" s="37" t="s">
        <v>1789</v>
      </c>
      <c r="F76" s="38" t="s">
        <v>755</v>
      </c>
      <c r="G76" s="38">
        <v>12</v>
      </c>
      <c r="H76" s="38">
        <v>0</v>
      </c>
      <c r="I76" s="39" t="s">
        <v>261</v>
      </c>
      <c r="J76" s="40">
        <v>0</v>
      </c>
      <c r="K76" s="40">
        <v>443</v>
      </c>
      <c r="L76" s="40">
        <v>0</v>
      </c>
      <c r="M76" s="41">
        <v>75</v>
      </c>
      <c r="N76" s="41">
        <v>75</v>
      </c>
      <c r="O76" s="42">
        <v>0</v>
      </c>
      <c r="P76" s="43">
        <v>0</v>
      </c>
      <c r="Q76" s="43">
        <v>0</v>
      </c>
      <c r="R76" s="44">
        <v>14.964</v>
      </c>
      <c r="S76" s="45">
        <v>14.964</v>
      </c>
      <c r="T76" s="38">
        <f t="shared" si="19"/>
        <v>12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1.1709909127665883</v>
      </c>
      <c r="AG76" s="43">
        <f t="shared" si="31"/>
        <v>0</v>
      </c>
      <c r="AH76" s="51">
        <f>HLOOKUP(I76,ElecAvoidedCostsWOCC!$A$5:$Q$50,T76+1,FALSE)</f>
        <v>1.1709909127665883</v>
      </c>
      <c r="AI76" s="43">
        <f t="shared" si="32"/>
        <v>0</v>
      </c>
      <c r="AJ76" s="43">
        <f t="shared" si="33"/>
        <v>0</v>
      </c>
      <c r="AK76" s="43">
        <f>HLOOKUP(I76,ElecAvoidedCostsWOCC!$A$5:$Q$50,G76+1,FALSE)*J76*L76</f>
        <v>0</v>
      </c>
      <c r="AL76" s="43">
        <f t="shared" si="34"/>
        <v>0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67</v>
      </c>
      <c r="C77" s="89">
        <v>18231134</v>
      </c>
      <c r="D77" s="60" t="s">
        <v>166</v>
      </c>
      <c r="E77" s="37" t="s">
        <v>1790</v>
      </c>
      <c r="F77" s="38" t="s">
        <v>1791</v>
      </c>
      <c r="G77" s="38">
        <v>12</v>
      </c>
      <c r="H77" s="38">
        <v>0</v>
      </c>
      <c r="I77" s="39" t="s">
        <v>261</v>
      </c>
      <c r="J77" s="40">
        <v>0</v>
      </c>
      <c r="K77" s="40">
        <v>187</v>
      </c>
      <c r="L77" s="40">
        <v>0</v>
      </c>
      <c r="M77" s="41">
        <v>75</v>
      </c>
      <c r="N77" s="41">
        <v>75</v>
      </c>
      <c r="O77" s="42">
        <v>0</v>
      </c>
      <c r="P77" s="43">
        <v>0</v>
      </c>
      <c r="Q77" s="43">
        <v>0</v>
      </c>
      <c r="R77" s="44">
        <v>6.3170000000000002</v>
      </c>
      <c r="S77" s="45">
        <v>6.3170000000000002</v>
      </c>
      <c r="T77" s="38">
        <f t="shared" si="19"/>
        <v>12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1.1709909127665883</v>
      </c>
      <c r="AG77" s="43">
        <f t="shared" si="31"/>
        <v>0</v>
      </c>
      <c r="AH77" s="51">
        <f>HLOOKUP(I77,ElecAvoidedCostsWOCC!$A$5:$Q$50,T77+1,FALSE)</f>
        <v>1.1709909127665883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67</v>
      </c>
      <c r="C78" s="89">
        <v>18231134</v>
      </c>
      <c r="D78" s="60" t="s">
        <v>166</v>
      </c>
      <c r="E78" s="37" t="s">
        <v>1792</v>
      </c>
      <c r="F78" s="38" t="s">
        <v>1793</v>
      </c>
      <c r="G78" s="38">
        <v>12</v>
      </c>
      <c r="H78" s="38">
        <v>0</v>
      </c>
      <c r="I78" s="39" t="s">
        <v>261</v>
      </c>
      <c r="J78" s="40">
        <v>0</v>
      </c>
      <c r="K78" s="40">
        <v>239</v>
      </c>
      <c r="L78" s="40">
        <v>0</v>
      </c>
      <c r="M78" s="41">
        <v>75</v>
      </c>
      <c r="N78" s="41">
        <v>75</v>
      </c>
      <c r="O78" s="42">
        <v>0</v>
      </c>
      <c r="P78" s="43">
        <v>0</v>
      </c>
      <c r="Q78" s="43">
        <v>0</v>
      </c>
      <c r="R78" s="44">
        <v>8.0730000000000004</v>
      </c>
      <c r="S78" s="45">
        <v>8.0730000000000004</v>
      </c>
      <c r="T78" s="38">
        <f t="shared" si="19"/>
        <v>12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1.1709909127665883</v>
      </c>
      <c r="AG78" s="43">
        <f t="shared" si="31"/>
        <v>0</v>
      </c>
      <c r="AH78" s="51">
        <f>HLOOKUP(I78,ElecAvoidedCostsWOCC!$A$5:$Q$50,T78+1,FALSE)</f>
        <v>1.1709909127665883</v>
      </c>
      <c r="AI78" s="43">
        <f t="shared" si="32"/>
        <v>0</v>
      </c>
      <c r="AJ78" s="43">
        <f t="shared" si="33"/>
        <v>0</v>
      </c>
      <c r="AK78" s="43">
        <f>HLOOKUP(I78,ElecAvoidedCostsWOCC!$A$5:$Q$50,G78+1,FALSE)*J78*L78</f>
        <v>0</v>
      </c>
      <c r="AL78" s="43">
        <f t="shared" si="34"/>
        <v>0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67</v>
      </c>
      <c r="C79" s="89">
        <v>18231134</v>
      </c>
      <c r="D79" s="60" t="s">
        <v>166</v>
      </c>
      <c r="E79" s="37" t="s">
        <v>1794</v>
      </c>
      <c r="F79" s="38" t="s">
        <v>1795</v>
      </c>
      <c r="G79" s="38">
        <v>12</v>
      </c>
      <c r="H79" s="38">
        <v>0</v>
      </c>
      <c r="I79" s="39" t="s">
        <v>261</v>
      </c>
      <c r="J79" s="40">
        <v>0</v>
      </c>
      <c r="K79" s="40">
        <v>358</v>
      </c>
      <c r="L79" s="40">
        <v>0</v>
      </c>
      <c r="M79" s="41">
        <v>78</v>
      </c>
      <c r="N79" s="41">
        <v>78</v>
      </c>
      <c r="O79" s="42">
        <v>0</v>
      </c>
      <c r="P79" s="43">
        <v>0</v>
      </c>
      <c r="Q79" s="43">
        <v>0</v>
      </c>
      <c r="R79" s="44">
        <v>12.093</v>
      </c>
      <c r="S79" s="45">
        <v>12.093</v>
      </c>
      <c r="T79" s="38">
        <f t="shared" si="19"/>
        <v>12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1.1709909127665883</v>
      </c>
      <c r="AG79" s="43">
        <f t="shared" si="31"/>
        <v>0</v>
      </c>
      <c r="AH79" s="51">
        <f>HLOOKUP(I79,ElecAvoidedCostsWOCC!$A$5:$Q$50,T79+1,FALSE)</f>
        <v>1.1709909127665883</v>
      </c>
      <c r="AI79" s="43">
        <f t="shared" si="32"/>
        <v>0</v>
      </c>
      <c r="AJ79" s="43">
        <f t="shared" si="33"/>
        <v>0</v>
      </c>
      <c r="AK79" s="43">
        <f>HLOOKUP(I79,ElecAvoidedCostsWOCC!$A$5:$Q$50,G79+1,FALSE)*J79*L79</f>
        <v>0</v>
      </c>
      <c r="AL79" s="43">
        <f t="shared" si="34"/>
        <v>0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88" t="s">
        <v>67</v>
      </c>
      <c r="C80" s="89">
        <v>18231134</v>
      </c>
      <c r="D80" s="60" t="s">
        <v>166</v>
      </c>
      <c r="E80" s="37" t="s">
        <v>1796</v>
      </c>
      <c r="F80" s="38" t="s">
        <v>756</v>
      </c>
      <c r="G80" s="38">
        <v>12</v>
      </c>
      <c r="H80" s="38">
        <v>0</v>
      </c>
      <c r="I80" s="39" t="s">
        <v>261</v>
      </c>
      <c r="J80" s="40">
        <v>0</v>
      </c>
      <c r="K80" s="40">
        <v>358</v>
      </c>
      <c r="L80" s="40">
        <v>0</v>
      </c>
      <c r="M80" s="41">
        <v>78</v>
      </c>
      <c r="N80" s="41">
        <v>78</v>
      </c>
      <c r="O80" s="42">
        <v>0</v>
      </c>
      <c r="P80" s="43">
        <v>0</v>
      </c>
      <c r="Q80" s="43">
        <v>0</v>
      </c>
      <c r="R80" s="44">
        <v>12.093</v>
      </c>
      <c r="S80" s="45">
        <v>12.093</v>
      </c>
      <c r="T80" s="38">
        <f t="shared" si="19"/>
        <v>12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1.1709909127665883</v>
      </c>
      <c r="AG80" s="43">
        <f t="shared" si="31"/>
        <v>0</v>
      </c>
      <c r="AH80" s="51">
        <f>HLOOKUP(I80,ElecAvoidedCostsWOCC!$A$5:$Q$50,T80+1,FALSE)</f>
        <v>1.1709909127665883</v>
      </c>
      <c r="AI80" s="43">
        <f t="shared" si="32"/>
        <v>0</v>
      </c>
      <c r="AJ80" s="43">
        <f t="shared" si="33"/>
        <v>0</v>
      </c>
      <c r="AK80" s="43">
        <f>HLOOKUP(I80,ElecAvoidedCostsWOCC!$A$5:$Q$50,G80+1,FALSE)*J80*L80</f>
        <v>0</v>
      </c>
      <c r="AL80" s="43">
        <f t="shared" si="34"/>
        <v>0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88" t="s">
        <v>67</v>
      </c>
      <c r="C81" s="89">
        <v>18231134</v>
      </c>
      <c r="D81" s="60" t="s">
        <v>166</v>
      </c>
      <c r="E81" s="37" t="s">
        <v>1797</v>
      </c>
      <c r="F81" s="38" t="s">
        <v>1798</v>
      </c>
      <c r="G81" s="38">
        <v>12</v>
      </c>
      <c r="H81" s="38">
        <v>0</v>
      </c>
      <c r="I81" s="39" t="s">
        <v>261</v>
      </c>
      <c r="J81" s="40">
        <v>0</v>
      </c>
      <c r="K81" s="40">
        <v>664</v>
      </c>
      <c r="L81" s="40">
        <v>0</v>
      </c>
      <c r="M81" s="41">
        <v>78</v>
      </c>
      <c r="N81" s="41">
        <v>78</v>
      </c>
      <c r="O81" s="42">
        <v>0</v>
      </c>
      <c r="P81" s="43">
        <v>0</v>
      </c>
      <c r="Q81" s="43">
        <v>0</v>
      </c>
      <c r="R81" s="44">
        <v>22.43</v>
      </c>
      <c r="S81" s="45">
        <v>22.43</v>
      </c>
      <c r="T81" s="38">
        <f t="shared" si="19"/>
        <v>12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>
        <f>HLOOKUP(I81,ElecAvoidedCostsWOCC!$A$5:$Q$50,G81+1,FALSE)</f>
        <v>1.1709909127665883</v>
      </c>
      <c r="AG81" s="43">
        <f t="shared" si="31"/>
        <v>0</v>
      </c>
      <c r="AH81" s="51">
        <f>HLOOKUP(I81,ElecAvoidedCostsWOCC!$A$5:$Q$50,T81+1,FALSE)</f>
        <v>1.1709909127665883</v>
      </c>
      <c r="AI81" s="43">
        <f t="shared" si="32"/>
        <v>0</v>
      </c>
      <c r="AJ81" s="43">
        <f t="shared" si="33"/>
        <v>0</v>
      </c>
      <c r="AK81" s="43">
        <f>HLOOKUP(I81,ElecAvoidedCostsWOCC!$A$5:$Q$50,G81+1,FALSE)*J81*L81</f>
        <v>0</v>
      </c>
      <c r="AL81" s="43">
        <f t="shared" si="34"/>
        <v>0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88" t="s">
        <v>67</v>
      </c>
      <c r="C82" s="89">
        <v>18231134</v>
      </c>
      <c r="D82" s="60" t="s">
        <v>166</v>
      </c>
      <c r="E82" s="37" t="s">
        <v>1799</v>
      </c>
      <c r="F82" s="38" t="s">
        <v>1800</v>
      </c>
      <c r="G82" s="38">
        <v>12</v>
      </c>
      <c r="H82" s="38">
        <v>0</v>
      </c>
      <c r="I82" s="39" t="s">
        <v>261</v>
      </c>
      <c r="J82" s="40">
        <v>0</v>
      </c>
      <c r="K82" s="40">
        <v>281</v>
      </c>
      <c r="L82" s="40">
        <v>0</v>
      </c>
      <c r="M82" s="41">
        <v>78</v>
      </c>
      <c r="N82" s="41">
        <v>78</v>
      </c>
      <c r="O82" s="42">
        <v>0</v>
      </c>
      <c r="P82" s="43">
        <v>0</v>
      </c>
      <c r="Q82" s="43">
        <v>0</v>
      </c>
      <c r="R82" s="44">
        <v>9.4920000000000009</v>
      </c>
      <c r="S82" s="45">
        <v>9.4920000000000009</v>
      </c>
      <c r="T82" s="38">
        <f t="shared" si="19"/>
        <v>12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>
        <f>HLOOKUP(I82,ElecAvoidedCostsWOCC!$A$5:$Q$50,G82+1,FALSE)</f>
        <v>1.1709909127665883</v>
      </c>
      <c r="AG82" s="43">
        <f t="shared" si="31"/>
        <v>0</v>
      </c>
      <c r="AH82" s="51">
        <f>HLOOKUP(I82,ElecAvoidedCostsWOCC!$A$5:$Q$50,T82+1,FALSE)</f>
        <v>1.1709909127665883</v>
      </c>
      <c r="AI82" s="43">
        <f t="shared" si="32"/>
        <v>0</v>
      </c>
      <c r="AJ82" s="43">
        <f t="shared" si="33"/>
        <v>0</v>
      </c>
      <c r="AK82" s="43">
        <f>HLOOKUP(I82,ElecAvoidedCostsWOCC!$A$5:$Q$50,G82+1,FALSE)*J82*L82</f>
        <v>0</v>
      </c>
      <c r="AL82" s="43">
        <f t="shared" si="34"/>
        <v>0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88" t="s">
        <v>67</v>
      </c>
      <c r="C83" s="89">
        <v>18231134</v>
      </c>
      <c r="D83" s="60" t="s">
        <v>166</v>
      </c>
      <c r="E83" s="37" t="s">
        <v>1801</v>
      </c>
      <c r="F83" s="38" t="s">
        <v>1802</v>
      </c>
      <c r="G83" s="38">
        <v>12</v>
      </c>
      <c r="H83" s="38">
        <v>0</v>
      </c>
      <c r="I83" s="39" t="s">
        <v>261</v>
      </c>
      <c r="J83" s="40">
        <v>0</v>
      </c>
      <c r="K83" s="40">
        <v>358</v>
      </c>
      <c r="L83" s="40">
        <v>0</v>
      </c>
      <c r="M83" s="41">
        <v>78</v>
      </c>
      <c r="N83" s="41">
        <v>78</v>
      </c>
      <c r="O83" s="42">
        <v>0</v>
      </c>
      <c r="P83" s="43">
        <v>0</v>
      </c>
      <c r="Q83" s="43">
        <v>0</v>
      </c>
      <c r="R83" s="44">
        <v>12.093</v>
      </c>
      <c r="S83" s="45">
        <v>12.093</v>
      </c>
      <c r="T83" s="38">
        <f t="shared" si="19"/>
        <v>12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>
        <f>HLOOKUP(I83,ElecAvoidedCostsWOCC!$A$5:$Q$50,G83+1,FALSE)</f>
        <v>1.1709909127665883</v>
      </c>
      <c r="AG83" s="43">
        <f t="shared" si="31"/>
        <v>0</v>
      </c>
      <c r="AH83" s="51">
        <f>HLOOKUP(I83,ElecAvoidedCostsWOCC!$A$5:$Q$50,T83+1,FALSE)</f>
        <v>1.1709909127665883</v>
      </c>
      <c r="AI83" s="43">
        <f t="shared" si="32"/>
        <v>0</v>
      </c>
      <c r="AJ83" s="43">
        <f t="shared" si="33"/>
        <v>0</v>
      </c>
      <c r="AK83" s="43">
        <f>HLOOKUP(I83,ElecAvoidedCostsWOCC!$A$5:$Q$50,G83+1,FALSE)*J83*L83</f>
        <v>0</v>
      </c>
      <c r="AL83" s="43">
        <f t="shared" si="34"/>
        <v>0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88" t="s">
        <v>67</v>
      </c>
      <c r="C84" s="89">
        <v>18231134</v>
      </c>
      <c r="D84" s="60" t="s">
        <v>166</v>
      </c>
      <c r="E84" s="37" t="s">
        <v>1803</v>
      </c>
      <c r="F84" s="38" t="s">
        <v>1804</v>
      </c>
      <c r="G84" s="38">
        <v>12</v>
      </c>
      <c r="H84" s="38">
        <v>0</v>
      </c>
      <c r="I84" s="39" t="s">
        <v>261</v>
      </c>
      <c r="J84" s="40">
        <v>0</v>
      </c>
      <c r="K84" s="40">
        <v>375</v>
      </c>
      <c r="L84" s="40">
        <v>0</v>
      </c>
      <c r="M84" s="41">
        <v>100</v>
      </c>
      <c r="N84" s="41">
        <v>100</v>
      </c>
      <c r="O84" s="42">
        <v>0</v>
      </c>
      <c r="P84" s="43">
        <v>0</v>
      </c>
      <c r="Q84" s="43">
        <v>0</v>
      </c>
      <c r="R84" s="44">
        <v>12.667</v>
      </c>
      <c r="S84" s="45">
        <v>12.667</v>
      </c>
      <c r="T84" s="38">
        <f t="shared" si="19"/>
        <v>12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>
        <f>HLOOKUP(I84,ElecAvoidedCostsWOCC!$A$5:$Q$50,G84+1,FALSE)</f>
        <v>1.1709909127665883</v>
      </c>
      <c r="AG84" s="43">
        <f t="shared" si="31"/>
        <v>0</v>
      </c>
      <c r="AH84" s="51">
        <f>HLOOKUP(I84,ElecAvoidedCostsWOCC!$A$5:$Q$50,T84+1,FALSE)</f>
        <v>1.1709909127665883</v>
      </c>
      <c r="AI84" s="43">
        <f t="shared" si="32"/>
        <v>0</v>
      </c>
      <c r="AJ84" s="43">
        <f t="shared" si="33"/>
        <v>0</v>
      </c>
      <c r="AK84" s="43">
        <f>HLOOKUP(I84,ElecAvoidedCostsWOCC!$A$5:$Q$50,G84+1,FALSE)*J84*L84</f>
        <v>0</v>
      </c>
      <c r="AL84" s="43">
        <f t="shared" si="34"/>
        <v>0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88" t="s">
        <v>67</v>
      </c>
      <c r="C85" s="89">
        <v>18231134</v>
      </c>
      <c r="D85" s="60" t="s">
        <v>166</v>
      </c>
      <c r="E85" s="37" t="s">
        <v>1805</v>
      </c>
      <c r="F85" s="38" t="s">
        <v>1806</v>
      </c>
      <c r="G85" s="38">
        <v>12</v>
      </c>
      <c r="H85" s="38">
        <v>0</v>
      </c>
      <c r="I85" s="39" t="s">
        <v>261</v>
      </c>
      <c r="J85" s="40">
        <v>0</v>
      </c>
      <c r="K85" s="40">
        <v>477</v>
      </c>
      <c r="L85" s="40">
        <v>0</v>
      </c>
      <c r="M85" s="41">
        <v>100</v>
      </c>
      <c r="N85" s="41">
        <v>100</v>
      </c>
      <c r="O85" s="42">
        <v>0</v>
      </c>
      <c r="P85" s="43">
        <v>0</v>
      </c>
      <c r="Q85" s="43">
        <v>0</v>
      </c>
      <c r="R85" s="44">
        <v>16.113</v>
      </c>
      <c r="S85" s="45">
        <v>16.113</v>
      </c>
      <c r="T85" s="38">
        <f t="shared" si="19"/>
        <v>12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>
        <f>HLOOKUP(I85,ElecAvoidedCostsWOCC!$A$5:$Q$50,G85+1,FALSE)</f>
        <v>1.1709909127665883</v>
      </c>
      <c r="AG85" s="43">
        <f t="shared" si="31"/>
        <v>0</v>
      </c>
      <c r="AH85" s="51">
        <f>HLOOKUP(I85,ElecAvoidedCostsWOCC!$A$5:$Q$50,T85+1,FALSE)</f>
        <v>1.1709909127665883</v>
      </c>
      <c r="AI85" s="43">
        <f t="shared" si="32"/>
        <v>0</v>
      </c>
      <c r="AJ85" s="43">
        <f t="shared" si="33"/>
        <v>0</v>
      </c>
      <c r="AK85" s="43">
        <f>HLOOKUP(I85,ElecAvoidedCostsWOCC!$A$5:$Q$50,G85+1,FALSE)*J85*L85</f>
        <v>0</v>
      </c>
      <c r="AL85" s="43">
        <f t="shared" si="34"/>
        <v>0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88" t="s">
        <v>67</v>
      </c>
      <c r="C86" s="89">
        <v>18231134</v>
      </c>
      <c r="D86" s="60" t="s">
        <v>166</v>
      </c>
      <c r="E86" s="37" t="s">
        <v>1807</v>
      </c>
      <c r="F86" s="38" t="s">
        <v>1808</v>
      </c>
      <c r="G86" s="38">
        <v>12</v>
      </c>
      <c r="H86" s="38">
        <v>0</v>
      </c>
      <c r="I86" s="39" t="s">
        <v>261</v>
      </c>
      <c r="J86" s="40">
        <v>0</v>
      </c>
      <c r="K86" s="40">
        <v>477</v>
      </c>
      <c r="L86" s="40">
        <v>0</v>
      </c>
      <c r="M86" s="41">
        <v>100</v>
      </c>
      <c r="N86" s="41">
        <v>100</v>
      </c>
      <c r="O86" s="42">
        <v>0</v>
      </c>
      <c r="P86" s="43">
        <v>0</v>
      </c>
      <c r="Q86" s="43">
        <v>0</v>
      </c>
      <c r="R86" s="44">
        <v>16.113</v>
      </c>
      <c r="S86" s="45">
        <v>16.113</v>
      </c>
      <c r="T86" s="38">
        <f t="shared" si="19"/>
        <v>12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>
        <f>HLOOKUP(I86,ElecAvoidedCostsWOCC!$A$5:$Q$50,G86+1,FALSE)</f>
        <v>1.1709909127665883</v>
      </c>
      <c r="AG86" s="43">
        <f t="shared" si="31"/>
        <v>0</v>
      </c>
      <c r="AH86" s="51">
        <f>HLOOKUP(I86,ElecAvoidedCostsWOCC!$A$5:$Q$50,T86+1,FALSE)</f>
        <v>1.1709909127665883</v>
      </c>
      <c r="AI86" s="43">
        <f t="shared" si="32"/>
        <v>0</v>
      </c>
      <c r="AJ86" s="43">
        <f t="shared" si="33"/>
        <v>0</v>
      </c>
      <c r="AK86" s="43">
        <f>HLOOKUP(I86,ElecAvoidedCostsWOCC!$A$5:$Q$50,G86+1,FALSE)*J86*L86</f>
        <v>0</v>
      </c>
      <c r="AL86" s="43">
        <f t="shared" si="34"/>
        <v>0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 t="s">
        <v>1809</v>
      </c>
      <c r="F87" s="38" t="s">
        <v>757</v>
      </c>
      <c r="G87" s="38">
        <v>12</v>
      </c>
      <c r="H87" s="38">
        <v>0</v>
      </c>
      <c r="I87" s="39" t="s">
        <v>261</v>
      </c>
      <c r="J87" s="40">
        <v>0</v>
      </c>
      <c r="K87" s="40">
        <v>886</v>
      </c>
      <c r="L87" s="40">
        <v>0</v>
      </c>
      <c r="M87" s="41">
        <v>100</v>
      </c>
      <c r="N87" s="41">
        <v>100</v>
      </c>
      <c r="O87" s="42">
        <v>0</v>
      </c>
      <c r="P87" s="43">
        <v>0</v>
      </c>
      <c r="Q87" s="43">
        <v>0</v>
      </c>
      <c r="R87" s="44">
        <v>29.928999999999998</v>
      </c>
      <c r="S87" s="45">
        <v>29.928999999999998</v>
      </c>
      <c r="T87" s="38">
        <f t="shared" ref="T87:T150" si="38">G87+H87</f>
        <v>12</v>
      </c>
      <c r="U87" s="46">
        <f t="shared" ref="U87:U150" si="39">(O87/$A$10)*T87</f>
        <v>0</v>
      </c>
      <c r="V87" s="47">
        <f t="shared" ref="V87:V150" si="40">N87-M87</f>
        <v>0</v>
      </c>
      <c r="W87" s="48">
        <f t="shared" ref="W87:W150" si="41">(O87/A$10)</f>
        <v>0</v>
      </c>
      <c r="X87" s="43">
        <f t="shared" ref="X87:X150" si="42">W87*A$8</f>
        <v>0</v>
      </c>
      <c r="Y87" s="43">
        <f t="shared" ref="Y87:Y150" si="43">Q87-P87</f>
        <v>0</v>
      </c>
      <c r="Z87" s="43">
        <f t="shared" ref="Z87:Z150" si="44">X87+(A$6*W87)</f>
        <v>0</v>
      </c>
      <c r="AA87" s="49">
        <f t="shared" ref="AA87:AA150" si="45">Q87+X87</f>
        <v>0</v>
      </c>
      <c r="AB87" s="50">
        <f t="shared" ref="AB87:AB150" si="46">Z87/(1+ElecDiscountRate)^1</f>
        <v>0</v>
      </c>
      <c r="AC87" s="43">
        <f t="shared" ref="AC87:AC150" si="47">AA87/(1+ElecDiscountRate)^1</f>
        <v>0</v>
      </c>
      <c r="AD87" s="43">
        <f t="shared" ref="AD87:AD150" si="48">-PV(ElecDiscountRate,T87,R87)*J87</f>
        <v>0</v>
      </c>
      <c r="AE87" s="43">
        <f t="shared" ref="AE87:AE150" si="49">-PV(ElecDiscountRate,T87,S87)*J87</f>
        <v>0</v>
      </c>
      <c r="AF87" s="51">
        <f>HLOOKUP(I87,ElecAvoidedCostsWOCC!$A$5:$Q$50,G87+1,FALSE)</f>
        <v>1.1709909127665883</v>
      </c>
      <c r="AG87" s="43">
        <f t="shared" ref="AG87:AG150" si="50">AF87*J87*K87</f>
        <v>0</v>
      </c>
      <c r="AH87" s="51">
        <f>HLOOKUP(I87,ElecAvoidedCostsWOCC!$A$5:$Q$50,T87+1,FALSE)</f>
        <v>1.1709909127665883</v>
      </c>
      <c r="AI87" s="43">
        <f t="shared" ref="AI87:AI150" si="51">AH87*J87*L87</f>
        <v>0</v>
      </c>
      <c r="AJ87" s="43">
        <f t="shared" ref="AJ87:AJ150" si="52">AG87+AI87</f>
        <v>0</v>
      </c>
      <c r="AK87" s="43">
        <f>HLOOKUP(I87,ElecAvoidedCostsWOCC!$A$5:$Q$50,G87+1,FALSE)*J87*L87</f>
        <v>0</v>
      </c>
      <c r="AL87" s="43">
        <f t="shared" ref="AL87:AL150" si="53">AG87+AI87-AK87</f>
        <v>0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ref="AN87:AN150" si="54">AM87*1.1+AD87+AE87</f>
        <v>0</v>
      </c>
      <c r="AO87" s="46">
        <f t="shared" ref="AO87:AO150" si="55">IFERROR(AM87/AB87,0)</f>
        <v>0</v>
      </c>
      <c r="AP87" s="46" t="e">
        <f t="shared" ref="AP87:AP150" si="56">AN87/AC87</f>
        <v>#DIV/0!</v>
      </c>
    </row>
    <row r="88" spans="2:42" x14ac:dyDescent="0.25">
      <c r="B88" s="36"/>
      <c r="C88" s="60"/>
      <c r="D88" s="60"/>
      <c r="E88" s="37" t="s">
        <v>1810</v>
      </c>
      <c r="F88" s="38" t="s">
        <v>758</v>
      </c>
      <c r="G88" s="38">
        <v>12</v>
      </c>
      <c r="H88" s="38">
        <v>0</v>
      </c>
      <c r="I88" s="39" t="s">
        <v>261</v>
      </c>
      <c r="J88" s="40">
        <v>0</v>
      </c>
      <c r="K88" s="40">
        <v>886</v>
      </c>
      <c r="L88" s="40">
        <v>0</v>
      </c>
      <c r="M88" s="41">
        <v>100</v>
      </c>
      <c r="N88" s="41">
        <v>100</v>
      </c>
      <c r="O88" s="42">
        <v>0</v>
      </c>
      <c r="P88" s="43">
        <v>0</v>
      </c>
      <c r="Q88" s="43">
        <v>0</v>
      </c>
      <c r="R88" s="44">
        <v>29.928999999999998</v>
      </c>
      <c r="S88" s="45">
        <v>29.928999999999998</v>
      </c>
      <c r="T88" s="38">
        <f t="shared" si="38"/>
        <v>12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>
        <f>HLOOKUP(I88,ElecAvoidedCostsWOCC!$A$5:$Q$50,G88+1,FALSE)</f>
        <v>1.1709909127665883</v>
      </c>
      <c r="AG88" s="43">
        <f t="shared" si="50"/>
        <v>0</v>
      </c>
      <c r="AH88" s="51">
        <f>HLOOKUP(I88,ElecAvoidedCostsWOCC!$A$5:$Q$50,T88+1,FALSE)</f>
        <v>1.1709909127665883</v>
      </c>
      <c r="AI88" s="43">
        <f t="shared" si="51"/>
        <v>0</v>
      </c>
      <c r="AJ88" s="43">
        <f t="shared" si="52"/>
        <v>0</v>
      </c>
      <c r="AK88" s="43">
        <f>HLOOKUP(I88,ElecAvoidedCostsWOCC!$A$5:$Q$50,G88+1,FALSE)*J88*L88</f>
        <v>0</v>
      </c>
      <c r="AL88" s="43">
        <f t="shared" si="53"/>
        <v>0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 t="s">
        <v>1811</v>
      </c>
      <c r="F89" s="38" t="s">
        <v>1812</v>
      </c>
      <c r="G89" s="38">
        <v>12</v>
      </c>
      <c r="H89" s="38">
        <v>0</v>
      </c>
      <c r="I89" s="39" t="s">
        <v>261</v>
      </c>
      <c r="J89" s="40">
        <v>0</v>
      </c>
      <c r="K89" s="40">
        <v>775</v>
      </c>
      <c r="L89" s="40">
        <v>0</v>
      </c>
      <c r="M89" s="41">
        <v>114</v>
      </c>
      <c r="N89" s="41">
        <v>114</v>
      </c>
      <c r="O89" s="42">
        <v>0</v>
      </c>
      <c r="P89" s="43">
        <v>0</v>
      </c>
      <c r="Q89" s="43">
        <v>0</v>
      </c>
      <c r="R89" s="44">
        <v>26.178999999999998</v>
      </c>
      <c r="S89" s="45">
        <v>26.178999999999998</v>
      </c>
      <c r="T89" s="38">
        <f t="shared" si="38"/>
        <v>12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>
        <f>HLOOKUP(I89,ElecAvoidedCostsWOCC!$A$5:$Q$50,G89+1,FALSE)</f>
        <v>1.1709909127665883</v>
      </c>
      <c r="AG89" s="43">
        <f t="shared" si="50"/>
        <v>0</v>
      </c>
      <c r="AH89" s="51">
        <f>HLOOKUP(I89,ElecAvoidedCostsWOCC!$A$5:$Q$50,T89+1,FALSE)</f>
        <v>1.1709909127665883</v>
      </c>
      <c r="AI89" s="43">
        <f t="shared" si="51"/>
        <v>0</v>
      </c>
      <c r="AJ89" s="43">
        <f t="shared" si="52"/>
        <v>0</v>
      </c>
      <c r="AK89" s="43">
        <f>HLOOKUP(I89,ElecAvoidedCostsWOCC!$A$5:$Q$50,G89+1,FALSE)*J89*L89</f>
        <v>0</v>
      </c>
      <c r="AL89" s="43">
        <f t="shared" si="53"/>
        <v>0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 t="s">
        <v>1813</v>
      </c>
      <c r="F90" s="38" t="s">
        <v>765</v>
      </c>
      <c r="G90" s="38">
        <v>12</v>
      </c>
      <c r="H90" s="38">
        <v>0</v>
      </c>
      <c r="I90" s="39" t="s">
        <v>261</v>
      </c>
      <c r="J90" s="40">
        <v>0</v>
      </c>
      <c r="K90" s="40">
        <v>287</v>
      </c>
      <c r="L90" s="40">
        <v>0</v>
      </c>
      <c r="M90" s="41">
        <v>114</v>
      </c>
      <c r="N90" s="41">
        <v>114</v>
      </c>
      <c r="O90" s="42">
        <v>0</v>
      </c>
      <c r="P90" s="43">
        <v>0</v>
      </c>
      <c r="Q90" s="43">
        <v>0</v>
      </c>
      <c r="R90" s="44">
        <v>10.404</v>
      </c>
      <c r="S90" s="45">
        <v>10.404</v>
      </c>
      <c r="T90" s="38">
        <f t="shared" si="38"/>
        <v>12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>
        <f>HLOOKUP(I90,ElecAvoidedCostsWOCC!$A$5:$Q$50,G90+1,FALSE)</f>
        <v>1.1709909127665883</v>
      </c>
      <c r="AG90" s="43">
        <f t="shared" si="50"/>
        <v>0</v>
      </c>
      <c r="AH90" s="51">
        <f>HLOOKUP(I90,ElecAvoidedCostsWOCC!$A$5:$Q$50,T90+1,FALSE)</f>
        <v>1.1709909127665883</v>
      </c>
      <c r="AI90" s="43">
        <f t="shared" si="51"/>
        <v>0</v>
      </c>
      <c r="AJ90" s="43">
        <f t="shared" si="52"/>
        <v>0</v>
      </c>
      <c r="AK90" s="43">
        <f>HLOOKUP(I90,ElecAvoidedCostsWOCC!$A$5:$Q$50,G90+1,FALSE)*J90*L90</f>
        <v>0</v>
      </c>
      <c r="AL90" s="43">
        <f t="shared" si="53"/>
        <v>0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 t="s">
        <v>1814</v>
      </c>
      <c r="F91" s="38" t="s">
        <v>1815</v>
      </c>
      <c r="G91" s="38">
        <v>12</v>
      </c>
      <c r="H91" s="38">
        <v>0</v>
      </c>
      <c r="I91" s="39" t="s">
        <v>261</v>
      </c>
      <c r="J91" s="40">
        <v>0</v>
      </c>
      <c r="K91" s="40">
        <v>1090</v>
      </c>
      <c r="L91" s="40">
        <v>0</v>
      </c>
      <c r="M91" s="41">
        <v>127</v>
      </c>
      <c r="N91" s="41">
        <v>127</v>
      </c>
      <c r="O91" s="42">
        <v>0</v>
      </c>
      <c r="P91" s="43">
        <v>0</v>
      </c>
      <c r="Q91" s="43">
        <v>0</v>
      </c>
      <c r="R91" s="44">
        <v>36.82</v>
      </c>
      <c r="S91" s="45">
        <v>36.82</v>
      </c>
      <c r="T91" s="38">
        <f t="shared" si="38"/>
        <v>12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>
        <f>HLOOKUP(I91,ElecAvoidedCostsWOCC!$A$5:$Q$50,G91+1,FALSE)</f>
        <v>1.1709909127665883</v>
      </c>
      <c r="AG91" s="43">
        <f t="shared" si="50"/>
        <v>0</v>
      </c>
      <c r="AH91" s="51">
        <f>HLOOKUP(I91,ElecAvoidedCostsWOCC!$A$5:$Q$50,T91+1,FALSE)</f>
        <v>1.1709909127665883</v>
      </c>
      <c r="AI91" s="43">
        <f t="shared" si="51"/>
        <v>0</v>
      </c>
      <c r="AJ91" s="43">
        <f t="shared" si="52"/>
        <v>0</v>
      </c>
      <c r="AK91" s="43">
        <f>HLOOKUP(I91,ElecAvoidedCostsWOCC!$A$5:$Q$50,G91+1,FALSE)*J91*L91</f>
        <v>0</v>
      </c>
      <c r="AL91" s="43">
        <f t="shared" si="53"/>
        <v>0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 t="s">
        <v>1816</v>
      </c>
      <c r="F92" s="38" t="s">
        <v>766</v>
      </c>
      <c r="G92" s="38">
        <v>12</v>
      </c>
      <c r="H92" s="38">
        <v>0</v>
      </c>
      <c r="I92" s="39" t="s">
        <v>261</v>
      </c>
      <c r="J92" s="40">
        <v>0</v>
      </c>
      <c r="K92" s="40">
        <v>404</v>
      </c>
      <c r="L92" s="40">
        <v>0</v>
      </c>
      <c r="M92" s="41">
        <v>127</v>
      </c>
      <c r="N92" s="41">
        <v>127</v>
      </c>
      <c r="O92" s="42">
        <v>0</v>
      </c>
      <c r="P92" s="43">
        <v>0</v>
      </c>
      <c r="Q92" s="43">
        <v>0</v>
      </c>
      <c r="R92" s="44">
        <v>14.66</v>
      </c>
      <c r="S92" s="45">
        <v>14.66</v>
      </c>
      <c r="T92" s="38">
        <f t="shared" si="38"/>
        <v>12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>
        <f>HLOOKUP(I92,ElecAvoidedCostsWOCC!$A$5:$Q$50,G92+1,FALSE)</f>
        <v>1.1709909127665883</v>
      </c>
      <c r="AG92" s="43">
        <f t="shared" si="50"/>
        <v>0</v>
      </c>
      <c r="AH92" s="51">
        <f>HLOOKUP(I92,ElecAvoidedCostsWOCC!$A$5:$Q$50,T92+1,FALSE)</f>
        <v>1.1709909127665883</v>
      </c>
      <c r="AI92" s="43">
        <f t="shared" si="51"/>
        <v>0</v>
      </c>
      <c r="AJ92" s="43">
        <f t="shared" si="52"/>
        <v>0</v>
      </c>
      <c r="AK92" s="43">
        <f>HLOOKUP(I92,ElecAvoidedCostsWOCC!$A$5:$Q$50,G92+1,FALSE)*J92*L92</f>
        <v>0</v>
      </c>
      <c r="AL92" s="43">
        <f t="shared" si="53"/>
        <v>0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 t="s">
        <v>1817</v>
      </c>
      <c r="F93" s="38" t="s">
        <v>1818</v>
      </c>
      <c r="G93" s="38">
        <v>12</v>
      </c>
      <c r="H93" s="38">
        <v>0</v>
      </c>
      <c r="I93" s="39" t="s">
        <v>261</v>
      </c>
      <c r="J93" s="40">
        <v>0</v>
      </c>
      <c r="K93" s="40">
        <v>1670</v>
      </c>
      <c r="L93" s="40">
        <v>0</v>
      </c>
      <c r="M93" s="41">
        <v>165</v>
      </c>
      <c r="N93" s="41">
        <v>165</v>
      </c>
      <c r="O93" s="42">
        <v>0</v>
      </c>
      <c r="P93" s="43">
        <v>0</v>
      </c>
      <c r="Q93" s="43">
        <v>0</v>
      </c>
      <c r="R93" s="44">
        <v>56.411999999999999</v>
      </c>
      <c r="S93" s="45">
        <v>56.411999999999999</v>
      </c>
      <c r="T93" s="38">
        <f t="shared" si="38"/>
        <v>12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>
        <f>HLOOKUP(I93,ElecAvoidedCostsWOCC!$A$5:$Q$50,G93+1,FALSE)</f>
        <v>1.1709909127665883</v>
      </c>
      <c r="AG93" s="43">
        <f t="shared" si="50"/>
        <v>0</v>
      </c>
      <c r="AH93" s="51">
        <f>HLOOKUP(I93,ElecAvoidedCostsWOCC!$A$5:$Q$50,T93+1,FALSE)</f>
        <v>1.1709909127665883</v>
      </c>
      <c r="AI93" s="43">
        <f t="shared" si="51"/>
        <v>0</v>
      </c>
      <c r="AJ93" s="43">
        <f t="shared" si="52"/>
        <v>0</v>
      </c>
      <c r="AK93" s="43">
        <f>HLOOKUP(I93,ElecAvoidedCostsWOCC!$A$5:$Q$50,G93+1,FALSE)*J93*L93</f>
        <v>0</v>
      </c>
      <c r="AL93" s="43">
        <f t="shared" si="53"/>
        <v>0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 t="s">
        <v>1819</v>
      </c>
      <c r="F94" s="38" t="s">
        <v>1820</v>
      </c>
      <c r="G94" s="38">
        <v>12</v>
      </c>
      <c r="H94" s="38">
        <v>0</v>
      </c>
      <c r="I94" s="39" t="s">
        <v>261</v>
      </c>
      <c r="J94" s="40">
        <v>0</v>
      </c>
      <c r="K94" s="40">
        <v>619</v>
      </c>
      <c r="L94" s="40">
        <v>0</v>
      </c>
      <c r="M94" s="41">
        <v>165</v>
      </c>
      <c r="N94" s="41">
        <v>165</v>
      </c>
      <c r="O94" s="42">
        <v>0</v>
      </c>
      <c r="P94" s="43">
        <v>0</v>
      </c>
      <c r="Q94" s="43">
        <v>0</v>
      </c>
      <c r="R94" s="44">
        <v>22.43</v>
      </c>
      <c r="S94" s="45">
        <v>22.43</v>
      </c>
      <c r="T94" s="38">
        <f t="shared" si="38"/>
        <v>12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>
        <f>HLOOKUP(I94,ElecAvoidedCostsWOCC!$A$5:$Q$50,G94+1,FALSE)</f>
        <v>1.1709909127665883</v>
      </c>
      <c r="AG94" s="43">
        <f t="shared" si="50"/>
        <v>0</v>
      </c>
      <c r="AH94" s="51">
        <f>HLOOKUP(I94,ElecAvoidedCostsWOCC!$A$5:$Q$50,T94+1,FALSE)</f>
        <v>1.1709909127665883</v>
      </c>
      <c r="AI94" s="43">
        <f t="shared" si="51"/>
        <v>0</v>
      </c>
      <c r="AJ94" s="43">
        <f t="shared" si="52"/>
        <v>0</v>
      </c>
      <c r="AK94" s="43">
        <f>HLOOKUP(I94,ElecAvoidedCostsWOCC!$A$5:$Q$50,G94+1,FALSE)*J94*L94</f>
        <v>0</v>
      </c>
      <c r="AL94" s="43">
        <f t="shared" si="53"/>
        <v>0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 t="s">
        <v>1821</v>
      </c>
      <c r="F95" s="38" t="s">
        <v>1822</v>
      </c>
      <c r="G95" s="38">
        <v>12</v>
      </c>
      <c r="H95" s="38">
        <v>0</v>
      </c>
      <c r="I95" s="39" t="s">
        <v>261</v>
      </c>
      <c r="J95" s="40">
        <v>0</v>
      </c>
      <c r="K95" s="40">
        <v>2283</v>
      </c>
      <c r="L95" s="40">
        <v>0</v>
      </c>
      <c r="M95" s="41">
        <v>127</v>
      </c>
      <c r="N95" s="41">
        <v>127</v>
      </c>
      <c r="O95" s="42">
        <v>0</v>
      </c>
      <c r="P95" s="43">
        <v>0</v>
      </c>
      <c r="Q95" s="43">
        <v>0</v>
      </c>
      <c r="R95" s="44">
        <v>77.119</v>
      </c>
      <c r="S95" s="45">
        <v>77.119</v>
      </c>
      <c r="T95" s="38">
        <f t="shared" si="38"/>
        <v>12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>
        <f>HLOOKUP(I95,ElecAvoidedCostsWOCC!$A$5:$Q$50,G95+1,FALSE)</f>
        <v>1.1709909127665883</v>
      </c>
      <c r="AG95" s="43">
        <f t="shared" si="50"/>
        <v>0</v>
      </c>
      <c r="AH95" s="51">
        <f>HLOOKUP(I95,ElecAvoidedCostsWOCC!$A$5:$Q$50,T95+1,FALSE)</f>
        <v>1.1709909127665883</v>
      </c>
      <c r="AI95" s="43">
        <f t="shared" si="51"/>
        <v>0</v>
      </c>
      <c r="AJ95" s="43">
        <f t="shared" si="52"/>
        <v>0</v>
      </c>
      <c r="AK95" s="43">
        <f>HLOOKUP(I95,ElecAvoidedCostsWOCC!$A$5:$Q$50,G95+1,FALSE)*J95*L95</f>
        <v>0</v>
      </c>
      <c r="AL95" s="43">
        <f t="shared" si="53"/>
        <v>0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 t="s">
        <v>1823</v>
      </c>
      <c r="F96" s="38" t="s">
        <v>1824</v>
      </c>
      <c r="G96" s="38">
        <v>12</v>
      </c>
      <c r="H96" s="38">
        <v>0</v>
      </c>
      <c r="I96" s="39" t="s">
        <v>261</v>
      </c>
      <c r="J96" s="40">
        <v>0</v>
      </c>
      <c r="K96" s="40">
        <v>846</v>
      </c>
      <c r="L96" s="40">
        <v>0</v>
      </c>
      <c r="M96" s="41">
        <v>127</v>
      </c>
      <c r="N96" s="41">
        <v>127</v>
      </c>
      <c r="O96" s="42">
        <v>0</v>
      </c>
      <c r="P96" s="43">
        <v>0</v>
      </c>
      <c r="Q96" s="43">
        <v>0</v>
      </c>
      <c r="R96" s="44">
        <v>30.672000000000001</v>
      </c>
      <c r="S96" s="45">
        <v>30.672000000000001</v>
      </c>
      <c r="T96" s="38">
        <f t="shared" si="38"/>
        <v>12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>
        <f>HLOOKUP(I96,ElecAvoidedCostsWOCC!$A$5:$Q$50,G96+1,FALSE)</f>
        <v>1.1709909127665883</v>
      </c>
      <c r="AG96" s="43">
        <f t="shared" si="50"/>
        <v>0</v>
      </c>
      <c r="AH96" s="51">
        <f>HLOOKUP(I96,ElecAvoidedCostsWOCC!$A$5:$Q$50,T96+1,FALSE)</f>
        <v>1.1709909127665883</v>
      </c>
      <c r="AI96" s="43">
        <f t="shared" si="51"/>
        <v>0</v>
      </c>
      <c r="AJ96" s="43">
        <f t="shared" si="52"/>
        <v>0</v>
      </c>
      <c r="AK96" s="43">
        <f>HLOOKUP(I96,ElecAvoidedCostsWOCC!$A$5:$Q$50,G96+1,FALSE)*J96*L96</f>
        <v>0</v>
      </c>
      <c r="AL96" s="43">
        <f t="shared" si="53"/>
        <v>0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 t="s">
        <v>1825</v>
      </c>
      <c r="F97" s="38" t="s">
        <v>1826</v>
      </c>
      <c r="G97" s="38">
        <v>12</v>
      </c>
      <c r="H97" s="38">
        <v>0</v>
      </c>
      <c r="I97" s="39" t="s">
        <v>261</v>
      </c>
      <c r="J97" s="40">
        <v>0</v>
      </c>
      <c r="K97" s="40">
        <v>647</v>
      </c>
      <c r="L97" s="40">
        <v>0</v>
      </c>
      <c r="M97" s="41">
        <v>135</v>
      </c>
      <c r="N97" s="41">
        <v>135</v>
      </c>
      <c r="O97" s="42">
        <v>0</v>
      </c>
      <c r="P97" s="43">
        <v>0</v>
      </c>
      <c r="Q97" s="43">
        <v>0</v>
      </c>
      <c r="R97" s="44">
        <v>21.856000000000002</v>
      </c>
      <c r="S97" s="45">
        <v>21.856000000000002</v>
      </c>
      <c r="T97" s="38">
        <f t="shared" si="38"/>
        <v>12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>
        <f>HLOOKUP(I97,ElecAvoidedCostsWOCC!$A$5:$Q$50,G97+1,FALSE)</f>
        <v>1.1709909127665883</v>
      </c>
      <c r="AG97" s="43">
        <f t="shared" si="50"/>
        <v>0</v>
      </c>
      <c r="AH97" s="51">
        <f>HLOOKUP(I97,ElecAvoidedCostsWOCC!$A$5:$Q$50,T97+1,FALSE)</f>
        <v>1.1709909127665883</v>
      </c>
      <c r="AI97" s="43">
        <f t="shared" si="51"/>
        <v>0</v>
      </c>
      <c r="AJ97" s="43">
        <f t="shared" si="52"/>
        <v>0</v>
      </c>
      <c r="AK97" s="43">
        <f>HLOOKUP(I97,ElecAvoidedCostsWOCC!$A$5:$Q$50,G97+1,FALSE)*J97*L97</f>
        <v>0</v>
      </c>
      <c r="AL97" s="43">
        <f t="shared" si="53"/>
        <v>0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 t="s">
        <v>1827</v>
      </c>
      <c r="F98" s="38" t="s">
        <v>767</v>
      </c>
      <c r="G98" s="38">
        <v>12</v>
      </c>
      <c r="H98" s="38">
        <v>0</v>
      </c>
      <c r="I98" s="39" t="s">
        <v>261</v>
      </c>
      <c r="J98" s="40">
        <v>0</v>
      </c>
      <c r="K98" s="40">
        <v>212</v>
      </c>
      <c r="L98" s="40">
        <v>0</v>
      </c>
      <c r="M98" s="41">
        <v>109</v>
      </c>
      <c r="N98" s="41">
        <v>109</v>
      </c>
      <c r="O98" s="42">
        <v>0</v>
      </c>
      <c r="P98" s="43">
        <v>0</v>
      </c>
      <c r="Q98" s="43">
        <v>0</v>
      </c>
      <c r="R98" s="44">
        <v>7.6680000000000001</v>
      </c>
      <c r="S98" s="45">
        <v>7.6680000000000001</v>
      </c>
      <c r="T98" s="38">
        <f t="shared" si="38"/>
        <v>12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>
        <f>HLOOKUP(I98,ElecAvoidedCostsWOCC!$A$5:$Q$50,G98+1,FALSE)</f>
        <v>1.1709909127665883</v>
      </c>
      <c r="AG98" s="43">
        <f t="shared" si="50"/>
        <v>0</v>
      </c>
      <c r="AH98" s="51">
        <f>HLOOKUP(I98,ElecAvoidedCostsWOCC!$A$5:$Q$50,T98+1,FALSE)</f>
        <v>1.1709909127665883</v>
      </c>
      <c r="AI98" s="43">
        <f t="shared" si="51"/>
        <v>0</v>
      </c>
      <c r="AJ98" s="43">
        <f t="shared" si="52"/>
        <v>0</v>
      </c>
      <c r="AK98" s="43">
        <f>HLOOKUP(I98,ElecAvoidedCostsWOCC!$A$5:$Q$50,G98+1,FALSE)*J98*L98</f>
        <v>0</v>
      </c>
      <c r="AL98" s="43">
        <f t="shared" si="53"/>
        <v>0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 t="s">
        <v>1828</v>
      </c>
      <c r="F99" s="38" t="s">
        <v>768</v>
      </c>
      <c r="G99" s="38">
        <v>12</v>
      </c>
      <c r="H99" s="38">
        <v>0</v>
      </c>
      <c r="I99" s="39" t="s">
        <v>261</v>
      </c>
      <c r="J99" s="40">
        <v>0</v>
      </c>
      <c r="K99" s="40">
        <v>303</v>
      </c>
      <c r="L99" s="40">
        <v>0</v>
      </c>
      <c r="M99" s="41">
        <v>135</v>
      </c>
      <c r="N99" s="41">
        <v>135</v>
      </c>
      <c r="O99" s="42">
        <v>0</v>
      </c>
      <c r="P99" s="43">
        <v>0</v>
      </c>
      <c r="Q99" s="43">
        <v>0</v>
      </c>
      <c r="R99" s="44">
        <v>10.978</v>
      </c>
      <c r="S99" s="45">
        <v>10.978</v>
      </c>
      <c r="T99" s="38">
        <f t="shared" si="38"/>
        <v>12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>
        <f>HLOOKUP(I99,ElecAvoidedCostsWOCC!$A$5:$Q$50,G99+1,FALSE)</f>
        <v>1.1709909127665883</v>
      </c>
      <c r="AG99" s="43">
        <f t="shared" si="50"/>
        <v>0</v>
      </c>
      <c r="AH99" s="51">
        <f>HLOOKUP(I99,ElecAvoidedCostsWOCC!$A$5:$Q$50,T99+1,FALSE)</f>
        <v>1.1709909127665883</v>
      </c>
      <c r="AI99" s="43">
        <f t="shared" si="51"/>
        <v>0</v>
      </c>
      <c r="AJ99" s="43">
        <f t="shared" si="52"/>
        <v>0</v>
      </c>
      <c r="AK99" s="43">
        <f>HLOOKUP(I99,ElecAvoidedCostsWOCC!$A$5:$Q$50,G99+1,FALSE)*J99*L99</f>
        <v>0</v>
      </c>
      <c r="AL99" s="43">
        <f t="shared" si="53"/>
        <v>0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 t="s">
        <v>1829</v>
      </c>
      <c r="F100" s="38" t="s">
        <v>1830</v>
      </c>
      <c r="G100" s="38">
        <v>12</v>
      </c>
      <c r="H100" s="38">
        <v>0</v>
      </c>
      <c r="I100" s="39" t="s">
        <v>261</v>
      </c>
      <c r="J100" s="40">
        <v>0</v>
      </c>
      <c r="K100" s="40">
        <v>750</v>
      </c>
      <c r="L100" s="40">
        <v>0</v>
      </c>
      <c r="M100" s="41">
        <v>109</v>
      </c>
      <c r="N100" s="41">
        <v>109</v>
      </c>
      <c r="O100" s="42">
        <v>0</v>
      </c>
      <c r="P100" s="43">
        <v>0</v>
      </c>
      <c r="Q100" s="43">
        <v>0</v>
      </c>
      <c r="R100" s="44">
        <v>25.335000000000001</v>
      </c>
      <c r="S100" s="45">
        <v>25.335000000000001</v>
      </c>
      <c r="T100" s="38">
        <f t="shared" si="38"/>
        <v>12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>
        <f>HLOOKUP(I100,ElecAvoidedCostsWOCC!$A$5:$Q$50,G100+1,FALSE)</f>
        <v>1.1709909127665883</v>
      </c>
      <c r="AG100" s="43">
        <f t="shared" si="50"/>
        <v>0</v>
      </c>
      <c r="AH100" s="51">
        <f>HLOOKUP(I100,ElecAvoidedCostsWOCC!$A$5:$Q$50,T100+1,FALSE)</f>
        <v>1.1709909127665883</v>
      </c>
      <c r="AI100" s="43">
        <f t="shared" si="51"/>
        <v>0</v>
      </c>
      <c r="AJ100" s="43">
        <f t="shared" si="52"/>
        <v>0</v>
      </c>
      <c r="AK100" s="43">
        <f>HLOOKUP(I100,ElecAvoidedCostsWOCC!$A$5:$Q$50,G100+1,FALSE)*J100*L100</f>
        <v>0</v>
      </c>
      <c r="AL100" s="43">
        <f t="shared" si="53"/>
        <v>0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 t="s">
        <v>1831</v>
      </c>
      <c r="F101" s="38" t="s">
        <v>1832</v>
      </c>
      <c r="G101" s="38">
        <v>12</v>
      </c>
      <c r="H101" s="38">
        <v>0</v>
      </c>
      <c r="I101" s="39" t="s">
        <v>261</v>
      </c>
      <c r="J101" s="40">
        <v>0</v>
      </c>
      <c r="K101" s="40">
        <v>1056</v>
      </c>
      <c r="L101" s="40">
        <v>0</v>
      </c>
      <c r="M101" s="41">
        <v>135</v>
      </c>
      <c r="N101" s="41">
        <v>135</v>
      </c>
      <c r="O101" s="42">
        <v>0</v>
      </c>
      <c r="P101" s="43">
        <v>0</v>
      </c>
      <c r="Q101" s="43">
        <v>0</v>
      </c>
      <c r="R101" s="44">
        <v>35.670999999999999</v>
      </c>
      <c r="S101" s="45">
        <v>35.670999999999999</v>
      </c>
      <c r="T101" s="38">
        <f t="shared" si="38"/>
        <v>12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>
        <f>HLOOKUP(I101,ElecAvoidedCostsWOCC!$A$5:$Q$50,G101+1,FALSE)</f>
        <v>1.1709909127665883</v>
      </c>
      <c r="AG101" s="43">
        <f t="shared" si="50"/>
        <v>0</v>
      </c>
      <c r="AH101" s="51">
        <f>HLOOKUP(I101,ElecAvoidedCostsWOCC!$A$5:$Q$50,T101+1,FALSE)</f>
        <v>1.1709909127665883</v>
      </c>
      <c r="AI101" s="43">
        <f t="shared" si="51"/>
        <v>0</v>
      </c>
      <c r="AJ101" s="43">
        <f t="shared" si="52"/>
        <v>0</v>
      </c>
      <c r="AK101" s="43">
        <f>HLOOKUP(I101,ElecAvoidedCostsWOCC!$A$5:$Q$50,G101+1,FALSE)*J101*L101</f>
        <v>0</v>
      </c>
      <c r="AL101" s="43">
        <f t="shared" si="53"/>
        <v>0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 t="s">
        <v>1833</v>
      </c>
      <c r="F102" s="38" t="s">
        <v>1834</v>
      </c>
      <c r="G102" s="38">
        <v>12</v>
      </c>
      <c r="H102" s="38">
        <v>0</v>
      </c>
      <c r="I102" s="39" t="s">
        <v>261</v>
      </c>
      <c r="J102" s="40">
        <v>0</v>
      </c>
      <c r="K102" s="40">
        <v>443</v>
      </c>
      <c r="L102" s="40">
        <v>0</v>
      </c>
      <c r="M102" s="41">
        <v>109</v>
      </c>
      <c r="N102" s="41">
        <v>109</v>
      </c>
      <c r="O102" s="42">
        <v>0</v>
      </c>
      <c r="P102" s="43">
        <v>0</v>
      </c>
      <c r="Q102" s="43">
        <v>0</v>
      </c>
      <c r="R102" s="44">
        <v>14.964</v>
      </c>
      <c r="S102" s="45">
        <v>14.964</v>
      </c>
      <c r="T102" s="38">
        <f t="shared" si="38"/>
        <v>12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>
        <f>HLOOKUP(I102,ElecAvoidedCostsWOCC!$A$5:$Q$50,G102+1,FALSE)</f>
        <v>1.1709909127665883</v>
      </c>
      <c r="AG102" s="43">
        <f t="shared" si="50"/>
        <v>0</v>
      </c>
      <c r="AH102" s="51">
        <f>HLOOKUP(I102,ElecAvoidedCostsWOCC!$A$5:$Q$50,T102+1,FALSE)</f>
        <v>1.1709909127665883</v>
      </c>
      <c r="AI102" s="43">
        <f t="shared" si="51"/>
        <v>0</v>
      </c>
      <c r="AJ102" s="43">
        <f t="shared" si="52"/>
        <v>0</v>
      </c>
      <c r="AK102" s="43">
        <f>HLOOKUP(I102,ElecAvoidedCostsWOCC!$A$5:$Q$50,G102+1,FALSE)*J102*L102</f>
        <v>0</v>
      </c>
      <c r="AL102" s="43">
        <f t="shared" si="53"/>
        <v>0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 t="s">
        <v>1835</v>
      </c>
      <c r="F103" s="38" t="s">
        <v>1836</v>
      </c>
      <c r="G103" s="38">
        <v>12</v>
      </c>
      <c r="H103" s="38">
        <v>0</v>
      </c>
      <c r="I103" s="39" t="s">
        <v>261</v>
      </c>
      <c r="J103" s="40">
        <v>0</v>
      </c>
      <c r="K103" s="40">
        <v>520</v>
      </c>
      <c r="L103" s="40">
        <v>0</v>
      </c>
      <c r="M103" s="41">
        <v>109</v>
      </c>
      <c r="N103" s="41">
        <v>109</v>
      </c>
      <c r="O103" s="42">
        <v>0</v>
      </c>
      <c r="P103" s="43">
        <v>0</v>
      </c>
      <c r="Q103" s="43">
        <v>0</v>
      </c>
      <c r="R103" s="44">
        <v>17.565000000000001</v>
      </c>
      <c r="S103" s="45">
        <v>17.565000000000001</v>
      </c>
      <c r="T103" s="38">
        <f t="shared" si="38"/>
        <v>12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>
        <f>HLOOKUP(I103,ElecAvoidedCostsWOCC!$A$5:$Q$50,G103+1,FALSE)</f>
        <v>1.1709909127665883</v>
      </c>
      <c r="AG103" s="43">
        <f t="shared" si="50"/>
        <v>0</v>
      </c>
      <c r="AH103" s="51">
        <f>HLOOKUP(I103,ElecAvoidedCostsWOCC!$A$5:$Q$50,T103+1,FALSE)</f>
        <v>1.1709909127665883</v>
      </c>
      <c r="AI103" s="43">
        <f t="shared" si="51"/>
        <v>0</v>
      </c>
      <c r="AJ103" s="43">
        <f t="shared" si="52"/>
        <v>0</v>
      </c>
      <c r="AK103" s="43">
        <f>HLOOKUP(I103,ElecAvoidedCostsWOCC!$A$5:$Q$50,G103+1,FALSE)*J103*L103</f>
        <v>0</v>
      </c>
      <c r="AL103" s="43">
        <f t="shared" si="53"/>
        <v>0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 t="s">
        <v>1837</v>
      </c>
      <c r="F104" s="38" t="s">
        <v>1838</v>
      </c>
      <c r="G104" s="38">
        <v>12</v>
      </c>
      <c r="H104" s="38">
        <v>0</v>
      </c>
      <c r="I104" s="39" t="s">
        <v>261</v>
      </c>
      <c r="J104" s="40">
        <v>0</v>
      </c>
      <c r="K104" s="40">
        <v>750</v>
      </c>
      <c r="L104" s="40">
        <v>0</v>
      </c>
      <c r="M104" s="41">
        <v>135</v>
      </c>
      <c r="N104" s="41">
        <v>135</v>
      </c>
      <c r="O104" s="42">
        <v>0</v>
      </c>
      <c r="P104" s="43">
        <v>0</v>
      </c>
      <c r="Q104" s="43">
        <v>0</v>
      </c>
      <c r="R104" s="44">
        <v>25.335000000000001</v>
      </c>
      <c r="S104" s="45">
        <v>25.335000000000001</v>
      </c>
      <c r="T104" s="38">
        <f t="shared" si="38"/>
        <v>12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>
        <f>HLOOKUP(I104,ElecAvoidedCostsWOCC!$A$5:$Q$50,G104+1,FALSE)</f>
        <v>1.1709909127665883</v>
      </c>
      <c r="AG104" s="43">
        <f t="shared" si="50"/>
        <v>0</v>
      </c>
      <c r="AH104" s="51">
        <f>HLOOKUP(I104,ElecAvoidedCostsWOCC!$A$5:$Q$50,T104+1,FALSE)</f>
        <v>1.1709909127665883</v>
      </c>
      <c r="AI104" s="43">
        <f t="shared" si="51"/>
        <v>0</v>
      </c>
      <c r="AJ104" s="43">
        <f t="shared" si="52"/>
        <v>0</v>
      </c>
      <c r="AK104" s="43">
        <f>HLOOKUP(I104,ElecAvoidedCostsWOCC!$A$5:$Q$50,G104+1,FALSE)*J104*L104</f>
        <v>0</v>
      </c>
      <c r="AL104" s="43">
        <f t="shared" si="53"/>
        <v>0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 t="s">
        <v>1839</v>
      </c>
      <c r="F105" s="38" t="s">
        <v>1840</v>
      </c>
      <c r="G105" s="38">
        <v>12</v>
      </c>
      <c r="H105" s="38">
        <v>0</v>
      </c>
      <c r="I105" s="39" t="s">
        <v>261</v>
      </c>
      <c r="J105" s="40">
        <v>0</v>
      </c>
      <c r="K105" s="40">
        <v>1005</v>
      </c>
      <c r="L105" s="40">
        <v>0</v>
      </c>
      <c r="M105" s="41">
        <v>116</v>
      </c>
      <c r="N105" s="41">
        <v>116</v>
      </c>
      <c r="O105" s="42">
        <v>0</v>
      </c>
      <c r="P105" s="43">
        <v>0</v>
      </c>
      <c r="Q105" s="43">
        <v>0</v>
      </c>
      <c r="R105" s="44">
        <v>33.948999999999998</v>
      </c>
      <c r="S105" s="45">
        <v>33.948999999999998</v>
      </c>
      <c r="T105" s="38">
        <f t="shared" si="38"/>
        <v>12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>
        <f>HLOOKUP(I105,ElecAvoidedCostsWOCC!$A$5:$Q$50,G105+1,FALSE)</f>
        <v>1.1709909127665883</v>
      </c>
      <c r="AG105" s="43">
        <f t="shared" si="50"/>
        <v>0</v>
      </c>
      <c r="AH105" s="51">
        <f>HLOOKUP(I105,ElecAvoidedCostsWOCC!$A$5:$Q$50,T105+1,FALSE)</f>
        <v>1.1709909127665883</v>
      </c>
      <c r="AI105" s="43">
        <f t="shared" si="51"/>
        <v>0</v>
      </c>
      <c r="AJ105" s="43">
        <f t="shared" si="52"/>
        <v>0</v>
      </c>
      <c r="AK105" s="43">
        <f>HLOOKUP(I105,ElecAvoidedCostsWOCC!$A$5:$Q$50,G105+1,FALSE)*J105*L105</f>
        <v>0</v>
      </c>
      <c r="AL105" s="43">
        <f t="shared" si="53"/>
        <v>0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 t="s">
        <v>1841</v>
      </c>
      <c r="F106" s="38" t="s">
        <v>769</v>
      </c>
      <c r="G106" s="38">
        <v>12</v>
      </c>
      <c r="H106" s="38">
        <v>0</v>
      </c>
      <c r="I106" s="39" t="s">
        <v>261</v>
      </c>
      <c r="J106" s="40">
        <v>0</v>
      </c>
      <c r="K106" s="40">
        <v>373</v>
      </c>
      <c r="L106" s="40">
        <v>0</v>
      </c>
      <c r="M106" s="41">
        <v>116</v>
      </c>
      <c r="N106" s="41">
        <v>116</v>
      </c>
      <c r="O106" s="42">
        <v>0</v>
      </c>
      <c r="P106" s="43">
        <v>0</v>
      </c>
      <c r="Q106" s="43">
        <v>0</v>
      </c>
      <c r="R106" s="44">
        <v>13.512</v>
      </c>
      <c r="S106" s="45">
        <v>13.512</v>
      </c>
      <c r="T106" s="38">
        <f t="shared" si="38"/>
        <v>12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>
        <f>HLOOKUP(I106,ElecAvoidedCostsWOCC!$A$5:$Q$50,G106+1,FALSE)</f>
        <v>1.1709909127665883</v>
      </c>
      <c r="AG106" s="43">
        <f t="shared" si="50"/>
        <v>0</v>
      </c>
      <c r="AH106" s="51">
        <f>HLOOKUP(I106,ElecAvoidedCostsWOCC!$A$5:$Q$50,T106+1,FALSE)</f>
        <v>1.1709909127665883</v>
      </c>
      <c r="AI106" s="43">
        <f t="shared" si="51"/>
        <v>0</v>
      </c>
      <c r="AJ106" s="43">
        <f t="shared" si="52"/>
        <v>0</v>
      </c>
      <c r="AK106" s="43">
        <f>HLOOKUP(I106,ElecAvoidedCostsWOCC!$A$5:$Q$50,G106+1,FALSE)*J106*L106</f>
        <v>0</v>
      </c>
      <c r="AL106" s="43">
        <f t="shared" si="53"/>
        <v>0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 t="s">
        <v>1842</v>
      </c>
      <c r="F107" s="38" t="s">
        <v>1843</v>
      </c>
      <c r="G107" s="38">
        <v>12</v>
      </c>
      <c r="H107" s="38">
        <v>0</v>
      </c>
      <c r="I107" s="39" t="s">
        <v>261</v>
      </c>
      <c r="J107" s="40">
        <v>0</v>
      </c>
      <c r="K107" s="40">
        <v>417</v>
      </c>
      <c r="L107" s="40">
        <v>0</v>
      </c>
      <c r="M107" s="41">
        <v>112</v>
      </c>
      <c r="N107" s="41">
        <v>112</v>
      </c>
      <c r="O107" s="42">
        <v>0</v>
      </c>
      <c r="P107" s="43">
        <v>0</v>
      </c>
      <c r="Q107" s="43">
        <v>0</v>
      </c>
      <c r="R107" s="44">
        <v>14.086</v>
      </c>
      <c r="S107" s="45">
        <v>14.086</v>
      </c>
      <c r="T107" s="38">
        <f t="shared" si="38"/>
        <v>12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>
        <f>HLOOKUP(I107,ElecAvoidedCostsWOCC!$A$5:$Q$50,G107+1,FALSE)</f>
        <v>1.1709909127665883</v>
      </c>
      <c r="AG107" s="43">
        <f t="shared" si="50"/>
        <v>0</v>
      </c>
      <c r="AH107" s="51">
        <f>HLOOKUP(I107,ElecAvoidedCostsWOCC!$A$5:$Q$50,T107+1,FALSE)</f>
        <v>1.1709909127665883</v>
      </c>
      <c r="AI107" s="43">
        <f t="shared" si="51"/>
        <v>0</v>
      </c>
      <c r="AJ107" s="43">
        <f t="shared" si="52"/>
        <v>0</v>
      </c>
      <c r="AK107" s="43">
        <f>HLOOKUP(I107,ElecAvoidedCostsWOCC!$A$5:$Q$50,G107+1,FALSE)*J107*L107</f>
        <v>0</v>
      </c>
      <c r="AL107" s="43">
        <f t="shared" si="53"/>
        <v>0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 t="s">
        <v>1844</v>
      </c>
      <c r="F108" s="38" t="s">
        <v>770</v>
      </c>
      <c r="G108" s="38">
        <v>12</v>
      </c>
      <c r="H108" s="38">
        <v>0</v>
      </c>
      <c r="I108" s="39" t="s">
        <v>261</v>
      </c>
      <c r="J108" s="40">
        <v>0</v>
      </c>
      <c r="K108" s="40">
        <v>155</v>
      </c>
      <c r="L108" s="40">
        <v>0</v>
      </c>
      <c r="M108" s="41">
        <v>118</v>
      </c>
      <c r="N108" s="41">
        <v>118</v>
      </c>
      <c r="O108" s="42">
        <v>0</v>
      </c>
      <c r="P108" s="43">
        <v>0</v>
      </c>
      <c r="Q108" s="43">
        <v>0</v>
      </c>
      <c r="R108" s="44">
        <v>5.2359</v>
      </c>
      <c r="S108" s="45">
        <v>5.2359</v>
      </c>
      <c r="T108" s="38">
        <f t="shared" si="38"/>
        <v>12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>
        <f>HLOOKUP(I108,ElecAvoidedCostsWOCC!$A$5:$Q$50,G108+1,FALSE)</f>
        <v>1.1709909127665883</v>
      </c>
      <c r="AG108" s="43">
        <f t="shared" si="50"/>
        <v>0</v>
      </c>
      <c r="AH108" s="51">
        <f>HLOOKUP(I108,ElecAvoidedCostsWOCC!$A$5:$Q$50,T108+1,FALSE)</f>
        <v>1.1709909127665883</v>
      </c>
      <c r="AI108" s="43">
        <f t="shared" si="51"/>
        <v>0</v>
      </c>
      <c r="AJ108" s="43">
        <f t="shared" si="52"/>
        <v>0</v>
      </c>
      <c r="AK108" s="43">
        <f>HLOOKUP(I108,ElecAvoidedCostsWOCC!$A$5:$Q$50,G108+1,FALSE)*J108*L108</f>
        <v>0</v>
      </c>
      <c r="AL108" s="43">
        <f t="shared" si="53"/>
        <v>0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 t="s">
        <v>1845</v>
      </c>
      <c r="F109" s="38" t="s">
        <v>1846</v>
      </c>
      <c r="G109" s="38">
        <v>12</v>
      </c>
      <c r="H109" s="38">
        <v>0</v>
      </c>
      <c r="I109" s="39" t="s">
        <v>261</v>
      </c>
      <c r="J109" s="40">
        <v>0</v>
      </c>
      <c r="K109" s="40">
        <v>724</v>
      </c>
      <c r="L109" s="40">
        <v>0</v>
      </c>
      <c r="M109" s="41">
        <v>112</v>
      </c>
      <c r="N109" s="41">
        <v>112</v>
      </c>
      <c r="O109" s="42">
        <v>0</v>
      </c>
      <c r="P109" s="43">
        <v>0</v>
      </c>
      <c r="Q109" s="43">
        <v>0</v>
      </c>
      <c r="R109" s="44">
        <v>24.457000000000001</v>
      </c>
      <c r="S109" s="45">
        <v>24.457000000000001</v>
      </c>
      <c r="T109" s="38">
        <f t="shared" si="38"/>
        <v>12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>
        <f>HLOOKUP(I109,ElecAvoidedCostsWOCC!$A$5:$Q$50,G109+1,FALSE)</f>
        <v>1.1709909127665883</v>
      </c>
      <c r="AG109" s="43">
        <f t="shared" si="50"/>
        <v>0</v>
      </c>
      <c r="AH109" s="51">
        <f>HLOOKUP(I109,ElecAvoidedCostsWOCC!$A$5:$Q$50,T109+1,FALSE)</f>
        <v>1.1709909127665883</v>
      </c>
      <c r="AI109" s="43">
        <f t="shared" si="51"/>
        <v>0</v>
      </c>
      <c r="AJ109" s="43">
        <f t="shared" si="52"/>
        <v>0</v>
      </c>
      <c r="AK109" s="43">
        <f>HLOOKUP(I109,ElecAvoidedCostsWOCC!$A$5:$Q$50,G109+1,FALSE)*J109*L109</f>
        <v>0</v>
      </c>
      <c r="AL109" s="43">
        <f t="shared" si="53"/>
        <v>0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 t="s">
        <v>1847</v>
      </c>
      <c r="F110" s="38" t="s">
        <v>771</v>
      </c>
      <c r="G110" s="38">
        <v>12</v>
      </c>
      <c r="H110" s="38">
        <v>0</v>
      </c>
      <c r="I110" s="39" t="s">
        <v>261</v>
      </c>
      <c r="J110" s="40">
        <v>0</v>
      </c>
      <c r="K110" s="40">
        <v>268</v>
      </c>
      <c r="L110" s="40">
        <v>0</v>
      </c>
      <c r="M110" s="41">
        <v>118</v>
      </c>
      <c r="N110" s="41">
        <v>118</v>
      </c>
      <c r="O110" s="42">
        <v>0</v>
      </c>
      <c r="P110" s="43">
        <v>0</v>
      </c>
      <c r="Q110" s="43">
        <v>0</v>
      </c>
      <c r="R110" s="44">
        <v>9.0530000000000008</v>
      </c>
      <c r="S110" s="45">
        <v>9.0530000000000008</v>
      </c>
      <c r="T110" s="38">
        <f t="shared" si="38"/>
        <v>12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>
        <f>HLOOKUP(I110,ElecAvoidedCostsWOCC!$A$5:$Q$50,G110+1,FALSE)</f>
        <v>1.1709909127665883</v>
      </c>
      <c r="AG110" s="43">
        <f t="shared" si="50"/>
        <v>0</v>
      </c>
      <c r="AH110" s="51">
        <f>HLOOKUP(I110,ElecAvoidedCostsWOCC!$A$5:$Q$50,T110+1,FALSE)</f>
        <v>1.1709909127665883</v>
      </c>
      <c r="AI110" s="43">
        <f t="shared" si="51"/>
        <v>0</v>
      </c>
      <c r="AJ110" s="43">
        <f t="shared" si="52"/>
        <v>0</v>
      </c>
      <c r="AK110" s="43">
        <f>HLOOKUP(I110,ElecAvoidedCostsWOCC!$A$5:$Q$50,G110+1,FALSE)*J110*L110</f>
        <v>0</v>
      </c>
      <c r="AL110" s="43">
        <f t="shared" si="53"/>
        <v>0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 t="s">
        <v>1848</v>
      </c>
      <c r="F111" s="38" t="s">
        <v>1849</v>
      </c>
      <c r="G111" s="38">
        <v>12</v>
      </c>
      <c r="H111" s="38">
        <v>0</v>
      </c>
      <c r="I111" s="39" t="s">
        <v>261</v>
      </c>
      <c r="J111" s="40">
        <v>0</v>
      </c>
      <c r="K111" s="40">
        <v>1005</v>
      </c>
      <c r="L111" s="40">
        <v>0</v>
      </c>
      <c r="M111" s="41">
        <v>127</v>
      </c>
      <c r="N111" s="41">
        <v>127</v>
      </c>
      <c r="O111" s="42">
        <v>0</v>
      </c>
      <c r="P111" s="43">
        <v>0</v>
      </c>
      <c r="Q111" s="43">
        <v>0</v>
      </c>
      <c r="R111" s="44">
        <v>33.948999999999998</v>
      </c>
      <c r="S111" s="45">
        <v>33.948999999999998</v>
      </c>
      <c r="T111" s="38">
        <f t="shared" si="38"/>
        <v>12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>
        <f>HLOOKUP(I111,ElecAvoidedCostsWOCC!$A$5:$Q$50,G111+1,FALSE)</f>
        <v>1.1709909127665883</v>
      </c>
      <c r="AG111" s="43">
        <f t="shared" si="50"/>
        <v>0</v>
      </c>
      <c r="AH111" s="51">
        <f>HLOOKUP(I111,ElecAvoidedCostsWOCC!$A$5:$Q$50,T111+1,FALSE)</f>
        <v>1.1709909127665883</v>
      </c>
      <c r="AI111" s="43">
        <f t="shared" si="51"/>
        <v>0</v>
      </c>
      <c r="AJ111" s="43">
        <f t="shared" si="52"/>
        <v>0</v>
      </c>
      <c r="AK111" s="43">
        <f>HLOOKUP(I111,ElecAvoidedCostsWOCC!$A$5:$Q$50,G111+1,FALSE)*J111*L111</f>
        <v>0</v>
      </c>
      <c r="AL111" s="43">
        <f t="shared" si="53"/>
        <v>0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 t="s">
        <v>1850</v>
      </c>
      <c r="F112" s="38" t="s">
        <v>1851</v>
      </c>
      <c r="G112" s="38">
        <v>12</v>
      </c>
      <c r="H112" s="38">
        <v>0</v>
      </c>
      <c r="I112" s="39" t="s">
        <v>261</v>
      </c>
      <c r="J112" s="40">
        <v>0</v>
      </c>
      <c r="K112" s="40">
        <v>373</v>
      </c>
      <c r="L112" s="40">
        <v>0</v>
      </c>
      <c r="M112" s="41">
        <v>127</v>
      </c>
      <c r="N112" s="41">
        <v>127</v>
      </c>
      <c r="O112" s="42">
        <v>0</v>
      </c>
      <c r="P112" s="43">
        <v>0</v>
      </c>
      <c r="Q112" s="43">
        <v>0</v>
      </c>
      <c r="R112" s="44">
        <v>13.512</v>
      </c>
      <c r="S112" s="45">
        <v>13.512</v>
      </c>
      <c r="T112" s="38">
        <f t="shared" si="38"/>
        <v>12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>
        <f>HLOOKUP(I112,ElecAvoidedCostsWOCC!$A$5:$Q$50,G112+1,FALSE)</f>
        <v>1.1709909127665883</v>
      </c>
      <c r="AG112" s="43">
        <f t="shared" si="50"/>
        <v>0</v>
      </c>
      <c r="AH112" s="51">
        <f>HLOOKUP(I112,ElecAvoidedCostsWOCC!$A$5:$Q$50,T112+1,FALSE)</f>
        <v>1.1709909127665883</v>
      </c>
      <c r="AI112" s="43">
        <f t="shared" si="51"/>
        <v>0</v>
      </c>
      <c r="AJ112" s="43">
        <f t="shared" si="52"/>
        <v>0</v>
      </c>
      <c r="AK112" s="43">
        <f>HLOOKUP(I112,ElecAvoidedCostsWOCC!$A$5:$Q$50,G112+1,FALSE)*J112*L112</f>
        <v>0</v>
      </c>
      <c r="AL112" s="43">
        <f t="shared" si="53"/>
        <v>0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 t="s">
        <v>1852</v>
      </c>
      <c r="F113" s="38" t="s">
        <v>1853</v>
      </c>
      <c r="G113" s="38">
        <v>12</v>
      </c>
      <c r="H113" s="38">
        <v>0</v>
      </c>
      <c r="I113" s="39" t="s">
        <v>261</v>
      </c>
      <c r="J113" s="40">
        <v>0</v>
      </c>
      <c r="K113" s="40">
        <v>2198</v>
      </c>
      <c r="L113" s="40">
        <v>0</v>
      </c>
      <c r="M113" s="41">
        <v>127</v>
      </c>
      <c r="N113" s="41">
        <v>127</v>
      </c>
      <c r="O113" s="42">
        <v>0</v>
      </c>
      <c r="P113" s="43">
        <v>0</v>
      </c>
      <c r="Q113" s="43">
        <v>0</v>
      </c>
      <c r="R113" s="44">
        <v>74.248000000000005</v>
      </c>
      <c r="S113" s="45">
        <v>74.248000000000005</v>
      </c>
      <c r="T113" s="38">
        <f t="shared" si="38"/>
        <v>12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>
        <f>HLOOKUP(I113,ElecAvoidedCostsWOCC!$A$5:$Q$50,G113+1,FALSE)</f>
        <v>1.1709909127665883</v>
      </c>
      <c r="AG113" s="43">
        <f t="shared" si="50"/>
        <v>0</v>
      </c>
      <c r="AH113" s="51">
        <f>HLOOKUP(I113,ElecAvoidedCostsWOCC!$A$5:$Q$50,T113+1,FALSE)</f>
        <v>1.1709909127665883</v>
      </c>
      <c r="AI113" s="43">
        <f t="shared" si="51"/>
        <v>0</v>
      </c>
      <c r="AJ113" s="43">
        <f t="shared" si="52"/>
        <v>0</v>
      </c>
      <c r="AK113" s="43">
        <f>HLOOKUP(I113,ElecAvoidedCostsWOCC!$A$5:$Q$50,G113+1,FALSE)*J113*L113</f>
        <v>0</v>
      </c>
      <c r="AL113" s="43">
        <f t="shared" si="53"/>
        <v>0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 t="s">
        <v>1854</v>
      </c>
      <c r="F114" s="38" t="s">
        <v>1855</v>
      </c>
      <c r="G114" s="38">
        <v>12</v>
      </c>
      <c r="H114" s="38">
        <v>0</v>
      </c>
      <c r="I114" s="39" t="s">
        <v>261</v>
      </c>
      <c r="J114" s="40">
        <v>0</v>
      </c>
      <c r="K114" s="40">
        <v>815</v>
      </c>
      <c r="L114" s="40">
        <v>0</v>
      </c>
      <c r="M114" s="41">
        <v>127</v>
      </c>
      <c r="N114" s="41">
        <v>127</v>
      </c>
      <c r="O114" s="42">
        <v>0</v>
      </c>
      <c r="P114" s="43">
        <v>0</v>
      </c>
      <c r="Q114" s="43">
        <v>0</v>
      </c>
      <c r="R114" s="44">
        <v>29.524000000000001</v>
      </c>
      <c r="S114" s="45">
        <v>29.524000000000001</v>
      </c>
      <c r="T114" s="38">
        <f t="shared" si="38"/>
        <v>12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>
        <f>HLOOKUP(I114,ElecAvoidedCostsWOCC!$A$5:$Q$50,G114+1,FALSE)</f>
        <v>1.1709909127665883</v>
      </c>
      <c r="AG114" s="43">
        <f t="shared" si="50"/>
        <v>0</v>
      </c>
      <c r="AH114" s="51">
        <f>HLOOKUP(I114,ElecAvoidedCostsWOCC!$A$5:$Q$50,T114+1,FALSE)</f>
        <v>1.1709909127665883</v>
      </c>
      <c r="AI114" s="43">
        <f t="shared" si="51"/>
        <v>0</v>
      </c>
      <c r="AJ114" s="43">
        <f t="shared" si="52"/>
        <v>0</v>
      </c>
      <c r="AK114" s="43">
        <f>HLOOKUP(I114,ElecAvoidedCostsWOCC!$A$5:$Q$50,G114+1,FALSE)*J114*L114</f>
        <v>0</v>
      </c>
      <c r="AL114" s="43">
        <f t="shared" si="53"/>
        <v>0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 t="s">
        <v>1856</v>
      </c>
      <c r="F115" s="38" t="s">
        <v>1857</v>
      </c>
      <c r="G115" s="38">
        <v>12</v>
      </c>
      <c r="H115" s="38">
        <v>0</v>
      </c>
      <c r="I115" s="39" t="s">
        <v>261</v>
      </c>
      <c r="J115" s="40">
        <v>0</v>
      </c>
      <c r="K115" s="40">
        <v>460</v>
      </c>
      <c r="L115" s="40">
        <v>0</v>
      </c>
      <c r="M115" s="41">
        <v>110</v>
      </c>
      <c r="N115" s="41">
        <v>110</v>
      </c>
      <c r="O115" s="42">
        <v>0</v>
      </c>
      <c r="P115" s="43">
        <v>0</v>
      </c>
      <c r="Q115" s="43">
        <v>0</v>
      </c>
      <c r="R115" s="44">
        <v>15.539</v>
      </c>
      <c r="S115" s="45">
        <v>15.539</v>
      </c>
      <c r="T115" s="38">
        <f t="shared" si="38"/>
        <v>12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>
        <f>HLOOKUP(I115,ElecAvoidedCostsWOCC!$A$5:$Q$50,G115+1,FALSE)</f>
        <v>1.1709909127665883</v>
      </c>
      <c r="AG115" s="43">
        <f t="shared" si="50"/>
        <v>0</v>
      </c>
      <c r="AH115" s="51">
        <f>HLOOKUP(I115,ElecAvoidedCostsWOCC!$A$5:$Q$50,T115+1,FALSE)</f>
        <v>1.1709909127665883</v>
      </c>
      <c r="AI115" s="43">
        <f t="shared" si="51"/>
        <v>0</v>
      </c>
      <c r="AJ115" s="43">
        <f t="shared" si="52"/>
        <v>0</v>
      </c>
      <c r="AK115" s="43">
        <f>HLOOKUP(I115,ElecAvoidedCostsWOCC!$A$5:$Q$50,G115+1,FALSE)*J115*L115</f>
        <v>0</v>
      </c>
      <c r="AL115" s="43">
        <f t="shared" si="53"/>
        <v>0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 t="s">
        <v>1858</v>
      </c>
      <c r="F116" s="38" t="s">
        <v>1859</v>
      </c>
      <c r="G116" s="38">
        <v>12</v>
      </c>
      <c r="H116" s="38">
        <v>0</v>
      </c>
      <c r="I116" s="39" t="s">
        <v>261</v>
      </c>
      <c r="J116" s="40">
        <v>0</v>
      </c>
      <c r="K116" s="40">
        <v>171</v>
      </c>
      <c r="L116" s="40">
        <v>0</v>
      </c>
      <c r="M116" s="41">
        <v>110</v>
      </c>
      <c r="N116" s="41">
        <v>110</v>
      </c>
      <c r="O116" s="42">
        <v>0</v>
      </c>
      <c r="P116" s="43">
        <v>0</v>
      </c>
      <c r="Q116" s="43">
        <v>0</v>
      </c>
      <c r="R116" s="44">
        <v>6.1820000000000004</v>
      </c>
      <c r="S116" s="45">
        <v>6.1820000000000004</v>
      </c>
      <c r="T116" s="38">
        <f t="shared" si="38"/>
        <v>12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>
        <f>HLOOKUP(I116,ElecAvoidedCostsWOCC!$A$5:$Q$50,G116+1,FALSE)</f>
        <v>1.1709909127665883</v>
      </c>
      <c r="AG116" s="43">
        <f t="shared" si="50"/>
        <v>0</v>
      </c>
      <c r="AH116" s="51">
        <f>HLOOKUP(I116,ElecAvoidedCostsWOCC!$A$5:$Q$50,T116+1,FALSE)</f>
        <v>1.1709909127665883</v>
      </c>
      <c r="AI116" s="43">
        <f t="shared" si="51"/>
        <v>0</v>
      </c>
      <c r="AJ116" s="43">
        <f t="shared" si="52"/>
        <v>0</v>
      </c>
      <c r="AK116" s="43">
        <f>HLOOKUP(I116,ElecAvoidedCostsWOCC!$A$5:$Q$50,G116+1,FALSE)*J116*L116</f>
        <v>0</v>
      </c>
      <c r="AL116" s="43">
        <f t="shared" si="53"/>
        <v>0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 t="s">
        <v>1860</v>
      </c>
      <c r="F117" s="38" t="s">
        <v>1861</v>
      </c>
      <c r="G117" s="38">
        <v>12</v>
      </c>
      <c r="H117" s="38">
        <v>0</v>
      </c>
      <c r="I117" s="39" t="s">
        <v>261</v>
      </c>
      <c r="J117" s="40">
        <v>0</v>
      </c>
      <c r="K117" s="40">
        <v>562</v>
      </c>
      <c r="L117" s="40">
        <v>0</v>
      </c>
      <c r="M117" s="41">
        <v>75</v>
      </c>
      <c r="N117" s="41">
        <v>75</v>
      </c>
      <c r="O117" s="42">
        <v>0</v>
      </c>
      <c r="P117" s="43">
        <v>0</v>
      </c>
      <c r="Q117" s="43">
        <v>0</v>
      </c>
      <c r="R117" s="44">
        <v>18.984000000000002</v>
      </c>
      <c r="S117" s="45">
        <v>18.984000000000002</v>
      </c>
      <c r="T117" s="38">
        <f t="shared" si="38"/>
        <v>12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>
        <f>HLOOKUP(I117,ElecAvoidedCostsWOCC!$A$5:$Q$50,G117+1,FALSE)</f>
        <v>1.1709909127665883</v>
      </c>
      <c r="AG117" s="43">
        <f t="shared" si="50"/>
        <v>0</v>
      </c>
      <c r="AH117" s="51">
        <f>HLOOKUP(I117,ElecAvoidedCostsWOCC!$A$5:$Q$50,T117+1,FALSE)</f>
        <v>1.1709909127665883</v>
      </c>
      <c r="AI117" s="43">
        <f t="shared" si="51"/>
        <v>0</v>
      </c>
      <c r="AJ117" s="43">
        <f t="shared" si="52"/>
        <v>0</v>
      </c>
      <c r="AK117" s="43">
        <f>HLOOKUP(I117,ElecAvoidedCostsWOCC!$A$5:$Q$50,G117+1,FALSE)*J117*L117</f>
        <v>0</v>
      </c>
      <c r="AL117" s="43">
        <f t="shared" si="53"/>
        <v>0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 t="s">
        <v>1862</v>
      </c>
      <c r="F118" s="38" t="s">
        <v>1863</v>
      </c>
      <c r="G118" s="38">
        <v>12</v>
      </c>
      <c r="H118" s="38">
        <v>0</v>
      </c>
      <c r="I118" s="39" t="s">
        <v>261</v>
      </c>
      <c r="J118" s="40">
        <v>0</v>
      </c>
      <c r="K118" s="40">
        <v>835</v>
      </c>
      <c r="L118" s="40">
        <v>0</v>
      </c>
      <c r="M118" s="41">
        <v>154</v>
      </c>
      <c r="N118" s="41">
        <v>154</v>
      </c>
      <c r="O118" s="42">
        <v>0</v>
      </c>
      <c r="P118" s="43">
        <v>0</v>
      </c>
      <c r="Q118" s="43">
        <v>0</v>
      </c>
      <c r="R118" s="44">
        <v>28.206</v>
      </c>
      <c r="S118" s="45">
        <v>28.206</v>
      </c>
      <c r="T118" s="38">
        <f t="shared" si="38"/>
        <v>12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>
        <f>HLOOKUP(I118,ElecAvoidedCostsWOCC!$A$5:$Q$50,G118+1,FALSE)</f>
        <v>1.1709909127665883</v>
      </c>
      <c r="AG118" s="43">
        <f t="shared" si="50"/>
        <v>0</v>
      </c>
      <c r="AH118" s="51">
        <f>HLOOKUP(I118,ElecAvoidedCostsWOCC!$A$5:$Q$50,T118+1,FALSE)</f>
        <v>1.1709909127665883</v>
      </c>
      <c r="AI118" s="43">
        <f t="shared" si="51"/>
        <v>0</v>
      </c>
      <c r="AJ118" s="43">
        <f t="shared" si="52"/>
        <v>0</v>
      </c>
      <c r="AK118" s="43">
        <f>HLOOKUP(I118,ElecAvoidedCostsWOCC!$A$5:$Q$50,G118+1,FALSE)*J118*L118</f>
        <v>0</v>
      </c>
      <c r="AL118" s="43">
        <f t="shared" si="53"/>
        <v>0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 t="s">
        <v>1864</v>
      </c>
      <c r="F119" s="38" t="s">
        <v>772</v>
      </c>
      <c r="G119" s="38">
        <v>12</v>
      </c>
      <c r="H119" s="38">
        <v>0</v>
      </c>
      <c r="I119" s="39" t="s">
        <v>261</v>
      </c>
      <c r="J119" s="40">
        <v>0</v>
      </c>
      <c r="K119" s="40">
        <v>309</v>
      </c>
      <c r="L119" s="40">
        <v>0</v>
      </c>
      <c r="M119" s="41">
        <v>160</v>
      </c>
      <c r="N119" s="41">
        <v>160</v>
      </c>
      <c r="O119" s="42">
        <v>0</v>
      </c>
      <c r="P119" s="43">
        <v>0</v>
      </c>
      <c r="Q119" s="43">
        <v>0</v>
      </c>
      <c r="R119" s="44">
        <v>10.438000000000001</v>
      </c>
      <c r="S119" s="45">
        <v>10.438000000000001</v>
      </c>
      <c r="T119" s="38">
        <f t="shared" si="38"/>
        <v>12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>
        <f>HLOOKUP(I119,ElecAvoidedCostsWOCC!$A$5:$Q$50,G119+1,FALSE)</f>
        <v>1.1709909127665883</v>
      </c>
      <c r="AG119" s="43">
        <f t="shared" si="50"/>
        <v>0</v>
      </c>
      <c r="AH119" s="51">
        <f>HLOOKUP(I119,ElecAvoidedCostsWOCC!$A$5:$Q$50,T119+1,FALSE)</f>
        <v>1.1709909127665883</v>
      </c>
      <c r="AI119" s="43">
        <f t="shared" si="51"/>
        <v>0</v>
      </c>
      <c r="AJ119" s="43">
        <f t="shared" si="52"/>
        <v>0</v>
      </c>
      <c r="AK119" s="43">
        <f>HLOOKUP(I119,ElecAvoidedCostsWOCC!$A$5:$Q$50,G119+1,FALSE)*J119*L119</f>
        <v>0</v>
      </c>
      <c r="AL119" s="43">
        <f t="shared" si="53"/>
        <v>0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 t="s">
        <v>1865</v>
      </c>
      <c r="F120" s="38" t="s">
        <v>1866</v>
      </c>
      <c r="G120" s="38">
        <v>12</v>
      </c>
      <c r="H120" s="38">
        <v>0</v>
      </c>
      <c r="I120" s="39" t="s">
        <v>261</v>
      </c>
      <c r="J120" s="40">
        <v>0</v>
      </c>
      <c r="K120" s="40">
        <v>1448</v>
      </c>
      <c r="L120" s="40">
        <v>0</v>
      </c>
      <c r="M120" s="41">
        <v>170</v>
      </c>
      <c r="N120" s="41">
        <v>170</v>
      </c>
      <c r="O120" s="42">
        <v>0</v>
      </c>
      <c r="P120" s="43">
        <v>0</v>
      </c>
      <c r="Q120" s="43">
        <v>0</v>
      </c>
      <c r="R120" s="44">
        <v>48.912999999999997</v>
      </c>
      <c r="S120" s="45">
        <v>48.912999999999997</v>
      </c>
      <c r="T120" s="38">
        <f t="shared" si="38"/>
        <v>12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>
        <f>HLOOKUP(I120,ElecAvoidedCostsWOCC!$A$5:$Q$50,G120+1,FALSE)</f>
        <v>1.1709909127665883</v>
      </c>
      <c r="AG120" s="43">
        <f t="shared" si="50"/>
        <v>0</v>
      </c>
      <c r="AH120" s="51">
        <f>HLOOKUP(I120,ElecAvoidedCostsWOCC!$A$5:$Q$50,T120+1,FALSE)</f>
        <v>1.1709909127665883</v>
      </c>
      <c r="AI120" s="43">
        <f t="shared" si="51"/>
        <v>0</v>
      </c>
      <c r="AJ120" s="43">
        <f t="shared" si="52"/>
        <v>0</v>
      </c>
      <c r="AK120" s="43">
        <f>HLOOKUP(I120,ElecAvoidedCostsWOCC!$A$5:$Q$50,G120+1,FALSE)*J120*L120</f>
        <v>0</v>
      </c>
      <c r="AL120" s="43">
        <f t="shared" si="53"/>
        <v>0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 t="s">
        <v>1867</v>
      </c>
      <c r="F121" s="38" t="s">
        <v>773</v>
      </c>
      <c r="G121" s="38">
        <v>12</v>
      </c>
      <c r="H121" s="38">
        <v>0</v>
      </c>
      <c r="I121" s="39" t="s">
        <v>261</v>
      </c>
      <c r="J121" s="40">
        <v>0</v>
      </c>
      <c r="K121" s="40">
        <v>537</v>
      </c>
      <c r="L121" s="40">
        <v>0</v>
      </c>
      <c r="M121" s="41">
        <v>176</v>
      </c>
      <c r="N121" s="41">
        <v>176</v>
      </c>
      <c r="O121" s="42">
        <v>0</v>
      </c>
      <c r="P121" s="43">
        <v>0</v>
      </c>
      <c r="Q121" s="43">
        <v>0</v>
      </c>
      <c r="R121" s="44">
        <v>18.139800000000001</v>
      </c>
      <c r="S121" s="45">
        <v>18.139800000000001</v>
      </c>
      <c r="T121" s="38">
        <f t="shared" si="38"/>
        <v>12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>
        <f>HLOOKUP(I121,ElecAvoidedCostsWOCC!$A$5:$Q$50,G121+1,FALSE)</f>
        <v>1.1709909127665883</v>
      </c>
      <c r="AG121" s="43">
        <f t="shared" si="50"/>
        <v>0</v>
      </c>
      <c r="AH121" s="51">
        <f>HLOOKUP(I121,ElecAvoidedCostsWOCC!$A$5:$Q$50,T121+1,FALSE)</f>
        <v>1.1709909127665883</v>
      </c>
      <c r="AI121" s="43">
        <f t="shared" si="51"/>
        <v>0</v>
      </c>
      <c r="AJ121" s="43">
        <f t="shared" si="52"/>
        <v>0</v>
      </c>
      <c r="AK121" s="43">
        <f>HLOOKUP(I121,ElecAvoidedCostsWOCC!$A$5:$Q$50,G121+1,FALSE)*J121*L121</f>
        <v>0</v>
      </c>
      <c r="AL121" s="43">
        <f t="shared" si="53"/>
        <v>0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 t="s">
        <v>1868</v>
      </c>
      <c r="F122" s="38" t="s">
        <v>774</v>
      </c>
      <c r="G122" s="38">
        <v>13</v>
      </c>
      <c r="H122" s="38">
        <v>0</v>
      </c>
      <c r="I122" s="39" t="s">
        <v>261</v>
      </c>
      <c r="J122" s="40">
        <v>0</v>
      </c>
      <c r="K122" s="40">
        <v>25.37</v>
      </c>
      <c r="L122" s="40">
        <v>0</v>
      </c>
      <c r="M122" s="41">
        <v>17</v>
      </c>
      <c r="N122" s="41">
        <v>17</v>
      </c>
      <c r="O122" s="42">
        <v>0</v>
      </c>
      <c r="P122" s="43">
        <v>0</v>
      </c>
      <c r="Q122" s="43">
        <v>0</v>
      </c>
      <c r="R122" s="44">
        <v>9.2999999999999999E-2</v>
      </c>
      <c r="S122" s="45">
        <v>9.2999999999999999E-2</v>
      </c>
      <c r="T122" s="38">
        <f t="shared" si="38"/>
        <v>13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>
        <f>HLOOKUP(I122,ElecAvoidedCostsWOCC!$A$5:$Q$50,G122+1,FALSE)</f>
        <v>1.2385236768860166</v>
      </c>
      <c r="AG122" s="43">
        <f t="shared" si="50"/>
        <v>0</v>
      </c>
      <c r="AH122" s="51">
        <f>HLOOKUP(I122,ElecAvoidedCostsWOCC!$A$5:$Q$50,T122+1,FALSE)</f>
        <v>1.2385236768860166</v>
      </c>
      <c r="AI122" s="43">
        <f t="shared" si="51"/>
        <v>0</v>
      </c>
      <c r="AJ122" s="43">
        <f t="shared" si="52"/>
        <v>0</v>
      </c>
      <c r="AK122" s="43">
        <f>HLOOKUP(I122,ElecAvoidedCostsWOCC!$A$5:$Q$50,G122+1,FALSE)*J122*L122</f>
        <v>0</v>
      </c>
      <c r="AL122" s="43">
        <f t="shared" si="53"/>
        <v>0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 t="s">
        <v>1869</v>
      </c>
      <c r="F123" s="38" t="s">
        <v>1870</v>
      </c>
      <c r="G123" s="38">
        <v>13</v>
      </c>
      <c r="H123" s="38">
        <v>0</v>
      </c>
      <c r="I123" s="39" t="s">
        <v>261</v>
      </c>
      <c r="J123" s="40">
        <v>0</v>
      </c>
      <c r="K123" s="40">
        <v>41.58</v>
      </c>
      <c r="L123" s="40">
        <v>0</v>
      </c>
      <c r="M123" s="41">
        <v>17</v>
      </c>
      <c r="N123" s="41">
        <v>17</v>
      </c>
      <c r="O123" s="42">
        <v>0</v>
      </c>
      <c r="P123" s="43">
        <v>0</v>
      </c>
      <c r="Q123" s="43">
        <v>0</v>
      </c>
      <c r="R123" s="44">
        <v>0.153</v>
      </c>
      <c r="S123" s="45">
        <v>0.153</v>
      </c>
      <c r="T123" s="38">
        <f t="shared" si="38"/>
        <v>13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>
        <f>HLOOKUP(I123,ElecAvoidedCostsWOCC!$A$5:$Q$50,G123+1,FALSE)</f>
        <v>1.2385236768860166</v>
      </c>
      <c r="AG123" s="43">
        <f t="shared" si="50"/>
        <v>0</v>
      </c>
      <c r="AH123" s="51">
        <f>HLOOKUP(I123,ElecAvoidedCostsWOCC!$A$5:$Q$50,T123+1,FALSE)</f>
        <v>1.2385236768860166</v>
      </c>
      <c r="AI123" s="43">
        <f t="shared" si="51"/>
        <v>0</v>
      </c>
      <c r="AJ123" s="43">
        <f t="shared" si="52"/>
        <v>0</v>
      </c>
      <c r="AK123" s="43">
        <f>HLOOKUP(I123,ElecAvoidedCostsWOCC!$A$5:$Q$50,G123+1,FALSE)*J123*L123</f>
        <v>0</v>
      </c>
      <c r="AL123" s="43">
        <f t="shared" si="53"/>
        <v>0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 t="s">
        <v>1871</v>
      </c>
      <c r="F124" s="38" t="s">
        <v>1872</v>
      </c>
      <c r="G124" s="38">
        <v>13</v>
      </c>
      <c r="H124" s="38">
        <v>0</v>
      </c>
      <c r="I124" s="39" t="s">
        <v>261</v>
      </c>
      <c r="J124" s="40">
        <v>0</v>
      </c>
      <c r="K124" s="40">
        <v>41.35</v>
      </c>
      <c r="L124" s="40">
        <v>0</v>
      </c>
      <c r="M124" s="41">
        <v>0.5</v>
      </c>
      <c r="N124" s="41">
        <v>17</v>
      </c>
      <c r="O124" s="42">
        <v>0</v>
      </c>
      <c r="P124" s="43">
        <v>0</v>
      </c>
      <c r="Q124" s="43">
        <v>0</v>
      </c>
      <c r="R124" s="44">
        <v>0.152</v>
      </c>
      <c r="S124" s="45">
        <v>0.152</v>
      </c>
      <c r="T124" s="38">
        <f t="shared" si="38"/>
        <v>13</v>
      </c>
      <c r="U124" s="46">
        <f t="shared" si="39"/>
        <v>0</v>
      </c>
      <c r="V124" s="47">
        <f t="shared" si="40"/>
        <v>16.5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>
        <f>HLOOKUP(I124,ElecAvoidedCostsWOCC!$A$5:$Q$50,G124+1,FALSE)</f>
        <v>1.2385236768860166</v>
      </c>
      <c r="AG124" s="43">
        <f t="shared" si="50"/>
        <v>0</v>
      </c>
      <c r="AH124" s="51">
        <f>HLOOKUP(I124,ElecAvoidedCostsWOCC!$A$5:$Q$50,T124+1,FALSE)</f>
        <v>1.2385236768860166</v>
      </c>
      <c r="AI124" s="43">
        <f t="shared" si="51"/>
        <v>0</v>
      </c>
      <c r="AJ124" s="43">
        <f t="shared" si="52"/>
        <v>0</v>
      </c>
      <c r="AK124" s="43">
        <f>HLOOKUP(I124,ElecAvoidedCostsWOCC!$A$5:$Q$50,G124+1,FALSE)*J124*L124</f>
        <v>0</v>
      </c>
      <c r="AL124" s="43">
        <f t="shared" si="53"/>
        <v>0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 t="s">
        <v>1873</v>
      </c>
      <c r="F125" s="38" t="s">
        <v>1874</v>
      </c>
      <c r="G125" s="38">
        <v>13</v>
      </c>
      <c r="H125" s="38">
        <v>0</v>
      </c>
      <c r="I125" s="39" t="s">
        <v>261</v>
      </c>
      <c r="J125" s="40">
        <v>0</v>
      </c>
      <c r="K125" s="40">
        <v>82.7</v>
      </c>
      <c r="L125" s="40">
        <v>0</v>
      </c>
      <c r="M125" s="41">
        <v>0.5</v>
      </c>
      <c r="N125" s="41">
        <v>17</v>
      </c>
      <c r="O125" s="42">
        <v>0</v>
      </c>
      <c r="P125" s="43">
        <v>0</v>
      </c>
      <c r="Q125" s="43">
        <v>0</v>
      </c>
      <c r="R125" s="44">
        <v>0.30399999999999999</v>
      </c>
      <c r="S125" s="45">
        <v>0.30399999999999999</v>
      </c>
      <c r="T125" s="38">
        <f t="shared" si="38"/>
        <v>13</v>
      </c>
      <c r="U125" s="46">
        <f t="shared" si="39"/>
        <v>0</v>
      </c>
      <c r="V125" s="47">
        <f t="shared" si="40"/>
        <v>16.5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>
        <f>HLOOKUP(I125,ElecAvoidedCostsWOCC!$A$5:$Q$50,G125+1,FALSE)</f>
        <v>1.2385236768860166</v>
      </c>
      <c r="AG125" s="43">
        <f t="shared" si="50"/>
        <v>0</v>
      </c>
      <c r="AH125" s="51">
        <f>HLOOKUP(I125,ElecAvoidedCostsWOCC!$A$5:$Q$50,T125+1,FALSE)</f>
        <v>1.2385236768860166</v>
      </c>
      <c r="AI125" s="43">
        <f t="shared" si="51"/>
        <v>0</v>
      </c>
      <c r="AJ125" s="43">
        <f t="shared" si="52"/>
        <v>0</v>
      </c>
      <c r="AK125" s="43">
        <f>HLOOKUP(I125,ElecAvoidedCostsWOCC!$A$5:$Q$50,G125+1,FALSE)*J125*L125</f>
        <v>0</v>
      </c>
      <c r="AL125" s="43">
        <f t="shared" si="53"/>
        <v>0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 t="s">
        <v>1875</v>
      </c>
      <c r="F126" s="38" t="s">
        <v>1876</v>
      </c>
      <c r="G126" s="38">
        <v>13</v>
      </c>
      <c r="H126" s="38">
        <v>0</v>
      </c>
      <c r="I126" s="39" t="s">
        <v>261</v>
      </c>
      <c r="J126" s="40">
        <v>0</v>
      </c>
      <c r="K126" s="40">
        <v>21.68</v>
      </c>
      <c r="L126" s="40">
        <v>0</v>
      </c>
      <c r="M126" s="41">
        <v>17</v>
      </c>
      <c r="N126" s="41">
        <v>17</v>
      </c>
      <c r="O126" s="42">
        <v>0</v>
      </c>
      <c r="P126" s="43">
        <v>0</v>
      </c>
      <c r="Q126" s="43">
        <v>0</v>
      </c>
      <c r="R126" s="44">
        <v>0.08</v>
      </c>
      <c r="S126" s="45">
        <v>0.08</v>
      </c>
      <c r="T126" s="38">
        <f t="shared" si="38"/>
        <v>13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>
        <f>HLOOKUP(I126,ElecAvoidedCostsWOCC!$A$5:$Q$50,G126+1,FALSE)</f>
        <v>1.2385236768860166</v>
      </c>
      <c r="AG126" s="43">
        <f t="shared" si="50"/>
        <v>0</v>
      </c>
      <c r="AH126" s="51">
        <f>HLOOKUP(I126,ElecAvoidedCostsWOCC!$A$5:$Q$50,T126+1,FALSE)</f>
        <v>1.2385236768860166</v>
      </c>
      <c r="AI126" s="43">
        <f t="shared" si="51"/>
        <v>0</v>
      </c>
      <c r="AJ126" s="43">
        <f t="shared" si="52"/>
        <v>0</v>
      </c>
      <c r="AK126" s="43">
        <f>HLOOKUP(I126,ElecAvoidedCostsWOCC!$A$5:$Q$50,G126+1,FALSE)*J126*L126</f>
        <v>0</v>
      </c>
      <c r="AL126" s="43">
        <f t="shared" si="53"/>
        <v>0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 t="s">
        <v>1877</v>
      </c>
      <c r="F127" s="38" t="s">
        <v>1878</v>
      </c>
      <c r="G127" s="38">
        <v>13</v>
      </c>
      <c r="H127" s="38">
        <v>0</v>
      </c>
      <c r="I127" s="39" t="s">
        <v>261</v>
      </c>
      <c r="J127" s="40">
        <v>0</v>
      </c>
      <c r="K127" s="40">
        <v>35.54</v>
      </c>
      <c r="L127" s="40">
        <v>0</v>
      </c>
      <c r="M127" s="41">
        <v>17</v>
      </c>
      <c r="N127" s="41">
        <v>17</v>
      </c>
      <c r="O127" s="42">
        <v>0</v>
      </c>
      <c r="P127" s="43">
        <v>0</v>
      </c>
      <c r="Q127" s="43">
        <v>0</v>
      </c>
      <c r="R127" s="44">
        <v>0.13100000000000001</v>
      </c>
      <c r="S127" s="45">
        <v>0.13100000000000001</v>
      </c>
      <c r="T127" s="38">
        <f t="shared" si="38"/>
        <v>13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>
        <f>HLOOKUP(I127,ElecAvoidedCostsWOCC!$A$5:$Q$50,G127+1,FALSE)</f>
        <v>1.2385236768860166</v>
      </c>
      <c r="AG127" s="43">
        <f t="shared" si="50"/>
        <v>0</v>
      </c>
      <c r="AH127" s="51">
        <f>HLOOKUP(I127,ElecAvoidedCostsWOCC!$A$5:$Q$50,T127+1,FALSE)</f>
        <v>1.2385236768860166</v>
      </c>
      <c r="AI127" s="43">
        <f t="shared" si="51"/>
        <v>0</v>
      </c>
      <c r="AJ127" s="43">
        <f t="shared" si="52"/>
        <v>0</v>
      </c>
      <c r="AK127" s="43">
        <f>HLOOKUP(I127,ElecAvoidedCostsWOCC!$A$5:$Q$50,G127+1,FALSE)*J127*L127</f>
        <v>0</v>
      </c>
      <c r="AL127" s="43">
        <f t="shared" si="53"/>
        <v>0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 t="s">
        <v>1879</v>
      </c>
      <c r="F128" s="38" t="s">
        <v>1880</v>
      </c>
      <c r="G128" s="38">
        <v>13</v>
      </c>
      <c r="H128" s="38">
        <v>0</v>
      </c>
      <c r="I128" s="39" t="s">
        <v>261</v>
      </c>
      <c r="J128" s="40">
        <v>0</v>
      </c>
      <c r="K128" s="40">
        <v>35.340000000000003</v>
      </c>
      <c r="L128" s="40">
        <v>0</v>
      </c>
      <c r="M128" s="41">
        <v>0.5</v>
      </c>
      <c r="N128" s="41">
        <v>17</v>
      </c>
      <c r="O128" s="42">
        <v>0</v>
      </c>
      <c r="P128" s="43">
        <v>0</v>
      </c>
      <c r="Q128" s="43">
        <v>0</v>
      </c>
      <c r="R128" s="44">
        <v>0.13100000000000001</v>
      </c>
      <c r="S128" s="45">
        <v>0.13100000000000001</v>
      </c>
      <c r="T128" s="38">
        <f t="shared" si="38"/>
        <v>13</v>
      </c>
      <c r="U128" s="46">
        <f t="shared" si="39"/>
        <v>0</v>
      </c>
      <c r="V128" s="47">
        <f t="shared" si="40"/>
        <v>16.5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>
        <f>HLOOKUP(I128,ElecAvoidedCostsWOCC!$A$5:$Q$50,G128+1,FALSE)</f>
        <v>1.2385236768860166</v>
      </c>
      <c r="AG128" s="43">
        <f t="shared" si="50"/>
        <v>0</v>
      </c>
      <c r="AH128" s="51">
        <f>HLOOKUP(I128,ElecAvoidedCostsWOCC!$A$5:$Q$50,T128+1,FALSE)</f>
        <v>1.2385236768860166</v>
      </c>
      <c r="AI128" s="43">
        <f t="shared" si="51"/>
        <v>0</v>
      </c>
      <c r="AJ128" s="43">
        <f t="shared" si="52"/>
        <v>0</v>
      </c>
      <c r="AK128" s="43">
        <f>HLOOKUP(I128,ElecAvoidedCostsWOCC!$A$5:$Q$50,G128+1,FALSE)*J128*L128</f>
        <v>0</v>
      </c>
      <c r="AL128" s="43">
        <f t="shared" si="53"/>
        <v>0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 t="s">
        <v>1881</v>
      </c>
      <c r="F129" s="38" t="s">
        <v>1882</v>
      </c>
      <c r="G129" s="38">
        <v>13</v>
      </c>
      <c r="H129" s="38">
        <v>0</v>
      </c>
      <c r="I129" s="39" t="s">
        <v>261</v>
      </c>
      <c r="J129" s="40">
        <v>0</v>
      </c>
      <c r="K129" s="40">
        <v>70.680000000000007</v>
      </c>
      <c r="L129" s="40">
        <v>0</v>
      </c>
      <c r="M129" s="41">
        <v>0.5</v>
      </c>
      <c r="N129" s="41">
        <v>17</v>
      </c>
      <c r="O129" s="42">
        <v>0</v>
      </c>
      <c r="P129" s="43">
        <v>0</v>
      </c>
      <c r="Q129" s="43">
        <v>0</v>
      </c>
      <c r="R129" s="44">
        <v>0.26</v>
      </c>
      <c r="S129" s="45">
        <v>0.26</v>
      </c>
      <c r="T129" s="38">
        <f t="shared" si="38"/>
        <v>13</v>
      </c>
      <c r="U129" s="46">
        <f t="shared" si="39"/>
        <v>0</v>
      </c>
      <c r="V129" s="47">
        <f t="shared" si="40"/>
        <v>16.5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>
        <f>HLOOKUP(I129,ElecAvoidedCostsWOCC!$A$5:$Q$50,G129+1,FALSE)</f>
        <v>1.2385236768860166</v>
      </c>
      <c r="AG129" s="43">
        <f t="shared" si="50"/>
        <v>0</v>
      </c>
      <c r="AH129" s="51">
        <f>HLOOKUP(I129,ElecAvoidedCostsWOCC!$A$5:$Q$50,T129+1,FALSE)</f>
        <v>1.2385236768860166</v>
      </c>
      <c r="AI129" s="43">
        <f t="shared" si="51"/>
        <v>0</v>
      </c>
      <c r="AJ129" s="43">
        <f t="shared" si="52"/>
        <v>0</v>
      </c>
      <c r="AK129" s="43">
        <f>HLOOKUP(I129,ElecAvoidedCostsWOCC!$A$5:$Q$50,G129+1,FALSE)*J129*L129</f>
        <v>0</v>
      </c>
      <c r="AL129" s="43">
        <f t="shared" si="53"/>
        <v>0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 t="s">
        <v>1883</v>
      </c>
      <c r="F130" s="38" t="s">
        <v>1884</v>
      </c>
      <c r="G130" s="38">
        <v>13</v>
      </c>
      <c r="H130" s="38">
        <v>0</v>
      </c>
      <c r="I130" s="39" t="s">
        <v>261</v>
      </c>
      <c r="J130" s="40">
        <v>0</v>
      </c>
      <c r="K130" s="40">
        <v>30.96</v>
      </c>
      <c r="L130" s="40">
        <v>0</v>
      </c>
      <c r="M130" s="41">
        <v>17</v>
      </c>
      <c r="N130" s="41">
        <v>17</v>
      </c>
      <c r="O130" s="42">
        <v>0</v>
      </c>
      <c r="P130" s="43">
        <v>0</v>
      </c>
      <c r="Q130" s="43">
        <v>0</v>
      </c>
      <c r="R130" s="44">
        <v>0.114</v>
      </c>
      <c r="S130" s="45">
        <v>0.114</v>
      </c>
      <c r="T130" s="38">
        <f t="shared" si="38"/>
        <v>13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>
        <f>HLOOKUP(I130,ElecAvoidedCostsWOCC!$A$5:$Q$50,G130+1,FALSE)</f>
        <v>1.2385236768860166</v>
      </c>
      <c r="AG130" s="43">
        <f t="shared" si="50"/>
        <v>0</v>
      </c>
      <c r="AH130" s="51">
        <f>HLOOKUP(I130,ElecAvoidedCostsWOCC!$A$5:$Q$50,T130+1,FALSE)</f>
        <v>1.2385236768860166</v>
      </c>
      <c r="AI130" s="43">
        <f t="shared" si="51"/>
        <v>0</v>
      </c>
      <c r="AJ130" s="43">
        <f t="shared" si="52"/>
        <v>0</v>
      </c>
      <c r="AK130" s="43">
        <f>HLOOKUP(I130,ElecAvoidedCostsWOCC!$A$5:$Q$50,G130+1,FALSE)*J130*L130</f>
        <v>0</v>
      </c>
      <c r="AL130" s="43">
        <f t="shared" si="53"/>
        <v>0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 t="s">
        <v>1885</v>
      </c>
      <c r="F131" s="38" t="s">
        <v>1886</v>
      </c>
      <c r="G131" s="38">
        <v>13</v>
      </c>
      <c r="H131" s="38">
        <v>0</v>
      </c>
      <c r="I131" s="39" t="s">
        <v>261</v>
      </c>
      <c r="J131" s="40">
        <v>0</v>
      </c>
      <c r="K131" s="40">
        <v>50.74</v>
      </c>
      <c r="L131" s="40">
        <v>0</v>
      </c>
      <c r="M131" s="41">
        <v>17</v>
      </c>
      <c r="N131" s="41">
        <v>17</v>
      </c>
      <c r="O131" s="42">
        <v>0</v>
      </c>
      <c r="P131" s="43">
        <v>0</v>
      </c>
      <c r="Q131" s="43">
        <v>0</v>
      </c>
      <c r="R131" s="44">
        <v>0.187</v>
      </c>
      <c r="S131" s="45">
        <v>0.187</v>
      </c>
      <c r="T131" s="38">
        <f t="shared" si="38"/>
        <v>13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>
        <f>HLOOKUP(I131,ElecAvoidedCostsWOCC!$A$5:$Q$50,G131+1,FALSE)</f>
        <v>1.2385236768860166</v>
      </c>
      <c r="AG131" s="43">
        <f t="shared" si="50"/>
        <v>0</v>
      </c>
      <c r="AH131" s="51">
        <f>HLOOKUP(I131,ElecAvoidedCostsWOCC!$A$5:$Q$50,T131+1,FALSE)</f>
        <v>1.2385236768860166</v>
      </c>
      <c r="AI131" s="43">
        <f t="shared" si="51"/>
        <v>0</v>
      </c>
      <c r="AJ131" s="43">
        <f t="shared" si="52"/>
        <v>0</v>
      </c>
      <c r="AK131" s="43">
        <f>HLOOKUP(I131,ElecAvoidedCostsWOCC!$A$5:$Q$50,G131+1,FALSE)*J131*L131</f>
        <v>0</v>
      </c>
      <c r="AL131" s="43">
        <f t="shared" si="53"/>
        <v>0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 t="s">
        <v>1887</v>
      </c>
      <c r="F132" s="38" t="s">
        <v>1888</v>
      </c>
      <c r="G132" s="38">
        <v>13</v>
      </c>
      <c r="H132" s="38">
        <v>0</v>
      </c>
      <c r="I132" s="39" t="s">
        <v>261</v>
      </c>
      <c r="J132" s="40">
        <v>0</v>
      </c>
      <c r="K132" s="40">
        <v>50.46</v>
      </c>
      <c r="L132" s="40">
        <v>0</v>
      </c>
      <c r="M132" s="41">
        <v>0.5</v>
      </c>
      <c r="N132" s="41">
        <v>17</v>
      </c>
      <c r="O132" s="42">
        <v>0</v>
      </c>
      <c r="P132" s="43">
        <v>0</v>
      </c>
      <c r="Q132" s="43">
        <v>0</v>
      </c>
      <c r="R132" s="44">
        <v>0.186</v>
      </c>
      <c r="S132" s="45">
        <v>0.186</v>
      </c>
      <c r="T132" s="38">
        <f t="shared" si="38"/>
        <v>13</v>
      </c>
      <c r="U132" s="46">
        <f t="shared" si="39"/>
        <v>0</v>
      </c>
      <c r="V132" s="47">
        <f t="shared" si="40"/>
        <v>16.5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>
        <f>HLOOKUP(I132,ElecAvoidedCostsWOCC!$A$5:$Q$50,G132+1,FALSE)</f>
        <v>1.2385236768860166</v>
      </c>
      <c r="AG132" s="43">
        <f t="shared" si="50"/>
        <v>0</v>
      </c>
      <c r="AH132" s="51">
        <f>HLOOKUP(I132,ElecAvoidedCostsWOCC!$A$5:$Q$50,T132+1,FALSE)</f>
        <v>1.2385236768860166</v>
      </c>
      <c r="AI132" s="43">
        <f t="shared" si="51"/>
        <v>0</v>
      </c>
      <c r="AJ132" s="43">
        <f t="shared" si="52"/>
        <v>0</v>
      </c>
      <c r="AK132" s="43">
        <f>HLOOKUP(I132,ElecAvoidedCostsWOCC!$A$5:$Q$50,G132+1,FALSE)*J132*L132</f>
        <v>0</v>
      </c>
      <c r="AL132" s="43">
        <f t="shared" si="53"/>
        <v>0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 t="s">
        <v>1889</v>
      </c>
      <c r="F133" s="38" t="s">
        <v>1890</v>
      </c>
      <c r="G133" s="38">
        <v>13</v>
      </c>
      <c r="H133" s="38">
        <v>0</v>
      </c>
      <c r="I133" s="39" t="s">
        <v>261</v>
      </c>
      <c r="J133" s="40">
        <v>0</v>
      </c>
      <c r="K133" s="40">
        <v>100.92</v>
      </c>
      <c r="L133" s="40">
        <v>0</v>
      </c>
      <c r="M133" s="41">
        <v>0.5</v>
      </c>
      <c r="N133" s="41">
        <v>17</v>
      </c>
      <c r="O133" s="42">
        <v>0</v>
      </c>
      <c r="P133" s="43">
        <v>0</v>
      </c>
      <c r="Q133" s="43">
        <v>0</v>
      </c>
      <c r="R133" s="44">
        <v>0.371</v>
      </c>
      <c r="S133" s="45">
        <v>0.371</v>
      </c>
      <c r="T133" s="38">
        <f t="shared" si="38"/>
        <v>13</v>
      </c>
      <c r="U133" s="46">
        <f t="shared" si="39"/>
        <v>0</v>
      </c>
      <c r="V133" s="47">
        <f t="shared" si="40"/>
        <v>16.5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>
        <f>HLOOKUP(I133,ElecAvoidedCostsWOCC!$A$5:$Q$50,G133+1,FALSE)</f>
        <v>1.2385236768860166</v>
      </c>
      <c r="AG133" s="43">
        <f t="shared" si="50"/>
        <v>0</v>
      </c>
      <c r="AH133" s="51">
        <f>HLOOKUP(I133,ElecAvoidedCostsWOCC!$A$5:$Q$50,T133+1,FALSE)</f>
        <v>1.2385236768860166</v>
      </c>
      <c r="AI133" s="43">
        <f t="shared" si="51"/>
        <v>0</v>
      </c>
      <c r="AJ133" s="43">
        <f t="shared" si="52"/>
        <v>0</v>
      </c>
      <c r="AK133" s="43">
        <f>HLOOKUP(I133,ElecAvoidedCostsWOCC!$A$5:$Q$50,G133+1,FALSE)*J133*L133</f>
        <v>0</v>
      </c>
      <c r="AL133" s="43">
        <f t="shared" si="53"/>
        <v>0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 t="s">
        <v>1891</v>
      </c>
      <c r="F134" s="38" t="s">
        <v>775</v>
      </c>
      <c r="G134" s="38">
        <v>7</v>
      </c>
      <c r="H134" s="38">
        <v>0</v>
      </c>
      <c r="I134" s="39" t="s">
        <v>261</v>
      </c>
      <c r="J134" s="40">
        <v>0</v>
      </c>
      <c r="K134" s="40">
        <v>37</v>
      </c>
      <c r="L134" s="40">
        <v>0</v>
      </c>
      <c r="M134" s="41">
        <v>17</v>
      </c>
      <c r="N134" s="41">
        <v>17</v>
      </c>
      <c r="O134" s="42">
        <v>0</v>
      </c>
      <c r="P134" s="43">
        <v>0</v>
      </c>
      <c r="Q134" s="43">
        <v>0</v>
      </c>
      <c r="R134" s="44">
        <v>0.13600000000000001</v>
      </c>
      <c r="S134" s="45">
        <v>0.13600000000000001</v>
      </c>
      <c r="T134" s="38">
        <f t="shared" si="38"/>
        <v>7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>
        <f>HLOOKUP(I134,ElecAvoidedCostsWOCC!$A$5:$Q$50,G134+1,FALSE)</f>
        <v>0.75731698561531147</v>
      </c>
      <c r="AG134" s="43">
        <f t="shared" si="50"/>
        <v>0</v>
      </c>
      <c r="AH134" s="51">
        <f>HLOOKUP(I134,ElecAvoidedCostsWOCC!$A$5:$Q$50,T134+1,FALSE)</f>
        <v>0.75731698561531147</v>
      </c>
      <c r="AI134" s="43">
        <f t="shared" si="51"/>
        <v>0</v>
      </c>
      <c r="AJ134" s="43">
        <f t="shared" si="52"/>
        <v>0</v>
      </c>
      <c r="AK134" s="43">
        <f>HLOOKUP(I134,ElecAvoidedCostsWOCC!$A$5:$Q$50,G134+1,FALSE)*J134*L134</f>
        <v>0</v>
      </c>
      <c r="AL134" s="43">
        <f t="shared" si="53"/>
        <v>0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 t="s">
        <v>1892</v>
      </c>
      <c r="F135" s="38" t="s">
        <v>776</v>
      </c>
      <c r="G135" s="38">
        <v>7</v>
      </c>
      <c r="H135" s="38">
        <v>0</v>
      </c>
      <c r="I135" s="39" t="s">
        <v>261</v>
      </c>
      <c r="J135" s="40">
        <v>0</v>
      </c>
      <c r="K135" s="40">
        <v>60.64</v>
      </c>
      <c r="L135" s="40">
        <v>0</v>
      </c>
      <c r="M135" s="41">
        <v>17</v>
      </c>
      <c r="N135" s="41">
        <v>17</v>
      </c>
      <c r="O135" s="42">
        <v>0</v>
      </c>
      <c r="P135" s="43">
        <v>0</v>
      </c>
      <c r="Q135" s="43">
        <v>0</v>
      </c>
      <c r="R135" s="44">
        <v>0.223</v>
      </c>
      <c r="S135" s="45">
        <v>0.223</v>
      </c>
      <c r="T135" s="38">
        <f t="shared" si="38"/>
        <v>7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>
        <f>HLOOKUP(I135,ElecAvoidedCostsWOCC!$A$5:$Q$50,G135+1,FALSE)</f>
        <v>0.75731698561531147</v>
      </c>
      <c r="AG135" s="43">
        <f t="shared" si="50"/>
        <v>0</v>
      </c>
      <c r="AH135" s="51">
        <f>HLOOKUP(I135,ElecAvoidedCostsWOCC!$A$5:$Q$50,T135+1,FALSE)</f>
        <v>0.75731698561531147</v>
      </c>
      <c r="AI135" s="43">
        <f t="shared" si="51"/>
        <v>0</v>
      </c>
      <c r="AJ135" s="43">
        <f t="shared" si="52"/>
        <v>0</v>
      </c>
      <c r="AK135" s="43">
        <f>HLOOKUP(I135,ElecAvoidedCostsWOCC!$A$5:$Q$50,G135+1,FALSE)*J135*L135</f>
        <v>0</v>
      </c>
      <c r="AL135" s="43">
        <f t="shared" si="53"/>
        <v>0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 t="s">
        <v>1893</v>
      </c>
      <c r="F136" s="38" t="s">
        <v>1894</v>
      </c>
      <c r="G136" s="38">
        <v>7</v>
      </c>
      <c r="H136" s="38">
        <v>0</v>
      </c>
      <c r="I136" s="39" t="s">
        <v>261</v>
      </c>
      <c r="J136" s="40">
        <v>0</v>
      </c>
      <c r="K136" s="40">
        <v>60.3</v>
      </c>
      <c r="L136" s="40">
        <v>0</v>
      </c>
      <c r="M136" s="41">
        <v>0.5</v>
      </c>
      <c r="N136" s="41">
        <v>17</v>
      </c>
      <c r="O136" s="42">
        <v>0</v>
      </c>
      <c r="P136" s="43">
        <v>0</v>
      </c>
      <c r="Q136" s="43">
        <v>0</v>
      </c>
      <c r="R136" s="44">
        <v>0.222</v>
      </c>
      <c r="S136" s="45">
        <v>0.222</v>
      </c>
      <c r="T136" s="38">
        <f t="shared" si="38"/>
        <v>7</v>
      </c>
      <c r="U136" s="46">
        <f t="shared" si="39"/>
        <v>0</v>
      </c>
      <c r="V136" s="47">
        <f t="shared" si="40"/>
        <v>16.5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>
        <f>HLOOKUP(I136,ElecAvoidedCostsWOCC!$A$5:$Q$50,G136+1,FALSE)</f>
        <v>0.75731698561531147</v>
      </c>
      <c r="AG136" s="43">
        <f t="shared" si="50"/>
        <v>0</v>
      </c>
      <c r="AH136" s="51">
        <f>HLOOKUP(I136,ElecAvoidedCostsWOCC!$A$5:$Q$50,T136+1,FALSE)</f>
        <v>0.75731698561531147</v>
      </c>
      <c r="AI136" s="43">
        <f t="shared" si="51"/>
        <v>0</v>
      </c>
      <c r="AJ136" s="43">
        <f t="shared" si="52"/>
        <v>0</v>
      </c>
      <c r="AK136" s="43">
        <f>HLOOKUP(I136,ElecAvoidedCostsWOCC!$A$5:$Q$50,G136+1,FALSE)*J136*L136</f>
        <v>0</v>
      </c>
      <c r="AL136" s="43">
        <f t="shared" si="53"/>
        <v>0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 t="s">
        <v>1895</v>
      </c>
      <c r="F137" s="38" t="s">
        <v>1896</v>
      </c>
      <c r="G137" s="38">
        <v>7</v>
      </c>
      <c r="H137" s="38">
        <v>0</v>
      </c>
      <c r="I137" s="39" t="s">
        <v>261</v>
      </c>
      <c r="J137" s="40">
        <v>0</v>
      </c>
      <c r="K137" s="40">
        <v>120.61</v>
      </c>
      <c r="L137" s="40">
        <v>0</v>
      </c>
      <c r="M137" s="41">
        <v>0.5</v>
      </c>
      <c r="N137" s="41">
        <v>17</v>
      </c>
      <c r="O137" s="42">
        <v>0</v>
      </c>
      <c r="P137" s="43">
        <v>0</v>
      </c>
      <c r="Q137" s="43">
        <v>0</v>
      </c>
      <c r="R137" s="44">
        <v>0.443</v>
      </c>
      <c r="S137" s="45">
        <v>0.443</v>
      </c>
      <c r="T137" s="38">
        <f t="shared" si="38"/>
        <v>7</v>
      </c>
      <c r="U137" s="46">
        <f t="shared" si="39"/>
        <v>0</v>
      </c>
      <c r="V137" s="47">
        <f t="shared" si="40"/>
        <v>16.5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>
        <f>HLOOKUP(I137,ElecAvoidedCostsWOCC!$A$5:$Q$50,G137+1,FALSE)</f>
        <v>0.75731698561531147</v>
      </c>
      <c r="AG137" s="43">
        <f t="shared" si="50"/>
        <v>0</v>
      </c>
      <c r="AH137" s="51">
        <f>HLOOKUP(I137,ElecAvoidedCostsWOCC!$A$5:$Q$50,T137+1,FALSE)</f>
        <v>0.75731698561531147</v>
      </c>
      <c r="AI137" s="43">
        <f t="shared" si="51"/>
        <v>0</v>
      </c>
      <c r="AJ137" s="43">
        <f t="shared" si="52"/>
        <v>0</v>
      </c>
      <c r="AK137" s="43">
        <f>HLOOKUP(I137,ElecAvoidedCostsWOCC!$A$5:$Q$50,G137+1,FALSE)*J137*L137</f>
        <v>0</v>
      </c>
      <c r="AL137" s="43">
        <f t="shared" si="53"/>
        <v>0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 t="s">
        <v>1897</v>
      </c>
      <c r="F138" s="38" t="s">
        <v>1898</v>
      </c>
      <c r="G138" s="38">
        <v>7</v>
      </c>
      <c r="H138" s="38">
        <v>0</v>
      </c>
      <c r="I138" s="39" t="s">
        <v>261</v>
      </c>
      <c r="J138" s="40">
        <v>0</v>
      </c>
      <c r="K138" s="40">
        <v>31.62</v>
      </c>
      <c r="L138" s="40">
        <v>0</v>
      </c>
      <c r="M138" s="41">
        <v>17</v>
      </c>
      <c r="N138" s="41">
        <v>17</v>
      </c>
      <c r="O138" s="42">
        <v>0</v>
      </c>
      <c r="P138" s="43">
        <v>0</v>
      </c>
      <c r="Q138" s="43">
        <v>0</v>
      </c>
      <c r="R138" s="44">
        <v>0.11600000000000001</v>
      </c>
      <c r="S138" s="45">
        <v>0.11600000000000001</v>
      </c>
      <c r="T138" s="38">
        <f t="shared" si="38"/>
        <v>7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>
        <f>HLOOKUP(I138,ElecAvoidedCostsWOCC!$A$5:$Q$50,G138+1,FALSE)</f>
        <v>0.75731698561531147</v>
      </c>
      <c r="AG138" s="43">
        <f t="shared" si="50"/>
        <v>0</v>
      </c>
      <c r="AH138" s="51">
        <f>HLOOKUP(I138,ElecAvoidedCostsWOCC!$A$5:$Q$50,T138+1,FALSE)</f>
        <v>0.75731698561531147</v>
      </c>
      <c r="AI138" s="43">
        <f t="shared" si="51"/>
        <v>0</v>
      </c>
      <c r="AJ138" s="43">
        <f t="shared" si="52"/>
        <v>0</v>
      </c>
      <c r="AK138" s="43">
        <f>HLOOKUP(I138,ElecAvoidedCostsWOCC!$A$5:$Q$50,G138+1,FALSE)*J138*L138</f>
        <v>0</v>
      </c>
      <c r="AL138" s="43">
        <f t="shared" si="53"/>
        <v>0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 t="s">
        <v>1899</v>
      </c>
      <c r="F139" s="38" t="s">
        <v>1900</v>
      </c>
      <c r="G139" s="38">
        <v>7</v>
      </c>
      <c r="H139" s="38">
        <v>0</v>
      </c>
      <c r="I139" s="39" t="s">
        <v>261</v>
      </c>
      <c r="J139" s="40">
        <v>0</v>
      </c>
      <c r="K139" s="40">
        <v>51.82</v>
      </c>
      <c r="L139" s="40">
        <v>0</v>
      </c>
      <c r="M139" s="41">
        <v>17</v>
      </c>
      <c r="N139" s="41">
        <v>17</v>
      </c>
      <c r="O139" s="42">
        <v>0</v>
      </c>
      <c r="P139" s="43">
        <v>0</v>
      </c>
      <c r="Q139" s="43">
        <v>0</v>
      </c>
      <c r="R139" s="44">
        <v>0.191</v>
      </c>
      <c r="S139" s="45">
        <v>0.191</v>
      </c>
      <c r="T139" s="38">
        <f t="shared" si="38"/>
        <v>7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>
        <f>HLOOKUP(I139,ElecAvoidedCostsWOCC!$A$5:$Q$50,G139+1,FALSE)</f>
        <v>0.75731698561531147</v>
      </c>
      <c r="AG139" s="43">
        <f t="shared" si="50"/>
        <v>0</v>
      </c>
      <c r="AH139" s="51">
        <f>HLOOKUP(I139,ElecAvoidedCostsWOCC!$A$5:$Q$50,T139+1,FALSE)</f>
        <v>0.75731698561531147</v>
      </c>
      <c r="AI139" s="43">
        <f t="shared" si="51"/>
        <v>0</v>
      </c>
      <c r="AJ139" s="43">
        <f t="shared" si="52"/>
        <v>0</v>
      </c>
      <c r="AK139" s="43">
        <f>HLOOKUP(I139,ElecAvoidedCostsWOCC!$A$5:$Q$50,G139+1,FALSE)*J139*L139</f>
        <v>0</v>
      </c>
      <c r="AL139" s="43">
        <f t="shared" si="53"/>
        <v>0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 t="s">
        <v>1901</v>
      </c>
      <c r="F140" s="38" t="s">
        <v>1902</v>
      </c>
      <c r="G140" s="38">
        <v>7</v>
      </c>
      <c r="H140" s="38">
        <v>0</v>
      </c>
      <c r="I140" s="39" t="s">
        <v>261</v>
      </c>
      <c r="J140" s="40">
        <v>0</v>
      </c>
      <c r="K140" s="40">
        <v>51.53</v>
      </c>
      <c r="L140" s="40">
        <v>0</v>
      </c>
      <c r="M140" s="41">
        <v>0.5</v>
      </c>
      <c r="N140" s="41">
        <v>17</v>
      </c>
      <c r="O140" s="42">
        <v>0</v>
      </c>
      <c r="P140" s="43">
        <v>0</v>
      </c>
      <c r="Q140" s="43">
        <v>0</v>
      </c>
      <c r="R140" s="44">
        <v>0.189</v>
      </c>
      <c r="S140" s="45">
        <v>0.189</v>
      </c>
      <c r="T140" s="38">
        <f t="shared" si="38"/>
        <v>7</v>
      </c>
      <c r="U140" s="46">
        <f t="shared" si="39"/>
        <v>0</v>
      </c>
      <c r="V140" s="47">
        <f t="shared" si="40"/>
        <v>16.5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>
        <f>HLOOKUP(I140,ElecAvoidedCostsWOCC!$A$5:$Q$50,G140+1,FALSE)</f>
        <v>0.75731698561531147</v>
      </c>
      <c r="AG140" s="43">
        <f t="shared" si="50"/>
        <v>0</v>
      </c>
      <c r="AH140" s="51">
        <f>HLOOKUP(I140,ElecAvoidedCostsWOCC!$A$5:$Q$50,T140+1,FALSE)</f>
        <v>0.75731698561531147</v>
      </c>
      <c r="AI140" s="43">
        <f t="shared" si="51"/>
        <v>0</v>
      </c>
      <c r="AJ140" s="43">
        <f t="shared" si="52"/>
        <v>0</v>
      </c>
      <c r="AK140" s="43">
        <f>HLOOKUP(I140,ElecAvoidedCostsWOCC!$A$5:$Q$50,G140+1,FALSE)*J140*L140</f>
        <v>0</v>
      </c>
      <c r="AL140" s="43">
        <f t="shared" si="53"/>
        <v>0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 t="s">
        <v>1903</v>
      </c>
      <c r="F141" s="38" t="s">
        <v>1904</v>
      </c>
      <c r="G141" s="38">
        <v>7</v>
      </c>
      <c r="H141" s="38">
        <v>0</v>
      </c>
      <c r="I141" s="39" t="s">
        <v>261</v>
      </c>
      <c r="J141" s="40">
        <v>0</v>
      </c>
      <c r="K141" s="40">
        <v>103.07</v>
      </c>
      <c r="L141" s="40">
        <v>0</v>
      </c>
      <c r="M141" s="41">
        <v>0.5</v>
      </c>
      <c r="N141" s="41">
        <v>17</v>
      </c>
      <c r="O141" s="42">
        <v>0</v>
      </c>
      <c r="P141" s="43">
        <v>0</v>
      </c>
      <c r="Q141" s="43">
        <v>0</v>
      </c>
      <c r="R141" s="44">
        <v>0.379</v>
      </c>
      <c r="S141" s="45">
        <v>0.379</v>
      </c>
      <c r="T141" s="38">
        <f t="shared" si="38"/>
        <v>7</v>
      </c>
      <c r="U141" s="46">
        <f t="shared" si="39"/>
        <v>0</v>
      </c>
      <c r="V141" s="47">
        <f t="shared" si="40"/>
        <v>16.5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>
        <f>HLOOKUP(I141,ElecAvoidedCostsWOCC!$A$5:$Q$50,G141+1,FALSE)</f>
        <v>0.75731698561531147</v>
      </c>
      <c r="AG141" s="43">
        <f t="shared" si="50"/>
        <v>0</v>
      </c>
      <c r="AH141" s="51">
        <f>HLOOKUP(I141,ElecAvoidedCostsWOCC!$A$5:$Q$50,T141+1,FALSE)</f>
        <v>0.75731698561531147</v>
      </c>
      <c r="AI141" s="43">
        <f t="shared" si="51"/>
        <v>0</v>
      </c>
      <c r="AJ141" s="43">
        <f t="shared" si="52"/>
        <v>0</v>
      </c>
      <c r="AK141" s="43">
        <f>HLOOKUP(I141,ElecAvoidedCostsWOCC!$A$5:$Q$50,G141+1,FALSE)*J141*L141</f>
        <v>0</v>
      </c>
      <c r="AL141" s="43">
        <f t="shared" si="53"/>
        <v>0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  <row r="142" spans="2:42" x14ac:dyDescent="0.25">
      <c r="B142" s="36"/>
      <c r="C142" s="60"/>
      <c r="D142" s="60"/>
      <c r="E142" s="37" t="s">
        <v>1905</v>
      </c>
      <c r="F142" s="38" t="s">
        <v>1906</v>
      </c>
      <c r="G142" s="38">
        <v>7</v>
      </c>
      <c r="H142" s="38">
        <v>0</v>
      </c>
      <c r="I142" s="39" t="s">
        <v>261</v>
      </c>
      <c r="J142" s="40">
        <v>0</v>
      </c>
      <c r="K142" s="40">
        <v>45.15</v>
      </c>
      <c r="L142" s="40">
        <v>0</v>
      </c>
      <c r="M142" s="41">
        <v>17</v>
      </c>
      <c r="N142" s="41">
        <v>17</v>
      </c>
      <c r="O142" s="42">
        <v>0</v>
      </c>
      <c r="P142" s="43">
        <v>0</v>
      </c>
      <c r="Q142" s="43">
        <v>0</v>
      </c>
      <c r="R142" s="44">
        <v>0.16600000000000001</v>
      </c>
      <c r="S142" s="45">
        <v>0.16600000000000001</v>
      </c>
      <c r="T142" s="38">
        <f t="shared" si="38"/>
        <v>7</v>
      </c>
      <c r="U142" s="46">
        <f t="shared" si="39"/>
        <v>0</v>
      </c>
      <c r="V142" s="47">
        <f t="shared" si="40"/>
        <v>0</v>
      </c>
      <c r="W142" s="48">
        <f t="shared" si="41"/>
        <v>0</v>
      </c>
      <c r="X142" s="43">
        <f t="shared" si="42"/>
        <v>0</v>
      </c>
      <c r="Y142" s="43">
        <f t="shared" si="43"/>
        <v>0</v>
      </c>
      <c r="Z142" s="43">
        <f t="shared" si="44"/>
        <v>0</v>
      </c>
      <c r="AA142" s="49">
        <f t="shared" si="45"/>
        <v>0</v>
      </c>
      <c r="AB142" s="50">
        <f t="shared" si="46"/>
        <v>0</v>
      </c>
      <c r="AC142" s="43">
        <f t="shared" si="47"/>
        <v>0</v>
      </c>
      <c r="AD142" s="43">
        <f t="shared" si="48"/>
        <v>0</v>
      </c>
      <c r="AE142" s="43">
        <f t="shared" si="49"/>
        <v>0</v>
      </c>
      <c r="AF142" s="51">
        <f>HLOOKUP(I142,ElecAvoidedCostsWOCC!$A$5:$Q$50,G142+1,FALSE)</f>
        <v>0.75731698561531147</v>
      </c>
      <c r="AG142" s="43">
        <f t="shared" si="50"/>
        <v>0</v>
      </c>
      <c r="AH142" s="51">
        <f>HLOOKUP(I142,ElecAvoidedCostsWOCC!$A$5:$Q$50,T142+1,FALSE)</f>
        <v>0.75731698561531147</v>
      </c>
      <c r="AI142" s="43">
        <f t="shared" si="51"/>
        <v>0</v>
      </c>
      <c r="AJ142" s="43">
        <f t="shared" si="52"/>
        <v>0</v>
      </c>
      <c r="AK142" s="43">
        <f>HLOOKUP(I142,ElecAvoidedCostsWOCC!$A$5:$Q$50,G142+1,FALSE)*J142*L142</f>
        <v>0</v>
      </c>
      <c r="AL142" s="43">
        <f t="shared" si="53"/>
        <v>0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54"/>
        <v>0</v>
      </c>
      <c r="AO142" s="46">
        <f t="shared" si="55"/>
        <v>0</v>
      </c>
      <c r="AP142" s="46" t="e">
        <f t="shared" si="56"/>
        <v>#DIV/0!</v>
      </c>
    </row>
    <row r="143" spans="2:42" x14ac:dyDescent="0.25">
      <c r="B143" s="36"/>
      <c r="C143" s="60"/>
      <c r="D143" s="60"/>
      <c r="E143" s="37" t="s">
        <v>1907</v>
      </c>
      <c r="F143" s="38" t="s">
        <v>777</v>
      </c>
      <c r="G143" s="38">
        <v>7</v>
      </c>
      <c r="H143" s="38">
        <v>0</v>
      </c>
      <c r="I143" s="39" t="s">
        <v>261</v>
      </c>
      <c r="J143" s="40">
        <v>0</v>
      </c>
      <c r="K143" s="40">
        <v>74</v>
      </c>
      <c r="L143" s="40">
        <v>0</v>
      </c>
      <c r="M143" s="41">
        <v>17</v>
      </c>
      <c r="N143" s="41">
        <v>17</v>
      </c>
      <c r="O143" s="42">
        <v>0</v>
      </c>
      <c r="P143" s="43">
        <v>0</v>
      </c>
      <c r="Q143" s="43">
        <v>0</v>
      </c>
      <c r="R143" s="44">
        <v>0.27200000000000002</v>
      </c>
      <c r="S143" s="45">
        <v>0.27200000000000002</v>
      </c>
      <c r="T143" s="38">
        <f t="shared" si="38"/>
        <v>7</v>
      </c>
      <c r="U143" s="46">
        <f t="shared" si="39"/>
        <v>0</v>
      </c>
      <c r="V143" s="47">
        <f t="shared" si="40"/>
        <v>0</v>
      </c>
      <c r="W143" s="48">
        <f t="shared" si="41"/>
        <v>0</v>
      </c>
      <c r="X143" s="43">
        <f t="shared" si="42"/>
        <v>0</v>
      </c>
      <c r="Y143" s="43">
        <f t="shared" si="43"/>
        <v>0</v>
      </c>
      <c r="Z143" s="43">
        <f t="shared" si="44"/>
        <v>0</v>
      </c>
      <c r="AA143" s="49">
        <f t="shared" si="45"/>
        <v>0</v>
      </c>
      <c r="AB143" s="50">
        <f t="shared" si="46"/>
        <v>0</v>
      </c>
      <c r="AC143" s="43">
        <f t="shared" si="47"/>
        <v>0</v>
      </c>
      <c r="AD143" s="43">
        <f t="shared" si="48"/>
        <v>0</v>
      </c>
      <c r="AE143" s="43">
        <f t="shared" si="49"/>
        <v>0</v>
      </c>
      <c r="AF143" s="51">
        <f>HLOOKUP(I143,ElecAvoidedCostsWOCC!$A$5:$Q$50,G143+1,FALSE)</f>
        <v>0.75731698561531147</v>
      </c>
      <c r="AG143" s="43">
        <f t="shared" si="50"/>
        <v>0</v>
      </c>
      <c r="AH143" s="51">
        <f>HLOOKUP(I143,ElecAvoidedCostsWOCC!$A$5:$Q$50,T143+1,FALSE)</f>
        <v>0.75731698561531147</v>
      </c>
      <c r="AI143" s="43">
        <f t="shared" si="51"/>
        <v>0</v>
      </c>
      <c r="AJ143" s="43">
        <f t="shared" si="52"/>
        <v>0</v>
      </c>
      <c r="AK143" s="43">
        <f>HLOOKUP(I143,ElecAvoidedCostsWOCC!$A$5:$Q$50,G143+1,FALSE)*J143*L143</f>
        <v>0</v>
      </c>
      <c r="AL143" s="43">
        <f t="shared" si="53"/>
        <v>0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54"/>
        <v>0</v>
      </c>
      <c r="AO143" s="46">
        <f t="shared" si="55"/>
        <v>0</v>
      </c>
      <c r="AP143" s="46" t="e">
        <f t="shared" si="56"/>
        <v>#DIV/0!</v>
      </c>
    </row>
    <row r="144" spans="2:42" x14ac:dyDescent="0.25">
      <c r="B144" s="36"/>
      <c r="C144" s="60"/>
      <c r="D144" s="60"/>
      <c r="E144" s="37" t="s">
        <v>1908</v>
      </c>
      <c r="F144" s="38" t="s">
        <v>1909</v>
      </c>
      <c r="G144" s="38">
        <v>7</v>
      </c>
      <c r="H144" s="38">
        <v>0</v>
      </c>
      <c r="I144" s="39" t="s">
        <v>261</v>
      </c>
      <c r="J144" s="40">
        <v>0</v>
      </c>
      <c r="K144" s="40">
        <v>73.59</v>
      </c>
      <c r="L144" s="40">
        <v>0</v>
      </c>
      <c r="M144" s="41">
        <v>0.5</v>
      </c>
      <c r="N144" s="41">
        <v>17</v>
      </c>
      <c r="O144" s="42">
        <v>0</v>
      </c>
      <c r="P144" s="43">
        <v>0</v>
      </c>
      <c r="Q144" s="43">
        <v>0</v>
      </c>
      <c r="R144" s="44">
        <v>0.27100000000000002</v>
      </c>
      <c r="S144" s="45">
        <v>0.27100000000000002</v>
      </c>
      <c r="T144" s="38">
        <f t="shared" si="38"/>
        <v>7</v>
      </c>
      <c r="U144" s="46">
        <f t="shared" si="39"/>
        <v>0</v>
      </c>
      <c r="V144" s="47">
        <f t="shared" si="40"/>
        <v>16.5</v>
      </c>
      <c r="W144" s="48">
        <f t="shared" si="41"/>
        <v>0</v>
      </c>
      <c r="X144" s="43">
        <f t="shared" si="42"/>
        <v>0</v>
      </c>
      <c r="Y144" s="43">
        <f t="shared" si="43"/>
        <v>0</v>
      </c>
      <c r="Z144" s="43">
        <f t="shared" si="44"/>
        <v>0</v>
      </c>
      <c r="AA144" s="49">
        <f t="shared" si="45"/>
        <v>0</v>
      </c>
      <c r="AB144" s="50">
        <f t="shared" si="46"/>
        <v>0</v>
      </c>
      <c r="AC144" s="43">
        <f t="shared" si="47"/>
        <v>0</v>
      </c>
      <c r="AD144" s="43">
        <f t="shared" si="48"/>
        <v>0</v>
      </c>
      <c r="AE144" s="43">
        <f t="shared" si="49"/>
        <v>0</v>
      </c>
      <c r="AF144" s="51">
        <f>HLOOKUP(I144,ElecAvoidedCostsWOCC!$A$5:$Q$50,G144+1,FALSE)</f>
        <v>0.75731698561531147</v>
      </c>
      <c r="AG144" s="43">
        <f t="shared" si="50"/>
        <v>0</v>
      </c>
      <c r="AH144" s="51">
        <f>HLOOKUP(I144,ElecAvoidedCostsWOCC!$A$5:$Q$50,T144+1,FALSE)</f>
        <v>0.75731698561531147</v>
      </c>
      <c r="AI144" s="43">
        <f t="shared" si="51"/>
        <v>0</v>
      </c>
      <c r="AJ144" s="43">
        <f t="shared" si="52"/>
        <v>0</v>
      </c>
      <c r="AK144" s="43">
        <f>HLOOKUP(I144,ElecAvoidedCostsWOCC!$A$5:$Q$50,G144+1,FALSE)*J144*L144</f>
        <v>0</v>
      </c>
      <c r="AL144" s="43">
        <f t="shared" si="53"/>
        <v>0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54"/>
        <v>0</v>
      </c>
      <c r="AO144" s="46">
        <f t="shared" si="55"/>
        <v>0</v>
      </c>
      <c r="AP144" s="46" t="e">
        <f t="shared" si="56"/>
        <v>#DIV/0!</v>
      </c>
    </row>
    <row r="145" spans="2:42" x14ac:dyDescent="0.25">
      <c r="B145" s="36"/>
      <c r="C145" s="60"/>
      <c r="D145" s="60"/>
      <c r="E145" s="37" t="s">
        <v>1910</v>
      </c>
      <c r="F145" s="38" t="s">
        <v>1911</v>
      </c>
      <c r="G145" s="38">
        <v>7</v>
      </c>
      <c r="H145" s="38">
        <v>0</v>
      </c>
      <c r="I145" s="39" t="s">
        <v>261</v>
      </c>
      <c r="J145" s="40">
        <v>0</v>
      </c>
      <c r="K145" s="40">
        <v>147.16999999999999</v>
      </c>
      <c r="L145" s="40">
        <v>0</v>
      </c>
      <c r="M145" s="41">
        <v>0.5</v>
      </c>
      <c r="N145" s="41">
        <v>17</v>
      </c>
      <c r="O145" s="42">
        <v>0</v>
      </c>
      <c r="P145" s="43">
        <v>0</v>
      </c>
      <c r="Q145" s="43">
        <v>0</v>
      </c>
      <c r="R145" s="44">
        <v>0.54100000000000004</v>
      </c>
      <c r="S145" s="45">
        <v>0.54100000000000004</v>
      </c>
      <c r="T145" s="38">
        <f t="shared" si="38"/>
        <v>7</v>
      </c>
      <c r="U145" s="46">
        <f t="shared" si="39"/>
        <v>0</v>
      </c>
      <c r="V145" s="47">
        <f t="shared" si="40"/>
        <v>16.5</v>
      </c>
      <c r="W145" s="48">
        <f t="shared" si="41"/>
        <v>0</v>
      </c>
      <c r="X145" s="43">
        <f t="shared" si="42"/>
        <v>0</v>
      </c>
      <c r="Y145" s="43">
        <f t="shared" si="43"/>
        <v>0</v>
      </c>
      <c r="Z145" s="43">
        <f t="shared" si="44"/>
        <v>0</v>
      </c>
      <c r="AA145" s="49">
        <f t="shared" si="45"/>
        <v>0</v>
      </c>
      <c r="AB145" s="50">
        <f t="shared" si="46"/>
        <v>0</v>
      </c>
      <c r="AC145" s="43">
        <f t="shared" si="47"/>
        <v>0</v>
      </c>
      <c r="AD145" s="43">
        <f t="shared" si="48"/>
        <v>0</v>
      </c>
      <c r="AE145" s="43">
        <f t="shared" si="49"/>
        <v>0</v>
      </c>
      <c r="AF145" s="51">
        <f>HLOOKUP(I145,ElecAvoidedCostsWOCC!$A$5:$Q$50,G145+1,FALSE)</f>
        <v>0.75731698561531147</v>
      </c>
      <c r="AG145" s="43">
        <f t="shared" si="50"/>
        <v>0</v>
      </c>
      <c r="AH145" s="51">
        <f>HLOOKUP(I145,ElecAvoidedCostsWOCC!$A$5:$Q$50,T145+1,FALSE)</f>
        <v>0.75731698561531147</v>
      </c>
      <c r="AI145" s="43">
        <f t="shared" si="51"/>
        <v>0</v>
      </c>
      <c r="AJ145" s="43">
        <f t="shared" si="52"/>
        <v>0</v>
      </c>
      <c r="AK145" s="43">
        <f>HLOOKUP(I145,ElecAvoidedCostsWOCC!$A$5:$Q$50,G145+1,FALSE)*J145*L145</f>
        <v>0</v>
      </c>
      <c r="AL145" s="43">
        <f t="shared" si="53"/>
        <v>0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54"/>
        <v>0</v>
      </c>
      <c r="AO145" s="46">
        <f t="shared" si="55"/>
        <v>0</v>
      </c>
      <c r="AP145" s="46" t="e">
        <f t="shared" si="56"/>
        <v>#DIV/0!</v>
      </c>
    </row>
    <row r="146" spans="2:42" x14ac:dyDescent="0.25">
      <c r="B146" s="36"/>
      <c r="C146" s="60"/>
      <c r="D146" s="60"/>
      <c r="E146" s="37" t="s">
        <v>1912</v>
      </c>
      <c r="F146" s="38" t="s">
        <v>747</v>
      </c>
      <c r="G146" s="38">
        <v>15</v>
      </c>
      <c r="H146" s="38">
        <v>0</v>
      </c>
      <c r="I146" s="39" t="s">
        <v>261</v>
      </c>
      <c r="J146" s="40">
        <v>0</v>
      </c>
      <c r="K146" s="40">
        <v>392</v>
      </c>
      <c r="L146" s="40">
        <v>0</v>
      </c>
      <c r="M146" s="41">
        <v>140</v>
      </c>
      <c r="N146" s="41">
        <v>140</v>
      </c>
      <c r="O146" s="42">
        <v>0</v>
      </c>
      <c r="P146" s="43">
        <v>0</v>
      </c>
      <c r="Q146" s="43">
        <v>0</v>
      </c>
      <c r="R146" s="44">
        <v>14.188000000000001</v>
      </c>
      <c r="S146" s="45">
        <v>14.188000000000001</v>
      </c>
      <c r="T146" s="38">
        <f t="shared" si="38"/>
        <v>15</v>
      </c>
      <c r="U146" s="46">
        <f t="shared" si="39"/>
        <v>0</v>
      </c>
      <c r="V146" s="47">
        <f t="shared" si="40"/>
        <v>0</v>
      </c>
      <c r="W146" s="48">
        <f t="shared" si="41"/>
        <v>0</v>
      </c>
      <c r="X146" s="43">
        <f t="shared" si="42"/>
        <v>0</v>
      </c>
      <c r="Y146" s="43">
        <f t="shared" si="43"/>
        <v>0</v>
      </c>
      <c r="Z146" s="43">
        <f t="shared" si="44"/>
        <v>0</v>
      </c>
      <c r="AA146" s="49">
        <f t="shared" si="45"/>
        <v>0</v>
      </c>
      <c r="AB146" s="50">
        <f t="shared" si="46"/>
        <v>0</v>
      </c>
      <c r="AC146" s="43">
        <f t="shared" si="47"/>
        <v>0</v>
      </c>
      <c r="AD146" s="43">
        <f t="shared" si="48"/>
        <v>0</v>
      </c>
      <c r="AE146" s="43">
        <f t="shared" si="49"/>
        <v>0</v>
      </c>
      <c r="AF146" s="51">
        <f>HLOOKUP(I146,ElecAvoidedCostsWOCC!$A$5:$Q$50,G146+1,FALSE)</f>
        <v>1.3606535375205495</v>
      </c>
      <c r="AG146" s="43">
        <f t="shared" si="50"/>
        <v>0</v>
      </c>
      <c r="AH146" s="51">
        <f>HLOOKUP(I146,ElecAvoidedCostsWOCC!$A$5:$Q$50,T146+1,FALSE)</f>
        <v>1.3606535375205495</v>
      </c>
      <c r="AI146" s="43">
        <f t="shared" si="51"/>
        <v>0</v>
      </c>
      <c r="AJ146" s="43">
        <f t="shared" si="52"/>
        <v>0</v>
      </c>
      <c r="AK146" s="43">
        <f>HLOOKUP(I146,ElecAvoidedCostsWOCC!$A$5:$Q$50,G146+1,FALSE)*J146*L146</f>
        <v>0</v>
      </c>
      <c r="AL146" s="43">
        <f t="shared" si="53"/>
        <v>0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54"/>
        <v>0</v>
      </c>
      <c r="AO146" s="46">
        <f t="shared" si="55"/>
        <v>0</v>
      </c>
      <c r="AP146" s="46" t="e">
        <f t="shared" si="56"/>
        <v>#DIV/0!</v>
      </c>
    </row>
    <row r="147" spans="2:42" x14ac:dyDescent="0.25">
      <c r="B147" s="36"/>
      <c r="C147" s="60"/>
      <c r="D147" s="60"/>
      <c r="E147" s="37" t="s">
        <v>1913</v>
      </c>
      <c r="F147" s="38" t="s">
        <v>1914</v>
      </c>
      <c r="G147" s="38">
        <v>15</v>
      </c>
      <c r="H147" s="38">
        <v>0</v>
      </c>
      <c r="I147" s="39" t="s">
        <v>261</v>
      </c>
      <c r="J147" s="40">
        <v>0</v>
      </c>
      <c r="K147" s="40">
        <v>290</v>
      </c>
      <c r="L147" s="40">
        <v>0</v>
      </c>
      <c r="M147" s="41">
        <v>140</v>
      </c>
      <c r="N147" s="41">
        <v>140</v>
      </c>
      <c r="O147" s="42">
        <v>0</v>
      </c>
      <c r="P147" s="43">
        <v>0</v>
      </c>
      <c r="Q147" s="43">
        <v>0</v>
      </c>
      <c r="R147" s="44">
        <v>10.539</v>
      </c>
      <c r="S147" s="45">
        <v>10.539</v>
      </c>
      <c r="T147" s="38">
        <f t="shared" si="38"/>
        <v>15</v>
      </c>
      <c r="U147" s="46">
        <f t="shared" si="39"/>
        <v>0</v>
      </c>
      <c r="V147" s="47">
        <f t="shared" si="40"/>
        <v>0</v>
      </c>
      <c r="W147" s="48">
        <f t="shared" si="41"/>
        <v>0</v>
      </c>
      <c r="X147" s="43">
        <f t="shared" si="42"/>
        <v>0</v>
      </c>
      <c r="Y147" s="43">
        <f t="shared" si="43"/>
        <v>0</v>
      </c>
      <c r="Z147" s="43">
        <f t="shared" si="44"/>
        <v>0</v>
      </c>
      <c r="AA147" s="49">
        <f t="shared" si="45"/>
        <v>0</v>
      </c>
      <c r="AB147" s="50">
        <f t="shared" si="46"/>
        <v>0</v>
      </c>
      <c r="AC147" s="43">
        <f t="shared" si="47"/>
        <v>0</v>
      </c>
      <c r="AD147" s="43">
        <f t="shared" si="48"/>
        <v>0</v>
      </c>
      <c r="AE147" s="43">
        <f t="shared" si="49"/>
        <v>0</v>
      </c>
      <c r="AF147" s="51">
        <f>HLOOKUP(I147,ElecAvoidedCostsWOCC!$A$5:$Q$50,G147+1,FALSE)</f>
        <v>1.3606535375205495</v>
      </c>
      <c r="AG147" s="43">
        <f t="shared" si="50"/>
        <v>0</v>
      </c>
      <c r="AH147" s="51">
        <f>HLOOKUP(I147,ElecAvoidedCostsWOCC!$A$5:$Q$50,T147+1,FALSE)</f>
        <v>1.3606535375205495</v>
      </c>
      <c r="AI147" s="43">
        <f t="shared" si="51"/>
        <v>0</v>
      </c>
      <c r="AJ147" s="43">
        <f t="shared" si="52"/>
        <v>0</v>
      </c>
      <c r="AK147" s="43">
        <f>HLOOKUP(I147,ElecAvoidedCostsWOCC!$A$5:$Q$50,G147+1,FALSE)*J147*L147</f>
        <v>0</v>
      </c>
      <c r="AL147" s="43">
        <f t="shared" si="53"/>
        <v>0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54"/>
        <v>0</v>
      </c>
      <c r="AO147" s="46">
        <f t="shared" si="55"/>
        <v>0</v>
      </c>
      <c r="AP147" s="46" t="e">
        <f t="shared" si="56"/>
        <v>#DIV/0!</v>
      </c>
    </row>
    <row r="148" spans="2:42" x14ac:dyDescent="0.25">
      <c r="B148" s="36"/>
      <c r="C148" s="60"/>
      <c r="D148" s="60"/>
      <c r="E148" s="37" t="s">
        <v>1915</v>
      </c>
      <c r="F148" s="38" t="s">
        <v>1916</v>
      </c>
      <c r="G148" s="38">
        <v>15</v>
      </c>
      <c r="H148" s="38">
        <v>0</v>
      </c>
      <c r="I148" s="39" t="s">
        <v>261</v>
      </c>
      <c r="J148" s="40">
        <v>0</v>
      </c>
      <c r="K148" s="40">
        <v>199</v>
      </c>
      <c r="L148" s="40">
        <v>0</v>
      </c>
      <c r="M148" s="41">
        <v>140</v>
      </c>
      <c r="N148" s="41">
        <v>140</v>
      </c>
      <c r="O148" s="42">
        <v>0</v>
      </c>
      <c r="P148" s="43">
        <v>0</v>
      </c>
      <c r="Q148" s="43">
        <v>0</v>
      </c>
      <c r="R148" s="44">
        <v>7.1950000000000003</v>
      </c>
      <c r="S148" s="45">
        <v>7.1950000000000003</v>
      </c>
      <c r="T148" s="38">
        <f t="shared" si="38"/>
        <v>15</v>
      </c>
      <c r="U148" s="46">
        <f t="shared" si="39"/>
        <v>0</v>
      </c>
      <c r="V148" s="47">
        <f t="shared" si="40"/>
        <v>0</v>
      </c>
      <c r="W148" s="48">
        <f t="shared" si="41"/>
        <v>0</v>
      </c>
      <c r="X148" s="43">
        <f t="shared" si="42"/>
        <v>0</v>
      </c>
      <c r="Y148" s="43">
        <f t="shared" si="43"/>
        <v>0</v>
      </c>
      <c r="Z148" s="43">
        <f t="shared" si="44"/>
        <v>0</v>
      </c>
      <c r="AA148" s="49">
        <f t="shared" si="45"/>
        <v>0</v>
      </c>
      <c r="AB148" s="50">
        <f t="shared" si="46"/>
        <v>0</v>
      </c>
      <c r="AC148" s="43">
        <f t="shared" si="47"/>
        <v>0</v>
      </c>
      <c r="AD148" s="43">
        <f t="shared" si="48"/>
        <v>0</v>
      </c>
      <c r="AE148" s="43">
        <f t="shared" si="49"/>
        <v>0</v>
      </c>
      <c r="AF148" s="51">
        <f>HLOOKUP(I148,ElecAvoidedCostsWOCC!$A$5:$Q$50,G148+1,FALSE)</f>
        <v>1.3606535375205495</v>
      </c>
      <c r="AG148" s="43">
        <f t="shared" si="50"/>
        <v>0</v>
      </c>
      <c r="AH148" s="51">
        <f>HLOOKUP(I148,ElecAvoidedCostsWOCC!$A$5:$Q$50,T148+1,FALSE)</f>
        <v>1.3606535375205495</v>
      </c>
      <c r="AI148" s="43">
        <f t="shared" si="51"/>
        <v>0</v>
      </c>
      <c r="AJ148" s="43">
        <f t="shared" si="52"/>
        <v>0</v>
      </c>
      <c r="AK148" s="43">
        <f>HLOOKUP(I148,ElecAvoidedCostsWOCC!$A$5:$Q$50,G148+1,FALSE)*J148*L148</f>
        <v>0</v>
      </c>
      <c r="AL148" s="43">
        <f t="shared" si="53"/>
        <v>0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54"/>
        <v>0</v>
      </c>
      <c r="AO148" s="46">
        <f t="shared" si="55"/>
        <v>0</v>
      </c>
      <c r="AP148" s="46" t="e">
        <f t="shared" si="56"/>
        <v>#DIV/0!</v>
      </c>
    </row>
    <row r="149" spans="2:42" x14ac:dyDescent="0.25">
      <c r="B149" s="36"/>
      <c r="C149" s="60"/>
      <c r="D149" s="60"/>
      <c r="E149" s="37" t="s">
        <v>1917</v>
      </c>
      <c r="F149" s="38" t="s">
        <v>748</v>
      </c>
      <c r="G149" s="38">
        <v>15</v>
      </c>
      <c r="H149" s="38">
        <v>0</v>
      </c>
      <c r="I149" s="39" t="s">
        <v>261</v>
      </c>
      <c r="J149" s="40">
        <v>0</v>
      </c>
      <c r="K149" s="40">
        <v>735</v>
      </c>
      <c r="L149" s="40">
        <v>0</v>
      </c>
      <c r="M149" s="41">
        <v>218.82</v>
      </c>
      <c r="N149" s="41">
        <v>218.82</v>
      </c>
      <c r="O149" s="42">
        <v>0</v>
      </c>
      <c r="P149" s="43">
        <v>0</v>
      </c>
      <c r="Q149" s="43">
        <v>0</v>
      </c>
      <c r="R149" s="44">
        <v>24.827999999999999</v>
      </c>
      <c r="S149" s="45">
        <v>24.827999999999999</v>
      </c>
      <c r="T149" s="38">
        <f t="shared" si="38"/>
        <v>15</v>
      </c>
      <c r="U149" s="46">
        <f t="shared" si="39"/>
        <v>0</v>
      </c>
      <c r="V149" s="47">
        <f t="shared" si="40"/>
        <v>0</v>
      </c>
      <c r="W149" s="48">
        <f t="shared" si="41"/>
        <v>0</v>
      </c>
      <c r="X149" s="43">
        <f t="shared" si="42"/>
        <v>0</v>
      </c>
      <c r="Y149" s="43">
        <f t="shared" si="43"/>
        <v>0</v>
      </c>
      <c r="Z149" s="43">
        <f t="shared" si="44"/>
        <v>0</v>
      </c>
      <c r="AA149" s="49">
        <f t="shared" si="45"/>
        <v>0</v>
      </c>
      <c r="AB149" s="50">
        <f t="shared" si="46"/>
        <v>0</v>
      </c>
      <c r="AC149" s="43">
        <f t="shared" si="47"/>
        <v>0</v>
      </c>
      <c r="AD149" s="43">
        <f t="shared" si="48"/>
        <v>0</v>
      </c>
      <c r="AE149" s="43">
        <f t="shared" si="49"/>
        <v>0</v>
      </c>
      <c r="AF149" s="51">
        <f>HLOOKUP(I149,ElecAvoidedCostsWOCC!$A$5:$Q$50,G149+1,FALSE)</f>
        <v>1.3606535375205495</v>
      </c>
      <c r="AG149" s="43">
        <f t="shared" si="50"/>
        <v>0</v>
      </c>
      <c r="AH149" s="51">
        <f>HLOOKUP(I149,ElecAvoidedCostsWOCC!$A$5:$Q$50,T149+1,FALSE)</f>
        <v>1.3606535375205495</v>
      </c>
      <c r="AI149" s="43">
        <f t="shared" si="51"/>
        <v>0</v>
      </c>
      <c r="AJ149" s="43">
        <f t="shared" si="52"/>
        <v>0</v>
      </c>
      <c r="AK149" s="43">
        <f>HLOOKUP(I149,ElecAvoidedCostsWOCC!$A$5:$Q$50,G149+1,FALSE)*J149*L149</f>
        <v>0</v>
      </c>
      <c r="AL149" s="43">
        <f t="shared" si="53"/>
        <v>0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54"/>
        <v>0</v>
      </c>
      <c r="AO149" s="46">
        <f t="shared" si="55"/>
        <v>0</v>
      </c>
      <c r="AP149" s="46" t="e">
        <f t="shared" si="56"/>
        <v>#DIV/0!</v>
      </c>
    </row>
    <row r="150" spans="2:42" x14ac:dyDescent="0.25">
      <c r="B150" s="36"/>
      <c r="C150" s="60"/>
      <c r="D150" s="60"/>
      <c r="E150" s="37" t="s">
        <v>1918</v>
      </c>
      <c r="F150" s="38" t="s">
        <v>759</v>
      </c>
      <c r="G150" s="38">
        <v>15</v>
      </c>
      <c r="H150" s="38">
        <v>0</v>
      </c>
      <c r="I150" s="39" t="s">
        <v>261</v>
      </c>
      <c r="J150" s="40">
        <v>0</v>
      </c>
      <c r="K150" s="40">
        <v>1075.2</v>
      </c>
      <c r="L150" s="40">
        <v>0</v>
      </c>
      <c r="M150" s="41">
        <v>218.82</v>
      </c>
      <c r="N150" s="41">
        <v>218.82</v>
      </c>
      <c r="O150" s="42">
        <v>0</v>
      </c>
      <c r="P150" s="43">
        <v>0</v>
      </c>
      <c r="Q150" s="43">
        <v>0</v>
      </c>
      <c r="R150" s="44">
        <v>36.313000000000002</v>
      </c>
      <c r="S150" s="45">
        <v>36.313000000000002</v>
      </c>
      <c r="T150" s="38">
        <f t="shared" si="38"/>
        <v>15</v>
      </c>
      <c r="U150" s="46">
        <f t="shared" si="39"/>
        <v>0</v>
      </c>
      <c r="V150" s="47">
        <f t="shared" si="40"/>
        <v>0</v>
      </c>
      <c r="W150" s="48">
        <f t="shared" si="41"/>
        <v>0</v>
      </c>
      <c r="X150" s="43">
        <f t="shared" si="42"/>
        <v>0</v>
      </c>
      <c r="Y150" s="43">
        <f t="shared" si="43"/>
        <v>0</v>
      </c>
      <c r="Z150" s="43">
        <f t="shared" si="44"/>
        <v>0</v>
      </c>
      <c r="AA150" s="49">
        <f t="shared" si="45"/>
        <v>0</v>
      </c>
      <c r="AB150" s="50">
        <f t="shared" si="46"/>
        <v>0</v>
      </c>
      <c r="AC150" s="43">
        <f t="shared" si="47"/>
        <v>0</v>
      </c>
      <c r="AD150" s="43">
        <f t="shared" si="48"/>
        <v>0</v>
      </c>
      <c r="AE150" s="43">
        <f t="shared" si="49"/>
        <v>0</v>
      </c>
      <c r="AF150" s="51">
        <f>HLOOKUP(I150,ElecAvoidedCostsWOCC!$A$5:$Q$50,G150+1,FALSE)</f>
        <v>1.3606535375205495</v>
      </c>
      <c r="AG150" s="43">
        <f t="shared" si="50"/>
        <v>0</v>
      </c>
      <c r="AH150" s="51">
        <f>HLOOKUP(I150,ElecAvoidedCostsWOCC!$A$5:$Q$50,T150+1,FALSE)</f>
        <v>1.3606535375205495</v>
      </c>
      <c r="AI150" s="43">
        <f t="shared" si="51"/>
        <v>0</v>
      </c>
      <c r="AJ150" s="43">
        <f t="shared" si="52"/>
        <v>0</v>
      </c>
      <c r="AK150" s="43">
        <f>HLOOKUP(I150,ElecAvoidedCostsWOCC!$A$5:$Q$50,G150+1,FALSE)*J150*L150</f>
        <v>0</v>
      </c>
      <c r="AL150" s="43">
        <f t="shared" si="53"/>
        <v>0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54"/>
        <v>0</v>
      </c>
      <c r="AO150" s="46">
        <f t="shared" si="55"/>
        <v>0</v>
      </c>
      <c r="AP150" s="46" t="e">
        <f t="shared" si="56"/>
        <v>#DIV/0!</v>
      </c>
    </row>
    <row r="151" spans="2:42" x14ac:dyDescent="0.25">
      <c r="B151" s="36"/>
      <c r="C151" s="60"/>
      <c r="D151" s="60"/>
      <c r="E151" s="37" t="s">
        <v>1919</v>
      </c>
      <c r="F151" s="38" t="s">
        <v>760</v>
      </c>
      <c r="G151" s="38">
        <v>15</v>
      </c>
      <c r="H151" s="38">
        <v>0</v>
      </c>
      <c r="I151" s="39" t="s">
        <v>261</v>
      </c>
      <c r="J151" s="40">
        <v>0</v>
      </c>
      <c r="K151" s="40">
        <v>970.2</v>
      </c>
      <c r="L151" s="40">
        <v>0</v>
      </c>
      <c r="M151" s="41">
        <v>298.62</v>
      </c>
      <c r="N151" s="41">
        <v>298.62</v>
      </c>
      <c r="O151" s="42">
        <v>0</v>
      </c>
      <c r="P151" s="43">
        <v>0</v>
      </c>
      <c r="Q151" s="43">
        <v>0</v>
      </c>
      <c r="R151" s="44">
        <v>32.773000000000003</v>
      </c>
      <c r="S151" s="45">
        <v>32.773000000000003</v>
      </c>
      <c r="T151" s="38">
        <f t="shared" ref="T151:T172" si="57">G151+H151</f>
        <v>15</v>
      </c>
      <c r="U151" s="46">
        <f t="shared" ref="U151:U172" si="58">(O151/$A$10)*T151</f>
        <v>0</v>
      </c>
      <c r="V151" s="47">
        <f t="shared" ref="V151:V172" si="59">N151-M151</f>
        <v>0</v>
      </c>
      <c r="W151" s="48">
        <f t="shared" ref="W151:W172" si="60">(O151/A$10)</f>
        <v>0</v>
      </c>
      <c r="X151" s="43">
        <f t="shared" ref="X151:X172" si="61">W151*A$8</f>
        <v>0</v>
      </c>
      <c r="Y151" s="43">
        <f t="shared" ref="Y151:Y172" si="62">Q151-P151</f>
        <v>0</v>
      </c>
      <c r="Z151" s="43">
        <f t="shared" ref="Z151:Z172" si="63">X151+(A$6*W151)</f>
        <v>0</v>
      </c>
      <c r="AA151" s="49">
        <f t="shared" ref="AA151:AA172" si="64">Q151+X151</f>
        <v>0</v>
      </c>
      <c r="AB151" s="50">
        <f t="shared" ref="AB151:AB172" si="65">Z151/(1+ElecDiscountRate)^1</f>
        <v>0</v>
      </c>
      <c r="AC151" s="43">
        <f t="shared" ref="AC151:AC172" si="66">AA151/(1+ElecDiscountRate)^1</f>
        <v>0</v>
      </c>
      <c r="AD151" s="43">
        <f t="shared" ref="AD151:AD172" si="67">-PV(ElecDiscountRate,T151,R151)*J151</f>
        <v>0</v>
      </c>
      <c r="AE151" s="43">
        <f t="shared" ref="AE151:AE172" si="68">-PV(ElecDiscountRate,T151,S151)*J151</f>
        <v>0</v>
      </c>
      <c r="AF151" s="51">
        <f>HLOOKUP(I151,ElecAvoidedCostsWOCC!$A$5:$Q$50,G151+1,FALSE)</f>
        <v>1.3606535375205495</v>
      </c>
      <c r="AG151" s="43">
        <f t="shared" ref="AG151:AG172" si="69">AF151*J151*K151</f>
        <v>0</v>
      </c>
      <c r="AH151" s="51">
        <f>HLOOKUP(I151,ElecAvoidedCostsWOCC!$A$5:$Q$50,T151+1,FALSE)</f>
        <v>1.3606535375205495</v>
      </c>
      <c r="AI151" s="43">
        <f t="shared" ref="AI151:AI172" si="70">AH151*J151*L151</f>
        <v>0</v>
      </c>
      <c r="AJ151" s="43">
        <f t="shared" ref="AJ151:AJ172" si="71">AG151+AI151</f>
        <v>0</v>
      </c>
      <c r="AK151" s="43">
        <f>HLOOKUP(I151,ElecAvoidedCostsWOCC!$A$5:$Q$50,G151+1,FALSE)*J151*L151</f>
        <v>0</v>
      </c>
      <c r="AL151" s="43">
        <f t="shared" ref="AL151:AL172" si="72">AG151+AI151-AK151</f>
        <v>0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ref="AN151:AN172" si="73">AM151*1.1+AD151+AE151</f>
        <v>0</v>
      </c>
      <c r="AO151" s="46">
        <f t="shared" ref="AO151:AO172" si="74">IFERROR(AM151/AB151,0)</f>
        <v>0</v>
      </c>
      <c r="AP151" s="46" t="e">
        <f t="shared" ref="AP151:AP172" si="75">AN151/AC151</f>
        <v>#DIV/0!</v>
      </c>
    </row>
    <row r="152" spans="2:42" x14ac:dyDescent="0.25">
      <c r="B152" s="36"/>
      <c r="C152" s="60"/>
      <c r="D152" s="60"/>
      <c r="E152" s="37" t="s">
        <v>1920</v>
      </c>
      <c r="F152" s="38" t="s">
        <v>761</v>
      </c>
      <c r="G152" s="38">
        <v>15</v>
      </c>
      <c r="H152" s="38">
        <v>0</v>
      </c>
      <c r="I152" s="39" t="s">
        <v>261</v>
      </c>
      <c r="J152" s="40">
        <v>0</v>
      </c>
      <c r="K152" s="40">
        <v>1671.6</v>
      </c>
      <c r="L152" s="40">
        <v>0</v>
      </c>
      <c r="M152" s="41">
        <v>471.07</v>
      </c>
      <c r="N152" s="41">
        <v>471.07</v>
      </c>
      <c r="O152" s="42">
        <v>0</v>
      </c>
      <c r="P152" s="43">
        <v>0</v>
      </c>
      <c r="Q152" s="43">
        <v>0</v>
      </c>
      <c r="R152" s="44">
        <v>56.48</v>
      </c>
      <c r="S152" s="45">
        <v>56.48</v>
      </c>
      <c r="T152" s="38">
        <f t="shared" si="57"/>
        <v>15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>
        <f>HLOOKUP(I152,ElecAvoidedCostsWOCC!$A$5:$Q$50,G152+1,FALSE)</f>
        <v>1.3606535375205495</v>
      </c>
      <c r="AG152" s="43">
        <f t="shared" si="69"/>
        <v>0</v>
      </c>
      <c r="AH152" s="51">
        <f>HLOOKUP(I152,ElecAvoidedCostsWOCC!$A$5:$Q$50,T152+1,FALSE)</f>
        <v>1.3606535375205495</v>
      </c>
      <c r="AI152" s="43">
        <f t="shared" si="70"/>
        <v>0</v>
      </c>
      <c r="AJ152" s="43">
        <f t="shared" si="71"/>
        <v>0</v>
      </c>
      <c r="AK152" s="43">
        <f>HLOOKUP(I152,ElecAvoidedCostsWOCC!$A$5:$Q$50,G152+1,FALSE)*J152*L152</f>
        <v>0</v>
      </c>
      <c r="AL152" s="43">
        <f t="shared" si="72"/>
        <v>0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 t="s">
        <v>1921</v>
      </c>
      <c r="F153" s="38" t="s">
        <v>762</v>
      </c>
      <c r="G153" s="38">
        <v>15</v>
      </c>
      <c r="H153" s="38">
        <v>0</v>
      </c>
      <c r="I153" s="39" t="s">
        <v>261</v>
      </c>
      <c r="J153" s="40">
        <v>0</v>
      </c>
      <c r="K153" s="40">
        <v>1587.6</v>
      </c>
      <c r="L153" s="40">
        <v>0</v>
      </c>
      <c r="M153" s="41">
        <v>471.07</v>
      </c>
      <c r="N153" s="41">
        <v>471.07</v>
      </c>
      <c r="O153" s="42">
        <v>0</v>
      </c>
      <c r="P153" s="43">
        <v>0</v>
      </c>
      <c r="Q153" s="43">
        <v>0</v>
      </c>
      <c r="R153" s="44">
        <v>53.642299999999999</v>
      </c>
      <c r="S153" s="45">
        <v>53.642299999999999</v>
      </c>
      <c r="T153" s="38">
        <f t="shared" si="57"/>
        <v>15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>
        <f>HLOOKUP(I153,ElecAvoidedCostsWOCC!$A$5:$Q$50,G153+1,FALSE)</f>
        <v>1.3606535375205495</v>
      </c>
      <c r="AG153" s="43">
        <f t="shared" si="69"/>
        <v>0</v>
      </c>
      <c r="AH153" s="51">
        <f>HLOOKUP(I153,ElecAvoidedCostsWOCC!$A$5:$Q$50,T153+1,FALSE)</f>
        <v>1.3606535375205495</v>
      </c>
      <c r="AI153" s="43">
        <f t="shared" si="70"/>
        <v>0</v>
      </c>
      <c r="AJ153" s="43">
        <f t="shared" si="71"/>
        <v>0</v>
      </c>
      <c r="AK153" s="43">
        <f>HLOOKUP(I153,ElecAvoidedCostsWOCC!$A$5:$Q$50,G153+1,FALSE)*J153*L153</f>
        <v>0</v>
      </c>
      <c r="AL153" s="43">
        <f t="shared" si="72"/>
        <v>0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 t="s">
        <v>1922</v>
      </c>
      <c r="F154" s="38" t="s">
        <v>1923</v>
      </c>
      <c r="G154" s="38">
        <v>15</v>
      </c>
      <c r="H154" s="38">
        <v>0</v>
      </c>
      <c r="I154" s="39" t="s">
        <v>261</v>
      </c>
      <c r="J154" s="40">
        <v>0</v>
      </c>
      <c r="K154" s="40">
        <v>928</v>
      </c>
      <c r="L154" s="40">
        <v>0</v>
      </c>
      <c r="M154" s="41">
        <v>471.07</v>
      </c>
      <c r="N154" s="41">
        <v>471.07</v>
      </c>
      <c r="O154" s="42">
        <v>0</v>
      </c>
      <c r="P154" s="43">
        <v>0</v>
      </c>
      <c r="Q154" s="43">
        <v>0</v>
      </c>
      <c r="R154" s="44">
        <v>31.347999999999999</v>
      </c>
      <c r="S154" s="45">
        <v>31.347999999999999</v>
      </c>
      <c r="T154" s="38">
        <f t="shared" si="57"/>
        <v>15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>
        <f>HLOOKUP(I154,ElecAvoidedCostsWOCC!$A$5:$Q$50,G154+1,FALSE)</f>
        <v>1.3606535375205495</v>
      </c>
      <c r="AG154" s="43">
        <f t="shared" si="69"/>
        <v>0</v>
      </c>
      <c r="AH154" s="51">
        <f>HLOOKUP(I154,ElecAvoidedCostsWOCC!$A$5:$Q$50,T154+1,FALSE)</f>
        <v>1.3606535375205495</v>
      </c>
      <c r="AI154" s="43">
        <f t="shared" si="70"/>
        <v>0</v>
      </c>
      <c r="AJ154" s="43">
        <f t="shared" si="71"/>
        <v>0</v>
      </c>
      <c r="AK154" s="43">
        <f>HLOOKUP(I154,ElecAvoidedCostsWOCC!$A$5:$Q$50,G154+1,FALSE)*J154*L154</f>
        <v>0</v>
      </c>
      <c r="AL154" s="43">
        <f t="shared" si="72"/>
        <v>0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 t="s">
        <v>1924</v>
      </c>
      <c r="F155" s="38" t="s">
        <v>1925</v>
      </c>
      <c r="G155" s="38">
        <v>15</v>
      </c>
      <c r="H155" s="38">
        <v>0</v>
      </c>
      <c r="I155" s="39" t="s">
        <v>261</v>
      </c>
      <c r="J155" s="40">
        <v>0</v>
      </c>
      <c r="K155" s="40">
        <v>1306</v>
      </c>
      <c r="L155" s="40">
        <v>0</v>
      </c>
      <c r="M155" s="41">
        <v>471.07</v>
      </c>
      <c r="N155" s="41">
        <v>471.07</v>
      </c>
      <c r="O155" s="42">
        <v>0</v>
      </c>
      <c r="P155" s="43">
        <v>0</v>
      </c>
      <c r="Q155" s="43">
        <v>0</v>
      </c>
      <c r="R155" s="44">
        <v>44.116</v>
      </c>
      <c r="S155" s="45">
        <v>44.116</v>
      </c>
      <c r="T155" s="38">
        <f t="shared" si="57"/>
        <v>15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>
        <f>HLOOKUP(I155,ElecAvoidedCostsWOCC!$A$5:$Q$50,G155+1,FALSE)</f>
        <v>1.3606535375205495</v>
      </c>
      <c r="AG155" s="43">
        <f t="shared" si="69"/>
        <v>0</v>
      </c>
      <c r="AH155" s="51">
        <f>HLOOKUP(I155,ElecAvoidedCostsWOCC!$A$5:$Q$50,T155+1,FALSE)</f>
        <v>1.3606535375205495</v>
      </c>
      <c r="AI155" s="43">
        <f t="shared" si="70"/>
        <v>0</v>
      </c>
      <c r="AJ155" s="43">
        <f t="shared" si="71"/>
        <v>0</v>
      </c>
      <c r="AK155" s="43">
        <f>HLOOKUP(I155,ElecAvoidedCostsWOCC!$A$5:$Q$50,G155+1,FALSE)*J155*L155</f>
        <v>0</v>
      </c>
      <c r="AL155" s="43">
        <f t="shared" si="72"/>
        <v>0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 t="s">
        <v>1926</v>
      </c>
      <c r="F156" s="38" t="s">
        <v>1927</v>
      </c>
      <c r="G156" s="38">
        <v>15</v>
      </c>
      <c r="H156" s="38">
        <v>0</v>
      </c>
      <c r="I156" s="39" t="s">
        <v>261</v>
      </c>
      <c r="J156" s="40">
        <v>0</v>
      </c>
      <c r="K156" s="40">
        <v>1298</v>
      </c>
      <c r="L156" s="40">
        <v>0</v>
      </c>
      <c r="M156" s="41">
        <v>471.07</v>
      </c>
      <c r="N156" s="41">
        <v>471.07</v>
      </c>
      <c r="O156" s="42">
        <v>0</v>
      </c>
      <c r="P156" s="43">
        <v>0</v>
      </c>
      <c r="Q156" s="43">
        <v>0</v>
      </c>
      <c r="R156" s="44">
        <v>43.845999999999997</v>
      </c>
      <c r="S156" s="45">
        <v>43.845999999999997</v>
      </c>
      <c r="T156" s="38">
        <f t="shared" si="57"/>
        <v>15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>
        <f>HLOOKUP(I156,ElecAvoidedCostsWOCC!$A$5:$Q$50,G156+1,FALSE)</f>
        <v>1.3606535375205495</v>
      </c>
      <c r="AG156" s="43">
        <f t="shared" si="69"/>
        <v>0</v>
      </c>
      <c r="AH156" s="51">
        <f>HLOOKUP(I156,ElecAvoidedCostsWOCC!$A$5:$Q$50,T156+1,FALSE)</f>
        <v>1.3606535375205495</v>
      </c>
      <c r="AI156" s="43">
        <f t="shared" si="70"/>
        <v>0</v>
      </c>
      <c r="AJ156" s="43">
        <f t="shared" si="71"/>
        <v>0</v>
      </c>
      <c r="AK156" s="43">
        <f>HLOOKUP(I156,ElecAvoidedCostsWOCC!$A$5:$Q$50,G156+1,FALSE)*J156*L156</f>
        <v>0</v>
      </c>
      <c r="AL156" s="43">
        <f t="shared" si="72"/>
        <v>0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 t="s">
        <v>1928</v>
      </c>
      <c r="F157" s="38" t="s">
        <v>1929</v>
      </c>
      <c r="G157" s="38">
        <v>15</v>
      </c>
      <c r="H157" s="38">
        <v>0</v>
      </c>
      <c r="I157" s="39" t="s">
        <v>261</v>
      </c>
      <c r="J157" s="40">
        <v>0</v>
      </c>
      <c r="K157" s="40">
        <v>1676</v>
      </c>
      <c r="L157" s="40">
        <v>0</v>
      </c>
      <c r="M157" s="41">
        <v>471.07</v>
      </c>
      <c r="N157" s="41">
        <v>471.07</v>
      </c>
      <c r="O157" s="42">
        <v>0</v>
      </c>
      <c r="P157" s="43">
        <v>0</v>
      </c>
      <c r="Q157" s="43">
        <v>0</v>
      </c>
      <c r="R157" s="44">
        <v>56.615000000000002</v>
      </c>
      <c r="S157" s="45">
        <v>56.615000000000002</v>
      </c>
      <c r="T157" s="38">
        <f t="shared" si="57"/>
        <v>15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>
        <f>HLOOKUP(I157,ElecAvoidedCostsWOCC!$A$5:$Q$50,G157+1,FALSE)</f>
        <v>1.3606535375205495</v>
      </c>
      <c r="AG157" s="43">
        <f t="shared" si="69"/>
        <v>0</v>
      </c>
      <c r="AH157" s="51">
        <f>HLOOKUP(I157,ElecAvoidedCostsWOCC!$A$5:$Q$50,T157+1,FALSE)</f>
        <v>1.3606535375205495</v>
      </c>
      <c r="AI157" s="43">
        <f t="shared" si="70"/>
        <v>0</v>
      </c>
      <c r="AJ157" s="43">
        <f t="shared" si="71"/>
        <v>0</v>
      </c>
      <c r="AK157" s="43">
        <f>HLOOKUP(I157,ElecAvoidedCostsWOCC!$A$5:$Q$50,G157+1,FALSE)*J157*L157</f>
        <v>0</v>
      </c>
      <c r="AL157" s="43">
        <f t="shared" si="72"/>
        <v>0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 t="s">
        <v>1930</v>
      </c>
      <c r="F158" s="38" t="s">
        <v>1931</v>
      </c>
      <c r="G158" s="38">
        <v>15</v>
      </c>
      <c r="H158" s="38">
        <v>0</v>
      </c>
      <c r="I158" s="39" t="s">
        <v>261</v>
      </c>
      <c r="J158" s="40">
        <v>0</v>
      </c>
      <c r="K158" s="40">
        <v>349</v>
      </c>
      <c r="L158" s="40">
        <v>0</v>
      </c>
      <c r="M158" s="41">
        <v>225</v>
      </c>
      <c r="N158" s="41">
        <v>225</v>
      </c>
      <c r="O158" s="42">
        <v>0</v>
      </c>
      <c r="P158" s="43">
        <v>0</v>
      </c>
      <c r="Q158" s="43">
        <v>0</v>
      </c>
      <c r="R158" s="44">
        <v>11.789</v>
      </c>
      <c r="S158" s="45">
        <v>11.789</v>
      </c>
      <c r="T158" s="38">
        <f t="shared" si="57"/>
        <v>15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>
        <f>HLOOKUP(I158,ElecAvoidedCostsWOCC!$A$5:$Q$50,G158+1,FALSE)</f>
        <v>1.3606535375205495</v>
      </c>
      <c r="AG158" s="43">
        <f t="shared" si="69"/>
        <v>0</v>
      </c>
      <c r="AH158" s="51">
        <f>HLOOKUP(I158,ElecAvoidedCostsWOCC!$A$5:$Q$50,T158+1,FALSE)</f>
        <v>1.3606535375205495</v>
      </c>
      <c r="AI158" s="43">
        <f t="shared" si="70"/>
        <v>0</v>
      </c>
      <c r="AJ158" s="43">
        <f t="shared" si="71"/>
        <v>0</v>
      </c>
      <c r="AK158" s="43">
        <f>HLOOKUP(I158,ElecAvoidedCostsWOCC!$A$5:$Q$50,G158+1,FALSE)*J158*L158</f>
        <v>0</v>
      </c>
      <c r="AL158" s="43">
        <f t="shared" si="72"/>
        <v>0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 t="s">
        <v>1932</v>
      </c>
      <c r="F159" s="38" t="s">
        <v>763</v>
      </c>
      <c r="G159" s="38">
        <v>15</v>
      </c>
      <c r="H159" s="38">
        <v>0</v>
      </c>
      <c r="I159" s="39" t="s">
        <v>261</v>
      </c>
      <c r="J159" s="40">
        <v>0</v>
      </c>
      <c r="K159" s="40">
        <v>883</v>
      </c>
      <c r="L159" s="40">
        <v>0</v>
      </c>
      <c r="M159" s="41">
        <v>225</v>
      </c>
      <c r="N159" s="41">
        <v>225</v>
      </c>
      <c r="O159" s="42">
        <v>0</v>
      </c>
      <c r="P159" s="43">
        <v>0</v>
      </c>
      <c r="Q159" s="43">
        <v>0</v>
      </c>
      <c r="R159" s="44">
        <v>29.827999999999999</v>
      </c>
      <c r="S159" s="45">
        <v>29.827999999999999</v>
      </c>
      <c r="T159" s="38">
        <f t="shared" si="57"/>
        <v>15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>
        <f>HLOOKUP(I159,ElecAvoidedCostsWOCC!$A$5:$Q$50,G159+1,FALSE)</f>
        <v>1.3606535375205495</v>
      </c>
      <c r="AG159" s="43">
        <f t="shared" si="69"/>
        <v>0</v>
      </c>
      <c r="AH159" s="51">
        <f>HLOOKUP(I159,ElecAvoidedCostsWOCC!$A$5:$Q$50,T159+1,FALSE)</f>
        <v>1.3606535375205495</v>
      </c>
      <c r="AI159" s="43">
        <f t="shared" si="70"/>
        <v>0</v>
      </c>
      <c r="AJ159" s="43">
        <f t="shared" si="71"/>
        <v>0</v>
      </c>
      <c r="AK159" s="43">
        <f>HLOOKUP(I159,ElecAvoidedCostsWOCC!$A$5:$Q$50,G159+1,FALSE)*J159*L159</f>
        <v>0</v>
      </c>
      <c r="AL159" s="43">
        <f t="shared" si="72"/>
        <v>0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 t="s">
        <v>1933</v>
      </c>
      <c r="F160" s="38" t="s">
        <v>764</v>
      </c>
      <c r="G160" s="38">
        <v>15</v>
      </c>
      <c r="H160" s="38">
        <v>0</v>
      </c>
      <c r="I160" s="39" t="s">
        <v>261</v>
      </c>
      <c r="J160" s="40">
        <v>0</v>
      </c>
      <c r="K160" s="40">
        <v>3276</v>
      </c>
      <c r="L160" s="40">
        <v>0</v>
      </c>
      <c r="M160" s="41">
        <v>558</v>
      </c>
      <c r="N160" s="41">
        <v>558</v>
      </c>
      <c r="O160" s="42">
        <v>0</v>
      </c>
      <c r="P160" s="43">
        <v>0</v>
      </c>
      <c r="Q160" s="43">
        <v>0</v>
      </c>
      <c r="R160" s="44">
        <v>110.663</v>
      </c>
      <c r="S160" s="45">
        <v>110.663</v>
      </c>
      <c r="T160" s="38">
        <f t="shared" si="57"/>
        <v>15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>
        <f>HLOOKUP(I160,ElecAvoidedCostsWOCC!$A$5:$Q$50,G160+1,FALSE)</f>
        <v>1.3606535375205495</v>
      </c>
      <c r="AG160" s="43">
        <f t="shared" si="69"/>
        <v>0</v>
      </c>
      <c r="AH160" s="51">
        <f>HLOOKUP(I160,ElecAvoidedCostsWOCC!$A$5:$Q$50,T160+1,FALSE)</f>
        <v>1.3606535375205495</v>
      </c>
      <c r="AI160" s="43">
        <f t="shared" si="70"/>
        <v>0</v>
      </c>
      <c r="AJ160" s="43">
        <f t="shared" si="71"/>
        <v>0</v>
      </c>
      <c r="AK160" s="43">
        <f>HLOOKUP(I160,ElecAvoidedCostsWOCC!$A$5:$Q$50,G160+1,FALSE)*J160*L160</f>
        <v>0</v>
      </c>
      <c r="AL160" s="43">
        <f t="shared" si="72"/>
        <v>0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 t="s">
        <v>1934</v>
      </c>
      <c r="F161" s="38" t="s">
        <v>1935</v>
      </c>
      <c r="G161" s="38">
        <v>11</v>
      </c>
      <c r="H161" s="38">
        <v>0</v>
      </c>
      <c r="I161" s="39" t="s">
        <v>261</v>
      </c>
      <c r="J161" s="40">
        <v>0</v>
      </c>
      <c r="K161" s="40">
        <v>360.91</v>
      </c>
      <c r="L161" s="40">
        <v>0</v>
      </c>
      <c r="M161" s="41">
        <v>130.65</v>
      </c>
      <c r="N161" s="41">
        <v>130.65</v>
      </c>
      <c r="O161" s="42">
        <v>0</v>
      </c>
      <c r="P161" s="43">
        <v>0</v>
      </c>
      <c r="Q161" s="43">
        <v>0</v>
      </c>
      <c r="R161" s="44">
        <v>0</v>
      </c>
      <c r="S161" s="45">
        <v>0</v>
      </c>
      <c r="T161" s="38">
        <f t="shared" si="57"/>
        <v>11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>
        <f>HLOOKUP(I161,ElecAvoidedCostsWOCC!$A$5:$Q$50,G161+1,FALSE)</f>
        <v>1.0988845072787061</v>
      </c>
      <c r="AG161" s="43">
        <f t="shared" si="69"/>
        <v>0</v>
      </c>
      <c r="AH161" s="51">
        <f>HLOOKUP(I161,ElecAvoidedCostsWOCC!$A$5:$Q$50,T161+1,FALSE)</f>
        <v>1.0988845072787061</v>
      </c>
      <c r="AI161" s="43">
        <f t="shared" si="70"/>
        <v>0</v>
      </c>
      <c r="AJ161" s="43">
        <f t="shared" si="71"/>
        <v>0</v>
      </c>
      <c r="AK161" s="43">
        <f>HLOOKUP(I161,ElecAvoidedCostsWOCC!$A$5:$Q$50,G161+1,FALSE)*J161*L161</f>
        <v>0</v>
      </c>
      <c r="AL161" s="43">
        <f t="shared" si="72"/>
        <v>0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 t="s">
        <v>1936</v>
      </c>
      <c r="F162" s="38" t="s">
        <v>732</v>
      </c>
      <c r="G162" s="38">
        <v>10</v>
      </c>
      <c r="H162" s="38">
        <v>0</v>
      </c>
      <c r="I162" s="39" t="s">
        <v>261</v>
      </c>
      <c r="J162" s="40">
        <v>0</v>
      </c>
      <c r="K162" s="40">
        <v>81.53</v>
      </c>
      <c r="L162" s="40">
        <v>0</v>
      </c>
      <c r="M162" s="41">
        <v>68</v>
      </c>
      <c r="N162" s="41">
        <v>68</v>
      </c>
      <c r="O162" s="42">
        <v>0</v>
      </c>
      <c r="P162" s="43">
        <v>0</v>
      </c>
      <c r="Q162" s="43">
        <v>0</v>
      </c>
      <c r="R162" s="44">
        <v>2.7174</v>
      </c>
      <c r="S162" s="45">
        <v>2.7174</v>
      </c>
      <c r="T162" s="38">
        <f t="shared" si="57"/>
        <v>10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>
        <f>HLOOKUP(I162,ElecAvoidedCostsWOCC!$A$5:$Q$50,G162+1,FALSE)</f>
        <v>1.0217031601940523</v>
      </c>
      <c r="AG162" s="43">
        <f t="shared" si="69"/>
        <v>0</v>
      </c>
      <c r="AH162" s="51">
        <f>HLOOKUP(I162,ElecAvoidedCostsWOCC!$A$5:$Q$50,T162+1,FALSE)</f>
        <v>1.0217031601940523</v>
      </c>
      <c r="AI162" s="43">
        <f t="shared" si="70"/>
        <v>0</v>
      </c>
      <c r="AJ162" s="43">
        <f t="shared" si="71"/>
        <v>0</v>
      </c>
      <c r="AK162" s="43">
        <f>HLOOKUP(I162,ElecAvoidedCostsWOCC!$A$5:$Q$50,G162+1,FALSE)*J162*L162</f>
        <v>0</v>
      </c>
      <c r="AL162" s="43">
        <f t="shared" si="72"/>
        <v>0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 t="s">
        <v>1937</v>
      </c>
      <c r="F163" s="38" t="s">
        <v>1938</v>
      </c>
      <c r="G163" s="38">
        <v>10</v>
      </c>
      <c r="H163" s="38">
        <v>0</v>
      </c>
      <c r="I163" s="39" t="s">
        <v>261</v>
      </c>
      <c r="J163" s="40">
        <v>0</v>
      </c>
      <c r="K163" s="40">
        <v>114.15</v>
      </c>
      <c r="L163" s="40">
        <v>0</v>
      </c>
      <c r="M163" s="41">
        <v>68</v>
      </c>
      <c r="N163" s="41">
        <v>68</v>
      </c>
      <c r="O163" s="42">
        <v>0</v>
      </c>
      <c r="P163" s="43">
        <v>0</v>
      </c>
      <c r="Q163" s="43">
        <v>0</v>
      </c>
      <c r="R163" s="44">
        <v>3.8046000000000002</v>
      </c>
      <c r="S163" s="45">
        <v>3.8046000000000002</v>
      </c>
      <c r="T163" s="38">
        <f t="shared" si="57"/>
        <v>10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>
        <f>HLOOKUP(I163,ElecAvoidedCostsWOCC!$A$5:$Q$50,G163+1,FALSE)</f>
        <v>1.0217031601940523</v>
      </c>
      <c r="AG163" s="43">
        <f t="shared" si="69"/>
        <v>0</v>
      </c>
      <c r="AH163" s="51">
        <f>HLOOKUP(I163,ElecAvoidedCostsWOCC!$A$5:$Q$50,T163+1,FALSE)</f>
        <v>1.0217031601940523</v>
      </c>
      <c r="AI163" s="43">
        <f t="shared" si="70"/>
        <v>0</v>
      </c>
      <c r="AJ163" s="43">
        <f t="shared" si="71"/>
        <v>0</v>
      </c>
      <c r="AK163" s="43">
        <f>HLOOKUP(I163,ElecAvoidedCostsWOCC!$A$5:$Q$50,G163+1,FALSE)*J163*L163</f>
        <v>0</v>
      </c>
      <c r="AL163" s="43">
        <f t="shared" si="72"/>
        <v>0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 t="s">
        <v>1939</v>
      </c>
      <c r="F164" s="38" t="s">
        <v>1940</v>
      </c>
      <c r="G164" s="38">
        <v>10</v>
      </c>
      <c r="H164" s="38">
        <v>0</v>
      </c>
      <c r="I164" s="39" t="s">
        <v>261</v>
      </c>
      <c r="J164" s="40">
        <v>0</v>
      </c>
      <c r="K164" s="40">
        <v>211.99</v>
      </c>
      <c r="L164" s="40">
        <v>0</v>
      </c>
      <c r="M164" s="41">
        <v>68</v>
      </c>
      <c r="N164" s="41">
        <v>68</v>
      </c>
      <c r="O164" s="42">
        <v>0</v>
      </c>
      <c r="P164" s="43">
        <v>0</v>
      </c>
      <c r="Q164" s="43">
        <v>0</v>
      </c>
      <c r="R164" s="44">
        <v>7.0656999999999996</v>
      </c>
      <c r="S164" s="45">
        <v>7.0656999999999996</v>
      </c>
      <c r="T164" s="38">
        <f t="shared" si="57"/>
        <v>10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>
        <f>HLOOKUP(I164,ElecAvoidedCostsWOCC!$A$5:$Q$50,G164+1,FALSE)</f>
        <v>1.0217031601940523</v>
      </c>
      <c r="AG164" s="43">
        <f t="shared" si="69"/>
        <v>0</v>
      </c>
      <c r="AH164" s="51">
        <f>HLOOKUP(I164,ElecAvoidedCostsWOCC!$A$5:$Q$50,T164+1,FALSE)</f>
        <v>1.0217031601940523</v>
      </c>
      <c r="AI164" s="43">
        <f t="shared" si="70"/>
        <v>0</v>
      </c>
      <c r="AJ164" s="43">
        <f t="shared" si="71"/>
        <v>0</v>
      </c>
      <c r="AK164" s="43">
        <f>HLOOKUP(I164,ElecAvoidedCostsWOCC!$A$5:$Q$50,G164+1,FALSE)*J164*L164</f>
        <v>0</v>
      </c>
      <c r="AL164" s="43">
        <f t="shared" si="72"/>
        <v>0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 t="s">
        <v>1941</v>
      </c>
      <c r="F165" s="38" t="s">
        <v>1942</v>
      </c>
      <c r="G165" s="38">
        <v>10</v>
      </c>
      <c r="H165" s="38">
        <v>0</v>
      </c>
      <c r="I165" s="39" t="s">
        <v>261</v>
      </c>
      <c r="J165" s="40">
        <v>0</v>
      </c>
      <c r="K165" s="40">
        <v>326.13</v>
      </c>
      <c r="L165" s="40">
        <v>0</v>
      </c>
      <c r="M165" s="41">
        <v>68</v>
      </c>
      <c r="N165" s="41">
        <v>68</v>
      </c>
      <c r="O165" s="42">
        <v>0</v>
      </c>
      <c r="P165" s="43">
        <v>0</v>
      </c>
      <c r="Q165" s="43">
        <v>0</v>
      </c>
      <c r="R165" s="44">
        <v>10.87</v>
      </c>
      <c r="S165" s="45">
        <v>10.87</v>
      </c>
      <c r="T165" s="38">
        <f t="shared" si="57"/>
        <v>10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>
        <f>HLOOKUP(I165,ElecAvoidedCostsWOCC!$A$5:$Q$50,G165+1,FALSE)</f>
        <v>1.0217031601940523</v>
      </c>
      <c r="AG165" s="43">
        <f t="shared" si="69"/>
        <v>0</v>
      </c>
      <c r="AH165" s="51">
        <f>HLOOKUP(I165,ElecAvoidedCostsWOCC!$A$5:$Q$50,T165+1,FALSE)</f>
        <v>1.0217031601940523</v>
      </c>
      <c r="AI165" s="43">
        <f t="shared" si="70"/>
        <v>0</v>
      </c>
      <c r="AJ165" s="43">
        <f t="shared" si="71"/>
        <v>0</v>
      </c>
      <c r="AK165" s="43">
        <f>HLOOKUP(I165,ElecAvoidedCostsWOCC!$A$5:$Q$50,G165+1,FALSE)*J165*L165</f>
        <v>0</v>
      </c>
      <c r="AL165" s="43">
        <f t="shared" si="72"/>
        <v>0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 t="s">
        <v>1939</v>
      </c>
      <c r="F166" s="38" t="s">
        <v>1940</v>
      </c>
      <c r="G166" s="38">
        <v>10</v>
      </c>
      <c r="H166" s="38">
        <v>0</v>
      </c>
      <c r="I166" s="39" t="s">
        <v>261</v>
      </c>
      <c r="J166" s="40">
        <v>0</v>
      </c>
      <c r="K166" s="40">
        <v>211.99</v>
      </c>
      <c r="L166" s="40">
        <v>0</v>
      </c>
      <c r="M166" s="41">
        <v>68</v>
      </c>
      <c r="N166" s="41">
        <v>68</v>
      </c>
      <c r="O166" s="42">
        <v>0</v>
      </c>
      <c r="P166" s="43">
        <v>0</v>
      </c>
      <c r="Q166" s="43">
        <v>0</v>
      </c>
      <c r="R166" s="44">
        <v>7.0656999999999996</v>
      </c>
      <c r="S166" s="45">
        <v>7.0656999999999996</v>
      </c>
      <c r="T166" s="38">
        <f t="shared" si="57"/>
        <v>10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>
        <f>HLOOKUP(I166,ElecAvoidedCostsWOCC!$A$5:$Q$50,G166+1,FALSE)</f>
        <v>1.0217031601940523</v>
      </c>
      <c r="AG166" s="43">
        <f t="shared" si="69"/>
        <v>0</v>
      </c>
      <c r="AH166" s="51">
        <f>HLOOKUP(I166,ElecAvoidedCostsWOCC!$A$5:$Q$50,T166+1,FALSE)</f>
        <v>1.0217031601940523</v>
      </c>
      <c r="AI166" s="43">
        <f t="shared" si="70"/>
        <v>0</v>
      </c>
      <c r="AJ166" s="43">
        <f t="shared" si="71"/>
        <v>0</v>
      </c>
      <c r="AK166" s="43">
        <f>HLOOKUP(I166,ElecAvoidedCostsWOCC!$A$5:$Q$50,G166+1,FALSE)*J166*L166</f>
        <v>0</v>
      </c>
      <c r="AL166" s="43">
        <f t="shared" si="72"/>
        <v>0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 t="s">
        <v>1941</v>
      </c>
      <c r="F167" s="38" t="s">
        <v>1942</v>
      </c>
      <c r="G167" s="38">
        <v>10</v>
      </c>
      <c r="H167" s="38">
        <v>0</v>
      </c>
      <c r="I167" s="39" t="s">
        <v>261</v>
      </c>
      <c r="J167" s="40">
        <v>0</v>
      </c>
      <c r="K167" s="40">
        <v>326.13</v>
      </c>
      <c r="L167" s="40">
        <v>0</v>
      </c>
      <c r="M167" s="41">
        <v>68</v>
      </c>
      <c r="N167" s="41">
        <v>68</v>
      </c>
      <c r="O167" s="42">
        <v>0</v>
      </c>
      <c r="P167" s="43">
        <v>0</v>
      </c>
      <c r="Q167" s="43">
        <v>0</v>
      </c>
      <c r="R167" s="44">
        <v>10.87</v>
      </c>
      <c r="S167" s="45">
        <v>10.87</v>
      </c>
      <c r="T167" s="38">
        <f t="shared" si="57"/>
        <v>10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>
        <f>HLOOKUP(I167,ElecAvoidedCostsWOCC!$A$5:$Q$50,G167+1,FALSE)</f>
        <v>1.0217031601940523</v>
      </c>
      <c r="AG167" s="43">
        <f t="shared" si="69"/>
        <v>0</v>
      </c>
      <c r="AH167" s="51">
        <f>HLOOKUP(I167,ElecAvoidedCostsWOCC!$A$5:$Q$50,T167+1,FALSE)</f>
        <v>1.0217031601940523</v>
      </c>
      <c r="AI167" s="43">
        <f t="shared" si="70"/>
        <v>0</v>
      </c>
      <c r="AJ167" s="43">
        <f t="shared" si="71"/>
        <v>0</v>
      </c>
      <c r="AK167" s="43">
        <f>HLOOKUP(I167,ElecAvoidedCostsWOCC!$A$5:$Q$50,G167+1,FALSE)*J167*L167</f>
        <v>0</v>
      </c>
      <c r="AL167" s="43">
        <f t="shared" si="72"/>
        <v>0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 t="s">
        <v>1943</v>
      </c>
      <c r="F168" s="38" t="s">
        <v>1944</v>
      </c>
      <c r="G168" s="38">
        <v>13</v>
      </c>
      <c r="H168" s="38">
        <v>0</v>
      </c>
      <c r="I168" s="39" t="s">
        <v>259</v>
      </c>
      <c r="J168" s="40">
        <v>0</v>
      </c>
      <c r="K168" s="40">
        <v>5260</v>
      </c>
      <c r="L168" s="40">
        <v>0</v>
      </c>
      <c r="M168" s="41">
        <v>600</v>
      </c>
      <c r="N168" s="41">
        <v>794</v>
      </c>
      <c r="O168" s="42">
        <v>0</v>
      </c>
      <c r="P168" s="43">
        <v>0</v>
      </c>
      <c r="Q168" s="43">
        <v>0</v>
      </c>
      <c r="R168" s="44">
        <v>0</v>
      </c>
      <c r="S168" s="45">
        <v>0</v>
      </c>
      <c r="T168" s="38">
        <f t="shared" si="57"/>
        <v>13</v>
      </c>
      <c r="U168" s="46">
        <f t="shared" si="58"/>
        <v>0</v>
      </c>
      <c r="V168" s="47">
        <f t="shared" si="59"/>
        <v>194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>
        <f>HLOOKUP(I168,ElecAvoidedCostsWOCC!$A$5:$Q$50,G168+1,FALSE)</f>
        <v>0.90726868133414618</v>
      </c>
      <c r="AG168" s="43">
        <f t="shared" si="69"/>
        <v>0</v>
      </c>
      <c r="AH168" s="51">
        <f>HLOOKUP(I168,ElecAvoidedCostsWOCC!$A$5:$Q$50,T168+1,FALSE)</f>
        <v>0.90726868133414618</v>
      </c>
      <c r="AI168" s="43">
        <f t="shared" si="70"/>
        <v>0</v>
      </c>
      <c r="AJ168" s="43">
        <f t="shared" si="71"/>
        <v>0</v>
      </c>
      <c r="AK168" s="43">
        <f>HLOOKUP(I168,ElecAvoidedCostsWOCC!$A$5:$Q$50,G168+1,FALSE)*J168*L168</f>
        <v>0</v>
      </c>
      <c r="AL168" s="43">
        <f t="shared" si="72"/>
        <v>0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 t="s">
        <v>1943</v>
      </c>
      <c r="F169" s="38" t="s">
        <v>1945</v>
      </c>
      <c r="G169" s="38">
        <v>13</v>
      </c>
      <c r="H169" s="38">
        <v>0</v>
      </c>
      <c r="I169" s="39" t="s">
        <v>259</v>
      </c>
      <c r="J169" s="40">
        <v>0</v>
      </c>
      <c r="K169" s="40">
        <v>11283</v>
      </c>
      <c r="L169" s="40">
        <v>0</v>
      </c>
      <c r="M169" s="41">
        <v>600</v>
      </c>
      <c r="N169" s="41">
        <v>2915</v>
      </c>
      <c r="O169" s="42">
        <v>0</v>
      </c>
      <c r="P169" s="43">
        <v>0</v>
      </c>
      <c r="Q169" s="43">
        <v>0</v>
      </c>
      <c r="R169" s="44">
        <v>0</v>
      </c>
      <c r="S169" s="45">
        <v>0</v>
      </c>
      <c r="T169" s="38">
        <f t="shared" si="57"/>
        <v>13</v>
      </c>
      <c r="U169" s="46">
        <f t="shared" si="58"/>
        <v>0</v>
      </c>
      <c r="V169" s="47">
        <f t="shared" si="59"/>
        <v>2315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>
        <f>HLOOKUP(I169,ElecAvoidedCostsWOCC!$A$5:$Q$50,G169+1,FALSE)</f>
        <v>0.90726868133414618</v>
      </c>
      <c r="AG169" s="43">
        <f t="shared" si="69"/>
        <v>0</v>
      </c>
      <c r="AH169" s="51">
        <f>HLOOKUP(I169,ElecAvoidedCostsWOCC!$A$5:$Q$50,T169+1,FALSE)</f>
        <v>0.90726868133414618</v>
      </c>
      <c r="AI169" s="43">
        <f t="shared" si="70"/>
        <v>0</v>
      </c>
      <c r="AJ169" s="43">
        <f t="shared" si="71"/>
        <v>0</v>
      </c>
      <c r="AK169" s="43">
        <f>HLOOKUP(I169,ElecAvoidedCostsWOCC!$A$5:$Q$50,G169+1,FALSE)*J169*L169</f>
        <v>0</v>
      </c>
      <c r="AL169" s="43">
        <f t="shared" si="72"/>
        <v>0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 t="s">
        <v>841</v>
      </c>
      <c r="F170" s="38" t="s">
        <v>842</v>
      </c>
      <c r="G170" s="38">
        <v>10</v>
      </c>
      <c r="H170" s="38">
        <v>0</v>
      </c>
      <c r="I170" s="39" t="s">
        <v>265</v>
      </c>
      <c r="J170" s="40">
        <v>0</v>
      </c>
      <c r="K170" s="40">
        <v>1080</v>
      </c>
      <c r="L170" s="40">
        <v>0</v>
      </c>
      <c r="M170" s="41">
        <v>450</v>
      </c>
      <c r="N170" s="41">
        <v>450</v>
      </c>
      <c r="O170" s="42">
        <v>0</v>
      </c>
      <c r="P170" s="43">
        <v>0</v>
      </c>
      <c r="Q170" s="43">
        <v>0</v>
      </c>
      <c r="R170" s="44">
        <v>0</v>
      </c>
      <c r="S170" s="45">
        <v>0</v>
      </c>
      <c r="T170" s="38">
        <f t="shared" si="57"/>
        <v>10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>
        <f>HLOOKUP(I170,ElecAvoidedCostsWOCC!$A$5:$Q$50,G170+1,FALSE)</f>
        <v>1.2963360504949972</v>
      </c>
      <c r="AG170" s="43">
        <f t="shared" si="69"/>
        <v>0</v>
      </c>
      <c r="AH170" s="51">
        <f>HLOOKUP(I170,ElecAvoidedCostsWOCC!$A$5:$Q$50,T170+1,FALSE)</f>
        <v>1.2963360504949972</v>
      </c>
      <c r="AI170" s="43">
        <f t="shared" si="70"/>
        <v>0</v>
      </c>
      <c r="AJ170" s="43">
        <f t="shared" si="71"/>
        <v>0</v>
      </c>
      <c r="AK170" s="43">
        <f>HLOOKUP(I170,ElecAvoidedCostsWOCC!$A$5:$Q$50,G170+1,FALSE)*J170*L170</f>
        <v>0</v>
      </c>
      <c r="AL170" s="43">
        <f t="shared" si="72"/>
        <v>0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 t="s">
        <v>850</v>
      </c>
      <c r="F171" s="38" t="s">
        <v>714</v>
      </c>
      <c r="G171" s="38">
        <v>10</v>
      </c>
      <c r="H171" s="38">
        <v>0</v>
      </c>
      <c r="I171" s="39" t="s">
        <v>265</v>
      </c>
      <c r="J171" s="40">
        <v>0</v>
      </c>
      <c r="K171" s="40">
        <v>255</v>
      </c>
      <c r="L171" s="40">
        <v>0</v>
      </c>
      <c r="M171" s="41">
        <v>450</v>
      </c>
      <c r="N171" s="41">
        <v>450</v>
      </c>
      <c r="O171" s="42">
        <v>0</v>
      </c>
      <c r="P171" s="43">
        <v>0</v>
      </c>
      <c r="Q171" s="43">
        <v>0</v>
      </c>
      <c r="R171" s="44">
        <v>0</v>
      </c>
      <c r="S171" s="45">
        <v>0</v>
      </c>
      <c r="T171" s="38">
        <f t="shared" si="57"/>
        <v>10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>
        <f>HLOOKUP(I171,ElecAvoidedCostsWOCC!$A$5:$Q$50,G171+1,FALSE)</f>
        <v>1.2963360504949972</v>
      </c>
      <c r="AG171" s="43">
        <f t="shared" si="69"/>
        <v>0</v>
      </c>
      <c r="AH171" s="51">
        <f>HLOOKUP(I171,ElecAvoidedCostsWOCC!$A$5:$Q$50,T171+1,FALSE)</f>
        <v>1.2963360504949972</v>
      </c>
      <c r="AI171" s="43">
        <f t="shared" si="70"/>
        <v>0</v>
      </c>
      <c r="AJ171" s="43">
        <f t="shared" si="71"/>
        <v>0</v>
      </c>
      <c r="AK171" s="43">
        <f>HLOOKUP(I171,ElecAvoidedCostsWOCC!$A$5:$Q$50,G171+1,FALSE)*J171*L171</f>
        <v>0</v>
      </c>
      <c r="AL171" s="43">
        <f t="shared" si="72"/>
        <v>0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</sheetData>
  <conditionalFormatting sqref="J5:L172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172 R5:S172">
    <cfRule type="expression" dxfId="182" priority="2">
      <formula>ISTEXT(M5)</formula>
    </cfRule>
  </conditionalFormatting>
  <conditionalFormatting sqref="M5:N172 R5:S172">
    <cfRule type="notContainsBlanks" dxfId="181" priority="3">
      <formula>LEN(TRIM(M5))&gt;0</formula>
    </cfRule>
  </conditionalFormatting>
  <conditionalFormatting sqref="R5:S172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18230014</v>
      </c>
      <c r="D2" s="19" t="s">
        <v>299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18230014</v>
      </c>
      <c r="D5" s="60" t="s">
        <v>299</v>
      </c>
      <c r="E5" s="37" t="s">
        <v>1044</v>
      </c>
      <c r="F5" s="38" t="s">
        <v>780</v>
      </c>
      <c r="G5" s="38">
        <v>10</v>
      </c>
      <c r="H5" s="38">
        <v>0</v>
      </c>
      <c r="I5" s="39" t="s">
        <v>265</v>
      </c>
      <c r="J5" s="40">
        <v>0</v>
      </c>
      <c r="K5" s="40">
        <v>317</v>
      </c>
      <c r="L5" s="40">
        <v>0</v>
      </c>
      <c r="M5" s="41">
        <v>300</v>
      </c>
      <c r="N5" s="41">
        <v>300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1.2963360504949972</v>
      </c>
      <c r="AG5" s="43">
        <f t="shared" ref="AG5:AG24" si="10">AF5*J5*K5</f>
        <v>0</v>
      </c>
      <c r="AH5" s="51">
        <f>HLOOKUP(I5,ElecAvoidedCostsWOCC!$A$5:$Q$50,T5+1,FALSE)</f>
        <v>1.2963360504949972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4820420</v>
      </c>
      <c r="B6" s="88" t="s">
        <v>67</v>
      </c>
      <c r="C6" s="89">
        <v>18230014</v>
      </c>
      <c r="D6" s="60" t="s">
        <v>299</v>
      </c>
      <c r="E6" s="37" t="s">
        <v>1045</v>
      </c>
      <c r="F6" s="38" t="s">
        <v>781</v>
      </c>
      <c r="G6" s="38">
        <v>15</v>
      </c>
      <c r="H6" s="38">
        <v>0</v>
      </c>
      <c r="I6" s="39" t="s">
        <v>265</v>
      </c>
      <c r="J6" s="40">
        <v>0</v>
      </c>
      <c r="K6" s="40">
        <v>726</v>
      </c>
      <c r="L6" s="40">
        <v>0</v>
      </c>
      <c r="M6" s="41">
        <v>1000</v>
      </c>
      <c r="N6" s="41">
        <v>1185.6199999999999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185.61999999999989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0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1046</v>
      </c>
      <c r="F7" s="38" t="s">
        <v>1047</v>
      </c>
      <c r="G7" s="38">
        <v>10</v>
      </c>
      <c r="H7" s="38">
        <v>0</v>
      </c>
      <c r="I7" s="39" t="s">
        <v>265</v>
      </c>
      <c r="J7" s="40">
        <v>2</v>
      </c>
      <c r="K7" s="40">
        <v>800000</v>
      </c>
      <c r="L7" s="40">
        <v>0</v>
      </c>
      <c r="M7" s="41">
        <v>964084</v>
      </c>
      <c r="N7" s="41">
        <v>964084</v>
      </c>
      <c r="O7" s="42">
        <v>1600000</v>
      </c>
      <c r="P7" s="43">
        <v>1928168</v>
      </c>
      <c r="Q7" s="43">
        <v>1928168</v>
      </c>
      <c r="R7" s="44">
        <v>0</v>
      </c>
      <c r="S7" s="45"/>
      <c r="T7" s="38">
        <f t="shared" si="0"/>
        <v>10</v>
      </c>
      <c r="U7" s="46">
        <f t="shared" si="1"/>
        <v>4</v>
      </c>
      <c r="V7" s="47">
        <f t="shared" si="2"/>
        <v>0</v>
      </c>
      <c r="W7" s="48">
        <f t="shared" si="3"/>
        <v>0.4</v>
      </c>
      <c r="X7" s="43">
        <f t="shared" si="4"/>
        <v>217505.51999999993</v>
      </c>
      <c r="Y7" s="43">
        <f t="shared" si="5"/>
        <v>0</v>
      </c>
      <c r="Z7" s="43">
        <f t="shared" si="6"/>
        <v>2145673.52</v>
      </c>
      <c r="AA7" s="49">
        <f t="shared" si="7"/>
        <v>2145673.52</v>
      </c>
      <c r="AB7" s="50">
        <f t="shared" si="8"/>
        <v>2009057.6029962546</v>
      </c>
      <c r="AC7" s="43">
        <f t="shared" si="8"/>
        <v>2009057.6029962546</v>
      </c>
      <c r="AD7" s="43">
        <f t="shared" si="9"/>
        <v>0</v>
      </c>
      <c r="AE7" s="43">
        <v>0</v>
      </c>
      <c r="AF7" s="51">
        <f>HLOOKUP(I7,ElecAvoidedCostsWOCC!$A$5:$Q$50,G7+1,FALSE)</f>
        <v>1.2963360504949972</v>
      </c>
      <c r="AG7" s="43">
        <f t="shared" si="10"/>
        <v>2074137.6807919955</v>
      </c>
      <c r="AH7" s="51">
        <f>HLOOKUP(I7,ElecAvoidedCostsWOCC!$A$5:$Q$50,T7+1,FALSE)</f>
        <v>1.2963360504949972</v>
      </c>
      <c r="AI7" s="43">
        <f t="shared" si="11"/>
        <v>0</v>
      </c>
      <c r="AJ7" s="43">
        <f t="shared" si="12"/>
        <v>2074137.6807919955</v>
      </c>
      <c r="AK7" s="43">
        <f>HLOOKUP(I7,ElecAvoidedCostsWOCC!$A$5:$Q$50,G7+1,FALSE)*J7*L7</f>
        <v>0</v>
      </c>
      <c r="AL7" s="43">
        <f t="shared" si="13"/>
        <v>2074137.6807919955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2074137.6807919955</v>
      </c>
      <c r="AN7" s="47">
        <f t="shared" si="14"/>
        <v>2281551.4488711953</v>
      </c>
      <c r="AO7" s="46">
        <f t="shared" si="15"/>
        <v>1.0323933359096733</v>
      </c>
      <c r="AP7" s="46">
        <f t="shared" si="16"/>
        <v>1.1356326695006409</v>
      </c>
    </row>
    <row r="8" spans="1:42" ht="13.5" customHeight="1" x14ac:dyDescent="0.25">
      <c r="A8" s="52">
        <f>SUMIF('Program Costs'!D:D,C2,'Program Costs'!O:O)</f>
        <v>543763.79999999981</v>
      </c>
      <c r="B8" s="88"/>
      <c r="C8" s="91"/>
      <c r="D8" s="91"/>
      <c r="E8" s="37" t="s">
        <v>1046</v>
      </c>
      <c r="F8" s="38" t="s">
        <v>1047</v>
      </c>
      <c r="G8" s="38">
        <v>15</v>
      </c>
      <c r="H8" s="38">
        <v>0</v>
      </c>
      <c r="I8" s="39" t="s">
        <v>265</v>
      </c>
      <c r="J8" s="40">
        <v>2</v>
      </c>
      <c r="K8" s="40">
        <v>1200000</v>
      </c>
      <c r="L8" s="40">
        <v>0</v>
      </c>
      <c r="M8" s="41">
        <v>1446126</v>
      </c>
      <c r="N8" s="41">
        <v>1720889.94</v>
      </c>
      <c r="O8" s="42">
        <v>2400000</v>
      </c>
      <c r="P8" s="43">
        <v>2892252</v>
      </c>
      <c r="Q8" s="43">
        <v>3441779.88</v>
      </c>
      <c r="R8" s="44">
        <v>0</v>
      </c>
      <c r="S8" s="45"/>
      <c r="T8" s="38">
        <f t="shared" si="0"/>
        <v>15</v>
      </c>
      <c r="U8" s="46">
        <f t="shared" si="1"/>
        <v>9</v>
      </c>
      <c r="V8" s="47">
        <f t="shared" si="2"/>
        <v>274763.93999999994</v>
      </c>
      <c r="W8" s="48">
        <f t="shared" si="3"/>
        <v>0.6</v>
      </c>
      <c r="X8" s="43">
        <f t="shared" si="4"/>
        <v>326258.27999999985</v>
      </c>
      <c r="Y8" s="43">
        <f t="shared" si="5"/>
        <v>549527.87999999989</v>
      </c>
      <c r="Z8" s="43">
        <f t="shared" si="6"/>
        <v>3218510.28</v>
      </c>
      <c r="AA8" s="49">
        <f t="shared" si="7"/>
        <v>3768038.1599999997</v>
      </c>
      <c r="AB8" s="50">
        <f t="shared" si="8"/>
        <v>3013586.4044943815</v>
      </c>
      <c r="AC8" s="43">
        <f t="shared" si="8"/>
        <v>3528125.6179775274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4121437.8850923711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4121437.8850923711</v>
      </c>
      <c r="AK8" s="43">
        <f>HLOOKUP(I8,ElecAvoidedCostsWOCC!$A$5:$Q$50,G8+1,FALSE)*J8*L8</f>
        <v>0</v>
      </c>
      <c r="AL8" s="43">
        <f t="shared" si="13"/>
        <v>4121437.8850923711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4121437.8850923711</v>
      </c>
      <c r="AN8" s="47">
        <f t="shared" si="14"/>
        <v>4533581.6736016087</v>
      </c>
      <c r="AO8" s="46">
        <f t="shared" si="15"/>
        <v>1.3676189535982011</v>
      </c>
      <c r="AP8" s="46">
        <f t="shared" si="16"/>
        <v>1.2849830659375592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4000000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4820420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549527.87999999989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5364183.8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5913711.6799999997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1.23352870652279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1.23079422343447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4 R5:S24">
    <cfRule type="expression" dxfId="177" priority="2">
      <formula>ISTEXT(M5)</formula>
    </cfRule>
  </conditionalFormatting>
  <conditionalFormatting sqref="M5:N24 R5:S24">
    <cfRule type="notContainsBlanks" dxfId="176" priority="3">
      <formula>LEN(TRIM(M5))&gt;0</formula>
    </cfRule>
  </conditionalFormatting>
  <conditionalFormatting sqref="R5:S24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O10" sqref="O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18230525</v>
      </c>
      <c r="D2" s="19" t="s">
        <v>300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18230525</v>
      </c>
      <c r="D5" s="60" t="s">
        <v>300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3" si="0">G5+H5</f>
        <v>0</v>
      </c>
      <c r="U5" s="46" t="e">
        <f t="shared" ref="U5:U23" si="1">(O5/$A$10)*T5</f>
        <v>#DIV/0!</v>
      </c>
      <c r="V5" s="47">
        <f t="shared" ref="V5:V23" si="2">N5-M5</f>
        <v>0</v>
      </c>
      <c r="W5" s="48" t="e">
        <f t="shared" ref="W5:W23" si="3">(O5/A$10)</f>
        <v>#DIV/0!</v>
      </c>
      <c r="X5" s="43" t="e">
        <f t="shared" ref="X5:X23" si="4">W5*A$8</f>
        <v>#DIV/0!</v>
      </c>
      <c r="Y5" s="43">
        <f t="shared" ref="Y5:Y23" si="5">Q5-P5</f>
        <v>0</v>
      </c>
      <c r="Z5" s="43" t="e">
        <f t="shared" ref="Z5:Z23" si="6">X5+(A$6*W5)</f>
        <v>#DIV/0!</v>
      </c>
      <c r="AA5" s="49" t="e">
        <f t="shared" ref="AA5:AA23" si="7">Q5+X5</f>
        <v>#DIV/0!</v>
      </c>
      <c r="AB5" s="50" t="e">
        <f t="shared" ref="AB5:AC19" si="8">Z5/(1+ElecDiscountRate)^1</f>
        <v>#DIV/0!</v>
      </c>
      <c r="AC5" s="43" t="e">
        <f t="shared" si="8"/>
        <v>#DIV/0!</v>
      </c>
      <c r="AD5" s="43">
        <f t="shared" ref="AD5:AD23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3" si="10">AF5*J5*K5</f>
        <v>#N/A</v>
      </c>
      <c r="AH5" s="51" t="e">
        <f>HLOOKUP(I5,ElecAvoidedCostsWOCC!$A$5:$Q$50,T5+1,FALSE)</f>
        <v>#N/A</v>
      </c>
      <c r="AI5" s="43" t="e">
        <f t="shared" ref="AI5:AI23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Costs'!D:D,C5,'Program Costs'!L:L)+SUMIF('Program Costs'!D:D,#REF!,'Program Costs'!L:L)+SUMIF('Program Costs'!D:D,C6,'Program Costs'!L:L)+SUMIF('Program Costs'!D:D,C7,'Program Costs'!L:L)</f>
        <v>0</v>
      </c>
      <c r="B6" s="88" t="s">
        <v>301</v>
      </c>
      <c r="C6" s="91">
        <v>18230750</v>
      </c>
      <c r="D6" s="90" t="s">
        <v>150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3" si="12">AG6+AI6</f>
        <v>#N/A</v>
      </c>
      <c r="AK6" s="43" t="e">
        <f>HLOOKUP(I6,ElecAvoidedCostsWOCC!$A$5:$Q$50,G6+1,FALSE)*J6*L6</f>
        <v>#N/A</v>
      </c>
      <c r="AL6" s="43" t="e">
        <f t="shared" ref="AL6:AL23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91">
        <v>18230749</v>
      </c>
      <c r="D7" s="91" t="s">
        <v>534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>
        <v>0</v>
      </c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Costs'!D:D,C5,'Program Costs'!O:O)+SUMIF('Program Costs'!D:D,#REF!,'Program Costs'!O:O)+SUMIF('Program Costs'!D:D,C6,'Program Costs'!O:O)+SUMIF('Program Costs'!D:D,C7,'Program Costs'!O:O)</f>
        <v>10920.4</v>
      </c>
      <c r="B8" s="36" t="s">
        <v>149</v>
      </c>
      <c r="C8">
        <v>18230749</v>
      </c>
      <c r="D8" t="s">
        <v>551</v>
      </c>
      <c r="E8" s="37" t="s">
        <v>1014</v>
      </c>
      <c r="F8" s="38" t="s">
        <v>783</v>
      </c>
      <c r="G8" s="38">
        <v>1</v>
      </c>
      <c r="H8" s="38">
        <v>0</v>
      </c>
      <c r="I8" s="39" t="s">
        <v>267</v>
      </c>
      <c r="J8" s="40">
        <v>0</v>
      </c>
      <c r="K8" s="40">
        <v>107</v>
      </c>
      <c r="L8" s="40">
        <v>0</v>
      </c>
      <c r="M8" s="41">
        <v>35</v>
      </c>
      <c r="N8" s="41">
        <v>69.989999999999995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</v>
      </c>
      <c r="U8" s="46" t="e">
        <f t="shared" si="1"/>
        <v>#DIV/0!</v>
      </c>
      <c r="V8" s="47">
        <f t="shared" si="2"/>
        <v>34.989999999999995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0.13006346215368936</v>
      </c>
      <c r="AG8" s="43">
        <f t="shared" si="10"/>
        <v>0</v>
      </c>
      <c r="AH8" s="51">
        <f>HLOOKUP(I8,ElecAvoidedCostsWOCC!$A$5:$Q$50,T8+1,FALSE)</f>
        <v>0.13006346215368936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 t="s">
        <v>149</v>
      </c>
      <c r="C9">
        <v>18230749</v>
      </c>
      <c r="D9" t="s">
        <v>551</v>
      </c>
      <c r="E9" s="37" t="s">
        <v>1015</v>
      </c>
      <c r="F9" s="38" t="s">
        <v>783</v>
      </c>
      <c r="G9" s="38">
        <v>1</v>
      </c>
      <c r="H9" s="38">
        <v>0</v>
      </c>
      <c r="I9" s="39" t="s">
        <v>267</v>
      </c>
      <c r="J9" s="40">
        <v>0</v>
      </c>
      <c r="K9" s="40">
        <v>200000</v>
      </c>
      <c r="L9" s="40">
        <v>0</v>
      </c>
      <c r="M9" s="41">
        <v>0</v>
      </c>
      <c r="N9" s="41">
        <v>69.989999999999995</v>
      </c>
      <c r="O9" s="42">
        <v>0</v>
      </c>
      <c r="P9" s="43">
        <v>0</v>
      </c>
      <c r="Q9" s="43">
        <v>69.989999999999995</v>
      </c>
      <c r="R9" s="44">
        <v>0</v>
      </c>
      <c r="S9" s="45"/>
      <c r="T9" s="38">
        <f t="shared" si="0"/>
        <v>1</v>
      </c>
      <c r="U9" s="46" t="e">
        <f t="shared" si="1"/>
        <v>#DIV/0!</v>
      </c>
      <c r="V9" s="47">
        <f t="shared" si="2"/>
        <v>69.989999999999995</v>
      </c>
      <c r="W9" s="48" t="e">
        <f t="shared" si="3"/>
        <v>#DIV/0!</v>
      </c>
      <c r="X9" s="43" t="e">
        <f t="shared" si="4"/>
        <v>#DIV/0!</v>
      </c>
      <c r="Y9" s="43">
        <f t="shared" si="5"/>
        <v>69.989999999999995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0.13006346215368936</v>
      </c>
      <c r="AG9" s="43">
        <f t="shared" si="10"/>
        <v>0</v>
      </c>
      <c r="AH9" s="51">
        <f>HLOOKUP(I9,ElecAvoidedCostsWOCC!$A$5:$Q$50,T9+1,FALSE)</f>
        <v>0.13006346215368936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SUM(O5:O998)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SUM(P5:P999)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SUM(Y5:Y999)</f>
        <v>69.989999999999995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SUM(U5:U998)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10920.4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A8+SUM(Q5:Q905)</f>
        <v>10990.39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ref="AB20:AC23" si="18">Z20/(1+ElecDiscountRate)^1</f>
        <v>#DIV/0!</v>
      </c>
      <c r="AC20" s="43" t="e">
        <f t="shared" si="1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18"/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(SUM(AM5:AM999)/(SUM(AB5:AB999)))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(SUM(AN5:AN999)/SUM(AC5:AC999))</f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3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3 R5:S23">
    <cfRule type="expression" dxfId="172" priority="2">
      <formula>ISTEXT(M5)</formula>
    </cfRule>
  </conditionalFormatting>
  <conditionalFormatting sqref="M5:N23 R5:S23">
    <cfRule type="notContainsBlanks" dxfId="171" priority="3">
      <formula>LEN(TRIM(M5))&gt;0</formula>
    </cfRule>
  </conditionalFormatting>
  <conditionalFormatting sqref="R5:S23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zoomScaleNormal="100" workbookViewId="0">
      <pane ySplit="1" topLeftCell="A2" activePane="bottomLeft" state="frozen"/>
      <selection pane="bottomLeft" activeCell="N132" sqref="N132"/>
    </sheetView>
  </sheetViews>
  <sheetFormatPr defaultRowHeight="15" x14ac:dyDescent="0.25"/>
  <cols>
    <col min="3" max="3" width="40.5703125" customWidth="1"/>
    <col min="4" max="4" width="13.28515625" customWidth="1"/>
    <col min="5" max="5" width="15.5703125" customWidth="1"/>
    <col min="6" max="8" width="15.28515625" customWidth="1"/>
    <col min="9" max="9" width="18.7109375" customWidth="1"/>
    <col min="10" max="11" width="15.28515625" customWidth="1"/>
    <col min="12" max="12" width="20.28515625" customWidth="1"/>
    <col min="13" max="15" width="15.28515625" customWidth="1"/>
    <col min="16" max="16" width="23.7109375" customWidth="1"/>
  </cols>
  <sheetData>
    <row r="1" spans="1:16" x14ac:dyDescent="0.2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04" t="s">
        <v>11</v>
      </c>
      <c r="M1" s="2" t="s">
        <v>12</v>
      </c>
      <c r="N1" s="3" t="s">
        <v>13</v>
      </c>
      <c r="O1" s="3" t="s">
        <v>14</v>
      </c>
      <c r="P1" s="485" t="s">
        <v>517</v>
      </c>
    </row>
    <row r="2" spans="1:16" x14ac:dyDescent="0.25">
      <c r="A2" s="506"/>
      <c r="B2" t="s">
        <v>19</v>
      </c>
      <c r="C2" t="s">
        <v>20</v>
      </c>
      <c r="D2">
        <v>18230411</v>
      </c>
      <c r="E2" s="530">
        <v>481680</v>
      </c>
      <c r="F2" s="530">
        <v>433512</v>
      </c>
      <c r="G2" s="530">
        <v>0</v>
      </c>
      <c r="H2" s="530">
        <v>0</v>
      </c>
      <c r="I2" s="530">
        <v>2129500</v>
      </c>
      <c r="J2" s="530">
        <v>0</v>
      </c>
      <c r="K2" s="530">
        <v>0</v>
      </c>
      <c r="L2" s="530">
        <v>0</v>
      </c>
      <c r="M2" s="530">
        <v>0</v>
      </c>
      <c r="N2" s="531">
        <f>SUM(E2:M2)</f>
        <v>3044692</v>
      </c>
      <c r="O2" s="531">
        <f>N2-L2</f>
        <v>3044692</v>
      </c>
      <c r="P2" t="s">
        <v>523</v>
      </c>
    </row>
    <row r="3" spans="1:16" x14ac:dyDescent="0.25">
      <c r="A3" s="506"/>
      <c r="B3" t="s">
        <v>23</v>
      </c>
      <c r="C3" t="s">
        <v>24</v>
      </c>
      <c r="D3">
        <v>18230667</v>
      </c>
      <c r="E3" s="530">
        <v>481680</v>
      </c>
      <c r="F3" s="530">
        <v>433512</v>
      </c>
      <c r="G3" s="530">
        <v>0</v>
      </c>
      <c r="H3" s="530">
        <v>0</v>
      </c>
      <c r="I3" s="530">
        <v>352900</v>
      </c>
      <c r="J3" s="530">
        <v>0</v>
      </c>
      <c r="K3" s="530">
        <v>0</v>
      </c>
      <c r="L3" s="530">
        <v>0</v>
      </c>
      <c r="M3" s="530">
        <v>0</v>
      </c>
      <c r="N3" s="531">
        <f t="shared" ref="N3:N66" si="0">SUM(E3:M3)</f>
        <v>1268092</v>
      </c>
      <c r="O3" s="531">
        <f t="shared" ref="O3:O66" si="1">N3-L3</f>
        <v>1268092</v>
      </c>
      <c r="P3" t="s">
        <v>522</v>
      </c>
    </row>
    <row r="4" spans="1:16" x14ac:dyDescent="0.25">
      <c r="A4" s="506"/>
      <c r="B4" t="s">
        <v>29</v>
      </c>
      <c r="C4" t="s">
        <v>30</v>
      </c>
      <c r="D4">
        <v>18230559</v>
      </c>
      <c r="E4" s="530">
        <v>0</v>
      </c>
      <c r="F4" s="530">
        <v>0</v>
      </c>
      <c r="G4" s="530">
        <v>0</v>
      </c>
      <c r="H4" s="530">
        <v>0</v>
      </c>
      <c r="I4" s="530">
        <v>286000</v>
      </c>
      <c r="J4" s="530">
        <v>0</v>
      </c>
      <c r="K4" s="530">
        <v>0</v>
      </c>
      <c r="L4" s="530">
        <v>0</v>
      </c>
      <c r="M4" s="530">
        <v>0</v>
      </c>
      <c r="N4" s="531">
        <f t="shared" si="0"/>
        <v>286000</v>
      </c>
      <c r="O4" s="531">
        <f t="shared" si="1"/>
        <v>286000</v>
      </c>
      <c r="P4" t="s">
        <v>523</v>
      </c>
    </row>
    <row r="5" spans="1:16" x14ac:dyDescent="0.25">
      <c r="A5" s="506"/>
      <c r="B5" t="s">
        <v>62</v>
      </c>
      <c r="C5" t="s">
        <v>131</v>
      </c>
      <c r="D5">
        <v>18230724</v>
      </c>
      <c r="E5" s="530">
        <v>1681000</v>
      </c>
      <c r="F5" s="530">
        <v>1512900</v>
      </c>
      <c r="G5" s="530">
        <v>50000</v>
      </c>
      <c r="H5" s="530">
        <v>68000</v>
      </c>
      <c r="I5" s="530">
        <v>285000</v>
      </c>
      <c r="J5" s="530">
        <v>40000</v>
      </c>
      <c r="K5" s="530">
        <v>0</v>
      </c>
      <c r="L5" s="530">
        <v>11970000</v>
      </c>
      <c r="M5" s="530">
        <v>0</v>
      </c>
      <c r="N5" s="531">
        <f t="shared" si="0"/>
        <v>15606900</v>
      </c>
      <c r="O5" s="531">
        <f t="shared" si="1"/>
        <v>3636900</v>
      </c>
      <c r="P5" t="s">
        <v>522</v>
      </c>
    </row>
    <row r="6" spans="1:16" x14ac:dyDescent="0.25">
      <c r="A6" s="506"/>
      <c r="B6" t="s">
        <v>62</v>
      </c>
      <c r="C6" t="s">
        <v>506</v>
      </c>
      <c r="D6">
        <v>18230013</v>
      </c>
      <c r="E6" s="530">
        <v>217546</v>
      </c>
      <c r="F6" s="530">
        <v>195791.4</v>
      </c>
      <c r="G6" s="530">
        <v>64000</v>
      </c>
      <c r="H6" s="530">
        <v>16000</v>
      </c>
      <c r="I6" s="530">
        <v>640000</v>
      </c>
      <c r="J6" s="530">
        <v>0</v>
      </c>
      <c r="K6" s="530">
        <v>12000</v>
      </c>
      <c r="L6" s="530">
        <v>0</v>
      </c>
      <c r="M6" s="530">
        <v>0</v>
      </c>
      <c r="N6" s="531">
        <f t="shared" si="0"/>
        <v>1145337.3999999999</v>
      </c>
      <c r="O6" s="531">
        <f t="shared" si="1"/>
        <v>1145337.3999999999</v>
      </c>
      <c r="P6" t="s">
        <v>523</v>
      </c>
    </row>
    <row r="7" spans="1:16" x14ac:dyDescent="0.25">
      <c r="A7" s="506"/>
      <c r="B7" t="s">
        <v>134</v>
      </c>
      <c r="C7" t="s">
        <v>511</v>
      </c>
      <c r="D7">
        <v>18230220</v>
      </c>
      <c r="E7" s="530">
        <v>97834</v>
      </c>
      <c r="F7" s="530">
        <v>88050.6</v>
      </c>
      <c r="G7" s="530">
        <v>16000</v>
      </c>
      <c r="H7" s="530">
        <v>4000</v>
      </c>
      <c r="I7" s="530">
        <v>160000</v>
      </c>
      <c r="J7" s="530">
        <v>0</v>
      </c>
      <c r="K7" s="530">
        <v>3000</v>
      </c>
      <c r="L7" s="530">
        <v>0</v>
      </c>
      <c r="M7" s="530">
        <v>0</v>
      </c>
      <c r="N7" s="531">
        <f t="shared" si="0"/>
        <v>368884.6</v>
      </c>
      <c r="O7" s="531">
        <f t="shared" si="1"/>
        <v>368884.6</v>
      </c>
      <c r="P7" t="s">
        <v>519</v>
      </c>
    </row>
    <row r="8" spans="1:16" x14ac:dyDescent="0.25">
      <c r="A8" s="506"/>
      <c r="B8" t="s">
        <v>67</v>
      </c>
      <c r="C8" t="s">
        <v>547</v>
      </c>
      <c r="D8">
        <v>18230716</v>
      </c>
      <c r="E8" s="530">
        <v>13032</v>
      </c>
      <c r="F8" s="530">
        <v>11728.8</v>
      </c>
      <c r="G8" s="530">
        <v>34240</v>
      </c>
      <c r="H8" s="530">
        <v>1900</v>
      </c>
      <c r="I8" s="530">
        <v>687928.75</v>
      </c>
      <c r="J8" s="530">
        <v>200</v>
      </c>
      <c r="K8" s="530">
        <v>0</v>
      </c>
      <c r="L8" s="530">
        <v>1115119</v>
      </c>
      <c r="M8" s="530">
        <v>0</v>
      </c>
      <c r="N8" s="531">
        <f t="shared" si="0"/>
        <v>1864148.55</v>
      </c>
      <c r="O8" s="531">
        <f t="shared" si="1"/>
        <v>749029.55</v>
      </c>
      <c r="P8" t="s">
        <v>521</v>
      </c>
    </row>
    <row r="9" spans="1:16" x14ac:dyDescent="0.25">
      <c r="A9" s="506"/>
      <c r="B9" t="s">
        <v>31</v>
      </c>
      <c r="C9" t="s">
        <v>554</v>
      </c>
      <c r="D9">
        <v>18231027</v>
      </c>
      <c r="E9" s="530">
        <v>242078</v>
      </c>
      <c r="F9" s="530">
        <v>217870.2</v>
      </c>
      <c r="G9" s="530">
        <v>308160</v>
      </c>
      <c r="H9" s="530">
        <v>17100</v>
      </c>
      <c r="I9" s="530">
        <v>857647.35</v>
      </c>
      <c r="J9" s="530">
        <v>1800</v>
      </c>
      <c r="K9" s="530">
        <v>0</v>
      </c>
      <c r="L9" s="530">
        <v>1322026</v>
      </c>
      <c r="M9" s="530">
        <v>0</v>
      </c>
      <c r="N9" s="531">
        <f t="shared" si="0"/>
        <v>2966681.55</v>
      </c>
      <c r="O9" s="531">
        <f t="shared" si="1"/>
        <v>1644655.5499999998</v>
      </c>
      <c r="P9" t="s">
        <v>523</v>
      </c>
    </row>
    <row r="10" spans="1:16" x14ac:dyDescent="0.25">
      <c r="A10" s="506"/>
      <c r="B10" t="s">
        <v>67</v>
      </c>
      <c r="C10" t="s">
        <v>510</v>
      </c>
      <c r="D10">
        <v>18230718</v>
      </c>
      <c r="E10" s="530">
        <v>174608</v>
      </c>
      <c r="F10" s="530">
        <v>157147.20000000001</v>
      </c>
      <c r="G10" s="530">
        <v>119400</v>
      </c>
      <c r="H10" s="530">
        <v>2000</v>
      </c>
      <c r="I10" s="530">
        <v>30000</v>
      </c>
      <c r="J10" s="530">
        <v>2000</v>
      </c>
      <c r="K10" s="530">
        <v>0</v>
      </c>
      <c r="L10" s="530">
        <v>876800</v>
      </c>
      <c r="M10" s="530">
        <v>0</v>
      </c>
      <c r="N10" s="531">
        <f t="shared" si="0"/>
        <v>1361955.2</v>
      </c>
      <c r="O10" s="531">
        <f t="shared" si="1"/>
        <v>485155.19999999995</v>
      </c>
      <c r="P10" t="s">
        <v>521</v>
      </c>
    </row>
    <row r="11" spans="1:16" x14ac:dyDescent="0.25">
      <c r="A11" s="506"/>
      <c r="B11" t="s">
        <v>31</v>
      </c>
      <c r="C11" t="s">
        <v>514</v>
      </c>
      <c r="D11">
        <v>18231029</v>
      </c>
      <c r="E11" s="530">
        <v>47192</v>
      </c>
      <c r="F11" s="530">
        <v>42472.800000000003</v>
      </c>
      <c r="G11" s="530">
        <v>0</v>
      </c>
      <c r="H11" s="530">
        <v>0</v>
      </c>
      <c r="I11" s="530">
        <v>0</v>
      </c>
      <c r="J11" s="530">
        <v>0</v>
      </c>
      <c r="K11" s="530">
        <v>0</v>
      </c>
      <c r="L11" s="530">
        <v>154700</v>
      </c>
      <c r="M11" s="530">
        <v>0</v>
      </c>
      <c r="N11" s="531">
        <f t="shared" si="0"/>
        <v>244364.79999999999</v>
      </c>
      <c r="O11" s="531">
        <f t="shared" si="1"/>
        <v>89664.799999999988</v>
      </c>
      <c r="P11" t="s">
        <v>523</v>
      </c>
    </row>
    <row r="12" spans="1:16" x14ac:dyDescent="0.25">
      <c r="A12" s="506"/>
      <c r="B12" t="s">
        <v>123</v>
      </c>
      <c r="C12" t="s">
        <v>124</v>
      </c>
      <c r="D12">
        <v>18230715</v>
      </c>
      <c r="E12" s="530">
        <v>523142</v>
      </c>
      <c r="F12" s="530">
        <v>470827.8</v>
      </c>
      <c r="G12" s="530">
        <v>21000</v>
      </c>
      <c r="H12" s="530">
        <v>9450</v>
      </c>
      <c r="I12" s="530">
        <v>70000</v>
      </c>
      <c r="J12" s="530">
        <v>10500</v>
      </c>
      <c r="K12" s="530">
        <v>31500</v>
      </c>
      <c r="L12" s="530">
        <v>2790000</v>
      </c>
      <c r="M12" s="530">
        <v>0</v>
      </c>
      <c r="N12" s="531">
        <f t="shared" si="0"/>
        <v>3926419.8</v>
      </c>
      <c r="O12" s="531">
        <f t="shared" si="1"/>
        <v>1136419.7999999998</v>
      </c>
      <c r="P12" t="s">
        <v>522</v>
      </c>
    </row>
    <row r="13" spans="1:16" x14ac:dyDescent="0.25">
      <c r="A13" s="506"/>
      <c r="B13" t="s">
        <v>117</v>
      </c>
      <c r="C13" t="s">
        <v>118</v>
      </c>
      <c r="D13">
        <v>18230706</v>
      </c>
      <c r="E13" s="530">
        <v>88389</v>
      </c>
      <c r="F13" s="530">
        <v>79550.100000000006</v>
      </c>
      <c r="G13" s="530">
        <v>9000</v>
      </c>
      <c r="H13" s="530">
        <v>4050</v>
      </c>
      <c r="I13" s="530">
        <v>30000</v>
      </c>
      <c r="J13" s="530">
        <v>4500</v>
      </c>
      <c r="K13" s="530">
        <v>13500</v>
      </c>
      <c r="L13" s="530">
        <v>292000</v>
      </c>
      <c r="M13" s="530">
        <v>0</v>
      </c>
      <c r="N13" s="531">
        <f t="shared" si="0"/>
        <v>520989.1</v>
      </c>
      <c r="O13" s="531">
        <f t="shared" si="1"/>
        <v>228989.09999999998</v>
      </c>
      <c r="P13" t="s">
        <v>429</v>
      </c>
    </row>
    <row r="14" spans="1:16" x14ac:dyDescent="0.25">
      <c r="A14" s="506"/>
      <c r="B14" t="s">
        <v>62</v>
      </c>
      <c r="C14" t="s">
        <v>119</v>
      </c>
      <c r="D14">
        <v>18230711</v>
      </c>
      <c r="E14" s="530">
        <v>1875132</v>
      </c>
      <c r="F14" s="530">
        <v>1687618.7999999998</v>
      </c>
      <c r="G14" s="530">
        <v>40000</v>
      </c>
      <c r="H14" s="530">
        <v>50000</v>
      </c>
      <c r="I14" s="530">
        <v>490000</v>
      </c>
      <c r="J14" s="530">
        <v>7000</v>
      </c>
      <c r="K14" s="530">
        <v>162000</v>
      </c>
      <c r="L14" s="530">
        <v>6800000</v>
      </c>
      <c r="M14" s="530">
        <v>0</v>
      </c>
      <c r="N14" s="531">
        <f t="shared" si="0"/>
        <v>11111750.800000001</v>
      </c>
      <c r="O14" s="531">
        <f t="shared" si="1"/>
        <v>4311750.8000000007</v>
      </c>
      <c r="P14" t="s">
        <v>524</v>
      </c>
    </row>
    <row r="15" spans="1:16" x14ac:dyDescent="0.25">
      <c r="A15" s="506"/>
      <c r="B15" t="s">
        <v>134</v>
      </c>
      <c r="C15" t="s">
        <v>135</v>
      </c>
      <c r="D15">
        <v>18230731</v>
      </c>
      <c r="E15" s="530">
        <v>685040</v>
      </c>
      <c r="F15" s="530">
        <v>616536</v>
      </c>
      <c r="G15" s="530">
        <v>10000</v>
      </c>
      <c r="H15" s="530">
        <v>6000</v>
      </c>
      <c r="I15" s="530">
        <v>140000</v>
      </c>
      <c r="J15" s="530">
        <v>3000</v>
      </c>
      <c r="K15" s="530">
        <v>44000</v>
      </c>
      <c r="L15" s="530">
        <v>3360500</v>
      </c>
      <c r="M15" s="530">
        <v>0</v>
      </c>
      <c r="N15" s="531">
        <f t="shared" si="0"/>
        <v>4865076</v>
      </c>
      <c r="O15" s="531">
        <f t="shared" si="1"/>
        <v>1504576</v>
      </c>
      <c r="P15" t="s">
        <v>519</v>
      </c>
    </row>
    <row r="16" spans="1:16" x14ac:dyDescent="0.25">
      <c r="A16" s="506"/>
      <c r="B16" t="s">
        <v>67</v>
      </c>
      <c r="C16" t="s">
        <v>509</v>
      </c>
      <c r="D16">
        <v>18230524</v>
      </c>
      <c r="E16" s="530">
        <v>123890</v>
      </c>
      <c r="F16" s="530">
        <v>111501</v>
      </c>
      <c r="G16" s="530">
        <v>0</v>
      </c>
      <c r="H16" s="530">
        <v>3000</v>
      </c>
      <c r="I16" s="530">
        <v>248706</v>
      </c>
      <c r="J16" s="530">
        <v>1000</v>
      </c>
      <c r="K16" s="530">
        <v>0</v>
      </c>
      <c r="L16" s="530">
        <v>799500</v>
      </c>
      <c r="M16" s="530">
        <v>0</v>
      </c>
      <c r="N16" s="531">
        <f t="shared" si="0"/>
        <v>1287597</v>
      </c>
      <c r="O16" s="531">
        <f t="shared" si="1"/>
        <v>488097</v>
      </c>
      <c r="P16" t="s">
        <v>522</v>
      </c>
    </row>
    <row r="17" spans="1:16" x14ac:dyDescent="0.25">
      <c r="A17" s="506"/>
      <c r="B17" t="s">
        <v>31</v>
      </c>
      <c r="C17" t="s">
        <v>513</v>
      </c>
      <c r="D17">
        <v>18230248</v>
      </c>
      <c r="E17" s="530">
        <v>255049</v>
      </c>
      <c r="F17" s="530">
        <v>229544.1</v>
      </c>
      <c r="G17" s="530">
        <v>0</v>
      </c>
      <c r="H17" s="530">
        <v>0</v>
      </c>
      <c r="I17" s="530">
        <v>1099989</v>
      </c>
      <c r="J17" s="530">
        <v>0</v>
      </c>
      <c r="K17" s="530">
        <v>15000</v>
      </c>
      <c r="L17" s="530">
        <v>1521018</v>
      </c>
      <c r="M17" s="530">
        <v>0</v>
      </c>
      <c r="N17" s="531">
        <f t="shared" si="0"/>
        <v>3120600.1</v>
      </c>
      <c r="O17" s="531">
        <f t="shared" si="1"/>
        <v>1599582.1</v>
      </c>
      <c r="P17" t="s">
        <v>524</v>
      </c>
    </row>
    <row r="18" spans="1:16" x14ac:dyDescent="0.25">
      <c r="A18" s="506"/>
      <c r="B18" t="s">
        <v>25</v>
      </c>
      <c r="C18" t="s">
        <v>26</v>
      </c>
      <c r="D18">
        <v>18230140</v>
      </c>
      <c r="E18" s="530"/>
      <c r="F18" s="530"/>
      <c r="G18" s="530"/>
      <c r="H18" s="530"/>
      <c r="I18" s="530"/>
      <c r="J18" s="530"/>
      <c r="K18" s="530"/>
      <c r="L18" s="530"/>
      <c r="M18" s="530"/>
      <c r="N18" s="531">
        <f t="shared" si="0"/>
        <v>0</v>
      </c>
      <c r="O18" s="531">
        <f t="shared" si="1"/>
        <v>0</v>
      </c>
      <c r="P18" t="s">
        <v>522</v>
      </c>
    </row>
    <row r="19" spans="1:16" x14ac:dyDescent="0.25">
      <c r="B19" t="s">
        <v>80</v>
      </c>
      <c r="C19" t="s">
        <v>81</v>
      </c>
      <c r="D19">
        <v>18230640</v>
      </c>
      <c r="E19" s="530"/>
      <c r="F19" s="530"/>
      <c r="G19" s="530"/>
      <c r="H19" s="530"/>
      <c r="I19" s="530"/>
      <c r="J19" s="530"/>
      <c r="K19" s="530"/>
      <c r="L19" s="530"/>
      <c r="M19" s="530"/>
      <c r="N19" s="531">
        <f t="shared" si="0"/>
        <v>0</v>
      </c>
      <c r="O19" s="531">
        <f t="shared" si="1"/>
        <v>0</v>
      </c>
      <c r="P19" t="s">
        <v>519</v>
      </c>
    </row>
    <row r="20" spans="1:16" x14ac:dyDescent="0.25">
      <c r="A20" s="506"/>
      <c r="B20" t="s">
        <v>129</v>
      </c>
      <c r="C20" t="s">
        <v>130</v>
      </c>
      <c r="D20">
        <v>18230723</v>
      </c>
      <c r="E20" s="530">
        <v>1335259</v>
      </c>
      <c r="F20" s="530">
        <v>1201733.1000000001</v>
      </c>
      <c r="G20" s="530">
        <v>7000</v>
      </c>
      <c r="H20" s="530">
        <v>33000</v>
      </c>
      <c r="I20" s="530">
        <v>446307</v>
      </c>
      <c r="J20" s="530">
        <v>1000</v>
      </c>
      <c r="K20" s="530">
        <v>3000</v>
      </c>
      <c r="L20" s="530">
        <v>1280000</v>
      </c>
      <c r="M20" s="530">
        <v>0</v>
      </c>
      <c r="N20" s="531">
        <f t="shared" si="0"/>
        <v>4307299.0999999996</v>
      </c>
      <c r="O20" s="531">
        <f t="shared" si="1"/>
        <v>3027299.0999999996</v>
      </c>
      <c r="P20" t="s">
        <v>522</v>
      </c>
    </row>
    <row r="21" spans="1:16" x14ac:dyDescent="0.25">
      <c r="A21" s="506"/>
      <c r="B21" t="s">
        <v>106</v>
      </c>
      <c r="C21" t="s">
        <v>107</v>
      </c>
      <c r="D21">
        <v>18230691</v>
      </c>
      <c r="E21" s="530">
        <v>466191</v>
      </c>
      <c r="F21" s="530">
        <v>419571.9</v>
      </c>
      <c r="G21" s="530">
        <v>3000</v>
      </c>
      <c r="H21" s="530">
        <v>12000</v>
      </c>
      <c r="I21" s="530">
        <v>321580</v>
      </c>
      <c r="J21" s="530">
        <v>500</v>
      </c>
      <c r="K21" s="530">
        <v>1000</v>
      </c>
      <c r="L21" s="530">
        <v>345000</v>
      </c>
      <c r="M21" s="530">
        <v>0</v>
      </c>
      <c r="N21" s="531">
        <f t="shared" si="0"/>
        <v>1568842.9</v>
      </c>
      <c r="O21" s="531">
        <f t="shared" si="1"/>
        <v>1223842.8999999999</v>
      </c>
      <c r="P21" t="s">
        <v>520</v>
      </c>
    </row>
    <row r="22" spans="1:16" x14ac:dyDescent="0.25">
      <c r="A22" s="506"/>
      <c r="B22" t="s">
        <v>40</v>
      </c>
      <c r="C22" t="s">
        <v>41</v>
      </c>
      <c r="D22">
        <v>18230809</v>
      </c>
      <c r="E22" s="530">
        <v>221054</v>
      </c>
      <c r="F22" s="530">
        <v>198948.6</v>
      </c>
      <c r="G22" s="530">
        <v>0</v>
      </c>
      <c r="H22" s="530">
        <v>1740</v>
      </c>
      <c r="I22" s="530">
        <v>739000</v>
      </c>
      <c r="J22" s="530">
        <v>0</v>
      </c>
      <c r="K22" s="530">
        <v>0</v>
      </c>
      <c r="L22" s="530">
        <v>0</v>
      </c>
      <c r="M22" s="530">
        <v>0</v>
      </c>
      <c r="N22" s="531">
        <f t="shared" si="0"/>
        <v>1160742.6000000001</v>
      </c>
      <c r="O22" s="531">
        <f t="shared" si="1"/>
        <v>1160742.6000000001</v>
      </c>
      <c r="P22" t="s">
        <v>523</v>
      </c>
    </row>
    <row r="23" spans="1:16" x14ac:dyDescent="0.25">
      <c r="A23" s="506"/>
      <c r="B23" t="s">
        <v>42</v>
      </c>
      <c r="C23" t="s">
        <v>43</v>
      </c>
      <c r="D23">
        <v>18230703</v>
      </c>
      <c r="E23" s="530">
        <v>28236</v>
      </c>
      <c r="F23" s="530">
        <v>25412.400000000001</v>
      </c>
      <c r="G23" s="530">
        <v>0</v>
      </c>
      <c r="H23" s="530">
        <v>0</v>
      </c>
      <c r="I23" s="530">
        <v>111000</v>
      </c>
      <c r="J23" s="530">
        <v>0</v>
      </c>
      <c r="K23" s="530">
        <v>0</v>
      </c>
      <c r="L23" s="530">
        <v>0</v>
      </c>
      <c r="M23" s="530">
        <v>0</v>
      </c>
      <c r="N23" s="531">
        <f t="shared" si="0"/>
        <v>164648.4</v>
      </c>
      <c r="O23" s="531">
        <f t="shared" si="1"/>
        <v>164648.4</v>
      </c>
      <c r="P23" t="s">
        <v>521</v>
      </c>
    </row>
    <row r="24" spans="1:16" x14ac:dyDescent="0.25">
      <c r="A24" s="506"/>
      <c r="B24" t="s">
        <v>44</v>
      </c>
      <c r="C24" t="s">
        <v>45</v>
      </c>
      <c r="D24">
        <v>18230508</v>
      </c>
      <c r="E24" s="530">
        <v>80730</v>
      </c>
      <c r="F24" s="530">
        <v>72657</v>
      </c>
      <c r="G24" s="530">
        <v>0</v>
      </c>
      <c r="H24" s="530">
        <v>500</v>
      </c>
      <c r="I24" s="530">
        <v>1494485.12</v>
      </c>
      <c r="J24" s="530">
        <v>0</v>
      </c>
      <c r="K24" s="530">
        <v>0</v>
      </c>
      <c r="L24" s="530">
        <v>0</v>
      </c>
      <c r="M24" s="530">
        <v>0</v>
      </c>
      <c r="N24" s="531">
        <f t="shared" si="0"/>
        <v>1648372.12</v>
      </c>
      <c r="O24" s="531">
        <f t="shared" si="1"/>
        <v>1648372.12</v>
      </c>
      <c r="P24" t="s">
        <v>523</v>
      </c>
    </row>
    <row r="25" spans="1:16" x14ac:dyDescent="0.25">
      <c r="A25" s="506"/>
      <c r="B25" t="s">
        <v>52</v>
      </c>
      <c r="C25" t="s">
        <v>53</v>
      </c>
      <c r="D25">
        <v>18230690</v>
      </c>
      <c r="E25" s="530">
        <v>60900</v>
      </c>
      <c r="F25" s="530">
        <v>54810</v>
      </c>
      <c r="G25" s="530">
        <v>0</v>
      </c>
      <c r="H25" s="530">
        <v>500</v>
      </c>
      <c r="I25" s="530">
        <v>223313.86</v>
      </c>
      <c r="J25" s="530">
        <v>0</v>
      </c>
      <c r="K25" s="530">
        <v>0</v>
      </c>
      <c r="L25" s="530">
        <v>0</v>
      </c>
      <c r="M25" s="530">
        <v>0</v>
      </c>
      <c r="N25" s="531">
        <f t="shared" si="0"/>
        <v>339523.86</v>
      </c>
      <c r="O25" s="531">
        <f t="shared" si="1"/>
        <v>339523.86</v>
      </c>
      <c r="P25" t="s">
        <v>519</v>
      </c>
    </row>
    <row r="26" spans="1:16" x14ac:dyDescent="0.25">
      <c r="A26" s="506"/>
      <c r="B26" t="s">
        <v>44</v>
      </c>
      <c r="C26" t="s">
        <v>54</v>
      </c>
      <c r="D26">
        <v>18230408</v>
      </c>
      <c r="E26" s="530">
        <v>32580</v>
      </c>
      <c r="F26" s="530">
        <v>29322</v>
      </c>
      <c r="G26" s="530">
        <v>0</v>
      </c>
      <c r="H26" s="530">
        <v>0</v>
      </c>
      <c r="I26" s="530">
        <v>969100.1</v>
      </c>
      <c r="J26" s="530">
        <v>0</v>
      </c>
      <c r="K26" s="530">
        <v>0</v>
      </c>
      <c r="L26" s="530">
        <v>0</v>
      </c>
      <c r="M26" s="530">
        <v>0</v>
      </c>
      <c r="N26" s="531">
        <f t="shared" si="0"/>
        <v>1031002.1</v>
      </c>
      <c r="O26" s="531">
        <f t="shared" si="1"/>
        <v>1031002.1</v>
      </c>
      <c r="P26" t="s">
        <v>523</v>
      </c>
    </row>
    <row r="27" spans="1:16" x14ac:dyDescent="0.25">
      <c r="A27" s="506"/>
      <c r="B27" t="s">
        <v>52</v>
      </c>
      <c r="C27" t="s">
        <v>55</v>
      </c>
      <c r="D27">
        <v>18230737</v>
      </c>
      <c r="E27" s="530">
        <v>35412</v>
      </c>
      <c r="F27" s="530">
        <v>31870.799999999999</v>
      </c>
      <c r="G27" s="530">
        <v>0</v>
      </c>
      <c r="H27" s="530">
        <v>0</v>
      </c>
      <c r="I27" s="530">
        <v>144808.07999999999</v>
      </c>
      <c r="J27" s="530">
        <v>0</v>
      </c>
      <c r="K27" s="530">
        <v>0</v>
      </c>
      <c r="L27" s="530">
        <v>0</v>
      </c>
      <c r="M27" s="530">
        <v>0</v>
      </c>
      <c r="N27" s="531">
        <f t="shared" si="0"/>
        <v>212090.88</v>
      </c>
      <c r="O27" s="531">
        <f t="shared" si="1"/>
        <v>212090.88</v>
      </c>
      <c r="P27" t="s">
        <v>519</v>
      </c>
    </row>
    <row r="28" spans="1:16" x14ac:dyDescent="0.25">
      <c r="A28" s="506"/>
      <c r="B28" t="s">
        <v>58</v>
      </c>
      <c r="C28" t="s">
        <v>59</v>
      </c>
      <c r="D28">
        <v>18230745</v>
      </c>
      <c r="E28" s="530">
        <v>862344</v>
      </c>
      <c r="F28" s="530">
        <v>776109.60000000009</v>
      </c>
      <c r="G28" s="530">
        <v>0</v>
      </c>
      <c r="H28" s="530">
        <v>17400</v>
      </c>
      <c r="I28" s="530">
        <v>539400</v>
      </c>
      <c r="J28" s="530">
        <v>0</v>
      </c>
      <c r="K28" s="530">
        <v>0</v>
      </c>
      <c r="L28" s="530">
        <v>0</v>
      </c>
      <c r="M28" s="530">
        <v>0</v>
      </c>
      <c r="N28" s="531">
        <f t="shared" si="0"/>
        <v>2195253.6</v>
      </c>
      <c r="O28" s="531">
        <f t="shared" si="1"/>
        <v>2195253.6</v>
      </c>
      <c r="P28" t="s">
        <v>522</v>
      </c>
    </row>
    <row r="29" spans="1:16" x14ac:dyDescent="0.25">
      <c r="A29" s="506"/>
      <c r="B29" t="s">
        <v>60</v>
      </c>
      <c r="C29" t="s">
        <v>61</v>
      </c>
      <c r="D29">
        <v>18231005</v>
      </c>
      <c r="E29" s="530">
        <v>139971</v>
      </c>
      <c r="F29" s="530">
        <v>125973.9</v>
      </c>
      <c r="G29" s="530">
        <v>0</v>
      </c>
      <c r="H29" s="530">
        <v>2600</v>
      </c>
      <c r="I29" s="530">
        <v>80600</v>
      </c>
      <c r="J29" s="530">
        <v>0</v>
      </c>
      <c r="K29" s="530">
        <v>0</v>
      </c>
      <c r="L29" s="530">
        <v>0</v>
      </c>
      <c r="M29" s="530">
        <v>0</v>
      </c>
      <c r="N29" s="531">
        <f t="shared" si="0"/>
        <v>349144.9</v>
      </c>
      <c r="O29" s="531">
        <f t="shared" si="1"/>
        <v>349144.9</v>
      </c>
      <c r="P29" t="s">
        <v>523</v>
      </c>
    </row>
    <row r="30" spans="1:16" x14ac:dyDescent="0.25">
      <c r="A30" s="506"/>
      <c r="B30" t="s">
        <v>44</v>
      </c>
      <c r="C30" t="s">
        <v>63</v>
      </c>
      <c r="D30">
        <v>18230400</v>
      </c>
      <c r="E30" s="530">
        <v>0</v>
      </c>
      <c r="F30" s="530">
        <v>0</v>
      </c>
      <c r="G30" s="530">
        <v>0</v>
      </c>
      <c r="H30" s="530">
        <v>0</v>
      </c>
      <c r="I30" s="530">
        <v>0</v>
      </c>
      <c r="J30" s="530">
        <v>0</v>
      </c>
      <c r="K30" s="530">
        <v>0</v>
      </c>
      <c r="L30" s="530">
        <v>0</v>
      </c>
      <c r="M30" s="530">
        <v>0</v>
      </c>
      <c r="N30" s="531">
        <f t="shared" si="0"/>
        <v>0</v>
      </c>
      <c r="O30" s="531">
        <f t="shared" si="1"/>
        <v>0</v>
      </c>
      <c r="P30" t="s">
        <v>523</v>
      </c>
    </row>
    <row r="31" spans="1:16" x14ac:dyDescent="0.25">
      <c r="A31" s="506"/>
      <c r="B31" t="s">
        <v>52</v>
      </c>
      <c r="C31" t="s">
        <v>64</v>
      </c>
      <c r="D31">
        <v>18230665</v>
      </c>
      <c r="E31" s="530">
        <v>0</v>
      </c>
      <c r="F31" s="530">
        <v>0</v>
      </c>
      <c r="G31" s="530">
        <v>0</v>
      </c>
      <c r="H31" s="530">
        <v>0</v>
      </c>
      <c r="I31" s="530">
        <v>0</v>
      </c>
      <c r="J31" s="530">
        <v>0</v>
      </c>
      <c r="K31" s="530">
        <v>0</v>
      </c>
      <c r="L31" s="530">
        <v>0</v>
      </c>
      <c r="M31" s="530">
        <v>0</v>
      </c>
      <c r="N31" s="531">
        <f t="shared" si="0"/>
        <v>0</v>
      </c>
      <c r="O31" s="531">
        <f t="shared" si="1"/>
        <v>0</v>
      </c>
      <c r="P31" t="s">
        <v>519</v>
      </c>
    </row>
    <row r="32" spans="1:16" x14ac:dyDescent="0.25">
      <c r="A32" s="506"/>
      <c r="B32" t="s">
        <v>65</v>
      </c>
      <c r="C32" t="s">
        <v>66</v>
      </c>
      <c r="D32">
        <v>18230418</v>
      </c>
      <c r="E32" s="530">
        <v>1044807</v>
      </c>
      <c r="F32" s="530">
        <v>940326.3</v>
      </c>
      <c r="G32" s="530">
        <v>0</v>
      </c>
      <c r="H32" s="530">
        <v>40000</v>
      </c>
      <c r="I32" s="530">
        <v>240000</v>
      </c>
      <c r="J32" s="530">
        <v>20000</v>
      </c>
      <c r="K32" s="530">
        <v>0</v>
      </c>
      <c r="L32" s="530">
        <v>0</v>
      </c>
      <c r="M32" s="530">
        <v>0</v>
      </c>
      <c r="N32" s="531">
        <f t="shared" si="0"/>
        <v>2285133.2999999998</v>
      </c>
      <c r="O32" s="531">
        <f t="shared" si="1"/>
        <v>2285133.2999999998</v>
      </c>
      <c r="P32" t="s">
        <v>524</v>
      </c>
    </row>
    <row r="33" spans="1:16" x14ac:dyDescent="0.25">
      <c r="A33" s="506"/>
      <c r="B33" t="s">
        <v>69</v>
      </c>
      <c r="C33" t="s">
        <v>70</v>
      </c>
      <c r="D33">
        <v>18230668</v>
      </c>
      <c r="E33" s="530">
        <v>154493</v>
      </c>
      <c r="F33" s="530">
        <v>139043.70000000001</v>
      </c>
      <c r="G33" s="530">
        <v>0</v>
      </c>
      <c r="H33" s="530">
        <v>4000</v>
      </c>
      <c r="I33" s="530">
        <v>20000</v>
      </c>
      <c r="J33" s="530">
        <v>2000</v>
      </c>
      <c r="K33" s="530">
        <v>0</v>
      </c>
      <c r="L33" s="530">
        <v>0</v>
      </c>
      <c r="M33" s="530">
        <v>0</v>
      </c>
      <c r="N33" s="531">
        <f t="shared" si="0"/>
        <v>319536.7</v>
      </c>
      <c r="O33" s="531">
        <f t="shared" si="1"/>
        <v>319536.7</v>
      </c>
      <c r="P33" t="s">
        <v>519</v>
      </c>
    </row>
    <row r="34" spans="1:16" x14ac:dyDescent="0.25">
      <c r="A34" s="506"/>
      <c r="B34" t="s">
        <v>15</v>
      </c>
      <c r="C34" t="s">
        <v>543</v>
      </c>
      <c r="D34">
        <v>18230751</v>
      </c>
      <c r="E34" s="530">
        <v>61048</v>
      </c>
      <c r="F34" s="530">
        <v>54943.199999999997</v>
      </c>
      <c r="G34" s="530">
        <v>60000</v>
      </c>
      <c r="H34" s="530">
        <v>0</v>
      </c>
      <c r="I34" s="530">
        <v>0</v>
      </c>
      <c r="J34" s="530">
        <v>0</v>
      </c>
      <c r="K34" s="530">
        <v>0</v>
      </c>
      <c r="L34" s="530">
        <v>0</v>
      </c>
      <c r="M34" s="530">
        <v>0</v>
      </c>
      <c r="N34" s="531">
        <f t="shared" si="0"/>
        <v>175991.2</v>
      </c>
      <c r="O34" s="531">
        <f t="shared" si="1"/>
        <v>175991.2</v>
      </c>
      <c r="P34" t="s">
        <v>523</v>
      </c>
    </row>
    <row r="35" spans="1:16" x14ac:dyDescent="0.25">
      <c r="A35" s="506"/>
      <c r="B35" t="s">
        <v>33</v>
      </c>
      <c r="C35" t="s">
        <v>544</v>
      </c>
      <c r="D35">
        <v>18230254</v>
      </c>
      <c r="E35" s="530">
        <v>49000</v>
      </c>
      <c r="F35" s="530">
        <v>44100</v>
      </c>
      <c r="G35" s="530">
        <v>60000</v>
      </c>
      <c r="H35" s="530">
        <v>0</v>
      </c>
      <c r="I35" s="530">
        <v>0</v>
      </c>
      <c r="J35" s="530">
        <v>0</v>
      </c>
      <c r="K35" s="530">
        <v>0</v>
      </c>
      <c r="L35" s="530">
        <v>0</v>
      </c>
      <c r="M35" s="530">
        <v>0</v>
      </c>
      <c r="N35" s="531">
        <f t="shared" si="0"/>
        <v>153100</v>
      </c>
      <c r="O35" s="531">
        <f t="shared" si="1"/>
        <v>153100</v>
      </c>
      <c r="P35" t="s">
        <v>520</v>
      </c>
    </row>
    <row r="36" spans="1:16" x14ac:dyDescent="0.25">
      <c r="A36" s="506"/>
      <c r="B36" t="s">
        <v>73</v>
      </c>
      <c r="C36" t="s">
        <v>74</v>
      </c>
      <c r="D36">
        <v>18230610</v>
      </c>
      <c r="E36" s="530">
        <v>1659264</v>
      </c>
      <c r="F36" s="530">
        <v>1493337.6</v>
      </c>
      <c r="G36" s="530">
        <v>0</v>
      </c>
      <c r="H36" s="530">
        <v>40000</v>
      </c>
      <c r="I36" s="530">
        <v>0</v>
      </c>
      <c r="J36" s="530">
        <v>0</v>
      </c>
      <c r="K36" s="530">
        <v>0</v>
      </c>
      <c r="L36" s="530">
        <v>0</v>
      </c>
      <c r="M36" s="530">
        <v>0</v>
      </c>
      <c r="N36" s="531">
        <f t="shared" si="0"/>
        <v>3192601.6</v>
      </c>
      <c r="O36" s="531">
        <f t="shared" si="1"/>
        <v>3192601.6</v>
      </c>
      <c r="P36" t="s">
        <v>523</v>
      </c>
    </row>
    <row r="37" spans="1:16" x14ac:dyDescent="0.25">
      <c r="A37" s="506"/>
      <c r="B37" t="s">
        <v>82</v>
      </c>
      <c r="C37" t="s">
        <v>83</v>
      </c>
      <c r="D37">
        <v>18230704</v>
      </c>
      <c r="E37" s="530">
        <v>265148</v>
      </c>
      <c r="F37" s="530">
        <v>238633.2</v>
      </c>
      <c r="G37" s="530">
        <v>0</v>
      </c>
      <c r="H37" s="530">
        <v>5000</v>
      </c>
      <c r="I37" s="530">
        <v>0</v>
      </c>
      <c r="J37" s="530">
        <v>0</v>
      </c>
      <c r="K37" s="530">
        <v>0</v>
      </c>
      <c r="L37" s="530">
        <v>0</v>
      </c>
      <c r="M37" s="530">
        <v>0</v>
      </c>
      <c r="N37" s="531">
        <f t="shared" si="0"/>
        <v>508781.2</v>
      </c>
      <c r="O37" s="531">
        <f t="shared" si="1"/>
        <v>508781.2</v>
      </c>
      <c r="P37" t="s">
        <v>521</v>
      </c>
    </row>
    <row r="38" spans="1:16" x14ac:dyDescent="0.25">
      <c r="A38" s="506"/>
      <c r="B38" t="s">
        <v>84</v>
      </c>
      <c r="C38" t="s">
        <v>85</v>
      </c>
      <c r="D38">
        <v>18230811</v>
      </c>
      <c r="E38" s="530">
        <v>1280430</v>
      </c>
      <c r="F38" s="530">
        <v>1152387</v>
      </c>
      <c r="G38" s="530">
        <v>34000</v>
      </c>
      <c r="H38" s="530">
        <v>68000</v>
      </c>
      <c r="I38" s="530">
        <v>40000</v>
      </c>
      <c r="J38" s="530">
        <v>52000</v>
      </c>
      <c r="K38" s="530">
        <v>0</v>
      </c>
      <c r="L38" s="530">
        <v>0</v>
      </c>
      <c r="M38" s="530">
        <v>0</v>
      </c>
      <c r="N38" s="531">
        <f t="shared" si="0"/>
        <v>2626817</v>
      </c>
      <c r="O38" s="531">
        <f t="shared" si="1"/>
        <v>2626817</v>
      </c>
      <c r="P38" t="s">
        <v>523</v>
      </c>
    </row>
    <row r="39" spans="1:16" x14ac:dyDescent="0.25">
      <c r="A39" s="506"/>
      <c r="B39" t="s">
        <v>86</v>
      </c>
      <c r="C39" t="s">
        <v>87</v>
      </c>
      <c r="D39">
        <v>18230657</v>
      </c>
      <c r="E39" s="530">
        <v>195085</v>
      </c>
      <c r="F39" s="530">
        <v>175576.5</v>
      </c>
      <c r="G39" s="530">
        <v>5200</v>
      </c>
      <c r="H39" s="530">
        <v>7294</v>
      </c>
      <c r="I39" s="530">
        <v>5200</v>
      </c>
      <c r="J39" s="530">
        <v>6694</v>
      </c>
      <c r="K39" s="530">
        <v>0</v>
      </c>
      <c r="L39" s="530">
        <v>0</v>
      </c>
      <c r="M39" s="530">
        <v>0</v>
      </c>
      <c r="N39" s="531">
        <f t="shared" si="0"/>
        <v>395049.5</v>
      </c>
      <c r="O39" s="531">
        <f t="shared" si="1"/>
        <v>395049.5</v>
      </c>
      <c r="P39" t="s">
        <v>521</v>
      </c>
    </row>
    <row r="40" spans="1:16" x14ac:dyDescent="0.25">
      <c r="B40" t="s">
        <v>123</v>
      </c>
      <c r="C40" t="s">
        <v>507</v>
      </c>
      <c r="D40">
        <v>18231136</v>
      </c>
      <c r="E40" s="530"/>
      <c r="F40" s="530"/>
      <c r="G40" s="530"/>
      <c r="H40" s="530"/>
      <c r="I40" s="530"/>
      <c r="J40" s="530"/>
      <c r="K40" s="530"/>
      <c r="L40" s="530"/>
      <c r="M40" s="530"/>
      <c r="N40" s="531">
        <f t="shared" si="0"/>
        <v>0</v>
      </c>
      <c r="O40" s="531">
        <f t="shared" si="1"/>
        <v>0</v>
      </c>
      <c r="P40" t="s">
        <v>522</v>
      </c>
    </row>
    <row r="41" spans="1:16" x14ac:dyDescent="0.25">
      <c r="A41" s="506"/>
      <c r="B41" t="s">
        <v>88</v>
      </c>
      <c r="C41" t="s">
        <v>89</v>
      </c>
      <c r="D41">
        <v>18230487</v>
      </c>
      <c r="E41" s="530">
        <v>557592</v>
      </c>
      <c r="F41" s="530">
        <v>501832.8</v>
      </c>
      <c r="G41" s="530">
        <v>0</v>
      </c>
      <c r="H41" s="530">
        <v>0</v>
      </c>
      <c r="I41" s="530">
        <v>0</v>
      </c>
      <c r="J41" s="530">
        <v>0</v>
      </c>
      <c r="K41" s="530">
        <v>0</v>
      </c>
      <c r="L41" s="530">
        <v>0</v>
      </c>
      <c r="M41" s="530">
        <v>0</v>
      </c>
      <c r="N41" s="531">
        <f t="shared" si="0"/>
        <v>1059424.8</v>
      </c>
      <c r="O41" s="531">
        <f t="shared" si="1"/>
        <v>1059424.8</v>
      </c>
      <c r="P41" t="s">
        <v>523</v>
      </c>
    </row>
    <row r="42" spans="1:16" x14ac:dyDescent="0.25">
      <c r="A42" s="506"/>
      <c r="B42" t="s">
        <v>90</v>
      </c>
      <c r="C42" t="s">
        <v>91</v>
      </c>
      <c r="D42">
        <v>18230675</v>
      </c>
      <c r="E42" s="530">
        <v>121228</v>
      </c>
      <c r="F42" s="530">
        <v>109105.2</v>
      </c>
      <c r="G42" s="530">
        <v>0</v>
      </c>
      <c r="H42" s="530">
        <v>0</v>
      </c>
      <c r="I42" s="530">
        <v>0</v>
      </c>
      <c r="J42" s="530">
        <v>0</v>
      </c>
      <c r="K42" s="530">
        <v>0</v>
      </c>
      <c r="L42" s="530">
        <v>0</v>
      </c>
      <c r="M42" s="530">
        <v>0</v>
      </c>
      <c r="N42" s="531">
        <f t="shared" si="0"/>
        <v>230333.2</v>
      </c>
      <c r="O42" s="531">
        <f t="shared" si="1"/>
        <v>230333.2</v>
      </c>
      <c r="P42" t="s">
        <v>519</v>
      </c>
    </row>
    <row r="43" spans="1:16" x14ac:dyDescent="0.25">
      <c r="A43" s="506"/>
      <c r="B43" t="s">
        <v>92</v>
      </c>
      <c r="C43" t="s">
        <v>93</v>
      </c>
      <c r="D43">
        <v>18230713</v>
      </c>
      <c r="E43" s="530">
        <v>0</v>
      </c>
      <c r="F43" s="530">
        <v>0</v>
      </c>
      <c r="G43" s="530">
        <v>0</v>
      </c>
      <c r="H43" s="530">
        <v>0</v>
      </c>
      <c r="I43" s="530">
        <v>0</v>
      </c>
      <c r="J43" s="530">
        <v>0</v>
      </c>
      <c r="K43" s="530">
        <v>0</v>
      </c>
      <c r="L43" s="530">
        <v>0</v>
      </c>
      <c r="M43" s="530">
        <v>0</v>
      </c>
      <c r="N43" s="531">
        <f t="shared" si="0"/>
        <v>0</v>
      </c>
      <c r="O43" s="531">
        <f t="shared" si="1"/>
        <v>0</v>
      </c>
      <c r="P43" t="s">
        <v>522</v>
      </c>
    </row>
    <row r="44" spans="1:16" x14ac:dyDescent="0.25">
      <c r="A44" s="506"/>
      <c r="B44" t="s">
        <v>126</v>
      </c>
      <c r="C44" t="s">
        <v>128</v>
      </c>
      <c r="D44">
        <v>18230721</v>
      </c>
      <c r="E44" s="530">
        <v>190584</v>
      </c>
      <c r="F44" s="530">
        <v>171525.59999999998</v>
      </c>
      <c r="G44" s="530">
        <v>0</v>
      </c>
      <c r="H44" s="530">
        <v>0</v>
      </c>
      <c r="I44" s="530">
        <v>0</v>
      </c>
      <c r="J44" s="530">
        <v>0</v>
      </c>
      <c r="K44" s="530">
        <v>0</v>
      </c>
      <c r="L44" s="530">
        <v>2631502</v>
      </c>
      <c r="M44" s="530">
        <v>0</v>
      </c>
      <c r="N44" s="531">
        <f t="shared" si="0"/>
        <v>2993611.6</v>
      </c>
      <c r="O44" s="531">
        <f t="shared" si="1"/>
        <v>362109.60000000009</v>
      </c>
      <c r="P44" t="s">
        <v>522</v>
      </c>
    </row>
    <row r="45" spans="1:16" x14ac:dyDescent="0.25">
      <c r="A45" s="506"/>
      <c r="B45" t="s">
        <v>126</v>
      </c>
      <c r="C45" t="s">
        <v>127</v>
      </c>
      <c r="D45">
        <v>18230720</v>
      </c>
      <c r="E45" s="530">
        <v>256115</v>
      </c>
      <c r="F45" s="530">
        <v>230503.5</v>
      </c>
      <c r="G45" s="530">
        <v>0</v>
      </c>
      <c r="H45" s="530">
        <v>0</v>
      </c>
      <c r="I45" s="530">
        <v>0</v>
      </c>
      <c r="J45" s="530">
        <v>0</v>
      </c>
      <c r="K45" s="530">
        <v>0</v>
      </c>
      <c r="L45" s="530">
        <v>5246742</v>
      </c>
      <c r="M45" s="530">
        <v>0</v>
      </c>
      <c r="N45" s="531">
        <f t="shared" si="0"/>
        <v>5733360.5</v>
      </c>
      <c r="O45" s="531">
        <f t="shared" si="1"/>
        <v>486618.5</v>
      </c>
      <c r="P45" t="s">
        <v>522</v>
      </c>
    </row>
    <row r="46" spans="1:16" x14ac:dyDescent="0.25">
      <c r="A46" s="506"/>
      <c r="B46" t="s">
        <v>15</v>
      </c>
      <c r="C46" t="s">
        <v>48</v>
      </c>
      <c r="D46">
        <v>18230434</v>
      </c>
      <c r="E46" s="530">
        <v>114690</v>
      </c>
      <c r="F46" s="530">
        <v>103221</v>
      </c>
      <c r="G46" s="530">
        <v>144000</v>
      </c>
      <c r="H46" s="530">
        <v>2000</v>
      </c>
      <c r="I46" s="530">
        <v>510000</v>
      </c>
      <c r="J46" s="530">
        <v>0</v>
      </c>
      <c r="K46" s="530">
        <v>0</v>
      </c>
      <c r="L46" s="530">
        <v>888000</v>
      </c>
      <c r="M46" s="530">
        <v>0</v>
      </c>
      <c r="N46" s="531">
        <f t="shared" si="0"/>
        <v>1761911</v>
      </c>
      <c r="O46" s="531">
        <f t="shared" si="1"/>
        <v>873911</v>
      </c>
      <c r="P46" t="s">
        <v>522</v>
      </c>
    </row>
    <row r="47" spans="1:16" x14ac:dyDescent="0.25">
      <c r="A47" s="506"/>
      <c r="B47" t="s">
        <v>149</v>
      </c>
      <c r="C47" t="s">
        <v>551</v>
      </c>
      <c r="D47">
        <v>18230749</v>
      </c>
      <c r="E47" s="530">
        <v>3116</v>
      </c>
      <c r="F47" s="530">
        <v>2804.4</v>
      </c>
      <c r="G47" s="530">
        <v>0</v>
      </c>
      <c r="H47" s="530">
        <v>0</v>
      </c>
      <c r="I47" s="530">
        <v>5000</v>
      </c>
      <c r="J47" s="530">
        <v>0</v>
      </c>
      <c r="K47" s="530">
        <v>0</v>
      </c>
      <c r="L47" s="530">
        <v>0</v>
      </c>
      <c r="M47" s="530">
        <v>0</v>
      </c>
      <c r="N47" s="531">
        <f t="shared" si="0"/>
        <v>10920.4</v>
      </c>
      <c r="O47" s="531">
        <f t="shared" si="1"/>
        <v>10920.4</v>
      </c>
      <c r="P47" t="s">
        <v>519</v>
      </c>
    </row>
    <row r="48" spans="1:16" x14ac:dyDescent="0.25">
      <c r="A48" s="506"/>
      <c r="B48" t="s">
        <v>15</v>
      </c>
      <c r="C48" t="s">
        <v>51</v>
      </c>
      <c r="D48">
        <v>18230461</v>
      </c>
      <c r="E48" s="530">
        <v>113310</v>
      </c>
      <c r="F48" s="530">
        <v>101979</v>
      </c>
      <c r="G48" s="530">
        <v>0</v>
      </c>
      <c r="H48" s="530">
        <v>2900</v>
      </c>
      <c r="I48" s="530">
        <v>2239740.4</v>
      </c>
      <c r="J48" s="530">
        <v>0</v>
      </c>
      <c r="K48" s="530">
        <v>0</v>
      </c>
      <c r="L48" s="530">
        <v>2229024</v>
      </c>
      <c r="M48" s="530">
        <v>0</v>
      </c>
      <c r="N48" s="531">
        <f t="shared" si="0"/>
        <v>4686953.4000000004</v>
      </c>
      <c r="O48" s="531">
        <f t="shared" si="1"/>
        <v>2457929.4000000004</v>
      </c>
      <c r="P48" t="s">
        <v>519</v>
      </c>
    </row>
    <row r="49" spans="1:16" x14ac:dyDescent="0.25">
      <c r="A49" s="506"/>
      <c r="B49" t="s">
        <v>33</v>
      </c>
      <c r="C49" t="s">
        <v>142</v>
      </c>
      <c r="D49">
        <v>18230738</v>
      </c>
      <c r="E49" s="530">
        <v>113310</v>
      </c>
      <c r="F49" s="530">
        <v>101979</v>
      </c>
      <c r="G49" s="530">
        <v>0</v>
      </c>
      <c r="H49" s="530">
        <v>1200</v>
      </c>
      <c r="I49" s="530">
        <v>1834787.6</v>
      </c>
      <c r="J49" s="530">
        <v>0</v>
      </c>
      <c r="K49" s="530">
        <v>0</v>
      </c>
      <c r="L49" s="530">
        <v>1820384.58</v>
      </c>
      <c r="M49" s="530">
        <v>0</v>
      </c>
      <c r="N49" s="531">
        <f t="shared" si="0"/>
        <v>3871661.18</v>
      </c>
      <c r="O49" s="531">
        <f t="shared" si="1"/>
        <v>2051276.6</v>
      </c>
      <c r="P49" t="s">
        <v>523</v>
      </c>
    </row>
    <row r="50" spans="1:16" x14ac:dyDescent="0.25">
      <c r="A50" s="506"/>
      <c r="B50" t="s">
        <v>149</v>
      </c>
      <c r="C50" t="s">
        <v>550</v>
      </c>
      <c r="D50">
        <v>18230526</v>
      </c>
      <c r="E50" s="530"/>
      <c r="F50" s="530"/>
      <c r="G50" s="530"/>
      <c r="H50" s="530"/>
      <c r="I50" s="530"/>
      <c r="J50" s="530"/>
      <c r="K50" s="530"/>
      <c r="L50" s="530"/>
      <c r="M50" s="530"/>
      <c r="N50" s="531">
        <f t="shared" si="0"/>
        <v>0</v>
      </c>
      <c r="O50" s="531">
        <f t="shared" si="1"/>
        <v>0</v>
      </c>
      <c r="P50" t="s">
        <v>519</v>
      </c>
    </row>
    <row r="51" spans="1:16" x14ac:dyDescent="0.25">
      <c r="B51" t="s">
        <v>35</v>
      </c>
      <c r="C51" t="s">
        <v>556</v>
      </c>
      <c r="D51">
        <v>18230222</v>
      </c>
      <c r="E51" s="530"/>
      <c r="F51" s="530"/>
      <c r="G51" s="530"/>
      <c r="H51" s="530"/>
      <c r="I51" s="530"/>
      <c r="J51" s="530"/>
      <c r="K51" s="530"/>
      <c r="L51" s="530"/>
      <c r="M51" s="530"/>
      <c r="N51" s="531">
        <f t="shared" si="0"/>
        <v>0</v>
      </c>
      <c r="O51" s="531">
        <f t="shared" si="1"/>
        <v>0</v>
      </c>
      <c r="P51" t="s">
        <v>521</v>
      </c>
    </row>
    <row r="52" spans="1:16" x14ac:dyDescent="0.25">
      <c r="A52" s="506"/>
      <c r="B52" t="s">
        <v>62</v>
      </c>
      <c r="C52" t="s">
        <v>94</v>
      </c>
      <c r="D52">
        <v>18231137</v>
      </c>
      <c r="E52" s="530">
        <v>1224084</v>
      </c>
      <c r="F52" s="530">
        <v>1101675.6000000001</v>
      </c>
      <c r="G52" s="530">
        <v>60000</v>
      </c>
      <c r="H52" s="530">
        <v>48000</v>
      </c>
      <c r="I52" s="530">
        <v>220000</v>
      </c>
      <c r="J52" s="530">
        <v>0</v>
      </c>
      <c r="K52" s="530">
        <v>0</v>
      </c>
      <c r="L52" s="530">
        <v>4670000</v>
      </c>
      <c r="M52" s="530">
        <v>0</v>
      </c>
      <c r="N52" s="531">
        <f t="shared" si="0"/>
        <v>7323759.5999999996</v>
      </c>
      <c r="O52" s="531">
        <f t="shared" si="1"/>
        <v>2653759.5999999996</v>
      </c>
      <c r="P52" t="s">
        <v>522</v>
      </c>
    </row>
    <row r="53" spans="1:16" x14ac:dyDescent="0.25">
      <c r="A53" s="506"/>
      <c r="B53" t="s">
        <v>134</v>
      </c>
      <c r="C53" t="s">
        <v>158</v>
      </c>
      <c r="D53">
        <v>18231037</v>
      </c>
      <c r="E53" s="530">
        <v>141766</v>
      </c>
      <c r="F53" s="530">
        <v>127589.4</v>
      </c>
      <c r="G53" s="530">
        <v>0</v>
      </c>
      <c r="H53" s="530">
        <v>0</v>
      </c>
      <c r="I53" s="530">
        <v>0</v>
      </c>
      <c r="J53" s="530">
        <v>0</v>
      </c>
      <c r="K53" s="530">
        <v>0</v>
      </c>
      <c r="L53" s="530">
        <v>126640</v>
      </c>
      <c r="M53" s="530">
        <v>0</v>
      </c>
      <c r="N53" s="531">
        <f t="shared" si="0"/>
        <v>395995.4</v>
      </c>
      <c r="O53" s="531">
        <f t="shared" si="1"/>
        <v>269355.40000000002</v>
      </c>
      <c r="P53" t="s">
        <v>520</v>
      </c>
    </row>
    <row r="54" spans="1:16" x14ac:dyDescent="0.25">
      <c r="A54" s="506"/>
      <c r="B54" t="s">
        <v>62</v>
      </c>
      <c r="C54" t="s">
        <v>165</v>
      </c>
      <c r="D54">
        <v>18231133</v>
      </c>
      <c r="E54" s="530"/>
      <c r="F54" s="530"/>
      <c r="G54" s="530"/>
      <c r="H54" s="530"/>
      <c r="I54" s="530"/>
      <c r="J54" s="530"/>
      <c r="K54" s="530"/>
      <c r="L54" s="530"/>
      <c r="M54" s="530"/>
      <c r="N54" s="531">
        <f t="shared" si="0"/>
        <v>0</v>
      </c>
      <c r="O54" s="531">
        <f t="shared" si="1"/>
        <v>0</v>
      </c>
      <c r="P54" t="s">
        <v>525</v>
      </c>
    </row>
    <row r="55" spans="1:16" x14ac:dyDescent="0.25">
      <c r="A55" s="506"/>
      <c r="B55" t="s">
        <v>67</v>
      </c>
      <c r="C55" t="s">
        <v>122</v>
      </c>
      <c r="D55">
        <v>18230714</v>
      </c>
      <c r="E55" s="530">
        <v>222727</v>
      </c>
      <c r="F55" s="530">
        <v>200454.3</v>
      </c>
      <c r="G55" s="530">
        <v>42000</v>
      </c>
      <c r="H55" s="530">
        <v>16000</v>
      </c>
      <c r="I55" s="530">
        <v>1933173.54</v>
      </c>
      <c r="J55" s="530">
        <v>2000</v>
      </c>
      <c r="K55" s="530">
        <v>2000</v>
      </c>
      <c r="L55" s="530">
        <v>4063470.84</v>
      </c>
      <c r="M55" s="530">
        <v>0</v>
      </c>
      <c r="N55" s="531">
        <f t="shared" si="0"/>
        <v>6481825.6799999997</v>
      </c>
      <c r="O55" s="531">
        <f t="shared" si="1"/>
        <v>2418354.84</v>
      </c>
      <c r="P55" t="s">
        <v>522</v>
      </c>
    </row>
    <row r="56" spans="1:16" x14ac:dyDescent="0.25">
      <c r="B56" t="s">
        <v>95</v>
      </c>
      <c r="C56" t="s">
        <v>96</v>
      </c>
      <c r="D56">
        <v>42650207</v>
      </c>
      <c r="E56" s="530"/>
      <c r="F56" s="530"/>
      <c r="G56" s="530"/>
      <c r="H56" s="530"/>
      <c r="I56" s="530"/>
      <c r="J56" s="530"/>
      <c r="K56" s="530"/>
      <c r="L56" s="530"/>
      <c r="M56" s="530"/>
      <c r="N56" s="531">
        <f t="shared" si="0"/>
        <v>0</v>
      </c>
      <c r="O56" s="531">
        <f t="shared" si="1"/>
        <v>0</v>
      </c>
      <c r="P56" t="s">
        <v>518</v>
      </c>
    </row>
    <row r="57" spans="1:16" x14ac:dyDescent="0.25">
      <c r="B57" t="s">
        <v>95</v>
      </c>
      <c r="C57" t="s">
        <v>558</v>
      </c>
      <c r="D57">
        <v>42651700</v>
      </c>
      <c r="E57" s="530"/>
      <c r="F57" s="530"/>
      <c r="G57" s="530"/>
      <c r="H57" s="530"/>
      <c r="I57" s="530"/>
      <c r="J57" s="530"/>
      <c r="K57" s="530"/>
      <c r="L57" s="530"/>
      <c r="M57" s="530"/>
      <c r="N57" s="531">
        <f t="shared" si="0"/>
        <v>0</v>
      </c>
      <c r="O57" s="531">
        <f t="shared" si="1"/>
        <v>0</v>
      </c>
      <c r="P57" t="s">
        <v>518</v>
      </c>
    </row>
    <row r="58" spans="1:16" x14ac:dyDescent="0.25">
      <c r="B58" t="s">
        <v>31</v>
      </c>
      <c r="C58" t="s">
        <v>553</v>
      </c>
      <c r="D58">
        <v>18230250</v>
      </c>
      <c r="E58" s="530"/>
      <c r="F58" s="530"/>
      <c r="G58" s="530"/>
      <c r="H58" s="530"/>
      <c r="I58" s="530"/>
      <c r="J58" s="530"/>
      <c r="K58" s="530"/>
      <c r="L58" s="530"/>
      <c r="M58" s="530"/>
      <c r="N58" s="531">
        <f t="shared" si="0"/>
        <v>0</v>
      </c>
      <c r="O58" s="531">
        <f t="shared" si="1"/>
        <v>0</v>
      </c>
      <c r="P58" t="s">
        <v>523</v>
      </c>
    </row>
    <row r="59" spans="1:16" x14ac:dyDescent="0.25">
      <c r="A59" s="506"/>
      <c r="B59" t="s">
        <v>67</v>
      </c>
      <c r="C59" t="s">
        <v>299</v>
      </c>
      <c r="D59">
        <v>18230014</v>
      </c>
      <c r="E59" s="530">
        <v>194402</v>
      </c>
      <c r="F59" s="530">
        <v>174961.8</v>
      </c>
      <c r="G59" s="530">
        <v>170400</v>
      </c>
      <c r="H59" s="530">
        <v>3000</v>
      </c>
      <c r="I59" s="530">
        <v>0</v>
      </c>
      <c r="J59" s="530">
        <v>1000</v>
      </c>
      <c r="K59" s="530">
        <v>0</v>
      </c>
      <c r="L59" s="530">
        <v>4820420</v>
      </c>
      <c r="M59" s="530">
        <v>0</v>
      </c>
      <c r="N59" s="531">
        <f t="shared" si="0"/>
        <v>5364183.8</v>
      </c>
      <c r="O59" s="531">
        <f t="shared" si="1"/>
        <v>543763.79999999981</v>
      </c>
      <c r="P59" t="s">
        <v>522</v>
      </c>
    </row>
    <row r="60" spans="1:16" x14ac:dyDescent="0.25">
      <c r="B60" t="s">
        <v>31</v>
      </c>
      <c r="C60" t="s">
        <v>512</v>
      </c>
      <c r="D60">
        <v>18230221</v>
      </c>
      <c r="E60" s="530"/>
      <c r="F60" s="530"/>
      <c r="G60" s="530"/>
      <c r="H60" s="530"/>
      <c r="I60" s="530"/>
      <c r="J60" s="530"/>
      <c r="K60" s="530"/>
      <c r="L60" s="530"/>
      <c r="M60" s="530"/>
      <c r="N60" s="531">
        <f t="shared" si="0"/>
        <v>0</v>
      </c>
      <c r="O60" s="531">
        <f t="shared" si="1"/>
        <v>0</v>
      </c>
      <c r="P60" t="s">
        <v>524</v>
      </c>
    </row>
    <row r="61" spans="1:16" x14ac:dyDescent="0.25">
      <c r="A61" s="506"/>
      <c r="B61" t="s">
        <v>71</v>
      </c>
      <c r="C61" t="s">
        <v>72</v>
      </c>
      <c r="D61">
        <v>18230611</v>
      </c>
      <c r="E61" s="530">
        <v>346396</v>
      </c>
      <c r="F61" s="530">
        <v>311756.40000000002</v>
      </c>
      <c r="G61" s="530">
        <v>194400</v>
      </c>
      <c r="H61" s="530">
        <v>4000</v>
      </c>
      <c r="I61" s="530">
        <v>45000</v>
      </c>
      <c r="J61" s="530">
        <v>2700</v>
      </c>
      <c r="K61" s="530">
        <v>0</v>
      </c>
      <c r="L61" s="530">
        <v>20627885.199999999</v>
      </c>
      <c r="M61" s="530">
        <v>0</v>
      </c>
      <c r="N61" s="531">
        <f t="shared" si="0"/>
        <v>21532137.599999998</v>
      </c>
      <c r="O61" s="531">
        <f t="shared" si="1"/>
        <v>904252.39999999851</v>
      </c>
      <c r="P61" t="s">
        <v>522</v>
      </c>
    </row>
    <row r="62" spans="1:16" x14ac:dyDescent="0.25">
      <c r="A62" s="506"/>
      <c r="B62" t="s">
        <v>102</v>
      </c>
      <c r="C62" t="s">
        <v>103</v>
      </c>
      <c r="D62">
        <v>18230661</v>
      </c>
      <c r="E62" s="530">
        <v>60518</v>
      </c>
      <c r="F62" s="530">
        <v>54466.2</v>
      </c>
      <c r="G62" s="530">
        <v>21600</v>
      </c>
      <c r="H62" s="530">
        <v>1000</v>
      </c>
      <c r="I62" s="530">
        <v>5000</v>
      </c>
      <c r="J62" s="530">
        <v>300</v>
      </c>
      <c r="K62" s="530">
        <v>0</v>
      </c>
      <c r="L62" s="530">
        <v>3027488.5</v>
      </c>
      <c r="M62" s="530">
        <v>0</v>
      </c>
      <c r="N62" s="531">
        <f t="shared" si="0"/>
        <v>3170372.7</v>
      </c>
      <c r="O62" s="531">
        <f t="shared" si="1"/>
        <v>142884.20000000019</v>
      </c>
      <c r="P62" t="s">
        <v>524</v>
      </c>
    </row>
    <row r="63" spans="1:16" x14ac:dyDescent="0.25">
      <c r="B63" t="s">
        <v>95</v>
      </c>
      <c r="C63" t="s">
        <v>169</v>
      </c>
      <c r="D63">
        <v>42650195</v>
      </c>
      <c r="E63" s="530"/>
      <c r="F63" s="530"/>
      <c r="G63" s="530"/>
      <c r="H63" s="530"/>
      <c r="I63" s="530"/>
      <c r="J63" s="530"/>
      <c r="K63" s="530"/>
      <c r="L63" s="530"/>
      <c r="M63" s="530"/>
      <c r="N63" s="531">
        <f t="shared" si="0"/>
        <v>0</v>
      </c>
      <c r="O63" s="531">
        <f t="shared" si="1"/>
        <v>0</v>
      </c>
      <c r="P63" t="s">
        <v>518</v>
      </c>
    </row>
    <row r="64" spans="1:16" x14ac:dyDescent="0.25">
      <c r="A64" s="506"/>
      <c r="B64" t="s">
        <v>17</v>
      </c>
      <c r="C64" t="s">
        <v>18</v>
      </c>
      <c r="D64">
        <v>18230071</v>
      </c>
      <c r="E64" s="530">
        <v>31146</v>
      </c>
      <c r="F64" s="530">
        <v>28031.4</v>
      </c>
      <c r="G64" s="530">
        <v>12000</v>
      </c>
      <c r="H64" s="530">
        <v>0</v>
      </c>
      <c r="I64" s="530">
        <v>120000</v>
      </c>
      <c r="J64" s="530">
        <v>0</v>
      </c>
      <c r="K64" s="530">
        <v>0</v>
      </c>
      <c r="L64" s="530">
        <v>467200</v>
      </c>
      <c r="M64" s="530">
        <v>0</v>
      </c>
      <c r="N64" s="531">
        <f t="shared" si="0"/>
        <v>658377.4</v>
      </c>
      <c r="O64" s="531">
        <f t="shared" si="1"/>
        <v>191177.40000000002</v>
      </c>
      <c r="P64" t="s">
        <v>524</v>
      </c>
    </row>
    <row r="65" spans="1:16" x14ac:dyDescent="0.25">
      <c r="A65" s="506"/>
      <c r="B65" t="s">
        <v>99</v>
      </c>
      <c r="C65" t="s">
        <v>319</v>
      </c>
      <c r="D65">
        <v>18230752</v>
      </c>
      <c r="E65" s="530">
        <v>0</v>
      </c>
      <c r="F65" s="530">
        <v>0</v>
      </c>
      <c r="G65" s="530">
        <v>0</v>
      </c>
      <c r="H65" s="530">
        <v>0</v>
      </c>
      <c r="I65" s="530">
        <v>0</v>
      </c>
      <c r="J65" s="530">
        <v>0</v>
      </c>
      <c r="K65" s="530">
        <v>0</v>
      </c>
      <c r="L65" s="530">
        <v>29600</v>
      </c>
      <c r="M65" s="530">
        <v>0</v>
      </c>
      <c r="N65" s="531">
        <f t="shared" si="0"/>
        <v>29600</v>
      </c>
      <c r="O65" s="531">
        <f t="shared" si="1"/>
        <v>0</v>
      </c>
      <c r="P65" t="s">
        <v>519</v>
      </c>
    </row>
    <row r="66" spans="1:16" x14ac:dyDescent="0.25">
      <c r="A66" s="506"/>
      <c r="B66" t="s">
        <v>104</v>
      </c>
      <c r="C66" t="s">
        <v>105</v>
      </c>
      <c r="D66">
        <v>18230466</v>
      </c>
      <c r="E66" s="530">
        <v>1254565</v>
      </c>
      <c r="F66" s="530">
        <v>1129108.5</v>
      </c>
      <c r="G66" s="530">
        <v>1914000</v>
      </c>
      <c r="H66" s="530">
        <v>0</v>
      </c>
      <c r="I66" s="530">
        <v>73080</v>
      </c>
      <c r="J66" s="530">
        <v>0</v>
      </c>
      <c r="K66" s="530">
        <v>0</v>
      </c>
      <c r="L66" s="530">
        <v>0</v>
      </c>
      <c r="M66" s="530">
        <v>0</v>
      </c>
      <c r="N66" s="531">
        <f t="shared" si="0"/>
        <v>4370753.5</v>
      </c>
      <c r="O66" s="531">
        <f t="shared" si="1"/>
        <v>4370753.5</v>
      </c>
      <c r="P66" t="s">
        <v>523</v>
      </c>
    </row>
    <row r="67" spans="1:16" x14ac:dyDescent="0.25">
      <c r="A67" s="506"/>
      <c r="B67" t="s">
        <v>108</v>
      </c>
      <c r="C67" t="s">
        <v>109</v>
      </c>
      <c r="D67">
        <v>18230732</v>
      </c>
      <c r="E67" s="530">
        <v>187316</v>
      </c>
      <c r="F67" s="530">
        <v>168584.4</v>
      </c>
      <c r="G67" s="530">
        <v>286000</v>
      </c>
      <c r="H67" s="530">
        <v>0</v>
      </c>
      <c r="I67" s="530">
        <v>10920</v>
      </c>
      <c r="J67" s="530">
        <v>0</v>
      </c>
      <c r="K67" s="530">
        <v>0</v>
      </c>
      <c r="L67" s="530">
        <v>0</v>
      </c>
      <c r="M67" s="530">
        <v>0</v>
      </c>
      <c r="N67" s="531">
        <f t="shared" ref="N67:N131" si="2">SUM(E67:M67)</f>
        <v>652820.4</v>
      </c>
      <c r="O67" s="531">
        <f t="shared" ref="O67:O131" si="3">N67-L67</f>
        <v>652820.4</v>
      </c>
      <c r="P67" t="s">
        <v>519</v>
      </c>
    </row>
    <row r="68" spans="1:16" x14ac:dyDescent="0.25">
      <c r="A68" s="506"/>
      <c r="B68" t="s">
        <v>110</v>
      </c>
      <c r="C68" t="s">
        <v>111</v>
      </c>
      <c r="D68">
        <v>18230413</v>
      </c>
      <c r="E68" s="530">
        <v>179500</v>
      </c>
      <c r="F68" s="530">
        <v>161550</v>
      </c>
      <c r="G68" s="530">
        <v>0</v>
      </c>
      <c r="H68" s="530">
        <v>0</v>
      </c>
      <c r="I68" s="530">
        <v>0</v>
      </c>
      <c r="J68" s="530">
        <v>0</v>
      </c>
      <c r="K68" s="530">
        <v>0</v>
      </c>
      <c r="L68" s="530">
        <v>0</v>
      </c>
      <c r="M68" s="530">
        <v>0</v>
      </c>
      <c r="N68" s="531">
        <f t="shared" si="2"/>
        <v>341050</v>
      </c>
      <c r="O68" s="531">
        <f t="shared" si="3"/>
        <v>341050</v>
      </c>
      <c r="P68" t="s">
        <v>522</v>
      </c>
    </row>
    <row r="69" spans="1:16" x14ac:dyDescent="0.25">
      <c r="A69" s="506"/>
      <c r="B69" t="s">
        <v>113</v>
      </c>
      <c r="C69" t="s">
        <v>114</v>
      </c>
      <c r="D69">
        <v>18230669</v>
      </c>
      <c r="E69" s="530">
        <v>35900</v>
      </c>
      <c r="F69" s="530">
        <v>32310</v>
      </c>
      <c r="G69" s="530">
        <v>0</v>
      </c>
      <c r="H69" s="530">
        <v>0</v>
      </c>
      <c r="I69" s="530">
        <v>0</v>
      </c>
      <c r="J69" s="530">
        <v>0</v>
      </c>
      <c r="K69" s="530">
        <v>0</v>
      </c>
      <c r="L69" s="530">
        <v>0</v>
      </c>
      <c r="M69" s="530">
        <v>0</v>
      </c>
      <c r="N69" s="531">
        <f t="shared" si="2"/>
        <v>68210</v>
      </c>
      <c r="O69" s="531">
        <f t="shared" si="3"/>
        <v>68210</v>
      </c>
      <c r="P69" t="s">
        <v>519</v>
      </c>
    </row>
    <row r="70" spans="1:16" x14ac:dyDescent="0.25">
      <c r="A70" s="506"/>
      <c r="B70" t="s">
        <v>56</v>
      </c>
      <c r="C70" t="s">
        <v>57</v>
      </c>
      <c r="D70">
        <v>18230486</v>
      </c>
      <c r="E70" s="530">
        <v>215774</v>
      </c>
      <c r="F70" s="530">
        <v>194196.6</v>
      </c>
      <c r="G70" s="530">
        <v>40000</v>
      </c>
      <c r="H70" s="530">
        <v>0</v>
      </c>
      <c r="I70" s="530">
        <v>1021111</v>
      </c>
      <c r="J70" s="530">
        <v>0</v>
      </c>
      <c r="K70" s="530">
        <v>0</v>
      </c>
      <c r="L70" s="530">
        <v>3679200</v>
      </c>
      <c r="M70" s="530">
        <v>0</v>
      </c>
      <c r="N70" s="531">
        <f t="shared" si="2"/>
        <v>5150281.5999999996</v>
      </c>
      <c r="O70" s="531">
        <f t="shared" si="3"/>
        <v>1471081.5999999996</v>
      </c>
      <c r="P70" t="s">
        <v>519</v>
      </c>
    </row>
    <row r="71" spans="1:16" x14ac:dyDescent="0.25">
      <c r="A71" s="506"/>
      <c r="B71" t="s">
        <v>97</v>
      </c>
      <c r="C71" t="s">
        <v>98</v>
      </c>
      <c r="D71">
        <v>18230673</v>
      </c>
      <c r="E71" s="530">
        <v>0</v>
      </c>
      <c r="F71" s="530">
        <v>0</v>
      </c>
      <c r="G71" s="530">
        <v>0</v>
      </c>
      <c r="H71" s="530">
        <v>0</v>
      </c>
      <c r="I71" s="530">
        <v>20839</v>
      </c>
      <c r="J71" s="530">
        <v>0</v>
      </c>
      <c r="K71" s="530">
        <v>0</v>
      </c>
      <c r="L71" s="530">
        <v>51450</v>
      </c>
      <c r="M71" s="530">
        <v>0</v>
      </c>
      <c r="N71" s="531">
        <f t="shared" si="2"/>
        <v>72289</v>
      </c>
      <c r="O71" s="531">
        <f t="shared" si="3"/>
        <v>20839</v>
      </c>
      <c r="P71" t="s">
        <v>519</v>
      </c>
    </row>
    <row r="72" spans="1:16" x14ac:dyDescent="0.25">
      <c r="A72" s="506"/>
      <c r="B72" t="s">
        <v>38</v>
      </c>
      <c r="C72" t="s">
        <v>39</v>
      </c>
      <c r="D72">
        <v>18230407</v>
      </c>
      <c r="E72" s="530">
        <v>258294</v>
      </c>
      <c r="F72" s="530">
        <v>232464.6</v>
      </c>
      <c r="G72" s="530">
        <v>66000</v>
      </c>
      <c r="H72" s="530">
        <v>5000</v>
      </c>
      <c r="I72" s="530">
        <v>1784766.86</v>
      </c>
      <c r="J72" s="530">
        <v>0</v>
      </c>
      <c r="K72" s="530">
        <v>0</v>
      </c>
      <c r="L72" s="530">
        <v>10909773.5</v>
      </c>
      <c r="M72" s="530">
        <v>0</v>
      </c>
      <c r="N72" s="531">
        <f t="shared" si="2"/>
        <v>13256298.960000001</v>
      </c>
      <c r="O72" s="531">
        <f t="shared" si="3"/>
        <v>2346525.4600000009</v>
      </c>
      <c r="P72" t="s">
        <v>519</v>
      </c>
    </row>
    <row r="73" spans="1:16" x14ac:dyDescent="0.25">
      <c r="A73" s="506"/>
      <c r="B73" t="s">
        <v>138</v>
      </c>
      <c r="C73" t="s">
        <v>139</v>
      </c>
      <c r="D73">
        <v>18230736</v>
      </c>
      <c r="E73" s="530">
        <v>38897</v>
      </c>
      <c r="F73" s="530">
        <v>35007.300000000003</v>
      </c>
      <c r="G73" s="530">
        <v>10000</v>
      </c>
      <c r="H73" s="530">
        <v>2000</v>
      </c>
      <c r="I73" s="530">
        <v>139825.16</v>
      </c>
      <c r="J73" s="530">
        <v>0</v>
      </c>
      <c r="K73" s="530">
        <v>0</v>
      </c>
      <c r="L73" s="530">
        <v>344055</v>
      </c>
      <c r="M73" s="530">
        <v>0</v>
      </c>
      <c r="N73" s="531">
        <f t="shared" si="2"/>
        <v>569784.46</v>
      </c>
      <c r="O73" s="531">
        <f t="shared" si="3"/>
        <v>225729.45999999996</v>
      </c>
      <c r="P73" t="s">
        <v>519</v>
      </c>
    </row>
    <row r="74" spans="1:16" x14ac:dyDescent="0.25">
      <c r="A74" s="506"/>
      <c r="B74" t="s">
        <v>115</v>
      </c>
      <c r="C74" t="s">
        <v>116</v>
      </c>
      <c r="D74">
        <v>18230660</v>
      </c>
      <c r="E74" s="530">
        <v>0</v>
      </c>
      <c r="F74" s="530">
        <v>0</v>
      </c>
      <c r="G74" s="530">
        <v>0</v>
      </c>
      <c r="H74" s="530">
        <v>0</v>
      </c>
      <c r="I74" s="530">
        <v>3180472</v>
      </c>
      <c r="J74" s="530">
        <v>0</v>
      </c>
      <c r="K74" s="530">
        <v>0</v>
      </c>
      <c r="L74" s="530">
        <v>0</v>
      </c>
      <c r="M74" s="530">
        <v>0</v>
      </c>
      <c r="N74" s="531">
        <f t="shared" si="2"/>
        <v>3180472</v>
      </c>
      <c r="O74" s="531">
        <f t="shared" si="3"/>
        <v>3180472</v>
      </c>
      <c r="P74" t="s">
        <v>524</v>
      </c>
    </row>
    <row r="75" spans="1:16" x14ac:dyDescent="0.25">
      <c r="A75" s="506"/>
      <c r="B75" t="s">
        <v>120</v>
      </c>
      <c r="C75" t="s">
        <v>121</v>
      </c>
      <c r="D75">
        <v>18230128</v>
      </c>
      <c r="E75" s="530">
        <v>1425650</v>
      </c>
      <c r="F75" s="530">
        <v>1283085</v>
      </c>
      <c r="G75" s="530">
        <v>40000</v>
      </c>
      <c r="H75" s="530">
        <v>20000</v>
      </c>
      <c r="I75" s="530">
        <v>471500</v>
      </c>
      <c r="J75" s="530">
        <v>0</v>
      </c>
      <c r="K75" s="530">
        <v>5200000</v>
      </c>
      <c r="L75" s="530">
        <v>0</v>
      </c>
      <c r="M75" s="530">
        <v>0</v>
      </c>
      <c r="N75" s="531">
        <f t="shared" si="2"/>
        <v>8440235</v>
      </c>
      <c r="O75" s="531">
        <f t="shared" si="3"/>
        <v>8440235</v>
      </c>
      <c r="P75" t="s">
        <v>520</v>
      </c>
    </row>
    <row r="76" spans="1:16" x14ac:dyDescent="0.25">
      <c r="A76" s="506"/>
      <c r="B76" t="s">
        <v>46</v>
      </c>
      <c r="C76" t="s">
        <v>47</v>
      </c>
      <c r="D76">
        <v>18230421</v>
      </c>
      <c r="E76" s="530">
        <v>0</v>
      </c>
      <c r="F76" s="530">
        <v>0</v>
      </c>
      <c r="G76" s="530">
        <v>0</v>
      </c>
      <c r="H76" s="530">
        <v>0</v>
      </c>
      <c r="I76" s="530">
        <v>9715288</v>
      </c>
      <c r="J76" s="530">
        <v>0</v>
      </c>
      <c r="K76" s="530">
        <v>0</v>
      </c>
      <c r="L76" s="530">
        <v>0</v>
      </c>
      <c r="M76" s="530">
        <v>0</v>
      </c>
      <c r="N76" s="531">
        <f t="shared" si="2"/>
        <v>9715288</v>
      </c>
      <c r="O76" s="531">
        <f t="shared" si="3"/>
        <v>9715288</v>
      </c>
      <c r="P76" t="s">
        <v>522</v>
      </c>
    </row>
    <row r="77" spans="1:16" x14ac:dyDescent="0.25">
      <c r="A77" s="506"/>
      <c r="B77" t="s">
        <v>129</v>
      </c>
      <c r="C77" t="s">
        <v>508</v>
      </c>
      <c r="D77">
        <v>18236102</v>
      </c>
      <c r="E77" s="530">
        <v>328185</v>
      </c>
      <c r="F77" s="530">
        <v>295366.5</v>
      </c>
      <c r="G77" s="530">
        <v>1400</v>
      </c>
      <c r="H77" s="530">
        <v>6000</v>
      </c>
      <c r="I77" s="530">
        <v>0</v>
      </c>
      <c r="J77" s="530">
        <v>0</v>
      </c>
      <c r="K77" s="530">
        <v>24000</v>
      </c>
      <c r="L77" s="530">
        <v>700000</v>
      </c>
      <c r="M77" s="530">
        <v>0</v>
      </c>
      <c r="N77" s="531">
        <f t="shared" si="2"/>
        <v>1354951.5</v>
      </c>
      <c r="O77" s="531">
        <f t="shared" si="3"/>
        <v>654951.5</v>
      </c>
      <c r="P77" t="s">
        <v>522</v>
      </c>
    </row>
    <row r="78" spans="1:16" x14ac:dyDescent="0.25">
      <c r="A78" s="506"/>
      <c r="B78" t="s">
        <v>106</v>
      </c>
      <c r="C78" t="s">
        <v>321</v>
      </c>
      <c r="D78">
        <v>18231039</v>
      </c>
      <c r="E78" s="530">
        <v>87825</v>
      </c>
      <c r="F78" s="530">
        <v>79042.5</v>
      </c>
      <c r="G78" s="530">
        <v>600</v>
      </c>
      <c r="H78" s="530">
        <v>0</v>
      </c>
      <c r="I78" s="530">
        <v>0</v>
      </c>
      <c r="J78" s="530">
        <v>0</v>
      </c>
      <c r="K78" s="530">
        <v>6000</v>
      </c>
      <c r="L78" s="530">
        <v>208032</v>
      </c>
      <c r="M78" s="530">
        <v>0</v>
      </c>
      <c r="N78" s="531">
        <v>381499.5</v>
      </c>
      <c r="O78" s="531">
        <f t="shared" si="3"/>
        <v>173467.5</v>
      </c>
      <c r="P78" t="s">
        <v>522</v>
      </c>
    </row>
    <row r="79" spans="1:16" x14ac:dyDescent="0.25">
      <c r="A79" s="506"/>
      <c r="B79" t="s">
        <v>132</v>
      </c>
      <c r="C79" t="s">
        <v>133</v>
      </c>
      <c r="D79">
        <v>18230802</v>
      </c>
      <c r="E79" s="530">
        <v>428124</v>
      </c>
      <c r="F79" s="530">
        <v>385311.6</v>
      </c>
      <c r="G79" s="530">
        <v>0</v>
      </c>
      <c r="H79" s="530">
        <v>13050</v>
      </c>
      <c r="I79" s="530">
        <v>3302000</v>
      </c>
      <c r="J79" s="530">
        <v>0</v>
      </c>
      <c r="K79" s="530">
        <v>0</v>
      </c>
      <c r="L79" s="530">
        <v>0</v>
      </c>
      <c r="M79" s="530">
        <v>0</v>
      </c>
      <c r="N79" s="531">
        <f t="shared" si="2"/>
        <v>4128485.6</v>
      </c>
      <c r="O79" s="531">
        <f t="shared" si="3"/>
        <v>4128485.6</v>
      </c>
      <c r="P79" t="s">
        <v>523</v>
      </c>
    </row>
    <row r="80" spans="1:16" x14ac:dyDescent="0.25">
      <c r="A80" s="506"/>
      <c r="B80" t="s">
        <v>136</v>
      </c>
      <c r="C80" t="s">
        <v>137</v>
      </c>
      <c r="D80">
        <v>18230699</v>
      </c>
      <c r="E80" s="530">
        <v>64318</v>
      </c>
      <c r="F80" s="530">
        <v>57886.2</v>
      </c>
      <c r="G80" s="530">
        <v>0</v>
      </c>
      <c r="H80" s="530">
        <v>1950</v>
      </c>
      <c r="I80" s="530">
        <v>494000</v>
      </c>
      <c r="J80" s="530">
        <v>0</v>
      </c>
      <c r="K80" s="530">
        <v>0</v>
      </c>
      <c r="L80" s="530">
        <v>0</v>
      </c>
      <c r="M80" s="530">
        <v>0</v>
      </c>
      <c r="N80" s="531">
        <f t="shared" si="2"/>
        <v>618154.19999999995</v>
      </c>
      <c r="O80" s="531">
        <f t="shared" si="3"/>
        <v>618154.19999999995</v>
      </c>
      <c r="P80" t="s">
        <v>522</v>
      </c>
    </row>
    <row r="81" spans="1:16" x14ac:dyDescent="0.25">
      <c r="A81" s="506"/>
      <c r="B81" t="s">
        <v>140</v>
      </c>
      <c r="C81" t="s">
        <v>141</v>
      </c>
      <c r="D81">
        <v>18230810</v>
      </c>
      <c r="E81" s="530">
        <v>1322748</v>
      </c>
      <c r="F81" s="530">
        <v>1190473.2</v>
      </c>
      <c r="G81" s="530">
        <v>0</v>
      </c>
      <c r="H81" s="530">
        <v>69600</v>
      </c>
      <c r="I81" s="530">
        <v>0</v>
      </c>
      <c r="J81" s="530">
        <v>0</v>
      </c>
      <c r="K81" s="530">
        <v>0</v>
      </c>
      <c r="L81" s="530">
        <v>0</v>
      </c>
      <c r="M81" s="530">
        <v>0</v>
      </c>
      <c r="N81" s="531">
        <f t="shared" si="2"/>
        <v>2582821.2000000002</v>
      </c>
      <c r="O81" s="531">
        <f t="shared" si="3"/>
        <v>2582821.2000000002</v>
      </c>
      <c r="P81" t="s">
        <v>523</v>
      </c>
    </row>
    <row r="82" spans="1:16" x14ac:dyDescent="0.25">
      <c r="A82" s="506"/>
      <c r="B82" t="s">
        <v>143</v>
      </c>
      <c r="C82" t="s">
        <v>144</v>
      </c>
      <c r="D82">
        <v>18230688</v>
      </c>
      <c r="E82" s="530">
        <v>197652</v>
      </c>
      <c r="F82" s="530">
        <v>177886.8</v>
      </c>
      <c r="G82" s="530">
        <v>0</v>
      </c>
      <c r="H82" s="530">
        <v>10400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1">
        <f t="shared" si="2"/>
        <v>385938.8</v>
      </c>
      <c r="O82" s="531">
        <f t="shared" si="3"/>
        <v>385938.8</v>
      </c>
      <c r="P82" t="s">
        <v>519</v>
      </c>
    </row>
    <row r="83" spans="1:16" x14ac:dyDescent="0.25">
      <c r="A83" s="506"/>
      <c r="B83" t="s">
        <v>44</v>
      </c>
      <c r="C83" t="s">
        <v>515</v>
      </c>
      <c r="D83">
        <v>18230509</v>
      </c>
      <c r="E83" s="530">
        <v>181202</v>
      </c>
      <c r="F83" s="530">
        <v>163081.79999999999</v>
      </c>
      <c r="G83" s="530">
        <v>275000</v>
      </c>
      <c r="H83" s="530">
        <v>5000</v>
      </c>
      <c r="I83" s="530">
        <v>77000</v>
      </c>
      <c r="J83" s="530">
        <v>0</v>
      </c>
      <c r="K83" s="530">
        <v>0</v>
      </c>
      <c r="L83" s="530">
        <v>0</v>
      </c>
      <c r="M83" s="530">
        <v>0</v>
      </c>
      <c r="N83" s="531">
        <f t="shared" si="2"/>
        <v>701283.8</v>
      </c>
      <c r="O83" s="531">
        <f t="shared" si="3"/>
        <v>701283.8</v>
      </c>
      <c r="P83" t="s">
        <v>523</v>
      </c>
    </row>
    <row r="84" spans="1:16" x14ac:dyDescent="0.25">
      <c r="A84" s="506"/>
      <c r="B84" t="s">
        <v>52</v>
      </c>
      <c r="C84" t="s">
        <v>516</v>
      </c>
      <c r="D84">
        <v>18230662</v>
      </c>
      <c r="E84" s="530">
        <v>181202</v>
      </c>
      <c r="F84" s="530">
        <v>163081.79999999999</v>
      </c>
      <c r="G84" s="530">
        <v>275000</v>
      </c>
      <c r="H84" s="530">
        <v>5000</v>
      </c>
      <c r="I84" s="530">
        <v>77000</v>
      </c>
      <c r="J84" s="530">
        <v>0</v>
      </c>
      <c r="K84" s="530">
        <v>0</v>
      </c>
      <c r="L84" s="530">
        <v>0</v>
      </c>
      <c r="M84" s="530">
        <v>0</v>
      </c>
      <c r="N84" s="531">
        <f t="shared" si="2"/>
        <v>701283.8</v>
      </c>
      <c r="O84" s="531">
        <f t="shared" si="3"/>
        <v>701283.8</v>
      </c>
      <c r="P84" t="s">
        <v>519</v>
      </c>
    </row>
    <row r="85" spans="1:16" x14ac:dyDescent="0.25">
      <c r="A85" s="506"/>
      <c r="B85" t="s">
        <v>145</v>
      </c>
      <c r="C85" t="s">
        <v>146</v>
      </c>
      <c r="D85">
        <v>18230507</v>
      </c>
      <c r="E85" s="530">
        <v>995130</v>
      </c>
      <c r="F85" s="530">
        <v>895617</v>
      </c>
      <c r="G85" s="530">
        <v>0</v>
      </c>
      <c r="H85" s="530">
        <v>40000</v>
      </c>
      <c r="I85" s="530">
        <v>360000</v>
      </c>
      <c r="J85" s="530">
        <v>10000</v>
      </c>
      <c r="K85" s="530">
        <v>0</v>
      </c>
      <c r="L85" s="530">
        <v>0</v>
      </c>
      <c r="M85" s="530">
        <v>0</v>
      </c>
      <c r="N85" s="531">
        <f t="shared" si="2"/>
        <v>2300747</v>
      </c>
      <c r="O85" s="531">
        <f t="shared" si="3"/>
        <v>2300747</v>
      </c>
      <c r="P85" t="s">
        <v>524</v>
      </c>
    </row>
    <row r="86" spans="1:16" x14ac:dyDescent="0.25">
      <c r="A86" s="506"/>
      <c r="B86" t="s">
        <v>147</v>
      </c>
      <c r="C86" t="s">
        <v>148</v>
      </c>
      <c r="D86">
        <v>18230659</v>
      </c>
      <c r="E86" s="530">
        <v>147070</v>
      </c>
      <c r="F86" s="530">
        <v>132363</v>
      </c>
      <c r="G86" s="530">
        <v>0</v>
      </c>
      <c r="H86" s="530">
        <v>7000</v>
      </c>
      <c r="I86" s="530">
        <v>28000</v>
      </c>
      <c r="J86" s="530">
        <v>2000</v>
      </c>
      <c r="K86" s="530">
        <v>0</v>
      </c>
      <c r="L86" s="530">
        <v>0</v>
      </c>
      <c r="M86" s="530">
        <v>0</v>
      </c>
      <c r="N86" s="531">
        <f t="shared" si="2"/>
        <v>316433</v>
      </c>
      <c r="O86" s="531">
        <f t="shared" si="3"/>
        <v>316433</v>
      </c>
      <c r="P86" t="s">
        <v>523</v>
      </c>
    </row>
    <row r="87" spans="1:16" x14ac:dyDescent="0.25">
      <c r="A87" s="506"/>
      <c r="B87" t="s">
        <v>15</v>
      </c>
      <c r="C87" t="s">
        <v>50</v>
      </c>
      <c r="D87">
        <v>18230440</v>
      </c>
      <c r="E87" s="530">
        <v>12047</v>
      </c>
      <c r="F87" s="530">
        <v>10842.3</v>
      </c>
      <c r="G87" s="530">
        <v>0</v>
      </c>
      <c r="H87" s="530">
        <v>0</v>
      </c>
      <c r="I87" s="530">
        <v>9500</v>
      </c>
      <c r="J87" s="530">
        <v>0</v>
      </c>
      <c r="K87" s="530">
        <v>0</v>
      </c>
      <c r="L87" s="530">
        <v>133883</v>
      </c>
      <c r="M87" s="530">
        <v>0</v>
      </c>
      <c r="N87" s="531">
        <f t="shared" si="2"/>
        <v>166272.29999999999</v>
      </c>
      <c r="O87" s="531">
        <f t="shared" si="3"/>
        <v>32389.299999999988</v>
      </c>
      <c r="P87" t="s">
        <v>519</v>
      </c>
    </row>
    <row r="88" spans="1:16" x14ac:dyDescent="0.25">
      <c r="A88" s="506"/>
      <c r="B88" t="s">
        <v>15</v>
      </c>
      <c r="C88" t="s">
        <v>552</v>
      </c>
      <c r="D88">
        <v>18230162</v>
      </c>
      <c r="E88" s="530">
        <v>255049</v>
      </c>
      <c r="F88" s="530">
        <v>229544.1</v>
      </c>
      <c r="G88" s="530">
        <v>0</v>
      </c>
      <c r="H88" s="530">
        <v>3000</v>
      </c>
      <c r="I88" s="530">
        <v>5589599.5500000007</v>
      </c>
      <c r="J88" s="530">
        <v>1000</v>
      </c>
      <c r="K88" s="530">
        <v>0</v>
      </c>
      <c r="L88" s="530">
        <v>8573910</v>
      </c>
      <c r="M88" s="530">
        <v>0</v>
      </c>
      <c r="N88" s="531">
        <f t="shared" si="2"/>
        <v>14652102.65</v>
      </c>
      <c r="O88" s="531">
        <f t="shared" si="3"/>
        <v>6078192.6500000004</v>
      </c>
      <c r="P88" t="s">
        <v>525</v>
      </c>
    </row>
    <row r="89" spans="1:16" x14ac:dyDescent="0.25">
      <c r="B89" t="s">
        <v>33</v>
      </c>
      <c r="C89" t="s">
        <v>557</v>
      </c>
      <c r="D89">
        <v>18230161</v>
      </c>
      <c r="E89" s="530">
        <v>0</v>
      </c>
      <c r="F89" s="530">
        <v>0</v>
      </c>
      <c r="G89" s="530">
        <v>0</v>
      </c>
      <c r="H89" s="530">
        <v>0</v>
      </c>
      <c r="I89" s="530">
        <v>296659</v>
      </c>
      <c r="J89" s="530">
        <v>0</v>
      </c>
      <c r="K89" s="530">
        <v>0</v>
      </c>
      <c r="L89" s="530">
        <v>753832</v>
      </c>
      <c r="M89" s="530">
        <v>0</v>
      </c>
      <c r="N89" s="531">
        <f t="shared" si="2"/>
        <v>1050491</v>
      </c>
      <c r="O89" s="531">
        <f t="shared" si="3"/>
        <v>296659</v>
      </c>
      <c r="P89" t="s">
        <v>429</v>
      </c>
    </row>
    <row r="90" spans="1:16" x14ac:dyDescent="0.25">
      <c r="A90" s="506"/>
      <c r="B90" t="s">
        <v>15</v>
      </c>
      <c r="C90" t="s">
        <v>49</v>
      </c>
      <c r="D90">
        <v>18230435</v>
      </c>
      <c r="E90" s="530"/>
      <c r="F90" s="530"/>
      <c r="G90" s="530"/>
      <c r="H90" s="530"/>
      <c r="I90" s="530"/>
      <c r="J90" s="530"/>
      <c r="K90" s="530"/>
      <c r="L90" s="530"/>
      <c r="M90" s="530"/>
      <c r="N90" s="531">
        <f t="shared" si="2"/>
        <v>0</v>
      </c>
      <c r="O90" s="531">
        <f t="shared" si="3"/>
        <v>0</v>
      </c>
      <c r="P90" t="s">
        <v>522</v>
      </c>
    </row>
    <row r="91" spans="1:16" x14ac:dyDescent="0.25">
      <c r="A91" s="506"/>
      <c r="B91" t="s">
        <v>33</v>
      </c>
      <c r="C91" t="s">
        <v>112</v>
      </c>
      <c r="D91">
        <v>18230700</v>
      </c>
      <c r="E91" s="530"/>
      <c r="F91" s="530"/>
      <c r="G91" s="530"/>
      <c r="H91" s="530"/>
      <c r="I91" s="530"/>
      <c r="J91" s="530"/>
      <c r="K91" s="530"/>
      <c r="L91" s="530"/>
      <c r="M91" s="530"/>
      <c r="N91" s="531">
        <f t="shared" si="2"/>
        <v>0</v>
      </c>
      <c r="O91" s="531">
        <f t="shared" si="3"/>
        <v>0</v>
      </c>
      <c r="P91" t="s">
        <v>523</v>
      </c>
    </row>
    <row r="92" spans="1:16" x14ac:dyDescent="0.25">
      <c r="B92" t="s">
        <v>129</v>
      </c>
      <c r="C92" t="s">
        <v>151</v>
      </c>
      <c r="D92">
        <v>18230502</v>
      </c>
      <c r="E92" s="530"/>
      <c r="F92" s="530"/>
      <c r="G92" s="530"/>
      <c r="H92" s="530"/>
      <c r="I92" s="530"/>
      <c r="J92" s="530"/>
      <c r="K92" s="530"/>
      <c r="L92" s="530"/>
      <c r="M92" s="530"/>
      <c r="N92" s="531">
        <f t="shared" si="2"/>
        <v>0</v>
      </c>
      <c r="O92" s="531">
        <f t="shared" si="3"/>
        <v>0</v>
      </c>
      <c r="P92" t="s">
        <v>522</v>
      </c>
    </row>
    <row r="93" spans="1:16" x14ac:dyDescent="0.25">
      <c r="B93" t="s">
        <v>106</v>
      </c>
      <c r="C93" t="s">
        <v>152</v>
      </c>
      <c r="D93">
        <v>18231033</v>
      </c>
      <c r="E93" s="530"/>
      <c r="F93" s="530"/>
      <c r="G93" s="530"/>
      <c r="H93" s="530"/>
      <c r="I93" s="530"/>
      <c r="J93" s="530"/>
      <c r="K93" s="530"/>
      <c r="L93" s="530"/>
      <c r="M93" s="530"/>
      <c r="N93" s="531">
        <f t="shared" si="2"/>
        <v>0</v>
      </c>
      <c r="O93" s="531">
        <f t="shared" si="3"/>
        <v>0</v>
      </c>
      <c r="P93" t="s">
        <v>522</v>
      </c>
    </row>
    <row r="94" spans="1:16" x14ac:dyDescent="0.25">
      <c r="A94" s="506"/>
      <c r="B94" t="s">
        <v>149</v>
      </c>
      <c r="C94" t="s">
        <v>150</v>
      </c>
      <c r="D94">
        <v>18230750</v>
      </c>
      <c r="E94" s="530"/>
      <c r="F94" s="530"/>
      <c r="G94" s="530"/>
      <c r="H94" s="530"/>
      <c r="I94" s="530"/>
      <c r="J94" s="530"/>
      <c r="K94" s="530"/>
      <c r="L94" s="530"/>
      <c r="M94" s="530"/>
      <c r="N94" s="531">
        <f t="shared" si="2"/>
        <v>0</v>
      </c>
      <c r="O94" s="531">
        <f t="shared" si="3"/>
        <v>0</v>
      </c>
      <c r="P94" t="s">
        <v>519</v>
      </c>
    </row>
    <row r="95" spans="1:16" x14ac:dyDescent="0.25">
      <c r="B95" t="s">
        <v>35</v>
      </c>
      <c r="C95" t="s">
        <v>36</v>
      </c>
      <c r="D95">
        <v>18230256</v>
      </c>
      <c r="E95" s="530"/>
      <c r="F95" s="530"/>
      <c r="G95" s="530"/>
      <c r="H95" s="530"/>
      <c r="I95" s="530"/>
      <c r="J95" s="530"/>
      <c r="K95" s="530"/>
      <c r="L95" s="530"/>
      <c r="M95" s="530"/>
      <c r="N95" s="531">
        <f t="shared" si="2"/>
        <v>0</v>
      </c>
      <c r="O95" s="531">
        <f t="shared" si="3"/>
        <v>0</v>
      </c>
      <c r="P95" t="s">
        <v>521</v>
      </c>
    </row>
    <row r="96" spans="1:16" x14ac:dyDescent="0.25">
      <c r="A96" s="506"/>
      <c r="B96" t="s">
        <v>15</v>
      </c>
      <c r="C96" t="s">
        <v>77</v>
      </c>
      <c r="D96">
        <v>18230628</v>
      </c>
      <c r="E96" s="530">
        <v>232388</v>
      </c>
      <c r="F96" s="530">
        <v>209149.2</v>
      </c>
      <c r="G96" s="530">
        <v>540000</v>
      </c>
      <c r="H96" s="530">
        <v>2400</v>
      </c>
      <c r="I96" s="530">
        <v>80000</v>
      </c>
      <c r="J96" s="530">
        <v>4000</v>
      </c>
      <c r="K96" s="530">
        <v>0</v>
      </c>
      <c r="L96" s="530">
        <v>12114588.699999999</v>
      </c>
      <c r="M96" s="530">
        <v>0</v>
      </c>
      <c r="N96" s="531">
        <f t="shared" si="2"/>
        <v>13182525.899999999</v>
      </c>
      <c r="O96" s="531">
        <f t="shared" si="3"/>
        <v>1067937.1999999993</v>
      </c>
      <c r="P96" t="s">
        <v>523</v>
      </c>
    </row>
    <row r="97" spans="1:16" x14ac:dyDescent="0.25">
      <c r="A97" s="506"/>
      <c r="B97" t="s">
        <v>33</v>
      </c>
      <c r="C97" t="s">
        <v>79</v>
      </c>
      <c r="D97">
        <v>18230638</v>
      </c>
      <c r="E97" s="530">
        <v>45608</v>
      </c>
      <c r="F97" s="530">
        <v>41047.199999999997</v>
      </c>
      <c r="G97" s="530">
        <v>360000</v>
      </c>
      <c r="H97" s="530">
        <v>2400</v>
      </c>
      <c r="I97" s="530">
        <v>0</v>
      </c>
      <c r="J97" s="530">
        <v>0</v>
      </c>
      <c r="K97" s="530">
        <v>0</v>
      </c>
      <c r="L97" s="530">
        <v>2761600</v>
      </c>
      <c r="M97" s="530">
        <v>0</v>
      </c>
      <c r="N97" s="531">
        <f t="shared" si="2"/>
        <v>3210655.2</v>
      </c>
      <c r="O97" s="531">
        <f t="shared" si="3"/>
        <v>449055.20000000019</v>
      </c>
      <c r="P97" t="s">
        <v>523</v>
      </c>
    </row>
    <row r="98" spans="1:16" x14ac:dyDescent="0.25">
      <c r="A98" s="507"/>
      <c r="B98" t="s">
        <v>15</v>
      </c>
      <c r="C98" t="s">
        <v>75</v>
      </c>
      <c r="D98">
        <v>18230626</v>
      </c>
      <c r="E98" s="530">
        <v>266900</v>
      </c>
      <c r="F98" s="530">
        <v>240210</v>
      </c>
      <c r="G98" s="530">
        <v>308000</v>
      </c>
      <c r="H98" s="530">
        <v>2000</v>
      </c>
      <c r="I98" s="530">
        <v>260000</v>
      </c>
      <c r="J98" s="530">
        <v>0</v>
      </c>
      <c r="K98" s="530">
        <v>0</v>
      </c>
      <c r="L98" s="530">
        <v>608947</v>
      </c>
      <c r="M98" s="530">
        <v>0</v>
      </c>
      <c r="N98" s="531">
        <f t="shared" si="2"/>
        <v>1686057</v>
      </c>
      <c r="O98" s="531">
        <f t="shared" si="3"/>
        <v>1077110</v>
      </c>
      <c r="P98" t="s">
        <v>518</v>
      </c>
    </row>
    <row r="99" spans="1:16" x14ac:dyDescent="0.25">
      <c r="A99" s="506"/>
      <c r="B99" t="s">
        <v>33</v>
      </c>
      <c r="C99" t="s">
        <v>34</v>
      </c>
      <c r="D99">
        <v>18230249</v>
      </c>
      <c r="E99" s="530">
        <v>121784</v>
      </c>
      <c r="F99" s="530">
        <v>109605.6</v>
      </c>
      <c r="G99" s="530">
        <v>178000</v>
      </c>
      <c r="H99" s="530">
        <v>2000</v>
      </c>
      <c r="I99" s="530">
        <v>2000</v>
      </c>
      <c r="J99" s="530">
        <v>0</v>
      </c>
      <c r="K99" s="530">
        <v>3000</v>
      </c>
      <c r="L99" s="530">
        <v>912800</v>
      </c>
      <c r="M99" s="530">
        <v>0</v>
      </c>
      <c r="N99" s="531">
        <f t="shared" si="2"/>
        <v>1329189.6000000001</v>
      </c>
      <c r="O99" s="531">
        <f t="shared" si="3"/>
        <v>416389.60000000009</v>
      </c>
      <c r="P99" t="s">
        <v>429</v>
      </c>
    </row>
    <row r="100" spans="1:16" x14ac:dyDescent="0.25">
      <c r="A100" s="506"/>
      <c r="B100" t="s">
        <v>15</v>
      </c>
      <c r="C100" t="s">
        <v>76</v>
      </c>
      <c r="D100">
        <v>18230627</v>
      </c>
      <c r="E100" s="530">
        <v>288432</v>
      </c>
      <c r="F100" s="530">
        <v>259588.8</v>
      </c>
      <c r="G100" s="530">
        <v>225000</v>
      </c>
      <c r="H100" s="530">
        <v>2400</v>
      </c>
      <c r="I100" s="530">
        <v>130000</v>
      </c>
      <c r="J100" s="530">
        <v>101000</v>
      </c>
      <c r="K100" s="530">
        <v>0</v>
      </c>
      <c r="L100" s="530">
        <v>6130866.4000000004</v>
      </c>
      <c r="M100" s="530">
        <v>0</v>
      </c>
      <c r="N100" s="531">
        <f t="shared" si="2"/>
        <v>7137287.2000000002</v>
      </c>
      <c r="O100" s="531">
        <f t="shared" si="3"/>
        <v>1006420.7999999998</v>
      </c>
      <c r="P100" t="s">
        <v>519</v>
      </c>
    </row>
    <row r="101" spans="1:16" x14ac:dyDescent="0.25">
      <c r="A101" s="506"/>
      <c r="B101" t="s">
        <v>33</v>
      </c>
      <c r="C101" t="s">
        <v>78</v>
      </c>
      <c r="D101">
        <v>18230637</v>
      </c>
      <c r="E101" s="530">
        <v>288432</v>
      </c>
      <c r="F101" s="530">
        <v>259588.8</v>
      </c>
      <c r="G101" s="530">
        <v>237500</v>
      </c>
      <c r="H101" s="530">
        <v>2400</v>
      </c>
      <c r="I101" s="530">
        <v>220000</v>
      </c>
      <c r="J101" s="530">
        <v>101000</v>
      </c>
      <c r="K101" s="530">
        <v>0</v>
      </c>
      <c r="L101" s="530">
        <v>13147567.600000001</v>
      </c>
      <c r="M101" s="530">
        <v>0</v>
      </c>
      <c r="N101" s="531">
        <f t="shared" si="2"/>
        <v>14256488.400000002</v>
      </c>
      <c r="O101" s="531">
        <f t="shared" si="3"/>
        <v>1108920.8000000007</v>
      </c>
      <c r="P101" t="s">
        <v>520</v>
      </c>
    </row>
    <row r="102" spans="1:16" x14ac:dyDescent="0.25">
      <c r="A102" s="506"/>
      <c r="B102" t="s">
        <v>17</v>
      </c>
      <c r="C102" t="s">
        <v>37</v>
      </c>
      <c r="D102">
        <v>18230405</v>
      </c>
      <c r="E102" s="530">
        <v>74560</v>
      </c>
      <c r="F102" s="530">
        <v>67104</v>
      </c>
      <c r="G102" s="530">
        <v>60000</v>
      </c>
      <c r="H102" s="530">
        <v>0</v>
      </c>
      <c r="I102" s="530">
        <v>840000</v>
      </c>
      <c r="J102" s="530">
        <v>0</v>
      </c>
      <c r="K102" s="530">
        <v>0</v>
      </c>
      <c r="L102" s="530">
        <v>525000</v>
      </c>
      <c r="M102" s="530">
        <v>0</v>
      </c>
      <c r="N102" s="531">
        <f t="shared" si="2"/>
        <v>1566664</v>
      </c>
      <c r="O102" s="531">
        <f t="shared" si="3"/>
        <v>1041664</v>
      </c>
      <c r="P102" t="s">
        <v>524</v>
      </c>
    </row>
    <row r="103" spans="1:16" x14ac:dyDescent="0.25">
      <c r="A103" s="506"/>
      <c r="B103" t="s">
        <v>99</v>
      </c>
      <c r="C103" t="s">
        <v>100</v>
      </c>
      <c r="D103">
        <v>18230684</v>
      </c>
      <c r="E103" s="530">
        <v>0</v>
      </c>
      <c r="F103" s="530">
        <v>0</v>
      </c>
      <c r="G103" s="530">
        <v>0</v>
      </c>
      <c r="H103" s="530">
        <v>0</v>
      </c>
      <c r="I103" s="530">
        <v>0</v>
      </c>
      <c r="J103" s="530">
        <v>0</v>
      </c>
      <c r="K103" s="530">
        <v>0</v>
      </c>
      <c r="L103" s="530">
        <v>0</v>
      </c>
      <c r="M103" s="530">
        <v>0</v>
      </c>
      <c r="N103" s="531">
        <f t="shared" si="2"/>
        <v>0</v>
      </c>
      <c r="O103" s="531">
        <f t="shared" si="3"/>
        <v>0</v>
      </c>
      <c r="P103" t="s">
        <v>519</v>
      </c>
    </row>
    <row r="104" spans="1:16" x14ac:dyDescent="0.25">
      <c r="A104" s="506"/>
      <c r="B104" t="s">
        <v>67</v>
      </c>
      <c r="C104" t="s">
        <v>166</v>
      </c>
      <c r="D104">
        <v>18231134</v>
      </c>
      <c r="E104" s="530">
        <v>240847</v>
      </c>
      <c r="F104" s="530">
        <v>216762.3</v>
      </c>
      <c r="G104" s="530">
        <v>259000</v>
      </c>
      <c r="H104" s="530">
        <v>12000</v>
      </c>
      <c r="I104" s="530">
        <v>2712000</v>
      </c>
      <c r="J104" s="530">
        <v>2000</v>
      </c>
      <c r="K104" s="530">
        <v>2000</v>
      </c>
      <c r="L104" s="530">
        <v>12219776</v>
      </c>
      <c r="M104" s="530">
        <v>0</v>
      </c>
      <c r="N104" s="531">
        <f t="shared" si="2"/>
        <v>15664385.300000001</v>
      </c>
      <c r="O104" s="531">
        <f t="shared" si="3"/>
        <v>3444609.3000000007</v>
      </c>
      <c r="P104" t="s">
        <v>522</v>
      </c>
    </row>
    <row r="105" spans="1:16" x14ac:dyDescent="0.25">
      <c r="A105" s="506"/>
      <c r="B105" t="s">
        <v>31</v>
      </c>
      <c r="C105" t="s">
        <v>154</v>
      </c>
      <c r="D105">
        <v>18231022</v>
      </c>
      <c r="E105" s="530">
        <v>0</v>
      </c>
      <c r="F105" s="530">
        <v>0</v>
      </c>
      <c r="G105" s="530">
        <v>0</v>
      </c>
      <c r="H105" s="530">
        <v>0</v>
      </c>
      <c r="I105" s="530">
        <v>5280</v>
      </c>
      <c r="J105" s="530">
        <v>0</v>
      </c>
      <c r="K105" s="530">
        <v>0</v>
      </c>
      <c r="L105" s="530">
        <v>715400</v>
      </c>
      <c r="M105" s="530">
        <v>0</v>
      </c>
      <c r="N105" s="531">
        <f t="shared" si="2"/>
        <v>720680</v>
      </c>
      <c r="O105" s="531">
        <f t="shared" si="3"/>
        <v>5280</v>
      </c>
      <c r="P105" t="s">
        <v>523</v>
      </c>
    </row>
    <row r="106" spans="1:16" x14ac:dyDescent="0.25">
      <c r="A106" s="506"/>
      <c r="B106" t="s">
        <v>15</v>
      </c>
      <c r="C106" t="s">
        <v>16</v>
      </c>
      <c r="D106">
        <v>18230023</v>
      </c>
      <c r="E106" s="530">
        <v>131586</v>
      </c>
      <c r="F106" s="530">
        <v>118427.4</v>
      </c>
      <c r="G106" s="530">
        <v>66000</v>
      </c>
      <c r="H106" s="530">
        <v>200</v>
      </c>
      <c r="I106" s="530">
        <v>211081.4</v>
      </c>
      <c r="J106" s="530">
        <v>2000</v>
      </c>
      <c r="K106" s="530">
        <v>0</v>
      </c>
      <c r="L106" s="530">
        <v>1287904.73</v>
      </c>
      <c r="M106" s="530">
        <v>0</v>
      </c>
      <c r="N106" s="531">
        <f t="shared" si="2"/>
        <v>1817199.53</v>
      </c>
      <c r="O106" s="531">
        <f t="shared" si="3"/>
        <v>529294.80000000005</v>
      </c>
      <c r="P106" t="s">
        <v>518</v>
      </c>
    </row>
    <row r="107" spans="1:16" x14ac:dyDescent="0.25">
      <c r="A107" s="506"/>
      <c r="B107" t="s">
        <v>33</v>
      </c>
      <c r="C107" t="s">
        <v>101</v>
      </c>
      <c r="D107">
        <v>18230687</v>
      </c>
      <c r="E107" s="530">
        <v>211873</v>
      </c>
      <c r="F107" s="530">
        <v>190685.7</v>
      </c>
      <c r="G107" s="530">
        <v>200000</v>
      </c>
      <c r="H107" s="530">
        <v>4000</v>
      </c>
      <c r="I107" s="530">
        <v>1183891.1000000001</v>
      </c>
      <c r="J107" s="530">
        <v>0</v>
      </c>
      <c r="K107" s="530">
        <v>0</v>
      </c>
      <c r="L107" s="530">
        <v>2565600</v>
      </c>
      <c r="M107" s="530">
        <v>0</v>
      </c>
      <c r="N107" s="531">
        <f t="shared" si="2"/>
        <v>4356049.8</v>
      </c>
      <c r="O107" s="531">
        <f t="shared" si="3"/>
        <v>1790449.7999999998</v>
      </c>
      <c r="P107" t="s">
        <v>523</v>
      </c>
    </row>
    <row r="108" spans="1:16" x14ac:dyDescent="0.25">
      <c r="A108" s="506"/>
      <c r="B108" t="s">
        <v>62</v>
      </c>
      <c r="C108" t="s">
        <v>153</v>
      </c>
      <c r="D108">
        <v>18230015</v>
      </c>
      <c r="E108" s="530">
        <v>26925</v>
      </c>
      <c r="F108" s="530">
        <v>36232.5</v>
      </c>
      <c r="G108" s="530">
        <v>0</v>
      </c>
      <c r="H108" s="530">
        <v>0</v>
      </c>
      <c r="I108" s="530">
        <v>1800000</v>
      </c>
      <c r="J108" s="530">
        <v>0</v>
      </c>
      <c r="K108" s="530">
        <v>0</v>
      </c>
      <c r="L108" s="530">
        <v>0</v>
      </c>
      <c r="M108" s="530">
        <v>0</v>
      </c>
      <c r="N108" s="531">
        <f t="shared" si="2"/>
        <v>1863157.5</v>
      </c>
      <c r="O108" s="531">
        <f t="shared" si="3"/>
        <v>1863157.5</v>
      </c>
      <c r="P108" t="s">
        <v>523</v>
      </c>
    </row>
    <row r="109" spans="1:16" x14ac:dyDescent="0.25">
      <c r="B109" t="s">
        <v>134</v>
      </c>
      <c r="C109" t="s">
        <v>156</v>
      </c>
      <c r="D109">
        <v>18230223</v>
      </c>
      <c r="E109" s="530"/>
      <c r="F109" s="530"/>
      <c r="G109" s="530"/>
      <c r="H109" s="530"/>
      <c r="I109" s="530"/>
      <c r="J109" s="530"/>
      <c r="K109" s="530"/>
      <c r="L109" s="530"/>
      <c r="M109" s="530"/>
      <c r="N109" s="531">
        <f t="shared" si="2"/>
        <v>0</v>
      </c>
      <c r="O109" s="531">
        <f t="shared" si="3"/>
        <v>0</v>
      </c>
      <c r="P109" t="s">
        <v>519</v>
      </c>
    </row>
    <row r="110" spans="1:16" x14ac:dyDescent="0.25">
      <c r="A110" s="506"/>
      <c r="B110" t="s">
        <v>25</v>
      </c>
      <c r="C110" t="s">
        <v>549</v>
      </c>
      <c r="D110">
        <v>18231128</v>
      </c>
      <c r="E110" s="530"/>
      <c r="F110" s="530"/>
      <c r="G110" s="530"/>
      <c r="H110" s="530"/>
      <c r="I110" s="530"/>
      <c r="J110" s="530"/>
      <c r="K110" s="530"/>
      <c r="L110" s="530"/>
      <c r="M110" s="530"/>
      <c r="N110" s="531">
        <f t="shared" si="2"/>
        <v>0</v>
      </c>
      <c r="O110" s="531">
        <f t="shared" si="3"/>
        <v>0</v>
      </c>
      <c r="P110" t="s">
        <v>519</v>
      </c>
    </row>
    <row r="111" spans="1:16" x14ac:dyDescent="0.25">
      <c r="A111" s="506"/>
      <c r="B111" t="s">
        <v>80</v>
      </c>
      <c r="C111" t="s">
        <v>555</v>
      </c>
      <c r="D111">
        <v>18231038</v>
      </c>
      <c r="E111" s="530"/>
      <c r="F111" s="530"/>
      <c r="G111" s="530"/>
      <c r="H111" s="530"/>
      <c r="I111" s="530"/>
      <c r="J111" s="530"/>
      <c r="K111" s="530"/>
      <c r="L111" s="530"/>
      <c r="M111" s="530"/>
      <c r="N111" s="531">
        <f t="shared" si="2"/>
        <v>0</v>
      </c>
      <c r="O111" s="531">
        <f t="shared" si="3"/>
        <v>0</v>
      </c>
      <c r="P111" t="s">
        <v>519</v>
      </c>
    </row>
    <row r="112" spans="1:16" x14ac:dyDescent="0.25">
      <c r="B112" t="s">
        <v>38</v>
      </c>
      <c r="C112" t="s">
        <v>157</v>
      </c>
      <c r="D112">
        <v>18230747</v>
      </c>
      <c r="E112" s="530"/>
      <c r="F112" s="530"/>
      <c r="G112" s="530"/>
      <c r="H112" s="530"/>
      <c r="I112" s="530"/>
      <c r="J112" s="530"/>
      <c r="K112" s="530"/>
      <c r="L112" s="530"/>
      <c r="M112" s="530"/>
      <c r="N112" s="531">
        <f t="shared" si="2"/>
        <v>0</v>
      </c>
      <c r="O112" s="531">
        <f t="shared" si="3"/>
        <v>0</v>
      </c>
      <c r="P112" t="s">
        <v>519</v>
      </c>
    </row>
    <row r="113" spans="1:16" x14ac:dyDescent="0.25">
      <c r="A113" s="506"/>
      <c r="B113" t="s">
        <v>159</v>
      </c>
      <c r="C113" t="s">
        <v>160</v>
      </c>
      <c r="D113">
        <v>18230469</v>
      </c>
      <c r="E113" s="530">
        <v>687853</v>
      </c>
      <c r="F113" s="530">
        <v>619067.69999999995</v>
      </c>
      <c r="G113" s="530">
        <v>0</v>
      </c>
      <c r="H113" s="530">
        <v>13050</v>
      </c>
      <c r="I113" s="530">
        <v>0</v>
      </c>
      <c r="J113" s="530">
        <v>0</v>
      </c>
      <c r="K113" s="530">
        <v>0</v>
      </c>
      <c r="L113" s="530">
        <v>0</v>
      </c>
      <c r="M113" s="530">
        <v>0</v>
      </c>
      <c r="N113" s="531">
        <f t="shared" si="2"/>
        <v>1319970.7</v>
      </c>
      <c r="O113" s="531">
        <f t="shared" si="3"/>
        <v>1319970.7</v>
      </c>
      <c r="P113" t="s">
        <v>523</v>
      </c>
    </row>
    <row r="114" spans="1:16" x14ac:dyDescent="0.25">
      <c r="A114" s="506"/>
      <c r="B114" t="s">
        <v>161</v>
      </c>
      <c r="C114" t="s">
        <v>162</v>
      </c>
      <c r="D114">
        <v>18230679</v>
      </c>
      <c r="E114" s="530">
        <v>115288</v>
      </c>
      <c r="F114" s="530">
        <v>103759.20000000001</v>
      </c>
      <c r="G114" s="530">
        <v>0</v>
      </c>
      <c r="H114" s="530">
        <v>1950</v>
      </c>
      <c r="I114" s="530">
        <v>0</v>
      </c>
      <c r="J114" s="530">
        <v>0</v>
      </c>
      <c r="K114" s="530">
        <v>0</v>
      </c>
      <c r="L114" s="530">
        <v>0</v>
      </c>
      <c r="M114" s="530">
        <v>0</v>
      </c>
      <c r="N114" s="531">
        <f t="shared" si="2"/>
        <v>220997.2</v>
      </c>
      <c r="O114" s="531">
        <f t="shared" si="3"/>
        <v>220997.2</v>
      </c>
      <c r="P114" t="s">
        <v>519</v>
      </c>
    </row>
    <row r="115" spans="1:16" x14ac:dyDescent="0.25">
      <c r="A115" s="506"/>
      <c r="B115" t="s">
        <v>21</v>
      </c>
      <c r="C115" t="s">
        <v>22</v>
      </c>
      <c r="D115">
        <v>18230133</v>
      </c>
      <c r="E115" s="530"/>
      <c r="F115" s="530"/>
      <c r="G115" s="530"/>
      <c r="H115" s="530"/>
      <c r="I115" s="530"/>
      <c r="J115" s="530"/>
      <c r="K115" s="530"/>
      <c r="L115" s="530"/>
      <c r="M115" s="530"/>
      <c r="N115" s="531">
        <f t="shared" si="2"/>
        <v>0</v>
      </c>
      <c r="O115" s="531">
        <f t="shared" si="3"/>
        <v>0</v>
      </c>
      <c r="P115" t="s">
        <v>525</v>
      </c>
    </row>
    <row r="116" spans="1:16" x14ac:dyDescent="0.25">
      <c r="B116" t="s">
        <v>27</v>
      </c>
      <c r="C116" t="s">
        <v>28</v>
      </c>
      <c r="D116">
        <v>18230217</v>
      </c>
      <c r="E116" s="530"/>
      <c r="F116" s="530"/>
      <c r="G116" s="530"/>
      <c r="H116" s="530"/>
      <c r="I116" s="530"/>
      <c r="J116" s="530"/>
      <c r="K116" s="530"/>
      <c r="L116" s="530"/>
      <c r="M116" s="530"/>
      <c r="N116" s="531">
        <f t="shared" si="2"/>
        <v>0</v>
      </c>
      <c r="O116" s="531">
        <f t="shared" si="3"/>
        <v>0</v>
      </c>
      <c r="P116" t="s">
        <v>522</v>
      </c>
    </row>
    <row r="117" spans="1:16" x14ac:dyDescent="0.25">
      <c r="A117" s="506"/>
      <c r="B117" t="s">
        <v>545</v>
      </c>
      <c r="C117" t="s">
        <v>548</v>
      </c>
      <c r="D117">
        <v>18230753</v>
      </c>
      <c r="E117" s="530"/>
      <c r="F117" s="530"/>
      <c r="G117" s="530"/>
      <c r="H117" s="530"/>
      <c r="I117" s="530"/>
      <c r="J117" s="530"/>
      <c r="K117" s="530"/>
      <c r="L117" s="530"/>
      <c r="M117" s="530"/>
      <c r="N117" s="531">
        <f t="shared" si="2"/>
        <v>0</v>
      </c>
      <c r="O117" s="531">
        <f t="shared" si="3"/>
        <v>0</v>
      </c>
      <c r="P117" t="s">
        <v>522</v>
      </c>
    </row>
    <row r="118" spans="1:16" x14ac:dyDescent="0.25">
      <c r="A118" s="506"/>
      <c r="B118" t="s">
        <v>163</v>
      </c>
      <c r="C118" t="s">
        <v>164</v>
      </c>
      <c r="D118">
        <v>18230134</v>
      </c>
      <c r="E118" s="530">
        <v>328360</v>
      </c>
      <c r="F118" s="530">
        <v>295524</v>
      </c>
      <c r="G118" s="530">
        <v>20000</v>
      </c>
      <c r="H118" s="530">
        <v>3200</v>
      </c>
      <c r="I118" s="530">
        <v>400000</v>
      </c>
      <c r="J118" s="530">
        <v>0</v>
      </c>
      <c r="K118" s="530">
        <v>0</v>
      </c>
      <c r="L118" s="530">
        <v>120000</v>
      </c>
      <c r="M118" s="530">
        <v>0</v>
      </c>
      <c r="N118" s="531">
        <f t="shared" si="2"/>
        <v>1167084</v>
      </c>
      <c r="O118" s="531">
        <f t="shared" si="3"/>
        <v>1047084</v>
      </c>
      <c r="P118" t="s">
        <v>522</v>
      </c>
    </row>
    <row r="119" spans="1:16" x14ac:dyDescent="0.25">
      <c r="A119" s="506"/>
      <c r="B119" t="s">
        <v>167</v>
      </c>
      <c r="C119" t="s">
        <v>168</v>
      </c>
      <c r="D119">
        <v>18230218</v>
      </c>
      <c r="E119" s="530">
        <v>181080</v>
      </c>
      <c r="F119" s="530">
        <v>162972</v>
      </c>
      <c r="G119" s="530">
        <v>25000</v>
      </c>
      <c r="H119" s="530">
        <v>1600</v>
      </c>
      <c r="I119" s="530">
        <v>120000</v>
      </c>
      <c r="J119" s="530">
        <v>0</v>
      </c>
      <c r="K119" s="530">
        <v>15000</v>
      </c>
      <c r="L119" s="530">
        <v>58250</v>
      </c>
      <c r="M119" s="530">
        <v>0</v>
      </c>
      <c r="N119" s="531">
        <f t="shared" si="2"/>
        <v>563902</v>
      </c>
      <c r="O119" s="531">
        <f t="shared" si="3"/>
        <v>505652</v>
      </c>
      <c r="P119" t="s">
        <v>519</v>
      </c>
    </row>
    <row r="120" spans="1:16" x14ac:dyDescent="0.25">
      <c r="A120" s="506"/>
      <c r="B120" t="s">
        <v>62</v>
      </c>
      <c r="C120" t="s">
        <v>546</v>
      </c>
      <c r="D120">
        <v>18239043</v>
      </c>
      <c r="E120" s="530">
        <v>89750</v>
      </c>
      <c r="F120" s="530">
        <v>80775</v>
      </c>
      <c r="G120" s="530">
        <v>0</v>
      </c>
      <c r="H120" s="530">
        <v>0</v>
      </c>
      <c r="I120" s="530">
        <v>665549.80000000005</v>
      </c>
      <c r="J120" s="530">
        <v>0</v>
      </c>
      <c r="K120" s="530">
        <v>0</v>
      </c>
      <c r="L120" s="530">
        <v>5445000</v>
      </c>
      <c r="M120" s="530">
        <v>0</v>
      </c>
      <c r="N120" s="531">
        <f t="shared" si="2"/>
        <v>6281074.7999999998</v>
      </c>
      <c r="O120" s="531">
        <f t="shared" si="3"/>
        <v>836074.79999999981</v>
      </c>
      <c r="P120" t="s">
        <v>522</v>
      </c>
    </row>
    <row r="121" spans="1:16" x14ac:dyDescent="0.25">
      <c r="A121" s="506"/>
      <c r="B121" t="s">
        <v>170</v>
      </c>
      <c r="C121" t="s">
        <v>171</v>
      </c>
      <c r="D121">
        <v>18230730</v>
      </c>
      <c r="E121" s="530">
        <v>0</v>
      </c>
      <c r="F121" s="530">
        <v>0</v>
      </c>
      <c r="G121" s="530">
        <v>0</v>
      </c>
      <c r="H121" s="530">
        <v>0</v>
      </c>
      <c r="I121" s="530">
        <v>348000</v>
      </c>
      <c r="J121" s="530">
        <v>0</v>
      </c>
      <c r="K121" s="530">
        <v>0</v>
      </c>
      <c r="L121" s="530">
        <v>0</v>
      </c>
      <c r="M121" s="530">
        <v>0</v>
      </c>
      <c r="N121" s="531">
        <f t="shared" si="2"/>
        <v>348000</v>
      </c>
      <c r="O121" s="531">
        <f t="shared" si="3"/>
        <v>348000</v>
      </c>
      <c r="P121" t="s">
        <v>523</v>
      </c>
    </row>
    <row r="122" spans="1:16" x14ac:dyDescent="0.25">
      <c r="A122" s="506"/>
      <c r="B122" t="s">
        <v>172</v>
      </c>
      <c r="C122" t="s">
        <v>173</v>
      </c>
      <c r="D122">
        <v>18230698</v>
      </c>
      <c r="E122" s="530">
        <v>0</v>
      </c>
      <c r="F122" s="530">
        <v>0</v>
      </c>
      <c r="G122" s="530">
        <v>0</v>
      </c>
      <c r="H122" s="530">
        <v>0</v>
      </c>
      <c r="I122" s="530">
        <v>52000</v>
      </c>
      <c r="J122" s="530">
        <v>0</v>
      </c>
      <c r="K122" s="530">
        <v>0</v>
      </c>
      <c r="L122" s="530">
        <v>0</v>
      </c>
      <c r="M122" s="530">
        <v>0</v>
      </c>
      <c r="N122" s="531">
        <f t="shared" si="2"/>
        <v>52000</v>
      </c>
      <c r="O122" s="531">
        <f t="shared" si="3"/>
        <v>52000</v>
      </c>
      <c r="P122" t="s">
        <v>519</v>
      </c>
    </row>
    <row r="123" spans="1:16" x14ac:dyDescent="0.25">
      <c r="A123" s="506"/>
      <c r="B123" t="s">
        <v>174</v>
      </c>
      <c r="C123" t="s">
        <v>175</v>
      </c>
      <c r="D123">
        <v>18230746</v>
      </c>
      <c r="E123" s="530">
        <v>336200</v>
      </c>
      <c r="F123" s="530">
        <v>302580</v>
      </c>
      <c r="G123" s="530">
        <v>40000</v>
      </c>
      <c r="H123" s="530">
        <v>10000</v>
      </c>
      <c r="I123" s="530">
        <v>120000</v>
      </c>
      <c r="J123" s="530">
        <v>4000</v>
      </c>
      <c r="K123" s="530">
        <v>1000</v>
      </c>
      <c r="L123" s="530">
        <v>0</v>
      </c>
      <c r="M123" s="530">
        <v>-835000</v>
      </c>
      <c r="N123" s="531">
        <f t="shared" si="2"/>
        <v>-21220</v>
      </c>
      <c r="O123" s="531">
        <f t="shared" si="3"/>
        <v>-21220</v>
      </c>
      <c r="P123" t="s">
        <v>523</v>
      </c>
    </row>
    <row r="124" spans="1:16" x14ac:dyDescent="0.25">
      <c r="A124" s="506"/>
      <c r="B124" t="s">
        <v>176</v>
      </c>
      <c r="C124" t="s">
        <v>177</v>
      </c>
      <c r="D124">
        <v>18231031</v>
      </c>
      <c r="E124" s="530">
        <v>259600</v>
      </c>
      <c r="F124" s="530">
        <v>233640</v>
      </c>
      <c r="G124" s="530">
        <v>40000</v>
      </c>
      <c r="H124" s="530">
        <v>10000</v>
      </c>
      <c r="I124" s="530">
        <v>120000</v>
      </c>
      <c r="J124" s="530">
        <v>4000</v>
      </c>
      <c r="K124" s="530">
        <v>1000</v>
      </c>
      <c r="L124" s="530">
        <v>0</v>
      </c>
      <c r="M124" s="530">
        <v>-670000</v>
      </c>
      <c r="N124" s="531">
        <f t="shared" si="2"/>
        <v>-1760</v>
      </c>
      <c r="O124" s="531">
        <f t="shared" si="3"/>
        <v>-1760</v>
      </c>
      <c r="P124" t="s">
        <v>522</v>
      </c>
    </row>
    <row r="125" spans="1:16" x14ac:dyDescent="0.25">
      <c r="B125" t="s">
        <v>15</v>
      </c>
      <c r="C125" t="s">
        <v>793</v>
      </c>
      <c r="D125">
        <v>18230016</v>
      </c>
      <c r="E125" s="530">
        <v>21720</v>
      </c>
      <c r="F125" s="530">
        <v>19548</v>
      </c>
      <c r="G125" s="530">
        <v>0</v>
      </c>
      <c r="H125" s="530">
        <v>0</v>
      </c>
      <c r="I125" s="530">
        <v>0</v>
      </c>
      <c r="J125" s="530">
        <v>0</v>
      </c>
      <c r="K125" s="530">
        <v>0</v>
      </c>
      <c r="L125" s="530">
        <v>0</v>
      </c>
      <c r="M125" s="530">
        <v>0</v>
      </c>
      <c r="N125" s="531">
        <f t="shared" si="2"/>
        <v>41268</v>
      </c>
      <c r="O125" s="531">
        <f t="shared" si="3"/>
        <v>41268</v>
      </c>
    </row>
    <row r="126" spans="1:16" x14ac:dyDescent="0.25">
      <c r="C126" t="s">
        <v>797</v>
      </c>
      <c r="D126">
        <v>18239999</v>
      </c>
      <c r="E126" s="530">
        <v>0</v>
      </c>
      <c r="F126" s="530">
        <v>0</v>
      </c>
      <c r="G126" s="530">
        <v>0</v>
      </c>
      <c r="H126" s="530">
        <v>0</v>
      </c>
      <c r="I126" s="530">
        <v>79240</v>
      </c>
      <c r="J126" s="530">
        <v>8030</v>
      </c>
      <c r="K126" s="530">
        <v>0</v>
      </c>
      <c r="L126" s="530">
        <v>0</v>
      </c>
      <c r="M126" s="530">
        <v>0</v>
      </c>
      <c r="N126" s="531">
        <f t="shared" si="2"/>
        <v>87270</v>
      </c>
      <c r="O126" s="531">
        <f t="shared" si="3"/>
        <v>87270</v>
      </c>
    </row>
    <row r="127" spans="1:16" x14ac:dyDescent="0.25">
      <c r="C127" t="s">
        <v>796</v>
      </c>
      <c r="D127">
        <v>18239998</v>
      </c>
      <c r="E127" s="530">
        <v>0</v>
      </c>
      <c r="F127" s="530">
        <v>0</v>
      </c>
      <c r="G127" s="530">
        <v>0</v>
      </c>
      <c r="H127" s="530">
        <v>0</v>
      </c>
      <c r="I127" s="530">
        <v>79240</v>
      </c>
      <c r="J127" s="530">
        <v>8030</v>
      </c>
      <c r="K127" s="530">
        <v>0</v>
      </c>
      <c r="L127" s="530">
        <v>0</v>
      </c>
      <c r="M127" s="530">
        <v>0</v>
      </c>
      <c r="N127" s="531">
        <f t="shared" si="2"/>
        <v>87270</v>
      </c>
      <c r="O127" s="531">
        <f t="shared" si="3"/>
        <v>87270</v>
      </c>
    </row>
    <row r="128" spans="1:16" x14ac:dyDescent="0.25">
      <c r="C128" t="s">
        <v>2028</v>
      </c>
      <c r="D128">
        <v>18230566</v>
      </c>
      <c r="E128" s="530">
        <v>0</v>
      </c>
      <c r="F128" s="530">
        <v>0</v>
      </c>
      <c r="G128" s="530">
        <v>0</v>
      </c>
      <c r="H128" s="530">
        <v>0</v>
      </c>
      <c r="I128" s="530">
        <v>740000</v>
      </c>
      <c r="J128" s="530">
        <v>0</v>
      </c>
      <c r="K128" s="530">
        <v>0</v>
      </c>
      <c r="L128" s="530">
        <v>0</v>
      </c>
      <c r="M128" s="530">
        <v>0</v>
      </c>
      <c r="N128" s="531">
        <f t="shared" si="2"/>
        <v>740000</v>
      </c>
      <c r="O128" s="531">
        <f t="shared" si="3"/>
        <v>740000</v>
      </c>
    </row>
    <row r="129" spans="3:15" x14ac:dyDescent="0.25">
      <c r="C129" t="s">
        <v>2027</v>
      </c>
      <c r="D129">
        <v>18230266</v>
      </c>
      <c r="E129" s="530">
        <v>0</v>
      </c>
      <c r="F129" s="530">
        <v>0</v>
      </c>
      <c r="G129" s="530">
        <v>0</v>
      </c>
      <c r="H129" s="530">
        <v>0</v>
      </c>
      <c r="I129" s="530">
        <v>360000</v>
      </c>
      <c r="J129" s="530">
        <v>0</v>
      </c>
      <c r="K129" s="530">
        <v>0</v>
      </c>
      <c r="L129" s="530">
        <v>0</v>
      </c>
      <c r="M129" s="530">
        <v>0</v>
      </c>
      <c r="N129" s="531">
        <f t="shared" ref="N129" si="4">SUM(E129:M129)</f>
        <v>360000</v>
      </c>
      <c r="O129" s="531">
        <f t="shared" ref="O129" si="5">N129-L129</f>
        <v>360000</v>
      </c>
    </row>
    <row r="130" spans="3:15" x14ac:dyDescent="0.25">
      <c r="C130" t="s">
        <v>795</v>
      </c>
      <c r="D130">
        <v>18230753</v>
      </c>
      <c r="E130" s="530">
        <v>1225100</v>
      </c>
      <c r="F130" s="530">
        <v>1102590</v>
      </c>
      <c r="G130" s="530">
        <v>3000000</v>
      </c>
      <c r="H130" s="530">
        <v>141000</v>
      </c>
      <c r="I130" s="530">
        <v>683000</v>
      </c>
      <c r="J130" s="530">
        <v>40000</v>
      </c>
      <c r="K130" s="530">
        <v>4040000</v>
      </c>
      <c r="L130" s="530">
        <v>0</v>
      </c>
      <c r="M130" s="530">
        <v>0</v>
      </c>
      <c r="N130" s="531">
        <f t="shared" si="2"/>
        <v>10231690</v>
      </c>
      <c r="O130" s="531">
        <f t="shared" si="3"/>
        <v>10231690</v>
      </c>
    </row>
    <row r="131" spans="3:15" x14ac:dyDescent="0.25">
      <c r="C131" t="s">
        <v>798</v>
      </c>
      <c r="D131">
        <v>18230262</v>
      </c>
      <c r="E131" s="530">
        <v>0</v>
      </c>
      <c r="F131" s="530">
        <v>0</v>
      </c>
      <c r="G131" s="530">
        <v>0</v>
      </c>
      <c r="H131" s="530">
        <v>0</v>
      </c>
      <c r="I131" s="530">
        <v>14000</v>
      </c>
      <c r="J131" s="530">
        <v>0</v>
      </c>
      <c r="K131" s="530">
        <v>0</v>
      </c>
      <c r="L131" s="530">
        <v>0</v>
      </c>
      <c r="M131" s="530">
        <v>0</v>
      </c>
      <c r="N131" s="531">
        <f t="shared" si="2"/>
        <v>14000</v>
      </c>
      <c r="O131" s="531">
        <f t="shared" si="3"/>
        <v>14000</v>
      </c>
    </row>
    <row r="132" spans="3:15" x14ac:dyDescent="0.25">
      <c r="C132" t="s">
        <v>2024</v>
      </c>
      <c r="D132">
        <v>18230511</v>
      </c>
      <c r="E132" s="530">
        <v>0</v>
      </c>
      <c r="F132" s="530">
        <v>0</v>
      </c>
      <c r="G132" s="530">
        <v>0</v>
      </c>
      <c r="H132" s="530">
        <v>0</v>
      </c>
      <c r="I132" s="530">
        <v>150000</v>
      </c>
      <c r="J132" s="530">
        <v>0</v>
      </c>
      <c r="K132" s="530">
        <v>0</v>
      </c>
      <c r="L132" s="530">
        <v>0</v>
      </c>
      <c r="M132" s="530">
        <v>0</v>
      </c>
      <c r="N132" s="531">
        <f t="shared" ref="N132" si="6">SUM(E132:M132)</f>
        <v>150000</v>
      </c>
      <c r="O132" s="531">
        <f t="shared" ref="O132" si="7">N132-L132</f>
        <v>150000</v>
      </c>
    </row>
    <row r="133" spans="3:15" x14ac:dyDescent="0.25">
      <c r="C133" t="s">
        <v>2025</v>
      </c>
      <c r="D133">
        <v>18230229</v>
      </c>
      <c r="E133" s="530"/>
      <c r="F133" s="530"/>
      <c r="G133" s="530"/>
      <c r="H133" s="530"/>
      <c r="I133" s="530"/>
      <c r="J133" s="530"/>
      <c r="K133" s="530"/>
      <c r="L133" s="530"/>
      <c r="M133" s="530"/>
      <c r="N133" s="531"/>
      <c r="O133" s="531"/>
    </row>
    <row r="134" spans="3:15" x14ac:dyDescent="0.25">
      <c r="E134" s="544">
        <f>SUM(E2:E132)</f>
        <v>31620962</v>
      </c>
      <c r="F134" s="544">
        <f t="shared" ref="F134:L134" si="8">SUM(F2:F132)</f>
        <v>28470865.800000004</v>
      </c>
      <c r="G134" s="544">
        <f t="shared" si="8"/>
        <v>9951900</v>
      </c>
      <c r="H134" s="544">
        <f t="shared" si="8"/>
        <v>890234</v>
      </c>
      <c r="I134" s="544">
        <f t="shared" si="8"/>
        <v>57822009.669999987</v>
      </c>
      <c r="J134" s="544">
        <f t="shared" si="8"/>
        <v>445254</v>
      </c>
      <c r="K134" s="544">
        <f t="shared" si="8"/>
        <v>9579000</v>
      </c>
      <c r="L134" s="544">
        <f t="shared" si="8"/>
        <v>167242456.05000001</v>
      </c>
    </row>
    <row r="136" spans="3:15" x14ac:dyDescent="0.25">
      <c r="E136" s="4">
        <f>SUM(E134:H134,J134,K134)</f>
        <v>80958215.800000012</v>
      </c>
    </row>
  </sheetData>
  <autoFilter ref="A1:P134">
    <sortState ref="A2:P124">
      <sortCondition ref="C1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D1" zoomScale="85" zoomScaleNormal="85" workbookViewId="0">
      <selection activeCell="E8" sqref="E8:R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18230140</v>
      </c>
      <c r="D2" s="19" t="s">
        <v>26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18230140</v>
      </c>
      <c r="D5" s="60" t="s">
        <v>26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Costs'!L:L)+SUMIF('Program Costs'!D:D,C8,'Program Costs'!L:L)</f>
        <v>0</v>
      </c>
      <c r="B6" s="88" t="s">
        <v>301</v>
      </c>
      <c r="C6" s="89">
        <v>18230140</v>
      </c>
      <c r="D6" s="60" t="s">
        <v>26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89">
        <v>18230140</v>
      </c>
      <c r="D7" s="60" t="s">
        <v>26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Costs'!O:O)+SUMIF('Program Costs'!D:D,C8,'Program Costs'!O:O)</f>
        <v>0</v>
      </c>
      <c r="B8" s="88"/>
      <c r="C8" s="91">
        <v>18231128</v>
      </c>
      <c r="D8" s="91" t="s">
        <v>533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A4"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18230134</v>
      </c>
      <c r="D2" s="19" t="s">
        <v>164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163</v>
      </c>
      <c r="C5" s="89">
        <v>18230134</v>
      </c>
      <c r="D5" s="60" t="s">
        <v>164</v>
      </c>
      <c r="E5" s="37"/>
      <c r="F5" s="38"/>
      <c r="G5" s="38">
        <v>5</v>
      </c>
      <c r="H5" s="38"/>
      <c r="I5" s="39" t="s">
        <v>273</v>
      </c>
      <c r="J5" s="40">
        <v>1</v>
      </c>
      <c r="K5" s="40">
        <v>0</v>
      </c>
      <c r="L5" s="40"/>
      <c r="M5" s="41"/>
      <c r="N5" s="41"/>
      <c r="O5" s="42">
        <v>0</v>
      </c>
      <c r="P5" s="43">
        <v>120000</v>
      </c>
      <c r="Q5" s="43">
        <f>P5*2</f>
        <v>240000</v>
      </c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120000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0.74608136726953223</v>
      </c>
      <c r="AG5" s="43">
        <f t="shared" ref="AG5:AG24" si="10">AF5*J5*K5</f>
        <v>0</v>
      </c>
      <c r="AH5" s="51">
        <f>HLOOKUP(I5,ElecAvoidedCostsWOCC!$A$5:$Q$50,T5+1,FALSE)</f>
        <v>0.74608136726953223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120000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1047084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120000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120000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1167084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1287084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140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18230421</v>
      </c>
      <c r="D2" s="19" t="s">
        <v>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18230421</v>
      </c>
      <c r="D5" s="60" t="s">
        <v>47</v>
      </c>
      <c r="E5" s="37"/>
      <c r="F5" s="38"/>
      <c r="G5" s="38">
        <v>5</v>
      </c>
      <c r="H5" s="38"/>
      <c r="I5" s="39" t="s">
        <v>260</v>
      </c>
      <c r="J5" s="40">
        <v>1</v>
      </c>
      <c r="K5" s="42">
        <v>35698422</v>
      </c>
      <c r="L5" s="40"/>
      <c r="M5" s="41"/>
      <c r="N5" s="41"/>
      <c r="O5" s="42">
        <v>35698422</v>
      </c>
      <c r="P5" s="43"/>
      <c r="Q5" s="43"/>
      <c r="R5" s="44"/>
      <c r="S5" s="45">
        <v>0</v>
      </c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9715288</v>
      </c>
      <c r="Y5" s="43">
        <f t="shared" ref="Y5:Y24" si="5">Q5-P5</f>
        <v>0</v>
      </c>
      <c r="Z5" s="43">
        <f t="shared" ref="Z5:Z24" si="6">X5+(A$6*W5)</f>
        <v>9715288</v>
      </c>
      <c r="AA5" s="49">
        <f t="shared" ref="AA5:AA24" si="7">Q5+X5</f>
        <v>9715288</v>
      </c>
      <c r="AB5" s="50">
        <f t="shared" ref="AB5:AC20" si="8">Z5/(1+ElecDiscountRate)^1</f>
        <v>9096711.6104868911</v>
      </c>
      <c r="AC5" s="43">
        <f t="shared" si="8"/>
        <v>9096711.6104868911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20055244.619641874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20055244.619641874</v>
      </c>
      <c r="AK5" s="43">
        <f>HLOOKUP(I5,ElecAvoidedCostsWOCC!$A$5:$Q$50,G5+1,FALSE)*J5*L5</f>
        <v>0</v>
      </c>
      <c r="AL5" s="43">
        <f>AG5+AI5-AK5</f>
        <v>20055244.619641874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20055244.619641874</v>
      </c>
      <c r="AN5" s="47">
        <f>AM5*1.1+AD5+AE5</f>
        <v>22060769.081606064</v>
      </c>
      <c r="AO5" s="46">
        <f>IFERROR(AM5/AB5,0)</f>
        <v>2.2046697178485624</v>
      </c>
      <c r="AP5" s="46">
        <f>AN5/AC5</f>
        <v>2.4251366896334186</v>
      </c>
    </row>
    <row r="6" spans="1:42" ht="13.5" customHeight="1" x14ac:dyDescent="0.25">
      <c r="A6" s="52">
        <f>SUMIF('Program Costs'!C:C,D2,'Program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9715288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35698422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9715288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9715288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2.2046697178485624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2.4251366896334186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18230713</v>
      </c>
      <c r="D2" s="19" t="s">
        <v>93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92</v>
      </c>
      <c r="C5" s="89">
        <v>18230713</v>
      </c>
      <c r="D5" s="60" t="s">
        <v>93</v>
      </c>
      <c r="E5" s="37"/>
      <c r="F5" s="38"/>
      <c r="G5" s="38">
        <v>15</v>
      </c>
      <c r="H5" s="38"/>
      <c r="I5" s="39" t="s">
        <v>260</v>
      </c>
      <c r="J5" s="40">
        <v>1</v>
      </c>
      <c r="K5" s="40">
        <v>17756000</v>
      </c>
      <c r="L5" s="40"/>
      <c r="M5" s="41"/>
      <c r="N5" s="41"/>
      <c r="O5" s="42">
        <v>17756000</v>
      </c>
      <c r="P5" s="43"/>
      <c r="Q5" s="43"/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23565361.496736281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23565361.496736281</v>
      </c>
      <c r="AK5" s="43">
        <f>HLOOKUP(I5,ElecAvoidedCostsWOCC!$A$5:$Q$50,G5+1,FALSE)*J5*L5</f>
        <v>0</v>
      </c>
      <c r="AL5" s="43">
        <f>AG5+AI5-AK5</f>
        <v>23565361.496736281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23565361.496736281</v>
      </c>
      <c r="AN5" s="47">
        <f>AM5*1.1+AD5+AE5</f>
        <v>25921897.64640991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0</v>
      </c>
      <c r="B6" s="88" t="s">
        <v>92</v>
      </c>
      <c r="C6" s="89">
        <v>18230713</v>
      </c>
      <c r="D6" s="60" t="s">
        <v>93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17756000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A5"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0.5703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89">
        <v>18230661</v>
      </c>
      <c r="D2" s="60" t="s">
        <v>103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102</v>
      </c>
      <c r="C5" s="89">
        <v>18230661</v>
      </c>
      <c r="D5" s="60" t="s">
        <v>103</v>
      </c>
      <c r="E5" s="37"/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1" si="0">G5+H5</f>
        <v>0</v>
      </c>
      <c r="U5" s="46">
        <f t="shared" ref="U5:U21" si="1">(O5/$A$10)*T5</f>
        <v>0</v>
      </c>
      <c r="V5" s="47">
        <f t="shared" ref="V5:V21" si="2">N5-M5</f>
        <v>0</v>
      </c>
      <c r="W5" s="48">
        <f t="shared" ref="W5:W21" si="3">(O5/A$10)</f>
        <v>0</v>
      </c>
      <c r="X5" s="43">
        <f t="shared" ref="X5:X21" si="4">W5*A$8</f>
        <v>0</v>
      </c>
      <c r="Y5" s="43">
        <f t="shared" ref="Y5:Y21" si="5">Q5-P5</f>
        <v>0</v>
      </c>
      <c r="Z5" s="43">
        <f t="shared" ref="Z5:Z21" si="6">X5+(A$6*W5)</f>
        <v>0</v>
      </c>
      <c r="AA5" s="49">
        <f t="shared" ref="AA5:AA21" si="7">Q5+X5</f>
        <v>0</v>
      </c>
      <c r="AB5" s="50">
        <f t="shared" ref="AB5:AC21" si="8">Z5/(1+GasDiscountRate)^1</f>
        <v>0</v>
      </c>
      <c r="AC5" s="43">
        <f t="shared" si="8"/>
        <v>0</v>
      </c>
      <c r="AD5" s="43" t="e">
        <f t="shared" ref="AD5:AD21" si="9">-PV(GasDiscountRate,T5,R5)*J5</f>
        <v>#VALUE!</v>
      </c>
      <c r="AE5" s="43">
        <v>0</v>
      </c>
      <c r="AF5" s="51" t="e">
        <f>HLOOKUP(I5,GasAvoidedCostsWOCC!$A$5:$G$50,G5+1,FALSE)</f>
        <v>#N/A</v>
      </c>
      <c r="AG5" s="43" t="e">
        <f t="shared" ref="AG5:AG21" si="10">AF5*J5*K5</f>
        <v>#N/A</v>
      </c>
      <c r="AH5" s="51" t="e">
        <f>HLOOKUP(I5,GasAvoidedCostsWOCC!$A$5:$Q$50,T5+1,FALSE)</f>
        <v>#N/A</v>
      </c>
      <c r="AI5" s="43" t="e">
        <f t="shared" ref="AI5:AI21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3027488.5</v>
      </c>
      <c r="B6" s="88" t="s">
        <v>102</v>
      </c>
      <c r="C6" s="89">
        <v>18230661</v>
      </c>
      <c r="D6" s="60" t="s">
        <v>103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168096</v>
      </c>
      <c r="N6" s="41">
        <v>168096</v>
      </c>
      <c r="O6" s="42">
        <v>0</v>
      </c>
      <c r="P6" s="43">
        <v>168096</v>
      </c>
      <c r="Q6" s="43">
        <v>168096</v>
      </c>
      <c r="R6" s="44">
        <v>168096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168096</v>
      </c>
      <c r="AB6" s="50">
        <f t="shared" si="8"/>
        <v>0</v>
      </c>
      <c r="AC6" s="43">
        <f t="shared" si="8"/>
        <v>157393.25842696629</v>
      </c>
      <c r="AD6" s="43">
        <f t="shared" si="9"/>
        <v>157393.25842696641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1" si="12">AG6+AI6</f>
        <v>#N/A</v>
      </c>
      <c r="AK6" s="43" t="e">
        <f>HLOOKUP(I6,GasAvoidedCostsWOCC!$A$5:$Q$50,G6+1,FALSE)*J6*L6</f>
        <v>#N/A</v>
      </c>
      <c r="AL6" s="43" t="e">
        <f t="shared" ref="AL6:AL21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1" si="14">AM6*1.1+AD6+AE6</f>
        <v>157393.25842696641</v>
      </c>
      <c r="AO6" s="46">
        <f t="shared" ref="AO6:AO21" si="15">IFERROR(AM6/AB6,0)</f>
        <v>0</v>
      </c>
      <c r="AP6" s="46">
        <f t="shared" ref="AP6:AP21" si="16">AN6/AC6</f>
        <v>1.0000000000000007</v>
      </c>
    </row>
    <row r="7" spans="1:42" ht="13.5" customHeight="1" x14ac:dyDescent="0.25">
      <c r="A7" s="35" t="s">
        <v>239</v>
      </c>
      <c r="B7" s="88" t="s">
        <v>102</v>
      </c>
      <c r="C7" s="89">
        <v>18230661</v>
      </c>
      <c r="D7" s="60" t="s">
        <v>103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168096</v>
      </c>
      <c r="N7" s="41">
        <v>168096</v>
      </c>
      <c r="O7" s="42">
        <v>0</v>
      </c>
      <c r="P7" s="43">
        <v>168096</v>
      </c>
      <c r="Q7" s="43">
        <v>168096</v>
      </c>
      <c r="R7" s="44">
        <v>168096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168096</v>
      </c>
      <c r="AB7" s="50">
        <f t="shared" si="8"/>
        <v>0</v>
      </c>
      <c r="AC7" s="43">
        <f t="shared" si="8"/>
        <v>157393.25842696629</v>
      </c>
      <c r="AD7" s="43">
        <f t="shared" si="9"/>
        <v>157393.25842696641</v>
      </c>
      <c r="AE7" s="43">
        <f t="shared" ref="AE7:AE21" si="17">-PV(GasDiscountRate,T7,S7)*J7</f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157393.25842696641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142884.20000000019</v>
      </c>
      <c r="B8" s="88" t="s">
        <v>102</v>
      </c>
      <c r="C8" s="89">
        <v>18230661</v>
      </c>
      <c r="D8" s="60" t="s">
        <v>103</v>
      </c>
      <c r="E8" s="37" t="s">
        <v>1176</v>
      </c>
      <c r="F8" s="38" t="s">
        <v>1177</v>
      </c>
      <c r="G8" s="38">
        <v>25</v>
      </c>
      <c r="H8" s="38">
        <v>0</v>
      </c>
      <c r="I8" s="39" t="s">
        <v>273</v>
      </c>
      <c r="J8" s="40">
        <v>3000</v>
      </c>
      <c r="K8" s="40">
        <v>0.02</v>
      </c>
      <c r="L8" s="40">
        <v>0</v>
      </c>
      <c r="M8" s="41">
        <v>1.58</v>
      </c>
      <c r="N8" s="41">
        <v>1.58</v>
      </c>
      <c r="O8" s="42">
        <v>60</v>
      </c>
      <c r="P8" s="43">
        <v>4740</v>
      </c>
      <c r="Q8" s="43">
        <v>4740</v>
      </c>
      <c r="R8" s="44">
        <v>2.0999999999999999E-3</v>
      </c>
      <c r="S8" s="45"/>
      <c r="T8" s="38">
        <f t="shared" si="0"/>
        <v>25</v>
      </c>
      <c r="U8" s="46">
        <f t="shared" si="1"/>
        <v>3.4218450588557346E-2</v>
      </c>
      <c r="V8" s="47">
        <f t="shared" si="2"/>
        <v>0</v>
      </c>
      <c r="W8" s="48">
        <f t="shared" si="3"/>
        <v>1.368738023542294E-3</v>
      </c>
      <c r="X8" s="43">
        <f t="shared" si="4"/>
        <v>195.5710375034221</v>
      </c>
      <c r="Y8" s="43">
        <f t="shared" si="5"/>
        <v>0</v>
      </c>
      <c r="Z8" s="43">
        <f t="shared" si="6"/>
        <v>4339.4096632904466</v>
      </c>
      <c r="AA8" s="49">
        <f t="shared" si="7"/>
        <v>4935.5710375034223</v>
      </c>
      <c r="AB8" s="50">
        <f t="shared" si="8"/>
        <v>4063.1176622569724</v>
      </c>
      <c r="AC8" s="43">
        <f t="shared" si="8"/>
        <v>4621.3211961642528</v>
      </c>
      <c r="AD8" s="43">
        <f t="shared" si="9"/>
        <v>74.759531118080275</v>
      </c>
      <c r="AE8" s="43">
        <f t="shared" si="17"/>
        <v>0</v>
      </c>
      <c r="AF8" s="51">
        <f>HLOOKUP(I8,GasAvoidedCostsWOCC!$A$5:$G$50,G8+1,FALSE)</f>
        <v>22.891286501587491</v>
      </c>
      <c r="AG8" s="43">
        <f t="shared" si="10"/>
        <v>1373.4771900952494</v>
      </c>
      <c r="AH8" s="51">
        <f>HLOOKUP(I8,GasAvoidedCostsWOCC!$A$5:$Q$50,T8+1,FALSE)</f>
        <v>22.891286501587491</v>
      </c>
      <c r="AI8" s="43">
        <f t="shared" si="11"/>
        <v>0</v>
      </c>
      <c r="AJ8" s="43">
        <f t="shared" si="12"/>
        <v>1373.4771900952494</v>
      </c>
      <c r="AK8" s="43">
        <f>HLOOKUP(I8,GasAvoidedCostsWOCC!$A$5:$Q$50,G8+1,FALSE)*J8*L8</f>
        <v>0</v>
      </c>
      <c r="AL8" s="43">
        <f t="shared" si="13"/>
        <v>1373.4771900952494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1373.4771900952494</v>
      </c>
      <c r="AN8" s="47">
        <f t="shared" si="14"/>
        <v>1585.5844402228547</v>
      </c>
      <c r="AO8" s="46">
        <f t="shared" si="15"/>
        <v>0.33803529808002486</v>
      </c>
      <c r="AP8" s="46">
        <f t="shared" si="16"/>
        <v>0.34310197731741893</v>
      </c>
    </row>
    <row r="9" spans="1:42" ht="13.5" customHeight="1" x14ac:dyDescent="0.25">
      <c r="A9" s="35" t="s">
        <v>303</v>
      </c>
      <c r="B9" s="88" t="s">
        <v>102</v>
      </c>
      <c r="C9" s="89">
        <v>18230661</v>
      </c>
      <c r="D9" s="60" t="s">
        <v>103</v>
      </c>
      <c r="E9" s="37" t="s">
        <v>1178</v>
      </c>
      <c r="F9" s="38" t="s">
        <v>1179</v>
      </c>
      <c r="G9" s="38">
        <v>15</v>
      </c>
      <c r="H9" s="38">
        <v>0</v>
      </c>
      <c r="I9" s="39" t="s">
        <v>273</v>
      </c>
      <c r="J9" s="40">
        <v>25000</v>
      </c>
      <c r="K9" s="40">
        <v>2.1100000000000001E-2</v>
      </c>
      <c r="L9" s="40">
        <v>0</v>
      </c>
      <c r="M9" s="41">
        <v>1.81</v>
      </c>
      <c r="N9" s="41">
        <v>1.81</v>
      </c>
      <c r="O9" s="42">
        <v>527.5</v>
      </c>
      <c r="P9" s="43">
        <v>45250</v>
      </c>
      <c r="Q9" s="43">
        <v>45250</v>
      </c>
      <c r="R9" s="44">
        <v>1E-3</v>
      </c>
      <c r="S9" s="45"/>
      <c r="T9" s="38">
        <f t="shared" si="0"/>
        <v>15</v>
      </c>
      <c r="U9" s="46">
        <f t="shared" si="1"/>
        <v>0.18050232685464002</v>
      </c>
      <c r="V9" s="47">
        <f t="shared" si="2"/>
        <v>0</v>
      </c>
      <c r="W9" s="48">
        <f t="shared" si="3"/>
        <v>1.2033488456976001E-2</v>
      </c>
      <c r="X9" s="43">
        <f t="shared" si="4"/>
        <v>1719.3953713842525</v>
      </c>
      <c r="Y9" s="43">
        <f t="shared" si="5"/>
        <v>0</v>
      </c>
      <c r="Z9" s="43">
        <f t="shared" si="6"/>
        <v>38150.643289761836</v>
      </c>
      <c r="AA9" s="49">
        <f t="shared" si="7"/>
        <v>46969.395371384249</v>
      </c>
      <c r="AB9" s="50">
        <f t="shared" si="8"/>
        <v>35721.576114009207</v>
      </c>
      <c r="AC9" s="43">
        <f t="shared" si="8"/>
        <v>43978.834617400978</v>
      </c>
      <c r="AD9" s="43">
        <f t="shared" si="9"/>
        <v>230.60233955220878</v>
      </c>
      <c r="AE9" s="43">
        <f t="shared" si="17"/>
        <v>0</v>
      </c>
      <c r="AF9" s="51">
        <f>HLOOKUP(I9,GasAvoidedCostsWOCC!$A$5:$G$50,G9+1,FALSE)</f>
        <v>15.482479593143392</v>
      </c>
      <c r="AG9" s="43">
        <f t="shared" si="10"/>
        <v>8167.0079853831394</v>
      </c>
      <c r="AH9" s="51">
        <f>HLOOKUP(I9,GasAvoidedCostsWOCC!$A$5:$Q$50,T9+1,FALSE)</f>
        <v>15.482479593143392</v>
      </c>
      <c r="AI9" s="43">
        <f t="shared" si="11"/>
        <v>0</v>
      </c>
      <c r="AJ9" s="43">
        <f t="shared" si="12"/>
        <v>8167.0079853831394</v>
      </c>
      <c r="AK9" s="43">
        <f>HLOOKUP(I9,GasAvoidedCostsWOCC!$A$5:$Q$50,G9+1,FALSE)*J9*L9</f>
        <v>0</v>
      </c>
      <c r="AL9" s="43">
        <f t="shared" si="13"/>
        <v>8167.0079853831394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8167.0079853831403</v>
      </c>
      <c r="AN9" s="47">
        <f t="shared" si="14"/>
        <v>9214.3111234736625</v>
      </c>
      <c r="AO9" s="46">
        <f t="shared" si="15"/>
        <v>0.22862955316745448</v>
      </c>
      <c r="AP9" s="46">
        <f t="shared" si="16"/>
        <v>0.2095169461318073</v>
      </c>
    </row>
    <row r="10" spans="1:42" ht="13.5" customHeight="1" x14ac:dyDescent="0.25">
      <c r="A10" s="53">
        <f>SUM(O5:O997)</f>
        <v>43836</v>
      </c>
      <c r="B10" s="88" t="s">
        <v>102</v>
      </c>
      <c r="C10" s="89">
        <v>18230661</v>
      </c>
      <c r="D10" s="60" t="s">
        <v>103</v>
      </c>
      <c r="E10" s="37" t="s">
        <v>1180</v>
      </c>
      <c r="F10" s="38" t="s">
        <v>1181</v>
      </c>
      <c r="G10" s="38">
        <v>18</v>
      </c>
      <c r="H10" s="38">
        <v>0</v>
      </c>
      <c r="I10" s="39" t="s">
        <v>273</v>
      </c>
      <c r="J10" s="40">
        <v>6</v>
      </c>
      <c r="K10" s="40">
        <v>63</v>
      </c>
      <c r="L10" s="40">
        <v>0</v>
      </c>
      <c r="M10" s="41">
        <v>714</v>
      </c>
      <c r="N10" s="41">
        <v>714</v>
      </c>
      <c r="O10" s="42">
        <v>378</v>
      </c>
      <c r="P10" s="43">
        <v>4284</v>
      </c>
      <c r="Q10" s="43">
        <v>4284</v>
      </c>
      <c r="R10" s="44">
        <v>25.814699999999998</v>
      </c>
      <c r="S10" s="45"/>
      <c r="T10" s="38">
        <f t="shared" si="0"/>
        <v>18</v>
      </c>
      <c r="U10" s="46">
        <f t="shared" si="1"/>
        <v>0.15521489186969614</v>
      </c>
      <c r="V10" s="47">
        <f t="shared" si="2"/>
        <v>0</v>
      </c>
      <c r="W10" s="48">
        <f t="shared" si="3"/>
        <v>8.623049548316452E-3</v>
      </c>
      <c r="X10" s="43">
        <f t="shared" si="4"/>
        <v>1232.0975362715592</v>
      </c>
      <c r="Y10" s="43">
        <f t="shared" si="5"/>
        <v>0</v>
      </c>
      <c r="Z10" s="43">
        <f t="shared" si="6"/>
        <v>27338.280878729809</v>
      </c>
      <c r="AA10" s="49">
        <f t="shared" si="7"/>
        <v>5516.097536271559</v>
      </c>
      <c r="AB10" s="50">
        <f t="shared" si="8"/>
        <v>25597.64127221892</v>
      </c>
      <c r="AC10" s="43">
        <f t="shared" si="8"/>
        <v>5164.885333587602</v>
      </c>
      <c r="AD10" s="43">
        <f t="shared" si="9"/>
        <v>1580.7771264013036</v>
      </c>
      <c r="AE10" s="43">
        <f t="shared" si="17"/>
        <v>0</v>
      </c>
      <c r="AF10" s="51">
        <f>HLOOKUP(I10,GasAvoidedCostsWOCC!$A$5:$G$50,G10+1,FALSE)</f>
        <v>17.876078617173665</v>
      </c>
      <c r="AG10" s="43">
        <f t="shared" si="10"/>
        <v>6757.1577172916459</v>
      </c>
      <c r="AH10" s="51">
        <f>HLOOKUP(I10,GasAvoidedCostsWOCC!$A$5:$Q$50,T10+1,FALSE)</f>
        <v>17.876078617173665</v>
      </c>
      <c r="AI10" s="43">
        <f t="shared" si="11"/>
        <v>0</v>
      </c>
      <c r="AJ10" s="43">
        <f t="shared" si="12"/>
        <v>6757.1577172916459</v>
      </c>
      <c r="AK10" s="43">
        <f>HLOOKUP(I10,GasAvoidedCostsWOCC!$A$5:$Q$50,G10+1,FALSE)*J10*L10</f>
        <v>0</v>
      </c>
      <c r="AL10" s="43">
        <f t="shared" si="13"/>
        <v>6757.1577172916459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6757.1577172916459</v>
      </c>
      <c r="AN10" s="47">
        <f t="shared" si="14"/>
        <v>9013.6506154221133</v>
      </c>
      <c r="AO10" s="46">
        <f t="shared" si="15"/>
        <v>0.26397579548179617</v>
      </c>
      <c r="AP10" s="46">
        <f t="shared" si="16"/>
        <v>1.7451792311449255</v>
      </c>
    </row>
    <row r="11" spans="1:42" ht="13.5" customHeight="1" x14ac:dyDescent="0.25">
      <c r="A11" s="35" t="s">
        <v>242</v>
      </c>
      <c r="B11" s="88" t="s">
        <v>102</v>
      </c>
      <c r="C11" s="89">
        <v>18230661</v>
      </c>
      <c r="D11" s="60" t="s">
        <v>103</v>
      </c>
      <c r="E11" s="37" t="s">
        <v>1182</v>
      </c>
      <c r="F11" s="38" t="s">
        <v>1183</v>
      </c>
      <c r="G11" s="38">
        <v>20</v>
      </c>
      <c r="H11" s="38">
        <v>0</v>
      </c>
      <c r="I11" s="39" t="s">
        <v>273</v>
      </c>
      <c r="J11" s="40">
        <v>30</v>
      </c>
      <c r="K11" s="40">
        <v>80.599999999999994</v>
      </c>
      <c r="L11" s="40">
        <v>0</v>
      </c>
      <c r="M11" s="41">
        <v>895</v>
      </c>
      <c r="N11" s="41">
        <v>895</v>
      </c>
      <c r="O11" s="42">
        <v>2418</v>
      </c>
      <c r="P11" s="43">
        <v>26850</v>
      </c>
      <c r="Q11" s="43">
        <v>26850</v>
      </c>
      <c r="R11" s="44">
        <v>40.066000000000003</v>
      </c>
      <c r="S11" s="45"/>
      <c r="T11" s="38">
        <f t="shared" si="0"/>
        <v>20</v>
      </c>
      <c r="U11" s="46">
        <f t="shared" si="1"/>
        <v>1.103202846975089</v>
      </c>
      <c r="V11" s="47">
        <f t="shared" si="2"/>
        <v>0</v>
      </c>
      <c r="W11" s="48">
        <f t="shared" si="3"/>
        <v>5.5160142348754451E-2</v>
      </c>
      <c r="X11" s="43">
        <f t="shared" si="4"/>
        <v>7881.5128113879109</v>
      </c>
      <c r="Y11" s="43">
        <f t="shared" si="5"/>
        <v>0</v>
      </c>
      <c r="Z11" s="43">
        <f t="shared" si="6"/>
        <v>174878.209430605</v>
      </c>
      <c r="AA11" s="49">
        <f t="shared" si="7"/>
        <v>34731.512811387911</v>
      </c>
      <c r="AB11" s="50">
        <f t="shared" si="8"/>
        <v>163743.64178895598</v>
      </c>
      <c r="AC11" s="43">
        <f t="shared" si="8"/>
        <v>32520.143081823884</v>
      </c>
      <c r="AD11" s="43">
        <f t="shared" si="9"/>
        <v>12934.157633229754</v>
      </c>
      <c r="AE11" s="43">
        <f t="shared" si="17"/>
        <v>0</v>
      </c>
      <c r="AF11" s="51">
        <f>HLOOKUP(I11,GasAvoidedCostsWOCC!$A$5:$G$50,G11+1,FALSE)</f>
        <v>19.395541552048424</v>
      </c>
      <c r="AG11" s="43">
        <f t="shared" si="10"/>
        <v>46898.419472853086</v>
      </c>
      <c r="AH11" s="51">
        <f>HLOOKUP(I11,GasAvoidedCostsWOCC!$A$5:$Q$50,T11+1,FALSE)</f>
        <v>19.395541552048424</v>
      </c>
      <c r="AI11" s="43">
        <f t="shared" si="11"/>
        <v>0</v>
      </c>
      <c r="AJ11" s="43">
        <f t="shared" si="12"/>
        <v>46898.419472853086</v>
      </c>
      <c r="AK11" s="43">
        <f>HLOOKUP(I11,GasAvoidedCostsWOCC!$A$5:$Q$50,G11+1,FALSE)*J11*L11</f>
        <v>0</v>
      </c>
      <c r="AL11" s="43">
        <f t="shared" si="13"/>
        <v>46898.419472853086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46898.419472853086</v>
      </c>
      <c r="AN11" s="47">
        <f t="shared" si="14"/>
        <v>64522.419053368154</v>
      </c>
      <c r="AO11" s="46">
        <f t="shared" si="15"/>
        <v>0.28641368275721496</v>
      </c>
      <c r="AP11" s="46">
        <f t="shared" si="16"/>
        <v>1.9840754971779611</v>
      </c>
    </row>
    <row r="12" spans="1:42" ht="13.5" customHeight="1" x14ac:dyDescent="0.25">
      <c r="A12" s="54">
        <f>SUM(P5:P998)</f>
        <v>2353345</v>
      </c>
      <c r="B12" s="88" t="s">
        <v>102</v>
      </c>
      <c r="C12" s="89">
        <v>18230661</v>
      </c>
      <c r="D12" s="60" t="s">
        <v>103</v>
      </c>
      <c r="E12" s="37" t="s">
        <v>1184</v>
      </c>
      <c r="F12" s="38" t="s">
        <v>1185</v>
      </c>
      <c r="G12" s="38">
        <v>25</v>
      </c>
      <c r="H12" s="38">
        <v>0</v>
      </c>
      <c r="I12" s="39" t="s">
        <v>273</v>
      </c>
      <c r="J12" s="40">
        <v>9000</v>
      </c>
      <c r="K12" s="40">
        <v>0.02</v>
      </c>
      <c r="L12" s="40">
        <v>0</v>
      </c>
      <c r="M12" s="41">
        <v>1.58</v>
      </c>
      <c r="N12" s="41">
        <v>1.58</v>
      </c>
      <c r="O12" s="42">
        <v>180</v>
      </c>
      <c r="P12" s="43">
        <v>14220</v>
      </c>
      <c r="Q12" s="43">
        <v>14220</v>
      </c>
      <c r="R12" s="44">
        <v>0.22120000000000001</v>
      </c>
      <c r="S12" s="45"/>
      <c r="T12" s="38">
        <f t="shared" si="0"/>
        <v>25</v>
      </c>
      <c r="U12" s="46">
        <f t="shared" si="1"/>
        <v>0.10265535176567206</v>
      </c>
      <c r="V12" s="47">
        <f t="shared" si="2"/>
        <v>0</v>
      </c>
      <c r="W12" s="48">
        <f t="shared" si="3"/>
        <v>4.1062140706268823E-3</v>
      </c>
      <c r="X12" s="43">
        <f t="shared" si="4"/>
        <v>586.71311251026634</v>
      </c>
      <c r="Y12" s="43">
        <f t="shared" si="5"/>
        <v>0</v>
      </c>
      <c r="Z12" s="43">
        <f t="shared" si="6"/>
        <v>13018.228989871341</v>
      </c>
      <c r="AA12" s="49">
        <f t="shared" si="7"/>
        <v>14806.713112510266</v>
      </c>
      <c r="AB12" s="50">
        <f t="shared" si="8"/>
        <v>12189.352986770917</v>
      </c>
      <c r="AC12" s="43">
        <f t="shared" si="8"/>
        <v>13863.963588492757</v>
      </c>
      <c r="AD12" s="43">
        <f t="shared" si="9"/>
        <v>23624.011833313365</v>
      </c>
      <c r="AE12" s="43">
        <f t="shared" si="17"/>
        <v>0</v>
      </c>
      <c r="AF12" s="51">
        <f>HLOOKUP(I12,GasAvoidedCostsWOCC!$A$5:$G$50,G12+1,FALSE)</f>
        <v>22.891286501587491</v>
      </c>
      <c r="AG12" s="43">
        <f t="shared" si="10"/>
        <v>4120.4315702857484</v>
      </c>
      <c r="AH12" s="51">
        <f>HLOOKUP(I12,GasAvoidedCostsWOCC!$A$5:$Q$50,T12+1,FALSE)</f>
        <v>22.891286501587491</v>
      </c>
      <c r="AI12" s="43">
        <f t="shared" si="11"/>
        <v>0</v>
      </c>
      <c r="AJ12" s="43">
        <f t="shared" si="12"/>
        <v>4120.4315702857484</v>
      </c>
      <c r="AK12" s="43">
        <f>HLOOKUP(I12,GasAvoidedCostsWOCC!$A$5:$Q$50,G12+1,FALSE)*J12*L12</f>
        <v>0</v>
      </c>
      <c r="AL12" s="43">
        <f t="shared" si="13"/>
        <v>4120.4315702857484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4120.4315702857484</v>
      </c>
      <c r="AN12" s="47">
        <f t="shared" si="14"/>
        <v>28156.486560627687</v>
      </c>
      <c r="AO12" s="46">
        <f t="shared" si="15"/>
        <v>0.33803529808002486</v>
      </c>
      <c r="AP12" s="46">
        <f t="shared" si="16"/>
        <v>2.0309117505182921</v>
      </c>
    </row>
    <row r="13" spans="1:42" ht="13.5" customHeight="1" x14ac:dyDescent="0.25">
      <c r="A13" s="55" t="s">
        <v>245</v>
      </c>
      <c r="B13" s="88" t="s">
        <v>102</v>
      </c>
      <c r="C13" s="89">
        <v>18230661</v>
      </c>
      <c r="D13" s="60" t="s">
        <v>103</v>
      </c>
      <c r="E13" s="37" t="s">
        <v>1186</v>
      </c>
      <c r="F13" s="38" t="s">
        <v>1187</v>
      </c>
      <c r="G13" s="38">
        <v>15</v>
      </c>
      <c r="H13" s="38">
        <v>0</v>
      </c>
      <c r="I13" s="39" t="s">
        <v>273</v>
      </c>
      <c r="J13" s="40">
        <v>50000</v>
      </c>
      <c r="K13" s="40">
        <v>0.02</v>
      </c>
      <c r="L13" s="40">
        <v>0</v>
      </c>
      <c r="M13" s="41">
        <v>1.81</v>
      </c>
      <c r="N13" s="41">
        <v>1.81</v>
      </c>
      <c r="O13" s="42">
        <v>1000</v>
      </c>
      <c r="P13" s="43">
        <v>90500</v>
      </c>
      <c r="Q13" s="43">
        <v>90500</v>
      </c>
      <c r="R13" s="44">
        <v>0.1096</v>
      </c>
      <c r="S13" s="45"/>
      <c r="T13" s="38">
        <f t="shared" si="0"/>
        <v>15</v>
      </c>
      <c r="U13" s="46">
        <f t="shared" si="1"/>
        <v>0.34218450588557348</v>
      </c>
      <c r="V13" s="47">
        <f t="shared" si="2"/>
        <v>0</v>
      </c>
      <c r="W13" s="48">
        <f t="shared" si="3"/>
        <v>2.2812300392371566E-2</v>
      </c>
      <c r="X13" s="43">
        <f t="shared" si="4"/>
        <v>3259.5172917237014</v>
      </c>
      <c r="Y13" s="43">
        <f t="shared" si="5"/>
        <v>0</v>
      </c>
      <c r="Z13" s="43">
        <f t="shared" si="6"/>
        <v>72323.494388174106</v>
      </c>
      <c r="AA13" s="49">
        <f t="shared" si="7"/>
        <v>93759.517291723707</v>
      </c>
      <c r="AB13" s="50">
        <f t="shared" si="8"/>
        <v>67718.627704282873</v>
      </c>
      <c r="AC13" s="43">
        <f t="shared" si="8"/>
        <v>87789.810198243169</v>
      </c>
      <c r="AD13" s="43">
        <f t="shared" si="9"/>
        <v>50548.03282984416</v>
      </c>
      <c r="AE13" s="43">
        <f t="shared" si="17"/>
        <v>0</v>
      </c>
      <c r="AF13" s="51">
        <f>HLOOKUP(I13,GasAvoidedCostsWOCC!$A$5:$G$50,G13+1,FALSE)</f>
        <v>15.482479593143392</v>
      </c>
      <c r="AG13" s="43">
        <f t="shared" si="10"/>
        <v>15482.479593143391</v>
      </c>
      <c r="AH13" s="51">
        <f>HLOOKUP(I13,GasAvoidedCostsWOCC!$A$5:$Q$50,T13+1,FALSE)</f>
        <v>15.482479593143392</v>
      </c>
      <c r="AI13" s="43">
        <f t="shared" si="11"/>
        <v>0</v>
      </c>
      <c r="AJ13" s="43">
        <f t="shared" si="12"/>
        <v>15482.479593143391</v>
      </c>
      <c r="AK13" s="43">
        <f>HLOOKUP(I13,GasAvoidedCostsWOCC!$A$5:$Q$50,G13+1,FALSE)*J13*L13</f>
        <v>0</v>
      </c>
      <c r="AL13" s="43">
        <f t="shared" si="13"/>
        <v>15482.479593143391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15482.479593143391</v>
      </c>
      <c r="AN13" s="47">
        <f t="shared" si="14"/>
        <v>67578.760382301887</v>
      </c>
      <c r="AO13" s="46">
        <f t="shared" si="15"/>
        <v>0.2286295531674544</v>
      </c>
      <c r="AP13" s="46">
        <f t="shared" si="16"/>
        <v>0.76977909201191397</v>
      </c>
    </row>
    <row r="14" spans="1:42" ht="13.5" customHeight="1" x14ac:dyDescent="0.25">
      <c r="A14" s="54">
        <f>SUM(Y5:Y998)</f>
        <v>0</v>
      </c>
      <c r="B14" s="88" t="s">
        <v>102</v>
      </c>
      <c r="C14" s="89">
        <v>18230661</v>
      </c>
      <c r="D14" s="60" t="s">
        <v>103</v>
      </c>
      <c r="E14" s="37" t="s">
        <v>1188</v>
      </c>
      <c r="F14" s="38" t="s">
        <v>1189</v>
      </c>
      <c r="G14" s="38">
        <v>25</v>
      </c>
      <c r="H14" s="38">
        <v>0</v>
      </c>
      <c r="I14" s="39" t="s">
        <v>273</v>
      </c>
      <c r="J14" s="40">
        <v>2600</v>
      </c>
      <c r="K14" s="40">
        <v>0.06</v>
      </c>
      <c r="L14" s="40">
        <v>0</v>
      </c>
      <c r="M14" s="41">
        <v>2.41</v>
      </c>
      <c r="N14" s="41">
        <v>2.41</v>
      </c>
      <c r="O14" s="42">
        <v>156</v>
      </c>
      <c r="P14" s="43">
        <v>6266</v>
      </c>
      <c r="Q14" s="43">
        <v>6266</v>
      </c>
      <c r="R14" s="44">
        <v>0.37280000000000002</v>
      </c>
      <c r="S14" s="45"/>
      <c r="T14" s="38">
        <f t="shared" si="0"/>
        <v>25</v>
      </c>
      <c r="U14" s="46">
        <f t="shared" si="1"/>
        <v>8.8967971530249101E-2</v>
      </c>
      <c r="V14" s="47">
        <f t="shared" si="2"/>
        <v>0</v>
      </c>
      <c r="W14" s="48">
        <f t="shared" si="3"/>
        <v>3.5587188612099642E-3</v>
      </c>
      <c r="X14" s="43">
        <f t="shared" si="4"/>
        <v>508.48469750889745</v>
      </c>
      <c r="Y14" s="43">
        <f t="shared" si="5"/>
        <v>0</v>
      </c>
      <c r="Z14" s="43">
        <f t="shared" si="6"/>
        <v>11282.465124555159</v>
      </c>
      <c r="AA14" s="49">
        <f t="shared" si="7"/>
        <v>6774.4846975088976</v>
      </c>
      <c r="AB14" s="50">
        <f t="shared" si="8"/>
        <v>10564.105921868126</v>
      </c>
      <c r="AC14" s="43">
        <f t="shared" si="8"/>
        <v>6343.1504658323011</v>
      </c>
      <c r="AD14" s="43">
        <f t="shared" si="9"/>
        <v>11502.050527322675</v>
      </c>
      <c r="AE14" s="43">
        <f t="shared" si="17"/>
        <v>0</v>
      </c>
      <c r="AF14" s="51">
        <f>HLOOKUP(I14,GasAvoidedCostsWOCC!$A$5:$G$50,G14+1,FALSE)</f>
        <v>22.891286501587491</v>
      </c>
      <c r="AG14" s="43">
        <f t="shared" si="10"/>
        <v>3571.0406942476484</v>
      </c>
      <c r="AH14" s="51">
        <f>HLOOKUP(I14,GasAvoidedCostsWOCC!$A$5:$Q$50,T14+1,FALSE)</f>
        <v>22.891286501587491</v>
      </c>
      <c r="AI14" s="43">
        <f t="shared" si="11"/>
        <v>0</v>
      </c>
      <c r="AJ14" s="43">
        <f t="shared" si="12"/>
        <v>3571.0406942476484</v>
      </c>
      <c r="AK14" s="43">
        <f>HLOOKUP(I14,GasAvoidedCostsWOCC!$A$5:$Q$50,G14+1,FALSE)*J14*L14</f>
        <v>0</v>
      </c>
      <c r="AL14" s="43">
        <f t="shared" si="13"/>
        <v>3571.0406942476484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3571.0406942476484</v>
      </c>
      <c r="AN14" s="47">
        <f t="shared" si="14"/>
        <v>15430.195290995089</v>
      </c>
      <c r="AO14" s="46">
        <f t="shared" si="15"/>
        <v>0.33803529808002492</v>
      </c>
      <c r="AP14" s="46">
        <f t="shared" si="16"/>
        <v>2.432575953244466</v>
      </c>
    </row>
    <row r="15" spans="1:42" ht="13.5" customHeight="1" x14ac:dyDescent="0.25">
      <c r="A15" s="56" t="s">
        <v>248</v>
      </c>
      <c r="B15" s="88" t="s">
        <v>102</v>
      </c>
      <c r="C15" s="89">
        <v>18230661</v>
      </c>
      <c r="D15" s="60" t="s">
        <v>103</v>
      </c>
      <c r="E15" s="37" t="s">
        <v>1190</v>
      </c>
      <c r="F15" s="38" t="s">
        <v>1191</v>
      </c>
      <c r="G15" s="38">
        <v>45</v>
      </c>
      <c r="H15" s="38">
        <v>0</v>
      </c>
      <c r="I15" s="39" t="s">
        <v>273</v>
      </c>
      <c r="J15" s="40">
        <v>7200</v>
      </c>
      <c r="K15" s="40">
        <v>0.16</v>
      </c>
      <c r="L15" s="40">
        <v>0</v>
      </c>
      <c r="M15" s="41">
        <v>2.63</v>
      </c>
      <c r="N15" s="41">
        <v>2.63</v>
      </c>
      <c r="O15" s="42">
        <v>1152</v>
      </c>
      <c r="P15" s="43">
        <v>18936</v>
      </c>
      <c r="Q15" s="43">
        <v>18936</v>
      </c>
      <c r="R15" s="44">
        <v>0.25740000000000002</v>
      </c>
      <c r="S15" s="45"/>
      <c r="T15" s="38">
        <f t="shared" si="0"/>
        <v>45</v>
      </c>
      <c r="U15" s="46">
        <f t="shared" si="1"/>
        <v>1.1825896523405419</v>
      </c>
      <c r="V15" s="47">
        <f t="shared" si="2"/>
        <v>0</v>
      </c>
      <c r="W15" s="48">
        <f t="shared" si="3"/>
        <v>2.6279770052012045E-2</v>
      </c>
      <c r="X15" s="43">
        <f t="shared" si="4"/>
        <v>3754.9639200657043</v>
      </c>
      <c r="Y15" s="43">
        <f t="shared" si="5"/>
        <v>0</v>
      </c>
      <c r="Z15" s="43">
        <f t="shared" si="6"/>
        <v>83316.66553517658</v>
      </c>
      <c r="AA15" s="49">
        <f t="shared" si="7"/>
        <v>22690.963920065704</v>
      </c>
      <c r="AB15" s="50">
        <f t="shared" si="8"/>
        <v>78011.859115333878</v>
      </c>
      <c r="AC15" s="43">
        <f t="shared" si="8"/>
        <v>21246.220898937925</v>
      </c>
      <c r="AD15" s="43">
        <f t="shared" si="9"/>
        <v>25842.47179898779</v>
      </c>
      <c r="AE15" s="43">
        <f t="shared" si="17"/>
        <v>0</v>
      </c>
      <c r="AF15" s="51">
        <f>HLOOKUP(I15,GasAvoidedCostsWOCC!$A$5:$G$50,G15+1,FALSE)</f>
        <v>37.569941081056932</v>
      </c>
      <c r="AG15" s="43">
        <f t="shared" si="10"/>
        <v>43280.572125377592</v>
      </c>
      <c r="AH15" s="51">
        <f>HLOOKUP(I15,GasAvoidedCostsWOCC!$A$5:$Q$50,T15+1,FALSE)</f>
        <v>37.569941081056932</v>
      </c>
      <c r="AI15" s="43">
        <f t="shared" si="11"/>
        <v>0</v>
      </c>
      <c r="AJ15" s="43">
        <f t="shared" si="12"/>
        <v>43280.572125377592</v>
      </c>
      <c r="AK15" s="43">
        <f>HLOOKUP(I15,GasAvoidedCostsWOCC!$A$5:$Q$50,G15+1,FALSE)*J15*L15</f>
        <v>0</v>
      </c>
      <c r="AL15" s="43">
        <f t="shared" si="13"/>
        <v>43280.572125377592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43280.572125377592</v>
      </c>
      <c r="AN15" s="47">
        <f t="shared" si="14"/>
        <v>73451.101136903148</v>
      </c>
      <c r="AO15" s="46">
        <f t="shared" si="15"/>
        <v>0.55479477884754624</v>
      </c>
      <c r="AP15" s="46">
        <f t="shared" si="16"/>
        <v>3.4571372238991871</v>
      </c>
    </row>
    <row r="16" spans="1:42" ht="13.5" customHeight="1" x14ac:dyDescent="0.25">
      <c r="A16" s="53">
        <f>SUM(U5:U997)</f>
        <v>29.683000273747599</v>
      </c>
      <c r="B16" s="88" t="s">
        <v>102</v>
      </c>
      <c r="C16" s="89">
        <v>18230661</v>
      </c>
      <c r="D16" s="60" t="s">
        <v>103</v>
      </c>
      <c r="E16" s="37" t="s">
        <v>1192</v>
      </c>
      <c r="F16" s="38" t="s">
        <v>1193</v>
      </c>
      <c r="G16" s="38">
        <v>45</v>
      </c>
      <c r="H16" s="38">
        <v>0</v>
      </c>
      <c r="I16" s="39" t="s">
        <v>273</v>
      </c>
      <c r="J16" s="40">
        <v>14000</v>
      </c>
      <c r="K16" s="40">
        <v>0.16</v>
      </c>
      <c r="L16" s="40">
        <v>0</v>
      </c>
      <c r="M16" s="41">
        <v>2.93</v>
      </c>
      <c r="N16" s="41">
        <v>2.93</v>
      </c>
      <c r="O16" s="42">
        <v>2240</v>
      </c>
      <c r="P16" s="43">
        <v>41020</v>
      </c>
      <c r="Q16" s="43">
        <v>41020</v>
      </c>
      <c r="R16" s="44">
        <v>0.1618</v>
      </c>
      <c r="S16" s="45"/>
      <c r="T16" s="38">
        <f t="shared" si="0"/>
        <v>45</v>
      </c>
      <c r="U16" s="46">
        <f t="shared" si="1"/>
        <v>2.299479879551054</v>
      </c>
      <c r="V16" s="47">
        <f t="shared" si="2"/>
        <v>0</v>
      </c>
      <c r="W16" s="48">
        <f t="shared" si="3"/>
        <v>5.109955287891231E-2</v>
      </c>
      <c r="X16" s="43">
        <f t="shared" si="4"/>
        <v>7301.3187334610921</v>
      </c>
      <c r="Y16" s="43">
        <f t="shared" si="5"/>
        <v>0</v>
      </c>
      <c r="Z16" s="43">
        <f t="shared" si="6"/>
        <v>162004.62742951</v>
      </c>
      <c r="AA16" s="49">
        <f t="shared" si="7"/>
        <v>48321.318733461092</v>
      </c>
      <c r="AB16" s="50">
        <f t="shared" si="8"/>
        <v>151689.72605759362</v>
      </c>
      <c r="AC16" s="43">
        <f t="shared" si="8"/>
        <v>45244.680462042219</v>
      </c>
      <c r="AD16" s="43">
        <f t="shared" si="9"/>
        <v>31586.358844355491</v>
      </c>
      <c r="AE16" s="43">
        <f t="shared" si="17"/>
        <v>0</v>
      </c>
      <c r="AF16" s="51">
        <f>HLOOKUP(I16,GasAvoidedCostsWOCC!$A$5:$G$50,G16+1,FALSE)</f>
        <v>37.569941081056932</v>
      </c>
      <c r="AG16" s="43">
        <f t="shared" si="10"/>
        <v>84156.668021567515</v>
      </c>
      <c r="AH16" s="51">
        <f>HLOOKUP(I16,GasAvoidedCostsWOCC!$A$5:$Q$50,T16+1,FALSE)</f>
        <v>37.569941081056932</v>
      </c>
      <c r="AI16" s="43">
        <f t="shared" si="11"/>
        <v>0</v>
      </c>
      <c r="AJ16" s="43">
        <f t="shared" si="12"/>
        <v>84156.668021567515</v>
      </c>
      <c r="AK16" s="43">
        <f>HLOOKUP(I16,GasAvoidedCostsWOCC!$A$5:$Q$50,G16+1,FALSE)*J16*L16</f>
        <v>0</v>
      </c>
      <c r="AL16" s="43">
        <f t="shared" si="13"/>
        <v>84156.668021567515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84156.66802156753</v>
      </c>
      <c r="AN16" s="47">
        <f t="shared" si="14"/>
        <v>124158.69366807978</v>
      </c>
      <c r="AO16" s="46">
        <f t="shared" si="15"/>
        <v>0.55479477884754624</v>
      </c>
      <c r="AP16" s="46">
        <f t="shared" si="16"/>
        <v>2.7441611345281141</v>
      </c>
    </row>
    <row r="17" spans="1:42" ht="13.5" customHeight="1" x14ac:dyDescent="0.25">
      <c r="A17" s="57" t="s">
        <v>251</v>
      </c>
      <c r="B17" s="88" t="s">
        <v>102</v>
      </c>
      <c r="C17" s="89">
        <v>18230661</v>
      </c>
      <c r="D17" s="60" t="s">
        <v>103</v>
      </c>
      <c r="E17" s="37" t="s">
        <v>1194</v>
      </c>
      <c r="F17" s="38" t="s">
        <v>1195</v>
      </c>
      <c r="G17" s="38">
        <v>45</v>
      </c>
      <c r="H17" s="38">
        <v>0</v>
      </c>
      <c r="I17" s="39" t="s">
        <v>273</v>
      </c>
      <c r="J17" s="40">
        <v>22000</v>
      </c>
      <c r="K17" s="40">
        <v>0.05</v>
      </c>
      <c r="L17" s="40">
        <v>0</v>
      </c>
      <c r="M17" s="41">
        <v>2.1800000000000002</v>
      </c>
      <c r="N17" s="41">
        <v>2.1800000000000002</v>
      </c>
      <c r="O17" s="42">
        <v>1100</v>
      </c>
      <c r="P17" s="43">
        <v>47960</v>
      </c>
      <c r="Q17" s="43">
        <v>47960</v>
      </c>
      <c r="R17" s="44">
        <v>0.20169999999999999</v>
      </c>
      <c r="S17" s="45"/>
      <c r="T17" s="38">
        <f t="shared" si="0"/>
        <v>45</v>
      </c>
      <c r="U17" s="46">
        <f t="shared" si="1"/>
        <v>1.1292088694223925</v>
      </c>
      <c r="V17" s="47">
        <f t="shared" si="2"/>
        <v>0</v>
      </c>
      <c r="W17" s="48">
        <f t="shared" si="3"/>
        <v>2.5093530431608724E-2</v>
      </c>
      <c r="X17" s="43">
        <f t="shared" si="4"/>
        <v>3585.4690208960719</v>
      </c>
      <c r="Y17" s="43">
        <f t="shared" si="5"/>
        <v>0</v>
      </c>
      <c r="Z17" s="43">
        <f t="shared" si="6"/>
        <v>79555.84382699152</v>
      </c>
      <c r="AA17" s="49">
        <f t="shared" si="7"/>
        <v>51545.469020896075</v>
      </c>
      <c r="AB17" s="50">
        <f t="shared" si="8"/>
        <v>74490.490474711158</v>
      </c>
      <c r="AC17" s="43">
        <f t="shared" si="8"/>
        <v>48263.547772374601</v>
      </c>
      <c r="AD17" s="43">
        <f t="shared" si="9"/>
        <v>61875.908853939174</v>
      </c>
      <c r="AE17" s="43">
        <f t="shared" si="17"/>
        <v>0</v>
      </c>
      <c r="AF17" s="51">
        <f>HLOOKUP(I17,GasAvoidedCostsWOCC!$A$5:$G$50,G17+1,FALSE)</f>
        <v>37.569941081056932</v>
      </c>
      <c r="AG17" s="43">
        <f t="shared" si="10"/>
        <v>41326.935189162628</v>
      </c>
      <c r="AH17" s="51">
        <f>HLOOKUP(I17,GasAvoidedCostsWOCC!$A$5:$Q$50,T17+1,FALSE)</f>
        <v>37.569941081056932</v>
      </c>
      <c r="AI17" s="43">
        <f t="shared" si="11"/>
        <v>0</v>
      </c>
      <c r="AJ17" s="43">
        <f t="shared" si="12"/>
        <v>41326.935189162628</v>
      </c>
      <c r="AK17" s="43">
        <f>HLOOKUP(I17,GasAvoidedCostsWOCC!$A$5:$Q$50,G17+1,FALSE)*J17*L17</f>
        <v>0</v>
      </c>
      <c r="AL17" s="43">
        <f t="shared" si="13"/>
        <v>41326.935189162628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41326.935189162628</v>
      </c>
      <c r="AN17" s="47">
        <f t="shared" si="14"/>
        <v>107335.53756201807</v>
      </c>
      <c r="AO17" s="46">
        <f t="shared" si="15"/>
        <v>0.55479477884754624</v>
      </c>
      <c r="AP17" s="46">
        <f t="shared" si="16"/>
        <v>2.2239462807053623</v>
      </c>
    </row>
    <row r="18" spans="1:42" ht="13.5" customHeight="1" x14ac:dyDescent="0.25">
      <c r="A18" s="58">
        <f>A6+A8</f>
        <v>3170372.7</v>
      </c>
      <c r="B18" s="88" t="s">
        <v>102</v>
      </c>
      <c r="C18" s="89">
        <v>18230661</v>
      </c>
      <c r="D18" s="60" t="s">
        <v>103</v>
      </c>
      <c r="E18" s="37" t="s">
        <v>1196</v>
      </c>
      <c r="F18" s="38" t="s">
        <v>1197</v>
      </c>
      <c r="G18" s="38">
        <v>45</v>
      </c>
      <c r="H18" s="38">
        <v>0</v>
      </c>
      <c r="I18" s="39" t="s">
        <v>273</v>
      </c>
      <c r="J18" s="40">
        <v>10000</v>
      </c>
      <c r="K18" s="40">
        <v>0.06</v>
      </c>
      <c r="L18" s="40">
        <v>0</v>
      </c>
      <c r="M18" s="41">
        <v>2.4900000000000002</v>
      </c>
      <c r="N18" s="41">
        <v>2.4900000000000002</v>
      </c>
      <c r="O18" s="42">
        <v>600</v>
      </c>
      <c r="P18" s="43">
        <v>24900</v>
      </c>
      <c r="Q18" s="43">
        <v>24900.000000000004</v>
      </c>
      <c r="R18" s="44">
        <v>0.24690000000000001</v>
      </c>
      <c r="S18" s="45"/>
      <c r="T18" s="38">
        <f t="shared" si="0"/>
        <v>45</v>
      </c>
      <c r="U18" s="46">
        <f t="shared" si="1"/>
        <v>0.6159321105940323</v>
      </c>
      <c r="V18" s="47">
        <f t="shared" si="2"/>
        <v>0</v>
      </c>
      <c r="W18" s="48">
        <f t="shared" si="3"/>
        <v>1.3687380235422941E-2</v>
      </c>
      <c r="X18" s="43">
        <f t="shared" si="4"/>
        <v>1955.710375034221</v>
      </c>
      <c r="Y18" s="43">
        <f t="shared" si="5"/>
        <v>0</v>
      </c>
      <c r="Z18" s="43">
        <f t="shared" si="6"/>
        <v>43394.096632904468</v>
      </c>
      <c r="AA18" s="49">
        <f t="shared" si="7"/>
        <v>26855.710375034225</v>
      </c>
      <c r="AB18" s="50">
        <f t="shared" si="8"/>
        <v>40631.176622569721</v>
      </c>
      <c r="AC18" s="43">
        <f t="shared" si="8"/>
        <v>25145.796231305452</v>
      </c>
      <c r="AD18" s="43">
        <f t="shared" si="9"/>
        <v>34428.182936038182</v>
      </c>
      <c r="AE18" s="43">
        <f t="shared" si="17"/>
        <v>0</v>
      </c>
      <c r="AF18" s="51">
        <f>HLOOKUP(I18,GasAvoidedCostsWOCC!$A$5:$G$50,G18+1,FALSE)</f>
        <v>37.569941081056932</v>
      </c>
      <c r="AG18" s="43">
        <f t="shared" si="10"/>
        <v>22541.964648634159</v>
      </c>
      <c r="AH18" s="51">
        <f>HLOOKUP(I18,GasAvoidedCostsWOCC!$A$5:$Q$50,T18+1,FALSE)</f>
        <v>37.569941081056932</v>
      </c>
      <c r="AI18" s="43">
        <f t="shared" si="11"/>
        <v>0</v>
      </c>
      <c r="AJ18" s="43">
        <f t="shared" si="12"/>
        <v>22541.964648634159</v>
      </c>
      <c r="AK18" s="43">
        <f>HLOOKUP(I18,GasAvoidedCostsWOCC!$A$5:$Q$50,G18+1,FALSE)*J18*L18</f>
        <v>0</v>
      </c>
      <c r="AL18" s="43">
        <f t="shared" si="13"/>
        <v>22541.964648634159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22541.964648634155</v>
      </c>
      <c r="AN18" s="47">
        <f t="shared" si="14"/>
        <v>59224.34404953575</v>
      </c>
      <c r="AO18" s="46">
        <f t="shared" si="15"/>
        <v>0.55479477884754613</v>
      </c>
      <c r="AP18" s="46">
        <f t="shared" si="16"/>
        <v>2.3552383668727876</v>
      </c>
    </row>
    <row r="19" spans="1:42" ht="13.5" customHeight="1" x14ac:dyDescent="0.25">
      <c r="A19" s="57" t="s">
        <v>221</v>
      </c>
      <c r="B19" s="88" t="s">
        <v>102</v>
      </c>
      <c r="C19" s="89">
        <v>18230661</v>
      </c>
      <c r="D19" s="60" t="s">
        <v>103</v>
      </c>
      <c r="E19" s="37" t="s">
        <v>1198</v>
      </c>
      <c r="F19" s="38" t="s">
        <v>1199</v>
      </c>
      <c r="G19" s="38">
        <v>25</v>
      </c>
      <c r="H19" s="38">
        <v>0</v>
      </c>
      <c r="I19" s="39" t="s">
        <v>273</v>
      </c>
      <c r="J19" s="40">
        <v>6000</v>
      </c>
      <c r="K19" s="40">
        <v>0.05</v>
      </c>
      <c r="L19" s="40">
        <v>0</v>
      </c>
      <c r="M19" s="41">
        <v>3.25</v>
      </c>
      <c r="N19" s="41">
        <v>3.25</v>
      </c>
      <c r="O19" s="42">
        <v>300</v>
      </c>
      <c r="P19" s="43">
        <v>19500</v>
      </c>
      <c r="Q19" s="43">
        <v>19500</v>
      </c>
      <c r="R19" s="44">
        <v>0.1993</v>
      </c>
      <c r="S19" s="45"/>
      <c r="T19" s="38">
        <f t="shared" si="0"/>
        <v>25</v>
      </c>
      <c r="U19" s="46">
        <f t="shared" si="1"/>
        <v>0.17109225294278677</v>
      </c>
      <c r="V19" s="47">
        <f t="shared" si="2"/>
        <v>0</v>
      </c>
      <c r="W19" s="48">
        <f t="shared" si="3"/>
        <v>6.8436901177114703E-3</v>
      </c>
      <c r="X19" s="43">
        <f t="shared" si="4"/>
        <v>977.85518751711049</v>
      </c>
      <c r="Y19" s="43">
        <f t="shared" si="5"/>
        <v>0</v>
      </c>
      <c r="Z19" s="43">
        <f t="shared" si="6"/>
        <v>21697.048316452234</v>
      </c>
      <c r="AA19" s="49">
        <f t="shared" si="7"/>
        <v>20477.855187517111</v>
      </c>
      <c r="AB19" s="50">
        <f t="shared" si="8"/>
        <v>20315.588311284861</v>
      </c>
      <c r="AC19" s="43">
        <f t="shared" si="8"/>
        <v>19174.021711158341</v>
      </c>
      <c r="AD19" s="43">
        <f t="shared" si="9"/>
        <v>14190.071001746095</v>
      </c>
      <c r="AE19" s="43">
        <f t="shared" si="17"/>
        <v>0</v>
      </c>
      <c r="AF19" s="51">
        <f>HLOOKUP(I19,GasAvoidedCostsWOCC!$A$5:$G$50,G19+1,FALSE)</f>
        <v>22.891286501587491</v>
      </c>
      <c r="AG19" s="43">
        <f t="shared" si="10"/>
        <v>6867.3859504762477</v>
      </c>
      <c r="AH19" s="51">
        <f>HLOOKUP(I19,GasAvoidedCostsWOCC!$A$5:$Q$50,T19+1,FALSE)</f>
        <v>22.891286501587491</v>
      </c>
      <c r="AI19" s="43">
        <f t="shared" si="11"/>
        <v>0</v>
      </c>
      <c r="AJ19" s="43">
        <f t="shared" si="12"/>
        <v>6867.3859504762477</v>
      </c>
      <c r="AK19" s="43">
        <f>HLOOKUP(I19,GasAvoidedCostsWOCC!$A$5:$Q$50,G19+1,FALSE)*J19*L19</f>
        <v>0</v>
      </c>
      <c r="AL19" s="43">
        <f t="shared" si="13"/>
        <v>6867.3859504762477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6867.3859504762477</v>
      </c>
      <c r="AN19" s="47">
        <f t="shared" si="14"/>
        <v>21744.19554726997</v>
      </c>
      <c r="AO19" s="46">
        <f t="shared" si="15"/>
        <v>0.33803529808002492</v>
      </c>
      <c r="AP19" s="46">
        <f t="shared" si="16"/>
        <v>1.1340445877672034</v>
      </c>
    </row>
    <row r="20" spans="1:42" ht="13.5" customHeight="1" x14ac:dyDescent="0.25">
      <c r="A20" s="58">
        <f>A8+SUM(Q5:Q904)</f>
        <v>2496229.2000000002</v>
      </c>
      <c r="B20" s="88" t="s">
        <v>102</v>
      </c>
      <c r="C20" s="89">
        <v>18230661</v>
      </c>
      <c r="D20" s="60" t="s">
        <v>103</v>
      </c>
      <c r="E20" s="37" t="s">
        <v>1200</v>
      </c>
      <c r="F20" s="38" t="s">
        <v>1201</v>
      </c>
      <c r="G20" s="38">
        <v>25</v>
      </c>
      <c r="H20" s="38">
        <v>0</v>
      </c>
      <c r="I20" s="39" t="s">
        <v>273</v>
      </c>
      <c r="J20" s="40">
        <v>2600</v>
      </c>
      <c r="K20" s="40">
        <v>0.02</v>
      </c>
      <c r="L20" s="40">
        <v>0</v>
      </c>
      <c r="M20" s="41">
        <v>3.7</v>
      </c>
      <c r="N20" s="41">
        <v>3.7</v>
      </c>
      <c r="O20" s="42">
        <v>52</v>
      </c>
      <c r="P20" s="43">
        <v>9620</v>
      </c>
      <c r="Q20" s="43">
        <v>9620</v>
      </c>
      <c r="R20" s="44">
        <v>1.5E-3</v>
      </c>
      <c r="S20" s="45"/>
      <c r="T20" s="38">
        <f t="shared" si="0"/>
        <v>25</v>
      </c>
      <c r="U20" s="46">
        <f t="shared" si="1"/>
        <v>2.9655990510083038E-2</v>
      </c>
      <c r="V20" s="47">
        <f t="shared" si="2"/>
        <v>0</v>
      </c>
      <c r="W20" s="48">
        <f t="shared" si="3"/>
        <v>1.1862396204033216E-3</v>
      </c>
      <c r="X20" s="43">
        <f t="shared" si="4"/>
        <v>169.4948991696325</v>
      </c>
      <c r="Y20" s="43">
        <f t="shared" si="5"/>
        <v>0</v>
      </c>
      <c r="Z20" s="43">
        <f t="shared" si="6"/>
        <v>3760.8217081850539</v>
      </c>
      <c r="AA20" s="49">
        <f t="shared" si="7"/>
        <v>9789.4948991696328</v>
      </c>
      <c r="AB20" s="50">
        <f t="shared" si="8"/>
        <v>3521.3686406227093</v>
      </c>
      <c r="AC20" s="43">
        <f t="shared" si="8"/>
        <v>9166.1937258142625</v>
      </c>
      <c r="AD20" s="43">
        <f t="shared" si="9"/>
        <v>46.27970973976398</v>
      </c>
      <c r="AE20" s="43">
        <f t="shared" si="17"/>
        <v>0</v>
      </c>
      <c r="AF20" s="51">
        <f>HLOOKUP(I20,GasAvoidedCostsWOCC!$A$5:$G$50,G20+1,FALSE)</f>
        <v>22.891286501587491</v>
      </c>
      <c r="AG20" s="43">
        <f t="shared" si="10"/>
        <v>1190.3468980825494</v>
      </c>
      <c r="AH20" s="51">
        <f>HLOOKUP(I20,GasAvoidedCostsWOCC!$A$5:$Q$50,T20+1,FALSE)</f>
        <v>22.891286501587491</v>
      </c>
      <c r="AI20" s="43">
        <f t="shared" si="11"/>
        <v>0</v>
      </c>
      <c r="AJ20" s="43">
        <f t="shared" si="12"/>
        <v>1190.3468980825494</v>
      </c>
      <c r="AK20" s="43">
        <f>HLOOKUP(I20,GasAvoidedCostsWOCC!$A$5:$Q$50,G20+1,FALSE)*J20*L20</f>
        <v>0</v>
      </c>
      <c r="AL20" s="43">
        <f t="shared" si="13"/>
        <v>1190.3468980825494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1190.3468980825496</v>
      </c>
      <c r="AN20" s="47">
        <f t="shared" si="14"/>
        <v>1355.6612976305687</v>
      </c>
      <c r="AO20" s="46">
        <f t="shared" si="15"/>
        <v>0.33803529808002492</v>
      </c>
      <c r="AP20" s="46">
        <f t="shared" si="16"/>
        <v>0.1478979539579981</v>
      </c>
    </row>
    <row r="21" spans="1:42" ht="13.5" customHeight="1" x14ac:dyDescent="0.25">
      <c r="A21" s="57" t="s">
        <v>235</v>
      </c>
      <c r="B21" s="88" t="s">
        <v>102</v>
      </c>
      <c r="C21" s="89">
        <v>18230661</v>
      </c>
      <c r="D21" s="60" t="s">
        <v>103</v>
      </c>
      <c r="E21" s="37" t="s">
        <v>1202</v>
      </c>
      <c r="F21" s="38" t="s">
        <v>1203</v>
      </c>
      <c r="G21" s="38">
        <v>45</v>
      </c>
      <c r="H21" s="38">
        <v>0</v>
      </c>
      <c r="I21" s="39" t="s">
        <v>273</v>
      </c>
      <c r="J21" s="40">
        <v>30000</v>
      </c>
      <c r="K21" s="40">
        <v>7.0000000000000007E-2</v>
      </c>
      <c r="L21" s="40">
        <v>0</v>
      </c>
      <c r="M21" s="41">
        <v>2.93</v>
      </c>
      <c r="N21" s="41">
        <v>2.93</v>
      </c>
      <c r="O21" s="42">
        <v>2100</v>
      </c>
      <c r="P21" s="43">
        <v>87900</v>
      </c>
      <c r="Q21" s="43">
        <v>87900</v>
      </c>
      <c r="R21" s="44">
        <v>0.17810000000000001</v>
      </c>
      <c r="S21" s="45"/>
      <c r="T21" s="38">
        <f t="shared" si="0"/>
        <v>45</v>
      </c>
      <c r="U21" s="46">
        <f t="shared" si="1"/>
        <v>2.1557623870791129</v>
      </c>
      <c r="V21" s="47">
        <f t="shared" si="2"/>
        <v>0</v>
      </c>
      <c r="W21" s="48">
        <f t="shared" si="3"/>
        <v>4.790583082398029E-2</v>
      </c>
      <c r="X21" s="43">
        <f t="shared" si="4"/>
        <v>6844.9863126197733</v>
      </c>
      <c r="Y21" s="43">
        <f t="shared" si="5"/>
        <v>0</v>
      </c>
      <c r="Z21" s="43">
        <f t="shared" si="6"/>
        <v>151879.33821516563</v>
      </c>
      <c r="AA21" s="49">
        <f t="shared" si="7"/>
        <v>94744.986312619774</v>
      </c>
      <c r="AB21" s="50">
        <f t="shared" si="8"/>
        <v>142209.11817899402</v>
      </c>
      <c r="AC21" s="43">
        <f t="shared" si="8"/>
        <v>88712.534000580301</v>
      </c>
      <c r="AD21" s="43">
        <f t="shared" si="9"/>
        <v>74503.759184792245</v>
      </c>
      <c r="AE21" s="43">
        <f t="shared" si="17"/>
        <v>0</v>
      </c>
      <c r="AF21" s="51">
        <f>HLOOKUP(I21,GasAvoidedCostsWOCC!$A$5:$G$50,G21+1,FALSE)</f>
        <v>37.569941081056932</v>
      </c>
      <c r="AG21" s="43">
        <f t="shared" si="10"/>
        <v>78896.876270219567</v>
      </c>
      <c r="AH21" s="51">
        <f>HLOOKUP(I21,GasAvoidedCostsWOCC!$A$5:$Q$50,T21+1,FALSE)</f>
        <v>37.569941081056932</v>
      </c>
      <c r="AI21" s="43">
        <f t="shared" si="11"/>
        <v>0</v>
      </c>
      <c r="AJ21" s="43">
        <f t="shared" si="12"/>
        <v>78896.876270219567</v>
      </c>
      <c r="AK21" s="43">
        <f>HLOOKUP(I21,GasAvoidedCostsWOCC!$A$5:$Q$50,G21+1,FALSE)*J21*L21</f>
        <v>0</v>
      </c>
      <c r="AL21" s="43">
        <f t="shared" si="13"/>
        <v>78896.876270219567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78896.876270219567</v>
      </c>
      <c r="AN21" s="47">
        <f t="shared" si="14"/>
        <v>161290.32308203378</v>
      </c>
      <c r="AO21" s="46">
        <f t="shared" si="15"/>
        <v>0.55479477884754635</v>
      </c>
      <c r="AP21" s="46">
        <f t="shared" si="16"/>
        <v>1.81812327760786</v>
      </c>
    </row>
    <row r="22" spans="1:42" ht="13.5" customHeight="1" x14ac:dyDescent="0.25">
      <c r="A22" s="59">
        <f>(SUM(AM6:AM998)/(SUM(AB6:AB998)))</f>
        <v>0.38951309560210345</v>
      </c>
      <c r="B22" s="88" t="s">
        <v>102</v>
      </c>
      <c r="C22" s="89">
        <v>18230661</v>
      </c>
      <c r="D22" s="60" t="s">
        <v>103</v>
      </c>
      <c r="E22" s="37" t="s">
        <v>1204</v>
      </c>
      <c r="F22" s="38" t="s">
        <v>1205</v>
      </c>
      <c r="G22" s="38">
        <v>15</v>
      </c>
      <c r="H22" s="38">
        <v>0</v>
      </c>
      <c r="I22" s="39" t="s">
        <v>273</v>
      </c>
      <c r="J22" s="40">
        <v>40</v>
      </c>
      <c r="K22" s="40">
        <v>0.84</v>
      </c>
      <c r="L22" s="40">
        <v>0</v>
      </c>
      <c r="M22" s="41">
        <v>27.4</v>
      </c>
      <c r="N22" s="41">
        <v>27.4</v>
      </c>
      <c r="O22" s="42">
        <v>33.6</v>
      </c>
      <c r="P22" s="43">
        <v>1096</v>
      </c>
      <c r="Q22" s="43">
        <v>1096</v>
      </c>
      <c r="R22" s="44">
        <v>11.5936</v>
      </c>
      <c r="S22" s="45"/>
      <c r="T22" s="38">
        <f t="shared" ref="T22:T85" si="18">G22+H22</f>
        <v>15</v>
      </c>
      <c r="U22" s="46">
        <f t="shared" ref="U22:U85" si="19">(O22/$A$10)*T22</f>
        <v>1.1497399397755272E-2</v>
      </c>
      <c r="V22" s="47">
        <f t="shared" ref="V22:V85" si="20">N22-M22</f>
        <v>0</v>
      </c>
      <c r="W22" s="48">
        <f t="shared" ref="W22:W85" si="21">(O22/A$10)</f>
        <v>7.6649329318368472E-4</v>
      </c>
      <c r="X22" s="43">
        <f t="shared" ref="X22:X85" si="22">W22*A$8</f>
        <v>109.51978100191639</v>
      </c>
      <c r="Y22" s="43">
        <f t="shared" ref="Y22:Y85" si="23">Q22-P22</f>
        <v>0</v>
      </c>
      <c r="Z22" s="43">
        <f t="shared" ref="Z22:Z85" si="24">X22+(A$6*W22)</f>
        <v>2430.0694114426501</v>
      </c>
      <c r="AA22" s="49">
        <f t="shared" ref="AA22:AA85" si="25">Q22+X22</f>
        <v>1205.5197810019163</v>
      </c>
      <c r="AB22" s="50">
        <f t="shared" ref="AB22:AB85" si="26">Z22/(1+GasDiscountRate)^1</f>
        <v>2275.3458908639045</v>
      </c>
      <c r="AC22" s="43">
        <f t="shared" ref="AC22:AC85" si="27">AA22/(1+GasDiscountRate)^1</f>
        <v>1128.7638398894346</v>
      </c>
      <c r="AD22" s="43">
        <f t="shared" ref="AD22:AD85" si="28">-PV(GasDiscountRate,T22,R22)*J22</f>
        <v>4277.61805413198</v>
      </c>
      <c r="AE22" s="43">
        <f t="shared" ref="AE22:AE85" si="29">-PV(GasDiscountRate,T22,S22)*J22</f>
        <v>0</v>
      </c>
      <c r="AF22" s="51">
        <f>HLOOKUP(I22,GasAvoidedCostsWOCC!$A$5:$G$50,G22+1,FALSE)</f>
        <v>15.482479593143392</v>
      </c>
      <c r="AG22" s="43">
        <f t="shared" ref="AG22:AG85" si="30">AF22*J22*K22</f>
        <v>520.21131432961795</v>
      </c>
      <c r="AH22" s="51">
        <f>HLOOKUP(I22,GasAvoidedCostsWOCC!$A$5:$Q$50,T22+1,FALSE)</f>
        <v>15.482479593143392</v>
      </c>
      <c r="AI22" s="43">
        <f t="shared" ref="AI22:AI85" si="31">AH22*J22*L22</f>
        <v>0</v>
      </c>
      <c r="AJ22" s="43">
        <f t="shared" ref="AJ22:AJ85" si="32">AG22+AI22</f>
        <v>520.21131432961795</v>
      </c>
      <c r="AK22" s="43">
        <f>HLOOKUP(I22,GasAvoidedCostsWOCC!$A$5:$Q$50,G22+1,FALSE)*J22*L22</f>
        <v>0</v>
      </c>
      <c r="AL22" s="43">
        <f t="shared" ref="AL22:AL85" si="33">AG22+AI22-AK22</f>
        <v>520.21131432961795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520.21131432961795</v>
      </c>
      <c r="AN22" s="47">
        <f t="shared" ref="AN22:AN85" si="34">AM22*1.1+AD22+AE22</f>
        <v>4849.85049989456</v>
      </c>
      <c r="AO22" s="46">
        <f t="shared" ref="AO22:AO85" si="35">IFERROR(AM22/AB22,0)</f>
        <v>0.2286295531674544</v>
      </c>
      <c r="AP22" s="46">
        <f t="shared" ref="AP22:AP85" si="36">AN22/AC22</f>
        <v>4.296603353602837</v>
      </c>
    </row>
    <row r="23" spans="1:42" ht="13.5" customHeight="1" x14ac:dyDescent="0.25">
      <c r="A23" s="57" t="s">
        <v>236</v>
      </c>
      <c r="B23" s="88" t="s">
        <v>102</v>
      </c>
      <c r="C23" s="89">
        <v>18230661</v>
      </c>
      <c r="D23" s="60" t="s">
        <v>103</v>
      </c>
      <c r="E23" s="37" t="s">
        <v>1206</v>
      </c>
      <c r="F23" s="38" t="s">
        <v>1207</v>
      </c>
      <c r="G23" s="38">
        <v>25</v>
      </c>
      <c r="H23" s="38">
        <v>0</v>
      </c>
      <c r="I23" s="39" t="s">
        <v>273</v>
      </c>
      <c r="J23" s="40">
        <v>100</v>
      </c>
      <c r="K23" s="40">
        <v>0.22</v>
      </c>
      <c r="L23" s="40">
        <v>0</v>
      </c>
      <c r="M23" s="41">
        <v>3.08</v>
      </c>
      <c r="N23" s="41">
        <v>3.08</v>
      </c>
      <c r="O23" s="42">
        <v>22</v>
      </c>
      <c r="P23" s="43">
        <v>308</v>
      </c>
      <c r="Q23" s="43">
        <v>308</v>
      </c>
      <c r="R23" s="44">
        <v>1.2441</v>
      </c>
      <c r="S23" s="45"/>
      <c r="T23" s="38">
        <f t="shared" si="18"/>
        <v>25</v>
      </c>
      <c r="U23" s="46">
        <f t="shared" si="19"/>
        <v>1.2546765215804362E-2</v>
      </c>
      <c r="V23" s="47">
        <f t="shared" si="20"/>
        <v>0</v>
      </c>
      <c r="W23" s="48">
        <f t="shared" si="21"/>
        <v>5.0187060863217446E-4</v>
      </c>
      <c r="X23" s="43">
        <f t="shared" si="22"/>
        <v>71.709380417921437</v>
      </c>
      <c r="Y23" s="43">
        <f t="shared" si="23"/>
        <v>0</v>
      </c>
      <c r="Z23" s="43">
        <f t="shared" si="24"/>
        <v>1591.1168765398304</v>
      </c>
      <c r="AA23" s="49">
        <f t="shared" si="25"/>
        <v>379.70938041792147</v>
      </c>
      <c r="AB23" s="50">
        <f t="shared" si="26"/>
        <v>1489.8098094942231</v>
      </c>
      <c r="AC23" s="43">
        <f t="shared" si="27"/>
        <v>355.53312773213617</v>
      </c>
      <c r="AD23" s="43">
        <f t="shared" si="28"/>
        <v>1476.3227406984709</v>
      </c>
      <c r="AE23" s="43">
        <f t="shared" si="29"/>
        <v>0</v>
      </c>
      <c r="AF23" s="51">
        <f>HLOOKUP(I23,GasAvoidedCostsWOCC!$A$5:$G$50,G23+1,FALSE)</f>
        <v>22.891286501587491</v>
      </c>
      <c r="AG23" s="43">
        <f t="shared" si="30"/>
        <v>503.60830303492486</v>
      </c>
      <c r="AH23" s="51">
        <f>HLOOKUP(I23,GasAvoidedCostsWOCC!$A$5:$Q$50,T23+1,FALSE)</f>
        <v>22.891286501587491</v>
      </c>
      <c r="AI23" s="43">
        <f t="shared" si="31"/>
        <v>0</v>
      </c>
      <c r="AJ23" s="43">
        <f t="shared" si="32"/>
        <v>503.60830303492486</v>
      </c>
      <c r="AK23" s="43">
        <f>HLOOKUP(I23,GasAvoidedCostsWOCC!$A$5:$Q$50,G23+1,FALSE)*J23*L23</f>
        <v>0</v>
      </c>
      <c r="AL23" s="43">
        <f t="shared" si="33"/>
        <v>503.60830303492486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503.6083030349248</v>
      </c>
      <c r="AN23" s="47">
        <f t="shared" si="34"/>
        <v>2030.2918740368882</v>
      </c>
      <c r="AO23" s="46">
        <f t="shared" si="35"/>
        <v>0.33803529808002486</v>
      </c>
      <c r="AP23" s="46">
        <f t="shared" si="36"/>
        <v>5.7105561076337716</v>
      </c>
    </row>
    <row r="24" spans="1:42" ht="13.5" customHeight="1" x14ac:dyDescent="0.25">
      <c r="A24" s="59">
        <f>(SUM(AN6:AN998)/SUM(AC6:AC998))</f>
        <v>1.0303555635382509</v>
      </c>
      <c r="B24" s="88" t="s">
        <v>102</v>
      </c>
      <c r="C24" s="89">
        <v>18230661</v>
      </c>
      <c r="D24" s="60" t="s">
        <v>103</v>
      </c>
      <c r="E24" s="37" t="s">
        <v>1208</v>
      </c>
      <c r="F24" s="38" t="s">
        <v>1209</v>
      </c>
      <c r="G24" s="38">
        <v>45</v>
      </c>
      <c r="H24" s="38">
        <v>0</v>
      </c>
      <c r="I24" s="39" t="s">
        <v>273</v>
      </c>
      <c r="J24" s="40">
        <v>30000</v>
      </c>
      <c r="K24" s="40">
        <v>0.13</v>
      </c>
      <c r="L24" s="40">
        <v>0</v>
      </c>
      <c r="M24" s="41">
        <v>3.01</v>
      </c>
      <c r="N24" s="41">
        <v>3.01</v>
      </c>
      <c r="O24" s="42">
        <v>3900</v>
      </c>
      <c r="P24" s="43">
        <v>90300</v>
      </c>
      <c r="Q24" s="43">
        <v>90300</v>
      </c>
      <c r="R24" s="44">
        <v>0.19189999999999999</v>
      </c>
      <c r="S24" s="45"/>
      <c r="T24" s="38">
        <f t="shared" si="18"/>
        <v>45</v>
      </c>
      <c r="U24" s="46">
        <f t="shared" si="19"/>
        <v>4.0035587188612105</v>
      </c>
      <c r="V24" s="47">
        <f t="shared" si="20"/>
        <v>0</v>
      </c>
      <c r="W24" s="48">
        <f t="shared" si="21"/>
        <v>8.8967971530249115E-2</v>
      </c>
      <c r="X24" s="43">
        <f t="shared" si="22"/>
        <v>12712.117437722438</v>
      </c>
      <c r="Y24" s="43">
        <f t="shared" si="23"/>
        <v>0</v>
      </c>
      <c r="Z24" s="43">
        <f t="shared" si="24"/>
        <v>282061.62811387907</v>
      </c>
      <c r="AA24" s="49">
        <f t="shared" si="25"/>
        <v>103012.11743772244</v>
      </c>
      <c r="AB24" s="50">
        <f t="shared" si="26"/>
        <v>264102.64804670325</v>
      </c>
      <c r="AC24" s="43">
        <f t="shared" si="27"/>
        <v>96453.293481013519</v>
      </c>
      <c r="AD24" s="43">
        <f t="shared" si="28"/>
        <v>80276.650126679553</v>
      </c>
      <c r="AE24" s="43">
        <f t="shared" si="29"/>
        <v>0</v>
      </c>
      <c r="AF24" s="51">
        <f>HLOOKUP(I24,GasAvoidedCostsWOCC!$A$5:$G$50,G24+1,FALSE)</f>
        <v>37.569941081056932</v>
      </c>
      <c r="AG24" s="43">
        <f t="shared" si="30"/>
        <v>146522.77021612204</v>
      </c>
      <c r="AH24" s="51">
        <f>HLOOKUP(I24,GasAvoidedCostsWOCC!$A$5:$Q$50,T24+1,FALSE)</f>
        <v>37.569941081056932</v>
      </c>
      <c r="AI24" s="43">
        <f t="shared" si="31"/>
        <v>0</v>
      </c>
      <c r="AJ24" s="43">
        <f t="shared" si="32"/>
        <v>146522.77021612204</v>
      </c>
      <c r="AK24" s="43">
        <f>HLOOKUP(I24,GasAvoidedCostsWOCC!$A$5:$Q$50,G24+1,FALSE)*J24*L24</f>
        <v>0</v>
      </c>
      <c r="AL24" s="43">
        <f t="shared" si="33"/>
        <v>146522.77021612204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146522.77021612204</v>
      </c>
      <c r="AN24" s="47">
        <f t="shared" si="34"/>
        <v>241451.69736441382</v>
      </c>
      <c r="AO24" s="46">
        <f t="shared" si="35"/>
        <v>0.55479477884754613</v>
      </c>
      <c r="AP24" s="46">
        <f t="shared" si="36"/>
        <v>2.5033017396336259</v>
      </c>
    </row>
    <row r="25" spans="1:42" ht="13.5" customHeight="1" x14ac:dyDescent="0.25">
      <c r="B25" s="88" t="s">
        <v>102</v>
      </c>
      <c r="C25" s="89">
        <v>18230661</v>
      </c>
      <c r="D25" s="60" t="s">
        <v>103</v>
      </c>
      <c r="E25" s="37" t="s">
        <v>1210</v>
      </c>
      <c r="F25" s="38" t="s">
        <v>1211</v>
      </c>
      <c r="G25" s="38">
        <v>45</v>
      </c>
      <c r="H25" s="38">
        <v>0</v>
      </c>
      <c r="I25" s="39" t="s">
        <v>273</v>
      </c>
      <c r="J25" s="40">
        <v>3400</v>
      </c>
      <c r="K25" s="40">
        <v>0.04</v>
      </c>
      <c r="L25" s="40">
        <v>0</v>
      </c>
      <c r="M25" s="41">
        <v>2.63</v>
      </c>
      <c r="N25" s="41">
        <v>2.63</v>
      </c>
      <c r="O25" s="42">
        <v>136</v>
      </c>
      <c r="P25" s="43">
        <v>8942</v>
      </c>
      <c r="Q25" s="43">
        <v>8942</v>
      </c>
      <c r="R25" s="44">
        <v>2.8999999999999998E-3</v>
      </c>
      <c r="S25" s="45"/>
      <c r="T25" s="38">
        <f t="shared" si="18"/>
        <v>45</v>
      </c>
      <c r="U25" s="46">
        <f t="shared" si="19"/>
        <v>0.13961127840131399</v>
      </c>
      <c r="V25" s="47">
        <f t="shared" si="20"/>
        <v>0</v>
      </c>
      <c r="W25" s="48">
        <f t="shared" si="21"/>
        <v>3.1024728533625332E-3</v>
      </c>
      <c r="X25" s="43">
        <f t="shared" si="22"/>
        <v>443.29435167442347</v>
      </c>
      <c r="Y25" s="43">
        <f t="shared" si="23"/>
        <v>0</v>
      </c>
      <c r="Z25" s="43">
        <f t="shared" si="24"/>
        <v>9835.9952367916794</v>
      </c>
      <c r="AA25" s="49">
        <f t="shared" si="25"/>
        <v>9385.2943516744235</v>
      </c>
      <c r="AB25" s="50">
        <f t="shared" si="26"/>
        <v>9209.7333677824699</v>
      </c>
      <c r="AC25" s="43">
        <f t="shared" si="27"/>
        <v>8787.7287937026431</v>
      </c>
      <c r="AD25" s="43">
        <f t="shared" si="28"/>
        <v>137.48962484784792</v>
      </c>
      <c r="AE25" s="43">
        <f t="shared" si="29"/>
        <v>0</v>
      </c>
      <c r="AF25" s="51">
        <f>HLOOKUP(I25,GasAvoidedCostsWOCC!$A$5:$G$50,G25+1,FALSE)</f>
        <v>37.569941081056932</v>
      </c>
      <c r="AG25" s="43">
        <f t="shared" si="30"/>
        <v>5109.5119870237431</v>
      </c>
      <c r="AH25" s="51">
        <f>HLOOKUP(I25,GasAvoidedCostsWOCC!$A$5:$Q$50,T25+1,FALSE)</f>
        <v>37.569941081056932</v>
      </c>
      <c r="AI25" s="43">
        <f t="shared" si="31"/>
        <v>0</v>
      </c>
      <c r="AJ25" s="43">
        <f t="shared" si="32"/>
        <v>5109.5119870237431</v>
      </c>
      <c r="AK25" s="43">
        <f>HLOOKUP(I25,GasAvoidedCostsWOCC!$A$5:$Q$50,G25+1,FALSE)*J25*L25</f>
        <v>0</v>
      </c>
      <c r="AL25" s="43">
        <f t="shared" si="33"/>
        <v>5109.5119870237431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5109.5119870237431</v>
      </c>
      <c r="AN25" s="47">
        <f t="shared" si="34"/>
        <v>5757.9528105739655</v>
      </c>
      <c r="AO25" s="46">
        <f t="shared" si="35"/>
        <v>0.55479477884754624</v>
      </c>
      <c r="AP25" s="46">
        <f t="shared" si="36"/>
        <v>0.65522650342829891</v>
      </c>
    </row>
    <row r="26" spans="1:42" ht="13.5" customHeight="1" x14ac:dyDescent="0.25">
      <c r="B26" s="88" t="s">
        <v>102</v>
      </c>
      <c r="C26" s="89">
        <v>18230661</v>
      </c>
      <c r="D26" s="60" t="s">
        <v>103</v>
      </c>
      <c r="E26" s="37" t="s">
        <v>1212</v>
      </c>
      <c r="F26" s="38" t="s">
        <v>1213</v>
      </c>
      <c r="G26" s="38">
        <v>45</v>
      </c>
      <c r="H26" s="38">
        <v>0</v>
      </c>
      <c r="I26" s="39" t="s">
        <v>273</v>
      </c>
      <c r="J26" s="40">
        <v>500</v>
      </c>
      <c r="K26" s="40">
        <v>0.05</v>
      </c>
      <c r="L26" s="40">
        <v>0</v>
      </c>
      <c r="M26" s="41">
        <v>2.93</v>
      </c>
      <c r="N26" s="41">
        <v>2.93</v>
      </c>
      <c r="O26" s="42">
        <v>25</v>
      </c>
      <c r="P26" s="43">
        <v>1465</v>
      </c>
      <c r="Q26" s="43">
        <v>1465</v>
      </c>
      <c r="R26" s="44">
        <v>3.5999999999999999E-3</v>
      </c>
      <c r="S26" s="45"/>
      <c r="T26" s="38">
        <f t="shared" si="18"/>
        <v>45</v>
      </c>
      <c r="U26" s="46">
        <f t="shared" si="19"/>
        <v>2.5663837941418011E-2</v>
      </c>
      <c r="V26" s="47">
        <f t="shared" si="20"/>
        <v>0</v>
      </c>
      <c r="W26" s="48">
        <f t="shared" si="21"/>
        <v>5.7030750980928912E-4</v>
      </c>
      <c r="X26" s="43">
        <f t="shared" si="22"/>
        <v>81.487932293092541</v>
      </c>
      <c r="Y26" s="43">
        <f t="shared" si="23"/>
        <v>0</v>
      </c>
      <c r="Z26" s="43">
        <f t="shared" si="24"/>
        <v>1808.0873597043526</v>
      </c>
      <c r="AA26" s="49">
        <f t="shared" si="25"/>
        <v>1546.4879322930926</v>
      </c>
      <c r="AB26" s="50">
        <f t="shared" si="26"/>
        <v>1692.9656926070716</v>
      </c>
      <c r="AC26" s="43">
        <f t="shared" si="27"/>
        <v>1448.0224085141315</v>
      </c>
      <c r="AD26" s="43">
        <f t="shared" si="28"/>
        <v>25.099525834292724</v>
      </c>
      <c r="AE26" s="43">
        <f t="shared" si="29"/>
        <v>0</v>
      </c>
      <c r="AF26" s="51">
        <f>HLOOKUP(I26,GasAvoidedCostsWOCC!$A$5:$G$50,G26+1,FALSE)</f>
        <v>37.569941081056932</v>
      </c>
      <c r="AG26" s="43">
        <f t="shared" si="30"/>
        <v>939.24852702642329</v>
      </c>
      <c r="AH26" s="51">
        <f>HLOOKUP(I26,GasAvoidedCostsWOCC!$A$5:$Q$50,T26+1,FALSE)</f>
        <v>37.569941081056932</v>
      </c>
      <c r="AI26" s="43">
        <f t="shared" si="31"/>
        <v>0</v>
      </c>
      <c r="AJ26" s="43">
        <f t="shared" si="32"/>
        <v>939.24852702642329</v>
      </c>
      <c r="AK26" s="43">
        <f>HLOOKUP(I26,GasAvoidedCostsWOCC!$A$5:$Q$50,G26+1,FALSE)*J26*L26</f>
        <v>0</v>
      </c>
      <c r="AL26" s="43">
        <f t="shared" si="33"/>
        <v>939.24852702642329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939.2485270264234</v>
      </c>
      <c r="AN26" s="47">
        <f t="shared" si="34"/>
        <v>1058.2729055633586</v>
      </c>
      <c r="AO26" s="46">
        <f t="shared" si="35"/>
        <v>0.55479477884754635</v>
      </c>
      <c r="AP26" s="46">
        <f t="shared" si="36"/>
        <v>0.73084014400667385</v>
      </c>
    </row>
    <row r="27" spans="1:42" ht="13.5" customHeight="1" x14ac:dyDescent="0.25">
      <c r="A27" s="387"/>
      <c r="B27" s="88" t="s">
        <v>102</v>
      </c>
      <c r="C27" s="89">
        <v>18230661</v>
      </c>
      <c r="D27" s="60" t="s">
        <v>103</v>
      </c>
      <c r="E27" s="37" t="s">
        <v>1214</v>
      </c>
      <c r="F27" s="38" t="s">
        <v>1215</v>
      </c>
      <c r="G27" s="38">
        <v>20</v>
      </c>
      <c r="H27" s="38">
        <v>0</v>
      </c>
      <c r="I27" s="39" t="s">
        <v>273</v>
      </c>
      <c r="J27" s="40">
        <v>20</v>
      </c>
      <c r="K27" s="40">
        <v>0.2</v>
      </c>
      <c r="L27" s="40">
        <v>0</v>
      </c>
      <c r="M27" s="41">
        <v>8.85</v>
      </c>
      <c r="N27" s="41">
        <v>8.85</v>
      </c>
      <c r="O27" s="42">
        <v>4</v>
      </c>
      <c r="P27" s="43">
        <v>177</v>
      </c>
      <c r="Q27" s="43">
        <v>177</v>
      </c>
      <c r="R27" s="44">
        <v>1.4500000000000001E-2</v>
      </c>
      <c r="S27" s="45"/>
      <c r="T27" s="38">
        <f t="shared" si="18"/>
        <v>20</v>
      </c>
      <c r="U27" s="46">
        <f t="shared" si="19"/>
        <v>1.8249840313897252E-3</v>
      </c>
      <c r="V27" s="47">
        <f t="shared" si="20"/>
        <v>0</v>
      </c>
      <c r="W27" s="48">
        <f t="shared" si="21"/>
        <v>9.1249201569486261E-5</v>
      </c>
      <c r="X27" s="43">
        <f t="shared" si="22"/>
        <v>13.038069166894806</v>
      </c>
      <c r="Y27" s="43">
        <f t="shared" si="23"/>
        <v>0</v>
      </c>
      <c r="Z27" s="43">
        <f t="shared" si="24"/>
        <v>289.29397755269639</v>
      </c>
      <c r="AA27" s="49">
        <f t="shared" si="25"/>
        <v>190.03806916689481</v>
      </c>
      <c r="AB27" s="50">
        <f t="shared" si="26"/>
        <v>270.87451081713141</v>
      </c>
      <c r="AC27" s="43">
        <f t="shared" si="27"/>
        <v>177.93826701020112</v>
      </c>
      <c r="AD27" s="43">
        <f t="shared" si="28"/>
        <v>3.1206057618567935</v>
      </c>
      <c r="AE27" s="43">
        <f t="shared" si="29"/>
        <v>0</v>
      </c>
      <c r="AF27" s="51">
        <f>HLOOKUP(I27,GasAvoidedCostsWOCC!$A$5:$G$50,G27+1,FALSE)</f>
        <v>19.395541552048424</v>
      </c>
      <c r="AG27" s="43">
        <f t="shared" si="30"/>
        <v>77.582166208193712</v>
      </c>
      <c r="AH27" s="51">
        <f>HLOOKUP(I27,GasAvoidedCostsWOCC!$A$5:$Q$50,T27+1,FALSE)</f>
        <v>19.395541552048424</v>
      </c>
      <c r="AI27" s="43">
        <f t="shared" si="31"/>
        <v>0</v>
      </c>
      <c r="AJ27" s="43">
        <f t="shared" si="32"/>
        <v>77.582166208193712</v>
      </c>
      <c r="AK27" s="43">
        <f>HLOOKUP(I27,GasAvoidedCostsWOCC!$A$5:$Q$50,G27+1,FALSE)*J27*L27</f>
        <v>0</v>
      </c>
      <c r="AL27" s="43">
        <f t="shared" si="33"/>
        <v>77.582166208193712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77.582166208193698</v>
      </c>
      <c r="AN27" s="47">
        <f t="shared" si="34"/>
        <v>88.460988590869874</v>
      </c>
      <c r="AO27" s="46">
        <f t="shared" si="35"/>
        <v>0.28641368275721507</v>
      </c>
      <c r="AP27" s="46">
        <f t="shared" si="36"/>
        <v>0.49714426287965618</v>
      </c>
    </row>
    <row r="28" spans="1:42" ht="13.5" customHeight="1" x14ac:dyDescent="0.25">
      <c r="B28" s="88" t="s">
        <v>102</v>
      </c>
      <c r="C28" s="89">
        <v>18230661</v>
      </c>
      <c r="D28" s="60" t="s">
        <v>103</v>
      </c>
      <c r="E28" s="37" t="s">
        <v>1216</v>
      </c>
      <c r="F28" s="38" t="s">
        <v>1217</v>
      </c>
      <c r="G28" s="38">
        <v>45</v>
      </c>
      <c r="H28" s="38">
        <v>0</v>
      </c>
      <c r="I28" s="39" t="s">
        <v>273</v>
      </c>
      <c r="J28" s="40">
        <v>2000</v>
      </c>
      <c r="K28" s="40">
        <v>0.06</v>
      </c>
      <c r="L28" s="40">
        <v>0</v>
      </c>
      <c r="M28" s="41">
        <v>2.93</v>
      </c>
      <c r="N28" s="41">
        <v>2.93</v>
      </c>
      <c r="O28" s="42">
        <v>120</v>
      </c>
      <c r="P28" s="43">
        <v>5860</v>
      </c>
      <c r="Q28" s="43">
        <v>5860</v>
      </c>
      <c r="R28" s="44">
        <v>4.4000000000000003E-3</v>
      </c>
      <c r="S28" s="45"/>
      <c r="T28" s="38">
        <f t="shared" si="18"/>
        <v>45</v>
      </c>
      <c r="U28" s="46">
        <f t="shared" si="19"/>
        <v>0.12318642211880645</v>
      </c>
      <c r="V28" s="47">
        <f t="shared" si="20"/>
        <v>0</v>
      </c>
      <c r="W28" s="48">
        <f t="shared" si="21"/>
        <v>2.7374760470845879E-3</v>
      </c>
      <c r="X28" s="43">
        <f t="shared" si="22"/>
        <v>391.14207500684421</v>
      </c>
      <c r="Y28" s="43">
        <f t="shared" si="23"/>
        <v>0</v>
      </c>
      <c r="Z28" s="43">
        <f t="shared" si="24"/>
        <v>8678.8193265808932</v>
      </c>
      <c r="AA28" s="49">
        <f t="shared" si="25"/>
        <v>6251.1420750068446</v>
      </c>
      <c r="AB28" s="50">
        <f t="shared" si="26"/>
        <v>8126.2353245139448</v>
      </c>
      <c r="AC28" s="43">
        <f t="shared" si="27"/>
        <v>5853.1292837142737</v>
      </c>
      <c r="AD28" s="43">
        <f t="shared" si="28"/>
        <v>122.70879296765332</v>
      </c>
      <c r="AE28" s="43">
        <f t="shared" si="29"/>
        <v>0</v>
      </c>
      <c r="AF28" s="51">
        <f>HLOOKUP(I28,GasAvoidedCostsWOCC!$A$5:$G$50,G28+1,FALSE)</f>
        <v>37.569941081056932</v>
      </c>
      <c r="AG28" s="43">
        <f t="shared" si="30"/>
        <v>4508.3929297268314</v>
      </c>
      <c r="AH28" s="51">
        <f>HLOOKUP(I28,GasAvoidedCostsWOCC!$A$5:$Q$50,T28+1,FALSE)</f>
        <v>37.569941081056932</v>
      </c>
      <c r="AI28" s="43">
        <f t="shared" si="31"/>
        <v>0</v>
      </c>
      <c r="AJ28" s="43">
        <f t="shared" si="32"/>
        <v>4508.3929297268314</v>
      </c>
      <c r="AK28" s="43">
        <f>HLOOKUP(I28,GasAvoidedCostsWOCC!$A$5:$Q$50,G28+1,FALSE)*J28*L28</f>
        <v>0</v>
      </c>
      <c r="AL28" s="43">
        <f t="shared" si="33"/>
        <v>4508.3929297268314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4508.3929297268314</v>
      </c>
      <c r="AN28" s="47">
        <f t="shared" si="34"/>
        <v>5081.9410156671684</v>
      </c>
      <c r="AO28" s="46">
        <f t="shared" si="35"/>
        <v>0.55479477884754613</v>
      </c>
      <c r="AP28" s="46">
        <f t="shared" si="36"/>
        <v>0.86824342489873629</v>
      </c>
    </row>
    <row r="29" spans="1:42" x14ac:dyDescent="0.25">
      <c r="B29" s="88" t="s">
        <v>102</v>
      </c>
      <c r="C29" s="89">
        <v>18230661</v>
      </c>
      <c r="D29" s="60" t="s">
        <v>103</v>
      </c>
      <c r="E29" s="37" t="s">
        <v>1218</v>
      </c>
      <c r="F29" s="38" t="s">
        <v>1219</v>
      </c>
      <c r="G29" s="38">
        <v>15</v>
      </c>
      <c r="H29" s="38">
        <v>0</v>
      </c>
      <c r="I29" s="39" t="s">
        <v>273</v>
      </c>
      <c r="J29" s="40">
        <v>10</v>
      </c>
      <c r="K29" s="40">
        <v>0.84</v>
      </c>
      <c r="L29" s="40">
        <v>0</v>
      </c>
      <c r="M29" s="41">
        <v>27.4</v>
      </c>
      <c r="N29" s="41">
        <v>27.4</v>
      </c>
      <c r="O29" s="42">
        <v>8.4</v>
      </c>
      <c r="P29" s="43">
        <v>274</v>
      </c>
      <c r="Q29" s="43">
        <v>274</v>
      </c>
      <c r="R29" s="44">
        <v>8.9800000000000005E-2</v>
      </c>
      <c r="S29" s="45"/>
      <c r="T29" s="38">
        <f t="shared" si="18"/>
        <v>15</v>
      </c>
      <c r="U29" s="46">
        <f t="shared" si="19"/>
        <v>2.8743498494388179E-3</v>
      </c>
      <c r="V29" s="47">
        <f t="shared" si="20"/>
        <v>0</v>
      </c>
      <c r="W29" s="48">
        <f t="shared" si="21"/>
        <v>1.9162332329592118E-4</v>
      </c>
      <c r="X29" s="43">
        <f t="shared" si="22"/>
        <v>27.379945250479096</v>
      </c>
      <c r="Y29" s="43">
        <f t="shared" si="23"/>
        <v>0</v>
      </c>
      <c r="Z29" s="43">
        <f t="shared" si="24"/>
        <v>607.51735286066253</v>
      </c>
      <c r="AA29" s="49">
        <f t="shared" si="25"/>
        <v>301.37994525047907</v>
      </c>
      <c r="AB29" s="50">
        <f t="shared" si="26"/>
        <v>568.83647271597613</v>
      </c>
      <c r="AC29" s="43">
        <f t="shared" si="27"/>
        <v>282.19095997235866</v>
      </c>
      <c r="AD29" s="43">
        <f t="shared" si="28"/>
        <v>8.2832360367153406</v>
      </c>
      <c r="AE29" s="43">
        <f t="shared" si="29"/>
        <v>0</v>
      </c>
      <c r="AF29" s="51">
        <f>HLOOKUP(I29,GasAvoidedCostsWOCC!$A$5:$G$50,G29+1,FALSE)</f>
        <v>15.482479593143392</v>
      </c>
      <c r="AG29" s="43">
        <f t="shared" si="30"/>
        <v>130.05282858240449</v>
      </c>
      <c r="AH29" s="51">
        <f>HLOOKUP(I29,GasAvoidedCostsWOCC!$A$5:$Q$50,T29+1,FALSE)</f>
        <v>15.482479593143392</v>
      </c>
      <c r="AI29" s="43">
        <f t="shared" si="31"/>
        <v>0</v>
      </c>
      <c r="AJ29" s="43">
        <f t="shared" si="32"/>
        <v>130.05282858240449</v>
      </c>
      <c r="AK29" s="43">
        <f>HLOOKUP(I29,GasAvoidedCostsWOCC!$A$5:$Q$50,G29+1,FALSE)*J29*L29</f>
        <v>0</v>
      </c>
      <c r="AL29" s="43">
        <f t="shared" si="33"/>
        <v>130.05282858240449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130.05282858240449</v>
      </c>
      <c r="AN29" s="47">
        <f t="shared" si="34"/>
        <v>151.3413474773603</v>
      </c>
      <c r="AO29" s="46">
        <f t="shared" si="35"/>
        <v>0.2286295531674544</v>
      </c>
      <c r="AP29" s="46">
        <f t="shared" si="36"/>
        <v>0.53630827682142823</v>
      </c>
    </row>
    <row r="30" spans="1:42" x14ac:dyDescent="0.25">
      <c r="B30" s="88" t="s">
        <v>102</v>
      </c>
      <c r="C30" s="89">
        <v>18230661</v>
      </c>
      <c r="D30" s="60" t="s">
        <v>103</v>
      </c>
      <c r="E30" s="37" t="s">
        <v>1220</v>
      </c>
      <c r="F30" s="38" t="s">
        <v>1221</v>
      </c>
      <c r="G30" s="38">
        <v>45</v>
      </c>
      <c r="H30" s="38">
        <v>0</v>
      </c>
      <c r="I30" s="39" t="s">
        <v>273</v>
      </c>
      <c r="J30" s="40">
        <v>100</v>
      </c>
      <c r="K30" s="40">
        <v>9.9000000000000005E-2</v>
      </c>
      <c r="L30" s="40">
        <v>0</v>
      </c>
      <c r="M30" s="41">
        <v>3.01</v>
      </c>
      <c r="N30" s="41">
        <v>3.01</v>
      </c>
      <c r="O30" s="42">
        <v>9.9</v>
      </c>
      <c r="P30" s="43">
        <v>301</v>
      </c>
      <c r="Q30" s="43">
        <v>301</v>
      </c>
      <c r="R30" s="44">
        <v>7.1999999999999998E-3</v>
      </c>
      <c r="S30" s="45"/>
      <c r="T30" s="38">
        <f t="shared" si="18"/>
        <v>45</v>
      </c>
      <c r="U30" s="46">
        <f t="shared" si="19"/>
        <v>1.0162879824801532E-2</v>
      </c>
      <c r="V30" s="47">
        <f t="shared" si="20"/>
        <v>0</v>
      </c>
      <c r="W30" s="48">
        <f t="shared" si="21"/>
        <v>2.2584177388447851E-4</v>
      </c>
      <c r="X30" s="43">
        <f t="shared" si="22"/>
        <v>32.269221188064648</v>
      </c>
      <c r="Y30" s="43">
        <f t="shared" si="23"/>
        <v>0</v>
      </c>
      <c r="Z30" s="43">
        <f t="shared" si="24"/>
        <v>716.00259444292362</v>
      </c>
      <c r="AA30" s="49">
        <f t="shared" si="25"/>
        <v>333.26922118806465</v>
      </c>
      <c r="AB30" s="50">
        <f t="shared" si="26"/>
        <v>670.41441427240034</v>
      </c>
      <c r="AC30" s="43">
        <f t="shared" si="27"/>
        <v>312.04983257309425</v>
      </c>
      <c r="AD30" s="43">
        <f t="shared" si="28"/>
        <v>10.039810333717089</v>
      </c>
      <c r="AE30" s="43">
        <f t="shared" si="29"/>
        <v>0</v>
      </c>
      <c r="AF30" s="51">
        <f>HLOOKUP(I30,GasAvoidedCostsWOCC!$A$5:$G$50,G30+1,FALSE)</f>
        <v>37.569941081056932</v>
      </c>
      <c r="AG30" s="43">
        <f t="shared" si="30"/>
        <v>371.94241670246362</v>
      </c>
      <c r="AH30" s="51">
        <f>HLOOKUP(I30,GasAvoidedCostsWOCC!$A$5:$Q$50,T30+1,FALSE)</f>
        <v>37.569941081056932</v>
      </c>
      <c r="AI30" s="43">
        <f t="shared" si="31"/>
        <v>0</v>
      </c>
      <c r="AJ30" s="43">
        <f t="shared" si="32"/>
        <v>371.94241670246362</v>
      </c>
      <c r="AK30" s="43">
        <f>HLOOKUP(I30,GasAvoidedCostsWOCC!$A$5:$Q$50,G30+1,FALSE)*J30*L30</f>
        <v>0</v>
      </c>
      <c r="AL30" s="43">
        <f t="shared" si="33"/>
        <v>371.94241670246362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371.94241670246362</v>
      </c>
      <c r="AN30" s="47">
        <f t="shared" si="34"/>
        <v>419.1764687064271</v>
      </c>
      <c r="AO30" s="46">
        <f t="shared" si="35"/>
        <v>0.55479477884754624</v>
      </c>
      <c r="AP30" s="46">
        <f t="shared" si="36"/>
        <v>1.343299771225609</v>
      </c>
    </row>
    <row r="31" spans="1:42" x14ac:dyDescent="0.25">
      <c r="B31" s="88" t="s">
        <v>102</v>
      </c>
      <c r="C31" s="89">
        <v>18230661</v>
      </c>
      <c r="D31" s="60" t="s">
        <v>103</v>
      </c>
      <c r="E31" s="37" t="s">
        <v>1222</v>
      </c>
      <c r="F31" s="38" t="s">
        <v>1223</v>
      </c>
      <c r="G31" s="38">
        <v>25</v>
      </c>
      <c r="H31" s="38">
        <v>0</v>
      </c>
      <c r="I31" s="39" t="s">
        <v>273</v>
      </c>
      <c r="J31" s="40">
        <v>200</v>
      </c>
      <c r="K31" s="40">
        <v>0.05</v>
      </c>
      <c r="L31" s="40">
        <v>0</v>
      </c>
      <c r="M31" s="41">
        <v>2.12</v>
      </c>
      <c r="N31" s="41">
        <v>2.12</v>
      </c>
      <c r="O31" s="42">
        <v>10</v>
      </c>
      <c r="P31" s="43">
        <v>424</v>
      </c>
      <c r="Q31" s="43">
        <v>424</v>
      </c>
      <c r="R31" s="44">
        <v>0.2039</v>
      </c>
      <c r="S31" s="45"/>
      <c r="T31" s="38">
        <f t="shared" si="18"/>
        <v>25</v>
      </c>
      <c r="U31" s="46">
        <f t="shared" si="19"/>
        <v>5.7030750980928916E-3</v>
      </c>
      <c r="V31" s="47">
        <f t="shared" si="20"/>
        <v>0</v>
      </c>
      <c r="W31" s="48">
        <f t="shared" si="21"/>
        <v>2.2812300392371568E-4</v>
      </c>
      <c r="X31" s="43">
        <f t="shared" si="22"/>
        <v>32.595172917237015</v>
      </c>
      <c r="Y31" s="43">
        <f t="shared" si="23"/>
        <v>0</v>
      </c>
      <c r="Z31" s="43">
        <f t="shared" si="24"/>
        <v>723.23494388174117</v>
      </c>
      <c r="AA31" s="49">
        <f t="shared" si="25"/>
        <v>456.59517291723699</v>
      </c>
      <c r="AB31" s="50">
        <f t="shared" si="26"/>
        <v>677.18627704282881</v>
      </c>
      <c r="AC31" s="43">
        <f t="shared" si="27"/>
        <v>427.5235701472256</v>
      </c>
      <c r="AD31" s="43">
        <f t="shared" si="28"/>
        <v>483.91963158655767</v>
      </c>
      <c r="AE31" s="43">
        <f t="shared" si="29"/>
        <v>0</v>
      </c>
      <c r="AF31" s="51">
        <f>HLOOKUP(I31,GasAvoidedCostsWOCC!$A$5:$G$50,G31+1,FALSE)</f>
        <v>22.891286501587491</v>
      </c>
      <c r="AG31" s="43">
        <f t="shared" si="30"/>
        <v>228.91286501587493</v>
      </c>
      <c r="AH31" s="51">
        <f>HLOOKUP(I31,GasAvoidedCostsWOCC!$A$5:$Q$50,T31+1,FALSE)</f>
        <v>22.891286501587491</v>
      </c>
      <c r="AI31" s="43">
        <f t="shared" si="31"/>
        <v>0</v>
      </c>
      <c r="AJ31" s="43">
        <f t="shared" si="32"/>
        <v>228.91286501587493</v>
      </c>
      <c r="AK31" s="43">
        <f>HLOOKUP(I31,GasAvoidedCostsWOCC!$A$5:$Q$50,G31+1,FALSE)*J31*L31</f>
        <v>0</v>
      </c>
      <c r="AL31" s="43">
        <f t="shared" si="33"/>
        <v>228.91286501587493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228.91286501587493</v>
      </c>
      <c r="AN31" s="47">
        <f t="shared" si="34"/>
        <v>735.72378310402007</v>
      </c>
      <c r="AO31" s="46">
        <f t="shared" si="35"/>
        <v>0.33803529808002486</v>
      </c>
      <c r="AP31" s="46">
        <f t="shared" si="36"/>
        <v>1.7208964241448959</v>
      </c>
    </row>
    <row r="32" spans="1:42" x14ac:dyDescent="0.25">
      <c r="B32" s="88" t="s">
        <v>102</v>
      </c>
      <c r="C32" s="89">
        <v>18230661</v>
      </c>
      <c r="D32" s="60" t="s">
        <v>103</v>
      </c>
      <c r="E32" s="37" t="s">
        <v>1224</v>
      </c>
      <c r="F32" s="38" t="s">
        <v>1225</v>
      </c>
      <c r="G32" s="38">
        <v>7</v>
      </c>
      <c r="H32" s="38">
        <v>0</v>
      </c>
      <c r="I32" s="39" t="s">
        <v>273</v>
      </c>
      <c r="J32" s="40">
        <v>10</v>
      </c>
      <c r="K32" s="40">
        <v>11.7</v>
      </c>
      <c r="L32" s="40">
        <v>0</v>
      </c>
      <c r="M32" s="41">
        <v>484</v>
      </c>
      <c r="N32" s="41">
        <v>484</v>
      </c>
      <c r="O32" s="42">
        <v>117</v>
      </c>
      <c r="P32" s="43">
        <v>4840</v>
      </c>
      <c r="Q32" s="43">
        <v>4840</v>
      </c>
      <c r="R32" s="44">
        <v>1.3552999999999999</v>
      </c>
      <c r="S32" s="45"/>
      <c r="T32" s="38">
        <f t="shared" si="18"/>
        <v>7</v>
      </c>
      <c r="U32" s="46">
        <f t="shared" si="19"/>
        <v>1.8683274021352315E-2</v>
      </c>
      <c r="V32" s="47">
        <f t="shared" si="20"/>
        <v>0</v>
      </c>
      <c r="W32" s="48">
        <f t="shared" si="21"/>
        <v>2.6690391459074734E-3</v>
      </c>
      <c r="X32" s="43">
        <f t="shared" si="22"/>
        <v>381.36352313167311</v>
      </c>
      <c r="Y32" s="43">
        <f t="shared" si="23"/>
        <v>0</v>
      </c>
      <c r="Z32" s="43">
        <f t="shared" si="24"/>
        <v>8461.8488434163719</v>
      </c>
      <c r="AA32" s="49">
        <f t="shared" si="25"/>
        <v>5221.363523131673</v>
      </c>
      <c r="AB32" s="50">
        <f t="shared" si="26"/>
        <v>7923.079441401097</v>
      </c>
      <c r="AC32" s="43">
        <f t="shared" si="27"/>
        <v>4888.9171564903299</v>
      </c>
      <c r="AD32" s="43">
        <f t="shared" si="28"/>
        <v>73.553101007882574</v>
      </c>
      <c r="AE32" s="43">
        <f t="shared" si="29"/>
        <v>0</v>
      </c>
      <c r="AF32" s="51">
        <f>HLOOKUP(I32,GasAvoidedCostsWOCC!$A$5:$G$50,G32+1,FALSE)</f>
        <v>8.2965739434760017</v>
      </c>
      <c r="AG32" s="43">
        <f t="shared" si="30"/>
        <v>970.69915138669228</v>
      </c>
      <c r="AH32" s="51">
        <f>HLOOKUP(I32,GasAvoidedCostsWOCC!$A$5:$Q$50,T32+1,FALSE)</f>
        <v>8.2965739434760017</v>
      </c>
      <c r="AI32" s="43">
        <f t="shared" si="31"/>
        <v>0</v>
      </c>
      <c r="AJ32" s="43">
        <f t="shared" si="32"/>
        <v>970.69915138669228</v>
      </c>
      <c r="AK32" s="43">
        <f>HLOOKUP(I32,GasAvoidedCostsWOCC!$A$5:$Q$50,G32+1,FALSE)*J32*L32</f>
        <v>0</v>
      </c>
      <c r="AL32" s="43">
        <f t="shared" si="33"/>
        <v>970.69915138669228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970.69915138669217</v>
      </c>
      <c r="AN32" s="47">
        <f t="shared" si="34"/>
        <v>1141.3221675332441</v>
      </c>
      <c r="AO32" s="46">
        <f t="shared" si="35"/>
        <v>0.12251538793293182</v>
      </c>
      <c r="AP32" s="46">
        <f t="shared" si="36"/>
        <v>0.23345091172552815</v>
      </c>
    </row>
    <row r="33" spans="2:42" x14ac:dyDescent="0.25">
      <c r="B33" s="88" t="s">
        <v>102</v>
      </c>
      <c r="C33" s="89">
        <v>18230661</v>
      </c>
      <c r="D33" s="60" t="s">
        <v>103</v>
      </c>
      <c r="E33" s="37" t="s">
        <v>1226</v>
      </c>
      <c r="F33" s="38" t="s">
        <v>1227</v>
      </c>
      <c r="G33" s="38">
        <v>7</v>
      </c>
      <c r="H33" s="38">
        <v>0</v>
      </c>
      <c r="I33" s="39" t="s">
        <v>273</v>
      </c>
      <c r="J33" s="40">
        <v>30</v>
      </c>
      <c r="K33" s="40">
        <v>26.7</v>
      </c>
      <c r="L33" s="40">
        <v>0</v>
      </c>
      <c r="M33" s="41">
        <v>484</v>
      </c>
      <c r="N33" s="41">
        <v>484</v>
      </c>
      <c r="O33" s="42">
        <v>801</v>
      </c>
      <c r="P33" s="43">
        <v>14520</v>
      </c>
      <c r="Q33" s="43">
        <v>14520</v>
      </c>
      <c r="R33" s="44">
        <v>22.471</v>
      </c>
      <c r="S33" s="45"/>
      <c r="T33" s="38">
        <f t="shared" si="18"/>
        <v>7</v>
      </c>
      <c r="U33" s="46">
        <f t="shared" si="19"/>
        <v>0.12790856830002739</v>
      </c>
      <c r="V33" s="47">
        <f t="shared" si="20"/>
        <v>0</v>
      </c>
      <c r="W33" s="48">
        <f t="shared" si="21"/>
        <v>1.8272652614289626E-2</v>
      </c>
      <c r="X33" s="43">
        <f t="shared" si="22"/>
        <v>2610.8733506706853</v>
      </c>
      <c r="Y33" s="43">
        <f t="shared" si="23"/>
        <v>0</v>
      </c>
      <c r="Z33" s="43">
        <f t="shared" si="24"/>
        <v>57931.119004927466</v>
      </c>
      <c r="AA33" s="49">
        <f t="shared" si="25"/>
        <v>17130.873350670685</v>
      </c>
      <c r="AB33" s="50">
        <f t="shared" si="26"/>
        <v>54242.620791130583</v>
      </c>
      <c r="AC33" s="43">
        <f t="shared" si="27"/>
        <v>16040.143586770304</v>
      </c>
      <c r="AD33" s="43">
        <f t="shared" si="28"/>
        <v>3658.5517584626195</v>
      </c>
      <c r="AE33" s="43">
        <f t="shared" si="29"/>
        <v>0</v>
      </c>
      <c r="AF33" s="51">
        <f>HLOOKUP(I33,GasAvoidedCostsWOCC!$A$5:$G$50,G33+1,FALSE)</f>
        <v>8.2965739434760017</v>
      </c>
      <c r="AG33" s="43">
        <f t="shared" si="30"/>
        <v>6645.5557287242773</v>
      </c>
      <c r="AH33" s="51">
        <f>HLOOKUP(I33,GasAvoidedCostsWOCC!$A$5:$Q$50,T33+1,FALSE)</f>
        <v>8.2965739434760017</v>
      </c>
      <c r="AI33" s="43">
        <f t="shared" si="31"/>
        <v>0</v>
      </c>
      <c r="AJ33" s="43">
        <f t="shared" si="32"/>
        <v>6645.5557287242773</v>
      </c>
      <c r="AK33" s="43">
        <f>HLOOKUP(I33,GasAvoidedCostsWOCC!$A$5:$Q$50,G33+1,FALSE)*J33*L33</f>
        <v>0</v>
      </c>
      <c r="AL33" s="43">
        <f t="shared" si="33"/>
        <v>6645.5557287242773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6645.5557287242773</v>
      </c>
      <c r="AN33" s="47">
        <f t="shared" si="34"/>
        <v>10968.663060059325</v>
      </c>
      <c r="AO33" s="46">
        <f t="shared" si="35"/>
        <v>0.12251538793293183</v>
      </c>
      <c r="AP33" s="46">
        <f t="shared" si="36"/>
        <v>0.68382574013278363</v>
      </c>
    </row>
    <row r="34" spans="2:42" x14ac:dyDescent="0.25">
      <c r="B34" s="88" t="s">
        <v>102</v>
      </c>
      <c r="C34" s="89">
        <v>18230661</v>
      </c>
      <c r="D34" s="60" t="s">
        <v>103</v>
      </c>
      <c r="E34" s="37" t="s">
        <v>1228</v>
      </c>
      <c r="F34" s="38" t="s">
        <v>1229</v>
      </c>
      <c r="G34" s="38">
        <v>7</v>
      </c>
      <c r="H34" s="38">
        <v>0</v>
      </c>
      <c r="I34" s="39" t="s">
        <v>273</v>
      </c>
      <c r="J34" s="40">
        <v>10</v>
      </c>
      <c r="K34" s="40">
        <v>26.7</v>
      </c>
      <c r="L34" s="40">
        <v>0</v>
      </c>
      <c r="M34" s="41">
        <v>484</v>
      </c>
      <c r="N34" s="41">
        <v>484</v>
      </c>
      <c r="O34" s="42">
        <v>267</v>
      </c>
      <c r="P34" s="43">
        <v>4840</v>
      </c>
      <c r="Q34" s="43">
        <v>4840</v>
      </c>
      <c r="R34" s="44">
        <v>3.09</v>
      </c>
      <c r="S34" s="45"/>
      <c r="T34" s="38">
        <f t="shared" si="18"/>
        <v>7</v>
      </c>
      <c r="U34" s="46">
        <f t="shared" si="19"/>
        <v>4.2636189433342457E-2</v>
      </c>
      <c r="V34" s="47">
        <f t="shared" si="20"/>
        <v>0</v>
      </c>
      <c r="W34" s="48">
        <f t="shared" si="21"/>
        <v>6.0908842047632085E-3</v>
      </c>
      <c r="X34" s="43">
        <f t="shared" si="22"/>
        <v>870.29111689022841</v>
      </c>
      <c r="Y34" s="43">
        <f t="shared" si="23"/>
        <v>0</v>
      </c>
      <c r="Z34" s="43">
        <f t="shared" si="24"/>
        <v>19310.373001642489</v>
      </c>
      <c r="AA34" s="49">
        <f t="shared" si="25"/>
        <v>5710.2911168902283</v>
      </c>
      <c r="AB34" s="50">
        <f t="shared" si="26"/>
        <v>18080.873597043526</v>
      </c>
      <c r="AC34" s="43">
        <f t="shared" si="27"/>
        <v>5346.714528923434</v>
      </c>
      <c r="AD34" s="43">
        <f t="shared" si="28"/>
        <v>167.69651155785226</v>
      </c>
      <c r="AE34" s="43">
        <f t="shared" si="29"/>
        <v>0</v>
      </c>
      <c r="AF34" s="51">
        <f>HLOOKUP(I34,GasAvoidedCostsWOCC!$A$5:$G$50,G34+1,FALSE)</f>
        <v>8.2965739434760017</v>
      </c>
      <c r="AG34" s="43">
        <f t="shared" si="30"/>
        <v>2215.1852429080927</v>
      </c>
      <c r="AH34" s="51">
        <f>HLOOKUP(I34,GasAvoidedCostsWOCC!$A$5:$Q$50,T34+1,FALSE)</f>
        <v>8.2965739434760017</v>
      </c>
      <c r="AI34" s="43">
        <f t="shared" si="31"/>
        <v>0</v>
      </c>
      <c r="AJ34" s="43">
        <f t="shared" si="32"/>
        <v>2215.1852429080927</v>
      </c>
      <c r="AK34" s="43">
        <f>HLOOKUP(I34,GasAvoidedCostsWOCC!$A$5:$Q$50,G34+1,FALSE)*J34*L34</f>
        <v>0</v>
      </c>
      <c r="AL34" s="43">
        <f t="shared" si="33"/>
        <v>2215.1852429080927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2215.1852429080923</v>
      </c>
      <c r="AN34" s="47">
        <f t="shared" si="34"/>
        <v>2604.4002787567542</v>
      </c>
      <c r="AO34" s="46">
        <f t="shared" si="35"/>
        <v>0.12251538793293183</v>
      </c>
      <c r="AP34" s="46">
        <f t="shared" si="36"/>
        <v>0.48710292361188634</v>
      </c>
    </row>
    <row r="35" spans="2:42" x14ac:dyDescent="0.25">
      <c r="B35" s="88" t="s">
        <v>102</v>
      </c>
      <c r="C35" s="89">
        <v>18230661</v>
      </c>
      <c r="D35" s="60" t="s">
        <v>103</v>
      </c>
      <c r="E35" s="37" t="s">
        <v>1230</v>
      </c>
      <c r="F35" s="38" t="s">
        <v>1231</v>
      </c>
      <c r="G35" s="38">
        <v>45</v>
      </c>
      <c r="H35" s="38">
        <v>0</v>
      </c>
      <c r="I35" s="39" t="s">
        <v>273</v>
      </c>
      <c r="J35" s="40">
        <v>10000</v>
      </c>
      <c r="K35" s="40">
        <v>0.64</v>
      </c>
      <c r="L35" s="40">
        <v>0</v>
      </c>
      <c r="M35" s="41">
        <v>32.31</v>
      </c>
      <c r="N35" s="41">
        <v>32.31</v>
      </c>
      <c r="O35" s="42">
        <v>6400</v>
      </c>
      <c r="P35" s="43">
        <v>323100</v>
      </c>
      <c r="Q35" s="43">
        <v>323100</v>
      </c>
      <c r="R35" s="44">
        <v>2.1482000000000001</v>
      </c>
      <c r="S35" s="45"/>
      <c r="T35" s="38">
        <f t="shared" si="18"/>
        <v>45</v>
      </c>
      <c r="U35" s="46">
        <f t="shared" si="19"/>
        <v>6.5699425130030109</v>
      </c>
      <c r="V35" s="47">
        <f t="shared" si="20"/>
        <v>0</v>
      </c>
      <c r="W35" s="48">
        <f t="shared" si="21"/>
        <v>0.14599872251117801</v>
      </c>
      <c r="X35" s="43">
        <f t="shared" si="22"/>
        <v>20860.910667031691</v>
      </c>
      <c r="Y35" s="43">
        <f t="shared" si="23"/>
        <v>0</v>
      </c>
      <c r="Z35" s="43">
        <f t="shared" si="24"/>
        <v>462870.36408431426</v>
      </c>
      <c r="AA35" s="49">
        <f t="shared" si="25"/>
        <v>343960.91066703171</v>
      </c>
      <c r="AB35" s="50">
        <f t="shared" si="26"/>
        <v>433399.21730741032</v>
      </c>
      <c r="AC35" s="43">
        <f t="shared" si="27"/>
        <v>322060.77777811955</v>
      </c>
      <c r="AD35" s="43">
        <f t="shared" si="28"/>
        <v>299548.89665126463</v>
      </c>
      <c r="AE35" s="43">
        <f t="shared" si="29"/>
        <v>0</v>
      </c>
      <c r="AF35" s="51">
        <f>HLOOKUP(I35,GasAvoidedCostsWOCC!$A$5:$G$50,G35+1,FALSE)</f>
        <v>37.569941081056932</v>
      </c>
      <c r="AG35" s="43">
        <f t="shared" si="30"/>
        <v>240447.62291876436</v>
      </c>
      <c r="AH35" s="51">
        <f>HLOOKUP(I35,GasAvoidedCostsWOCC!$A$5:$Q$50,T35+1,FALSE)</f>
        <v>37.569941081056932</v>
      </c>
      <c r="AI35" s="43">
        <f t="shared" si="31"/>
        <v>0</v>
      </c>
      <c r="AJ35" s="43">
        <f t="shared" si="32"/>
        <v>240447.62291876436</v>
      </c>
      <c r="AK35" s="43">
        <f>HLOOKUP(I35,GasAvoidedCostsWOCC!$A$5:$Q$50,G35+1,FALSE)*J35*L35</f>
        <v>0</v>
      </c>
      <c r="AL35" s="43">
        <f t="shared" si="33"/>
        <v>240447.62291876436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240447.62291876439</v>
      </c>
      <c r="AN35" s="47">
        <f t="shared" si="34"/>
        <v>564041.28186190547</v>
      </c>
      <c r="AO35" s="46">
        <f t="shared" si="35"/>
        <v>0.55479477884754635</v>
      </c>
      <c r="AP35" s="46">
        <f t="shared" si="36"/>
        <v>1.7513504306646615</v>
      </c>
    </row>
    <row r="36" spans="2:42" x14ac:dyDescent="0.25">
      <c r="B36" s="88" t="s">
        <v>102</v>
      </c>
      <c r="C36" s="89">
        <v>18230661</v>
      </c>
      <c r="D36" s="60" t="s">
        <v>103</v>
      </c>
      <c r="E36" s="37" t="s">
        <v>1232</v>
      </c>
      <c r="F36" s="38" t="s">
        <v>1233</v>
      </c>
      <c r="G36" s="38">
        <v>20</v>
      </c>
      <c r="H36" s="38">
        <v>0</v>
      </c>
      <c r="I36" s="39" t="s">
        <v>273</v>
      </c>
      <c r="J36" s="40">
        <v>30</v>
      </c>
      <c r="K36" s="40">
        <v>105.31</v>
      </c>
      <c r="L36" s="40">
        <v>0</v>
      </c>
      <c r="M36" s="41">
        <v>5876</v>
      </c>
      <c r="N36" s="41">
        <v>5876</v>
      </c>
      <c r="O36" s="42">
        <v>3159.3</v>
      </c>
      <c r="P36" s="43">
        <v>176280</v>
      </c>
      <c r="Q36" s="43">
        <v>176280</v>
      </c>
      <c r="R36" s="44">
        <v>10.32</v>
      </c>
      <c r="S36" s="45"/>
      <c r="T36" s="38">
        <f t="shared" si="18"/>
        <v>20</v>
      </c>
      <c r="U36" s="46">
        <f t="shared" si="19"/>
        <v>1.4414180125923899</v>
      </c>
      <c r="V36" s="47">
        <f t="shared" si="20"/>
        <v>0</v>
      </c>
      <c r="W36" s="48">
        <f t="shared" si="21"/>
        <v>7.2070900629619489E-2</v>
      </c>
      <c r="X36" s="43">
        <f t="shared" si="22"/>
        <v>10297.79297974269</v>
      </c>
      <c r="Y36" s="43">
        <f t="shared" si="23"/>
        <v>0</v>
      </c>
      <c r="Z36" s="43">
        <f t="shared" si="24"/>
        <v>228491.61582055845</v>
      </c>
      <c r="AA36" s="49">
        <f t="shared" si="25"/>
        <v>186577.79297974269</v>
      </c>
      <c r="AB36" s="50">
        <f t="shared" si="26"/>
        <v>213943.46050614087</v>
      </c>
      <c r="AC36" s="43">
        <f t="shared" si="27"/>
        <v>174698.30803346692</v>
      </c>
      <c r="AD36" s="43">
        <f t="shared" si="28"/>
        <v>3331.5156685202182</v>
      </c>
      <c r="AE36" s="43">
        <f t="shared" si="29"/>
        <v>0</v>
      </c>
      <c r="AF36" s="51">
        <f>HLOOKUP(I36,GasAvoidedCostsWOCC!$A$5:$G$50,G36+1,FALSE)</f>
        <v>19.395541552048424</v>
      </c>
      <c r="AG36" s="43">
        <f t="shared" si="30"/>
        <v>61276.334425386587</v>
      </c>
      <c r="AH36" s="51">
        <f>HLOOKUP(I36,GasAvoidedCostsWOCC!$A$5:$Q$50,T36+1,FALSE)</f>
        <v>19.395541552048424</v>
      </c>
      <c r="AI36" s="43">
        <f t="shared" si="31"/>
        <v>0</v>
      </c>
      <c r="AJ36" s="43">
        <f t="shared" si="32"/>
        <v>61276.334425386587</v>
      </c>
      <c r="AK36" s="43">
        <f>HLOOKUP(I36,GasAvoidedCostsWOCC!$A$5:$Q$50,G36+1,FALSE)*J36*L36</f>
        <v>0</v>
      </c>
      <c r="AL36" s="43">
        <f t="shared" si="33"/>
        <v>61276.334425386587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61276.334425386587</v>
      </c>
      <c r="AN36" s="47">
        <f t="shared" si="34"/>
        <v>70735.483536445478</v>
      </c>
      <c r="AO36" s="46">
        <f t="shared" si="35"/>
        <v>0.28641368275721502</v>
      </c>
      <c r="AP36" s="46">
        <f t="shared" si="36"/>
        <v>0.40490079344612023</v>
      </c>
    </row>
    <row r="37" spans="2:42" x14ac:dyDescent="0.25">
      <c r="B37" s="88" t="s">
        <v>102</v>
      </c>
      <c r="C37" s="89">
        <v>18230661</v>
      </c>
      <c r="D37" s="60" t="s">
        <v>103</v>
      </c>
      <c r="E37" s="37" t="s">
        <v>1234</v>
      </c>
      <c r="F37" s="38" t="s">
        <v>1235</v>
      </c>
      <c r="G37" s="38">
        <v>20</v>
      </c>
      <c r="H37" s="38">
        <v>0</v>
      </c>
      <c r="I37" s="39" t="s">
        <v>273</v>
      </c>
      <c r="J37" s="40">
        <v>30</v>
      </c>
      <c r="K37" s="40">
        <v>105.31</v>
      </c>
      <c r="L37" s="40">
        <v>0</v>
      </c>
      <c r="M37" s="41">
        <v>5876</v>
      </c>
      <c r="N37" s="41">
        <v>5876</v>
      </c>
      <c r="O37" s="42">
        <v>3159.3</v>
      </c>
      <c r="P37" s="43">
        <v>176280</v>
      </c>
      <c r="Q37" s="43">
        <v>176280</v>
      </c>
      <c r="R37" s="44">
        <v>54.777799999999999</v>
      </c>
      <c r="S37" s="45"/>
      <c r="T37" s="38">
        <f t="shared" si="18"/>
        <v>20</v>
      </c>
      <c r="U37" s="46">
        <f t="shared" si="19"/>
        <v>1.4414180125923899</v>
      </c>
      <c r="V37" s="47">
        <f t="shared" si="20"/>
        <v>0</v>
      </c>
      <c r="W37" s="48">
        <f t="shared" si="21"/>
        <v>7.2070900629619489E-2</v>
      </c>
      <c r="X37" s="43">
        <f t="shared" si="22"/>
        <v>10297.79297974269</v>
      </c>
      <c r="Y37" s="43">
        <f t="shared" si="23"/>
        <v>0</v>
      </c>
      <c r="Z37" s="43">
        <f t="shared" si="24"/>
        <v>228491.61582055845</v>
      </c>
      <c r="AA37" s="49">
        <f t="shared" si="25"/>
        <v>186577.79297974269</v>
      </c>
      <c r="AB37" s="50">
        <f t="shared" si="26"/>
        <v>213943.46050614087</v>
      </c>
      <c r="AC37" s="43">
        <f t="shared" si="27"/>
        <v>174698.30803346692</v>
      </c>
      <c r="AD37" s="43">
        <f t="shared" si="28"/>
        <v>17683.439824328176</v>
      </c>
      <c r="AE37" s="43">
        <f t="shared" si="29"/>
        <v>0</v>
      </c>
      <c r="AF37" s="51">
        <f>HLOOKUP(I37,GasAvoidedCostsWOCC!$A$5:$G$50,G37+1,FALSE)</f>
        <v>19.395541552048424</v>
      </c>
      <c r="AG37" s="43">
        <f t="shared" si="30"/>
        <v>61276.334425386587</v>
      </c>
      <c r="AH37" s="51">
        <f>HLOOKUP(I37,GasAvoidedCostsWOCC!$A$5:$Q$50,T37+1,FALSE)</f>
        <v>19.395541552048424</v>
      </c>
      <c r="AI37" s="43">
        <f t="shared" si="31"/>
        <v>0</v>
      </c>
      <c r="AJ37" s="43">
        <f t="shared" si="32"/>
        <v>61276.334425386587</v>
      </c>
      <c r="AK37" s="43">
        <f>HLOOKUP(I37,GasAvoidedCostsWOCC!$A$5:$Q$50,G37+1,FALSE)*J37*L37</f>
        <v>0</v>
      </c>
      <c r="AL37" s="43">
        <f t="shared" si="33"/>
        <v>61276.334425386587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61276.334425386587</v>
      </c>
      <c r="AN37" s="47">
        <f t="shared" si="34"/>
        <v>85087.40769225343</v>
      </c>
      <c r="AO37" s="46">
        <f t="shared" si="35"/>
        <v>0.28641368275721502</v>
      </c>
      <c r="AP37" s="46">
        <f t="shared" si="36"/>
        <v>0.48705341597214125</v>
      </c>
    </row>
    <row r="38" spans="2:42" x14ac:dyDescent="0.25">
      <c r="B38" s="88" t="s">
        <v>102</v>
      </c>
      <c r="C38" s="89">
        <v>18230661</v>
      </c>
      <c r="D38" s="60" t="s">
        <v>103</v>
      </c>
      <c r="E38" s="37" t="s">
        <v>1236</v>
      </c>
      <c r="F38" s="38" t="s">
        <v>1237</v>
      </c>
      <c r="G38" s="38">
        <v>20</v>
      </c>
      <c r="H38" s="38">
        <v>0</v>
      </c>
      <c r="I38" s="39" t="s">
        <v>273</v>
      </c>
      <c r="J38" s="40">
        <v>2</v>
      </c>
      <c r="K38" s="40">
        <v>5500</v>
      </c>
      <c r="L38" s="40">
        <v>0</v>
      </c>
      <c r="M38" s="41">
        <v>330000</v>
      </c>
      <c r="N38" s="41">
        <v>330000</v>
      </c>
      <c r="O38" s="42">
        <v>11000</v>
      </c>
      <c r="P38" s="43">
        <v>660000</v>
      </c>
      <c r="Q38" s="43">
        <v>660000</v>
      </c>
      <c r="R38" s="44">
        <v>0</v>
      </c>
      <c r="S38" s="45"/>
      <c r="T38" s="38">
        <f t="shared" si="18"/>
        <v>20</v>
      </c>
      <c r="U38" s="46">
        <f t="shared" si="19"/>
        <v>5.0187060863217443</v>
      </c>
      <c r="V38" s="47">
        <f t="shared" si="20"/>
        <v>0</v>
      </c>
      <c r="W38" s="48">
        <f t="shared" si="21"/>
        <v>0.25093530431608724</v>
      </c>
      <c r="X38" s="43">
        <f t="shared" si="22"/>
        <v>35854.690208960717</v>
      </c>
      <c r="Y38" s="43">
        <f t="shared" si="23"/>
        <v>0</v>
      </c>
      <c r="Z38" s="43">
        <f t="shared" si="24"/>
        <v>795558.43826991518</v>
      </c>
      <c r="AA38" s="49">
        <f t="shared" si="25"/>
        <v>695854.69020896067</v>
      </c>
      <c r="AB38" s="50">
        <f t="shared" si="26"/>
        <v>744904.90474711149</v>
      </c>
      <c r="AC38" s="43">
        <f t="shared" si="27"/>
        <v>651549.33540164854</v>
      </c>
      <c r="AD38" s="43">
        <f t="shared" si="28"/>
        <v>0</v>
      </c>
      <c r="AE38" s="43">
        <f t="shared" si="29"/>
        <v>0</v>
      </c>
      <c r="AF38" s="51">
        <f>HLOOKUP(I38,GasAvoidedCostsWOCC!$A$5:$G$50,G38+1,FALSE)</f>
        <v>19.395541552048424</v>
      </c>
      <c r="AG38" s="43">
        <f t="shared" si="30"/>
        <v>213350.95707253268</v>
      </c>
      <c r="AH38" s="51">
        <f>HLOOKUP(I38,GasAvoidedCostsWOCC!$A$5:$Q$50,T38+1,FALSE)</f>
        <v>19.395541552048424</v>
      </c>
      <c r="AI38" s="43">
        <f t="shared" si="31"/>
        <v>0</v>
      </c>
      <c r="AJ38" s="43">
        <f t="shared" si="32"/>
        <v>213350.95707253268</v>
      </c>
      <c r="AK38" s="43">
        <f>HLOOKUP(I38,GasAvoidedCostsWOCC!$A$5:$Q$50,G38+1,FALSE)*J38*L38</f>
        <v>0</v>
      </c>
      <c r="AL38" s="43">
        <f t="shared" si="33"/>
        <v>213350.95707253268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213350.95707253268</v>
      </c>
      <c r="AN38" s="47">
        <f t="shared" si="34"/>
        <v>234686.05277978597</v>
      </c>
      <c r="AO38" s="46">
        <f t="shared" si="35"/>
        <v>0.28641368275721502</v>
      </c>
      <c r="AP38" s="46">
        <f t="shared" si="36"/>
        <v>0.36019690302517676</v>
      </c>
    </row>
    <row r="39" spans="2:42" x14ac:dyDescent="0.25">
      <c r="B39" s="88" t="s">
        <v>102</v>
      </c>
      <c r="C39" s="89">
        <v>18230661</v>
      </c>
      <c r="D39" s="60" t="s">
        <v>103</v>
      </c>
      <c r="E39" s="37" t="s">
        <v>1238</v>
      </c>
      <c r="F39" s="38" t="s">
        <v>1239</v>
      </c>
      <c r="G39" s="38">
        <v>20</v>
      </c>
      <c r="H39" s="38">
        <v>0</v>
      </c>
      <c r="I39" s="39" t="s">
        <v>273</v>
      </c>
      <c r="J39" s="40">
        <v>12000</v>
      </c>
      <c r="K39" s="40">
        <v>0.2</v>
      </c>
      <c r="L39" s="40">
        <v>0</v>
      </c>
      <c r="M39" s="41">
        <v>8.85</v>
      </c>
      <c r="N39" s="41">
        <v>8.85</v>
      </c>
      <c r="O39" s="42">
        <v>2400</v>
      </c>
      <c r="P39" s="43">
        <v>106200</v>
      </c>
      <c r="Q39" s="43">
        <v>106200</v>
      </c>
      <c r="R39" s="44">
        <v>0.5212</v>
      </c>
      <c r="S39" s="45"/>
      <c r="T39" s="38">
        <f t="shared" si="18"/>
        <v>20</v>
      </c>
      <c r="U39" s="46">
        <f t="shared" si="19"/>
        <v>1.0949904188338353</v>
      </c>
      <c r="V39" s="47">
        <f t="shared" si="20"/>
        <v>0</v>
      </c>
      <c r="W39" s="48">
        <f t="shared" si="21"/>
        <v>5.4749520941691762E-2</v>
      </c>
      <c r="X39" s="43">
        <f t="shared" si="22"/>
        <v>7822.841500136884</v>
      </c>
      <c r="Y39" s="43">
        <f t="shared" si="23"/>
        <v>0</v>
      </c>
      <c r="Z39" s="43">
        <f t="shared" si="24"/>
        <v>173576.38653161787</v>
      </c>
      <c r="AA39" s="49">
        <f t="shared" si="25"/>
        <v>114022.84150013688</v>
      </c>
      <c r="AB39" s="50">
        <f t="shared" si="26"/>
        <v>162524.70649027888</v>
      </c>
      <c r="AC39" s="43">
        <f t="shared" si="27"/>
        <v>106762.96020612067</v>
      </c>
      <c r="AD39" s="43">
        <f t="shared" si="28"/>
        <v>67301.781644679751</v>
      </c>
      <c r="AE39" s="43">
        <f t="shared" si="29"/>
        <v>0</v>
      </c>
      <c r="AF39" s="51">
        <f>HLOOKUP(I39,GasAvoidedCostsWOCC!$A$5:$G$50,G39+1,FALSE)</f>
        <v>19.395541552048424</v>
      </c>
      <c r="AG39" s="43">
        <f t="shared" si="30"/>
        <v>46549.299724916222</v>
      </c>
      <c r="AH39" s="51">
        <f>HLOOKUP(I39,GasAvoidedCostsWOCC!$A$5:$Q$50,T39+1,FALSE)</f>
        <v>19.395541552048424</v>
      </c>
      <c r="AI39" s="43">
        <f t="shared" si="31"/>
        <v>0</v>
      </c>
      <c r="AJ39" s="43">
        <f t="shared" si="32"/>
        <v>46549.299724916222</v>
      </c>
      <c r="AK39" s="43">
        <f>HLOOKUP(I39,GasAvoidedCostsWOCC!$A$5:$Q$50,G39+1,FALSE)*J39*L39</f>
        <v>0</v>
      </c>
      <c r="AL39" s="43">
        <f t="shared" si="33"/>
        <v>46549.299724916222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46549.299724916222</v>
      </c>
      <c r="AN39" s="47">
        <f t="shared" si="34"/>
        <v>118506.0113420876</v>
      </c>
      <c r="AO39" s="46">
        <f t="shared" si="35"/>
        <v>0.28641368275721502</v>
      </c>
      <c r="AP39" s="46">
        <f t="shared" si="36"/>
        <v>1.1099918090814955</v>
      </c>
    </row>
    <row r="40" spans="2:42" x14ac:dyDescent="0.25">
      <c r="B40" s="88" t="s">
        <v>102</v>
      </c>
      <c r="C40" s="89">
        <v>18230661</v>
      </c>
      <c r="D40" s="60" t="s">
        <v>103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8"/>
        <v>0</v>
      </c>
      <c r="U40" s="46">
        <f t="shared" si="19"/>
        <v>0</v>
      </c>
      <c r="V40" s="47">
        <f t="shared" si="20"/>
        <v>0</v>
      </c>
      <c r="W40" s="48">
        <f t="shared" si="21"/>
        <v>0</v>
      </c>
      <c r="X40" s="43">
        <f t="shared" si="22"/>
        <v>0</v>
      </c>
      <c r="Y40" s="43">
        <f t="shared" si="23"/>
        <v>0</v>
      </c>
      <c r="Z40" s="43">
        <f t="shared" si="24"/>
        <v>0</v>
      </c>
      <c r="AA40" s="49">
        <f t="shared" si="25"/>
        <v>0</v>
      </c>
      <c r="AB40" s="50">
        <f t="shared" si="26"/>
        <v>0</v>
      </c>
      <c r="AC40" s="43">
        <f t="shared" si="27"/>
        <v>0</v>
      </c>
      <c r="AD40" s="43">
        <f t="shared" si="28"/>
        <v>0</v>
      </c>
      <c r="AE40" s="43">
        <f t="shared" si="29"/>
        <v>0</v>
      </c>
      <c r="AF40" s="51" t="e">
        <f>HLOOKUP(I40,GasAvoidedCostsWOCC!$A$5:$G$50,G40+1,FALSE)</f>
        <v>#N/A</v>
      </c>
      <c r="AG40" s="43" t="e">
        <f t="shared" si="30"/>
        <v>#N/A</v>
      </c>
      <c r="AH40" s="51" t="e">
        <f>HLOOKUP(I40,GasAvoidedCostsWOCC!$A$5:$Q$50,T40+1,FALSE)</f>
        <v>#N/A</v>
      </c>
      <c r="AI40" s="43" t="e">
        <f t="shared" si="31"/>
        <v>#N/A</v>
      </c>
      <c r="AJ40" s="43" t="e">
        <f t="shared" si="32"/>
        <v>#N/A</v>
      </c>
      <c r="AK40" s="43" t="e">
        <f>HLOOKUP(I40,GasAvoidedCostsWOCC!$A$5:$Q$50,G40+1,FALSE)*J40*L40</f>
        <v>#N/A</v>
      </c>
      <c r="AL40" s="43" t="e">
        <f t="shared" si="3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4"/>
        <v>0</v>
      </c>
      <c r="AO40" s="46">
        <f t="shared" si="35"/>
        <v>0</v>
      </c>
      <c r="AP40" s="46" t="e">
        <f t="shared" si="36"/>
        <v>#DIV/0!</v>
      </c>
    </row>
    <row r="41" spans="2:42" x14ac:dyDescent="0.25">
      <c r="B41" s="88" t="s">
        <v>102</v>
      </c>
      <c r="C41" s="89">
        <v>18230661</v>
      </c>
      <c r="D41" s="60" t="s">
        <v>103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8"/>
        <v>0</v>
      </c>
      <c r="U41" s="46">
        <f t="shared" si="19"/>
        <v>0</v>
      </c>
      <c r="V41" s="47">
        <f t="shared" si="20"/>
        <v>0</v>
      </c>
      <c r="W41" s="48">
        <f t="shared" si="21"/>
        <v>0</v>
      </c>
      <c r="X41" s="43">
        <f t="shared" si="22"/>
        <v>0</v>
      </c>
      <c r="Y41" s="43">
        <f t="shared" si="23"/>
        <v>0</v>
      </c>
      <c r="Z41" s="43">
        <f t="shared" si="24"/>
        <v>0</v>
      </c>
      <c r="AA41" s="49">
        <f t="shared" si="25"/>
        <v>0</v>
      </c>
      <c r="AB41" s="50">
        <f t="shared" si="26"/>
        <v>0</v>
      </c>
      <c r="AC41" s="43">
        <f t="shared" si="27"/>
        <v>0</v>
      </c>
      <c r="AD41" s="43">
        <f t="shared" si="28"/>
        <v>0</v>
      </c>
      <c r="AE41" s="43">
        <f t="shared" si="29"/>
        <v>0</v>
      </c>
      <c r="AF41" s="51" t="e">
        <f>HLOOKUP(I41,GasAvoidedCostsWOCC!$A$5:$G$50,G41+1,FALSE)</f>
        <v>#N/A</v>
      </c>
      <c r="AG41" s="43" t="e">
        <f t="shared" si="30"/>
        <v>#N/A</v>
      </c>
      <c r="AH41" s="51" t="e">
        <f>HLOOKUP(I41,GasAvoidedCostsWOCC!$A$5:$Q$50,T41+1,FALSE)</f>
        <v>#N/A</v>
      </c>
      <c r="AI41" s="43" t="e">
        <f t="shared" si="31"/>
        <v>#N/A</v>
      </c>
      <c r="AJ41" s="43" t="e">
        <f t="shared" si="32"/>
        <v>#N/A</v>
      </c>
      <c r="AK41" s="43" t="e">
        <f>HLOOKUP(I41,GasAvoidedCostsWOCC!$A$5:$Q$50,G41+1,FALSE)*J41*L41</f>
        <v>#N/A</v>
      </c>
      <c r="AL41" s="43" t="e">
        <f t="shared" si="3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4"/>
        <v>0</v>
      </c>
      <c r="AO41" s="46">
        <f t="shared" si="35"/>
        <v>0</v>
      </c>
      <c r="AP41" s="46" t="e">
        <f t="shared" si="36"/>
        <v>#DIV/0!</v>
      </c>
    </row>
    <row r="42" spans="2:42" x14ac:dyDescent="0.25">
      <c r="B42" s="88" t="s">
        <v>102</v>
      </c>
      <c r="C42" s="89">
        <v>18230661</v>
      </c>
      <c r="D42" s="60" t="s">
        <v>103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8"/>
        <v>0</v>
      </c>
      <c r="U42" s="46">
        <f t="shared" si="19"/>
        <v>0</v>
      </c>
      <c r="V42" s="47">
        <f t="shared" si="20"/>
        <v>0</v>
      </c>
      <c r="W42" s="48">
        <f t="shared" si="21"/>
        <v>0</v>
      </c>
      <c r="X42" s="43">
        <f t="shared" si="22"/>
        <v>0</v>
      </c>
      <c r="Y42" s="43">
        <f t="shared" si="23"/>
        <v>0</v>
      </c>
      <c r="Z42" s="43">
        <f t="shared" si="24"/>
        <v>0</v>
      </c>
      <c r="AA42" s="49">
        <f t="shared" si="25"/>
        <v>0</v>
      </c>
      <c r="AB42" s="50">
        <f t="shared" si="26"/>
        <v>0</v>
      </c>
      <c r="AC42" s="43">
        <f t="shared" si="27"/>
        <v>0</v>
      </c>
      <c r="AD42" s="43">
        <f t="shared" si="28"/>
        <v>0</v>
      </c>
      <c r="AE42" s="43">
        <f t="shared" si="29"/>
        <v>0</v>
      </c>
      <c r="AF42" s="51" t="e">
        <f>HLOOKUP(I42,GasAvoidedCostsWOCC!$A$5:$G$50,G42+1,FALSE)</f>
        <v>#N/A</v>
      </c>
      <c r="AG42" s="43" t="e">
        <f t="shared" si="30"/>
        <v>#N/A</v>
      </c>
      <c r="AH42" s="51" t="e">
        <f>HLOOKUP(I42,GasAvoidedCostsWOCC!$A$5:$Q$50,T42+1,FALSE)</f>
        <v>#N/A</v>
      </c>
      <c r="AI42" s="43" t="e">
        <f t="shared" si="31"/>
        <v>#N/A</v>
      </c>
      <c r="AJ42" s="43" t="e">
        <f t="shared" si="32"/>
        <v>#N/A</v>
      </c>
      <c r="AK42" s="43" t="e">
        <f>HLOOKUP(I42,GasAvoidedCostsWOCC!$A$5:$Q$50,G42+1,FALSE)*J42*L42</f>
        <v>#N/A</v>
      </c>
      <c r="AL42" s="43" t="e">
        <f t="shared" si="3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4"/>
        <v>0</v>
      </c>
      <c r="AO42" s="46">
        <f t="shared" si="35"/>
        <v>0</v>
      </c>
      <c r="AP42" s="46" t="e">
        <f t="shared" si="36"/>
        <v>#DIV/0!</v>
      </c>
    </row>
    <row r="43" spans="2:42" x14ac:dyDescent="0.25">
      <c r="B43" s="88" t="s">
        <v>102</v>
      </c>
      <c r="C43" s="89">
        <v>18230661</v>
      </c>
      <c r="D43" s="60" t="s">
        <v>103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8"/>
        <v>0</v>
      </c>
      <c r="U43" s="46">
        <f t="shared" si="19"/>
        <v>0</v>
      </c>
      <c r="V43" s="47">
        <f t="shared" si="20"/>
        <v>0</v>
      </c>
      <c r="W43" s="48">
        <f t="shared" si="21"/>
        <v>0</v>
      </c>
      <c r="X43" s="43">
        <f t="shared" si="22"/>
        <v>0</v>
      </c>
      <c r="Y43" s="43">
        <f t="shared" si="23"/>
        <v>0</v>
      </c>
      <c r="Z43" s="43">
        <f t="shared" si="24"/>
        <v>0</v>
      </c>
      <c r="AA43" s="49">
        <f t="shared" si="25"/>
        <v>0</v>
      </c>
      <c r="AB43" s="50">
        <f t="shared" si="26"/>
        <v>0</v>
      </c>
      <c r="AC43" s="43">
        <f t="shared" si="27"/>
        <v>0</v>
      </c>
      <c r="AD43" s="43">
        <f t="shared" si="28"/>
        <v>0</v>
      </c>
      <c r="AE43" s="43">
        <f t="shared" si="29"/>
        <v>0</v>
      </c>
      <c r="AF43" s="51" t="e">
        <f>HLOOKUP(I43,GasAvoidedCostsWOCC!$A$5:$G$50,G43+1,FALSE)</f>
        <v>#N/A</v>
      </c>
      <c r="AG43" s="43" t="e">
        <f t="shared" si="30"/>
        <v>#N/A</v>
      </c>
      <c r="AH43" s="51" t="e">
        <f>HLOOKUP(I43,GasAvoidedCostsWOCC!$A$5:$Q$50,T43+1,FALSE)</f>
        <v>#N/A</v>
      </c>
      <c r="AI43" s="43" t="e">
        <f t="shared" si="31"/>
        <v>#N/A</v>
      </c>
      <c r="AJ43" s="43" t="e">
        <f t="shared" si="32"/>
        <v>#N/A</v>
      </c>
      <c r="AK43" s="43" t="e">
        <f>HLOOKUP(I43,GasAvoidedCostsWOCC!$A$5:$Q$50,G43+1,FALSE)*J43*L43</f>
        <v>#N/A</v>
      </c>
      <c r="AL43" s="43" t="e">
        <f t="shared" si="3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4"/>
        <v>0</v>
      </c>
      <c r="AO43" s="46">
        <f t="shared" si="35"/>
        <v>0</v>
      </c>
      <c r="AP43" s="46" t="e">
        <f t="shared" si="36"/>
        <v>#DIV/0!</v>
      </c>
    </row>
    <row r="44" spans="2:42" x14ac:dyDescent="0.25">
      <c r="B44" s="88" t="s">
        <v>102</v>
      </c>
      <c r="C44" s="89">
        <v>18230661</v>
      </c>
      <c r="D44" s="60" t="s">
        <v>103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8"/>
        <v>0</v>
      </c>
      <c r="U44" s="46">
        <f t="shared" si="19"/>
        <v>0</v>
      </c>
      <c r="V44" s="47">
        <f t="shared" si="20"/>
        <v>0</v>
      </c>
      <c r="W44" s="48">
        <f t="shared" si="21"/>
        <v>0</v>
      </c>
      <c r="X44" s="43">
        <f t="shared" si="22"/>
        <v>0</v>
      </c>
      <c r="Y44" s="43">
        <f t="shared" si="23"/>
        <v>0</v>
      </c>
      <c r="Z44" s="43">
        <f t="shared" si="24"/>
        <v>0</v>
      </c>
      <c r="AA44" s="49">
        <f t="shared" si="25"/>
        <v>0</v>
      </c>
      <c r="AB44" s="50">
        <f t="shared" si="26"/>
        <v>0</v>
      </c>
      <c r="AC44" s="43">
        <f t="shared" si="27"/>
        <v>0</v>
      </c>
      <c r="AD44" s="43">
        <f t="shared" si="28"/>
        <v>0</v>
      </c>
      <c r="AE44" s="43">
        <f t="shared" si="29"/>
        <v>0</v>
      </c>
      <c r="AF44" s="51" t="e">
        <f>HLOOKUP(I44,GasAvoidedCostsWOCC!$A$5:$G$50,G44+1,FALSE)</f>
        <v>#N/A</v>
      </c>
      <c r="AG44" s="43" t="e">
        <f t="shared" si="30"/>
        <v>#N/A</v>
      </c>
      <c r="AH44" s="51" t="e">
        <f>HLOOKUP(I44,GasAvoidedCostsWOCC!$A$5:$Q$50,T44+1,FALSE)</f>
        <v>#N/A</v>
      </c>
      <c r="AI44" s="43" t="e">
        <f t="shared" si="31"/>
        <v>#N/A</v>
      </c>
      <c r="AJ44" s="43" t="e">
        <f t="shared" si="32"/>
        <v>#N/A</v>
      </c>
      <c r="AK44" s="43" t="e">
        <f>HLOOKUP(I44,GasAvoidedCostsWOCC!$A$5:$Q$50,G44+1,FALSE)*J44*L44</f>
        <v>#N/A</v>
      </c>
      <c r="AL44" s="43" t="e">
        <f t="shared" si="3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4"/>
        <v>0</v>
      </c>
      <c r="AO44" s="46">
        <f t="shared" si="35"/>
        <v>0</v>
      </c>
      <c r="AP44" s="46" t="e">
        <f t="shared" si="36"/>
        <v>#DIV/0!</v>
      </c>
    </row>
    <row r="45" spans="2:42" x14ac:dyDescent="0.25">
      <c r="B45" s="88" t="s">
        <v>102</v>
      </c>
      <c r="C45" s="89">
        <v>18230661</v>
      </c>
      <c r="D45" s="60" t="s">
        <v>103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8"/>
        <v>0</v>
      </c>
      <c r="U45" s="46">
        <f t="shared" si="19"/>
        <v>0</v>
      </c>
      <c r="V45" s="47">
        <f t="shared" si="20"/>
        <v>0</v>
      </c>
      <c r="W45" s="48">
        <f t="shared" si="21"/>
        <v>0</v>
      </c>
      <c r="X45" s="43">
        <f t="shared" si="22"/>
        <v>0</v>
      </c>
      <c r="Y45" s="43">
        <f t="shared" si="23"/>
        <v>0</v>
      </c>
      <c r="Z45" s="43">
        <f t="shared" si="24"/>
        <v>0</v>
      </c>
      <c r="AA45" s="49">
        <f t="shared" si="25"/>
        <v>0</v>
      </c>
      <c r="AB45" s="50">
        <f t="shared" si="26"/>
        <v>0</v>
      </c>
      <c r="AC45" s="43">
        <f t="shared" si="27"/>
        <v>0</v>
      </c>
      <c r="AD45" s="43">
        <f t="shared" si="28"/>
        <v>0</v>
      </c>
      <c r="AE45" s="43">
        <f t="shared" si="29"/>
        <v>0</v>
      </c>
      <c r="AF45" s="51" t="e">
        <f>HLOOKUP(I45,GasAvoidedCostsWOCC!$A$5:$G$50,G45+1,FALSE)</f>
        <v>#N/A</v>
      </c>
      <c r="AG45" s="43" t="e">
        <f t="shared" si="30"/>
        <v>#N/A</v>
      </c>
      <c r="AH45" s="51" t="e">
        <f>HLOOKUP(I45,GasAvoidedCostsWOCC!$A$5:$Q$50,T45+1,FALSE)</f>
        <v>#N/A</v>
      </c>
      <c r="AI45" s="43" t="e">
        <f t="shared" si="31"/>
        <v>#N/A</v>
      </c>
      <c r="AJ45" s="43" t="e">
        <f t="shared" si="32"/>
        <v>#N/A</v>
      </c>
      <c r="AK45" s="43" t="e">
        <f>HLOOKUP(I45,GasAvoidedCostsWOCC!$A$5:$Q$50,G45+1,FALSE)*J45*L45</f>
        <v>#N/A</v>
      </c>
      <c r="AL45" s="43" t="e">
        <f t="shared" si="3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4"/>
        <v>0</v>
      </c>
      <c r="AO45" s="46">
        <f t="shared" si="35"/>
        <v>0</v>
      </c>
      <c r="AP45" s="46" t="e">
        <f t="shared" si="36"/>
        <v>#DIV/0!</v>
      </c>
    </row>
    <row r="46" spans="2:42" x14ac:dyDescent="0.25">
      <c r="B46" s="88" t="s">
        <v>102</v>
      </c>
      <c r="C46" s="89">
        <v>18230661</v>
      </c>
      <c r="D46" s="60" t="s">
        <v>103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8"/>
        <v>0</v>
      </c>
      <c r="U46" s="46">
        <f t="shared" si="19"/>
        <v>0</v>
      </c>
      <c r="V46" s="47">
        <f t="shared" si="20"/>
        <v>0</v>
      </c>
      <c r="W46" s="48">
        <f t="shared" si="21"/>
        <v>0</v>
      </c>
      <c r="X46" s="43">
        <f t="shared" si="22"/>
        <v>0</v>
      </c>
      <c r="Y46" s="43">
        <f t="shared" si="23"/>
        <v>0</v>
      </c>
      <c r="Z46" s="43">
        <f t="shared" si="24"/>
        <v>0</v>
      </c>
      <c r="AA46" s="49">
        <f t="shared" si="25"/>
        <v>0</v>
      </c>
      <c r="AB46" s="50">
        <f t="shared" si="26"/>
        <v>0</v>
      </c>
      <c r="AC46" s="43">
        <f t="shared" si="27"/>
        <v>0</v>
      </c>
      <c r="AD46" s="43">
        <f t="shared" si="28"/>
        <v>0</v>
      </c>
      <c r="AE46" s="43">
        <f t="shared" si="29"/>
        <v>0</v>
      </c>
      <c r="AF46" s="51" t="e">
        <f>HLOOKUP(I46,GasAvoidedCostsWOCC!$A$5:$G$50,G46+1,FALSE)</f>
        <v>#N/A</v>
      </c>
      <c r="AG46" s="43" t="e">
        <f t="shared" si="30"/>
        <v>#N/A</v>
      </c>
      <c r="AH46" s="51" t="e">
        <f>HLOOKUP(I46,GasAvoidedCostsWOCC!$A$5:$Q$50,T46+1,FALSE)</f>
        <v>#N/A</v>
      </c>
      <c r="AI46" s="43" t="e">
        <f t="shared" si="31"/>
        <v>#N/A</v>
      </c>
      <c r="AJ46" s="43" t="e">
        <f t="shared" si="32"/>
        <v>#N/A</v>
      </c>
      <c r="AK46" s="43" t="e">
        <f>HLOOKUP(I46,GasAvoidedCostsWOCC!$A$5:$Q$50,G46+1,FALSE)*J46*L46</f>
        <v>#N/A</v>
      </c>
      <c r="AL46" s="43" t="e">
        <f t="shared" si="3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4"/>
        <v>0</v>
      </c>
      <c r="AO46" s="46">
        <f t="shared" si="35"/>
        <v>0</v>
      </c>
      <c r="AP46" s="46" t="e">
        <f t="shared" si="36"/>
        <v>#DIV/0!</v>
      </c>
    </row>
    <row r="47" spans="2:42" x14ac:dyDescent="0.25">
      <c r="B47" s="88" t="s">
        <v>102</v>
      </c>
      <c r="C47" s="89">
        <v>18230661</v>
      </c>
      <c r="D47" s="60" t="s">
        <v>103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8"/>
        <v>0</v>
      </c>
      <c r="U47" s="46">
        <f t="shared" si="19"/>
        <v>0</v>
      </c>
      <c r="V47" s="47">
        <f t="shared" si="20"/>
        <v>0</v>
      </c>
      <c r="W47" s="48">
        <f t="shared" si="21"/>
        <v>0</v>
      </c>
      <c r="X47" s="43">
        <f t="shared" si="22"/>
        <v>0</v>
      </c>
      <c r="Y47" s="43">
        <f t="shared" si="23"/>
        <v>0</v>
      </c>
      <c r="Z47" s="43">
        <f t="shared" si="24"/>
        <v>0</v>
      </c>
      <c r="AA47" s="49">
        <f t="shared" si="25"/>
        <v>0</v>
      </c>
      <c r="AB47" s="50">
        <f t="shared" si="26"/>
        <v>0</v>
      </c>
      <c r="AC47" s="43">
        <f t="shared" si="27"/>
        <v>0</v>
      </c>
      <c r="AD47" s="43">
        <f t="shared" si="28"/>
        <v>0</v>
      </c>
      <c r="AE47" s="43">
        <f t="shared" si="29"/>
        <v>0</v>
      </c>
      <c r="AF47" s="51" t="e">
        <f>HLOOKUP(I47,GasAvoidedCostsWOCC!$A$5:$G$50,G47+1,FALSE)</f>
        <v>#N/A</v>
      </c>
      <c r="AG47" s="43" t="e">
        <f t="shared" si="30"/>
        <v>#N/A</v>
      </c>
      <c r="AH47" s="51" t="e">
        <f>HLOOKUP(I47,GasAvoidedCostsWOCC!$A$5:$Q$50,T47+1,FALSE)</f>
        <v>#N/A</v>
      </c>
      <c r="AI47" s="43" t="e">
        <f t="shared" si="31"/>
        <v>#N/A</v>
      </c>
      <c r="AJ47" s="43" t="e">
        <f t="shared" si="32"/>
        <v>#N/A</v>
      </c>
      <c r="AK47" s="43" t="e">
        <f>HLOOKUP(I47,GasAvoidedCostsWOCC!$A$5:$Q$50,G47+1,FALSE)*J47*L47</f>
        <v>#N/A</v>
      </c>
      <c r="AL47" s="43" t="e">
        <f t="shared" si="3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4"/>
        <v>0</v>
      </c>
      <c r="AO47" s="46">
        <f t="shared" si="35"/>
        <v>0</v>
      </c>
      <c r="AP47" s="46" t="e">
        <f t="shared" si="36"/>
        <v>#DIV/0!</v>
      </c>
    </row>
    <row r="48" spans="2:42" x14ac:dyDescent="0.25">
      <c r="B48" s="88" t="s">
        <v>102</v>
      </c>
      <c r="C48" s="89">
        <v>18230661</v>
      </c>
      <c r="D48" s="60" t="s">
        <v>103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8"/>
        <v>0</v>
      </c>
      <c r="U48" s="46">
        <f t="shared" si="19"/>
        <v>0</v>
      </c>
      <c r="V48" s="47">
        <f t="shared" si="20"/>
        <v>0</v>
      </c>
      <c r="W48" s="48">
        <f t="shared" si="21"/>
        <v>0</v>
      </c>
      <c r="X48" s="43">
        <f t="shared" si="22"/>
        <v>0</v>
      </c>
      <c r="Y48" s="43">
        <f t="shared" si="23"/>
        <v>0</v>
      </c>
      <c r="Z48" s="43">
        <f t="shared" si="24"/>
        <v>0</v>
      </c>
      <c r="AA48" s="49">
        <f t="shared" si="25"/>
        <v>0</v>
      </c>
      <c r="AB48" s="50">
        <f t="shared" si="26"/>
        <v>0</v>
      </c>
      <c r="AC48" s="43">
        <f t="shared" si="27"/>
        <v>0</v>
      </c>
      <c r="AD48" s="43">
        <f t="shared" si="28"/>
        <v>0</v>
      </c>
      <c r="AE48" s="43">
        <f t="shared" si="29"/>
        <v>0</v>
      </c>
      <c r="AF48" s="51" t="e">
        <f>HLOOKUP(I48,GasAvoidedCostsWOCC!$A$5:$G$50,G48+1,FALSE)</f>
        <v>#N/A</v>
      </c>
      <c r="AG48" s="43" t="e">
        <f t="shared" si="30"/>
        <v>#N/A</v>
      </c>
      <c r="AH48" s="51" t="e">
        <f>HLOOKUP(I48,GasAvoidedCostsWOCC!$A$5:$Q$50,T48+1,FALSE)</f>
        <v>#N/A</v>
      </c>
      <c r="AI48" s="43" t="e">
        <f t="shared" si="31"/>
        <v>#N/A</v>
      </c>
      <c r="AJ48" s="43" t="e">
        <f t="shared" si="32"/>
        <v>#N/A</v>
      </c>
      <c r="AK48" s="43" t="e">
        <f>HLOOKUP(I48,GasAvoidedCostsWOCC!$A$5:$Q$50,G48+1,FALSE)*J48*L48</f>
        <v>#N/A</v>
      </c>
      <c r="AL48" s="43" t="e">
        <f t="shared" si="3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4"/>
        <v>0</v>
      </c>
      <c r="AO48" s="46">
        <f t="shared" si="35"/>
        <v>0</v>
      </c>
      <c r="AP48" s="46" t="e">
        <f t="shared" si="36"/>
        <v>#DIV/0!</v>
      </c>
    </row>
    <row r="49" spans="2:42" x14ac:dyDescent="0.25">
      <c r="B49" s="88" t="s">
        <v>102</v>
      </c>
      <c r="C49" s="89">
        <v>18230661</v>
      </c>
      <c r="D49" s="60" t="s">
        <v>103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8"/>
        <v>0</v>
      </c>
      <c r="U49" s="46">
        <f t="shared" si="19"/>
        <v>0</v>
      </c>
      <c r="V49" s="47">
        <f t="shared" si="20"/>
        <v>0</v>
      </c>
      <c r="W49" s="48">
        <f t="shared" si="21"/>
        <v>0</v>
      </c>
      <c r="X49" s="43">
        <f t="shared" si="22"/>
        <v>0</v>
      </c>
      <c r="Y49" s="43">
        <f t="shared" si="23"/>
        <v>0</v>
      </c>
      <c r="Z49" s="43">
        <f t="shared" si="24"/>
        <v>0</v>
      </c>
      <c r="AA49" s="49">
        <f t="shared" si="25"/>
        <v>0</v>
      </c>
      <c r="AB49" s="50">
        <f t="shared" si="26"/>
        <v>0</v>
      </c>
      <c r="AC49" s="43">
        <f t="shared" si="27"/>
        <v>0</v>
      </c>
      <c r="AD49" s="43">
        <f t="shared" si="28"/>
        <v>0</v>
      </c>
      <c r="AE49" s="43">
        <f t="shared" si="29"/>
        <v>0</v>
      </c>
      <c r="AF49" s="51" t="e">
        <f>HLOOKUP(I49,GasAvoidedCostsWOCC!$A$5:$G$50,G49+1,FALSE)</f>
        <v>#N/A</v>
      </c>
      <c r="AG49" s="43" t="e">
        <f t="shared" si="30"/>
        <v>#N/A</v>
      </c>
      <c r="AH49" s="51" t="e">
        <f>HLOOKUP(I49,GasAvoidedCostsWOCC!$A$5:$Q$50,T49+1,FALSE)</f>
        <v>#N/A</v>
      </c>
      <c r="AI49" s="43" t="e">
        <f t="shared" si="31"/>
        <v>#N/A</v>
      </c>
      <c r="AJ49" s="43" t="e">
        <f t="shared" si="32"/>
        <v>#N/A</v>
      </c>
      <c r="AK49" s="43" t="e">
        <f>HLOOKUP(I49,GasAvoidedCostsWOCC!$A$5:$Q$50,G49+1,FALSE)*J49*L49</f>
        <v>#N/A</v>
      </c>
      <c r="AL49" s="43" t="e">
        <f t="shared" si="3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4"/>
        <v>0</v>
      </c>
      <c r="AO49" s="46">
        <f t="shared" si="35"/>
        <v>0</v>
      </c>
      <c r="AP49" s="46" t="e">
        <f t="shared" si="36"/>
        <v>#DIV/0!</v>
      </c>
    </row>
    <row r="50" spans="2:42" x14ac:dyDescent="0.25">
      <c r="B50" s="88" t="s">
        <v>102</v>
      </c>
      <c r="C50" s="89">
        <v>18230661</v>
      </c>
      <c r="D50" s="60" t="s">
        <v>103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8"/>
        <v>0</v>
      </c>
      <c r="U50" s="46">
        <f t="shared" si="19"/>
        <v>0</v>
      </c>
      <c r="V50" s="47">
        <f t="shared" si="20"/>
        <v>0</v>
      </c>
      <c r="W50" s="48">
        <f t="shared" si="21"/>
        <v>0</v>
      </c>
      <c r="X50" s="43">
        <f t="shared" si="22"/>
        <v>0</v>
      </c>
      <c r="Y50" s="43">
        <f t="shared" si="23"/>
        <v>0</v>
      </c>
      <c r="Z50" s="43">
        <f t="shared" si="24"/>
        <v>0</v>
      </c>
      <c r="AA50" s="49">
        <f t="shared" si="25"/>
        <v>0</v>
      </c>
      <c r="AB50" s="50">
        <f t="shared" si="26"/>
        <v>0</v>
      </c>
      <c r="AC50" s="43">
        <f t="shared" si="27"/>
        <v>0</v>
      </c>
      <c r="AD50" s="43">
        <f t="shared" si="28"/>
        <v>0</v>
      </c>
      <c r="AE50" s="43">
        <f t="shared" si="29"/>
        <v>0</v>
      </c>
      <c r="AF50" s="51" t="e">
        <f>HLOOKUP(I50,GasAvoidedCostsWOCC!$A$5:$G$50,G50+1,FALSE)</f>
        <v>#N/A</v>
      </c>
      <c r="AG50" s="43" t="e">
        <f t="shared" si="30"/>
        <v>#N/A</v>
      </c>
      <c r="AH50" s="51" t="e">
        <f>HLOOKUP(I50,GasAvoidedCostsWOCC!$A$5:$Q$50,T50+1,FALSE)</f>
        <v>#N/A</v>
      </c>
      <c r="AI50" s="43" t="e">
        <f t="shared" si="31"/>
        <v>#N/A</v>
      </c>
      <c r="AJ50" s="43" t="e">
        <f t="shared" si="32"/>
        <v>#N/A</v>
      </c>
      <c r="AK50" s="43" t="e">
        <f>HLOOKUP(I50,GasAvoidedCostsWOCC!$A$5:$Q$50,G50+1,FALSE)*J50*L50</f>
        <v>#N/A</v>
      </c>
      <c r="AL50" s="43" t="e">
        <f t="shared" si="3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4"/>
        <v>0</v>
      </c>
      <c r="AO50" s="46">
        <f t="shared" si="35"/>
        <v>0</v>
      </c>
      <c r="AP50" s="46" t="e">
        <f t="shared" si="36"/>
        <v>#DIV/0!</v>
      </c>
    </row>
    <row r="51" spans="2:42" x14ac:dyDescent="0.25">
      <c r="B51" s="88" t="s">
        <v>102</v>
      </c>
      <c r="C51" s="89">
        <v>18230661</v>
      </c>
      <c r="D51" s="60" t="s">
        <v>103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8"/>
        <v>0</v>
      </c>
      <c r="U51" s="46">
        <f t="shared" si="19"/>
        <v>0</v>
      </c>
      <c r="V51" s="47">
        <f t="shared" si="20"/>
        <v>0</v>
      </c>
      <c r="W51" s="48">
        <f t="shared" si="21"/>
        <v>0</v>
      </c>
      <c r="X51" s="43">
        <f t="shared" si="22"/>
        <v>0</v>
      </c>
      <c r="Y51" s="43">
        <f t="shared" si="23"/>
        <v>0</v>
      </c>
      <c r="Z51" s="43">
        <f t="shared" si="24"/>
        <v>0</v>
      </c>
      <c r="AA51" s="49">
        <f t="shared" si="25"/>
        <v>0</v>
      </c>
      <c r="AB51" s="50">
        <f t="shared" si="26"/>
        <v>0</v>
      </c>
      <c r="AC51" s="43">
        <f t="shared" si="27"/>
        <v>0</v>
      </c>
      <c r="AD51" s="43">
        <f t="shared" si="28"/>
        <v>0</v>
      </c>
      <c r="AE51" s="43">
        <f t="shared" si="29"/>
        <v>0</v>
      </c>
      <c r="AF51" s="51" t="e">
        <f>HLOOKUP(I51,GasAvoidedCostsWOCC!$A$5:$G$50,G51+1,FALSE)</f>
        <v>#N/A</v>
      </c>
      <c r="AG51" s="43" t="e">
        <f t="shared" si="30"/>
        <v>#N/A</v>
      </c>
      <c r="AH51" s="51" t="e">
        <f>HLOOKUP(I51,GasAvoidedCostsWOCC!$A$5:$Q$50,T51+1,FALSE)</f>
        <v>#N/A</v>
      </c>
      <c r="AI51" s="43" t="e">
        <f t="shared" si="31"/>
        <v>#N/A</v>
      </c>
      <c r="AJ51" s="43" t="e">
        <f t="shared" si="32"/>
        <v>#N/A</v>
      </c>
      <c r="AK51" s="43" t="e">
        <f>HLOOKUP(I51,GasAvoidedCostsWOCC!$A$5:$Q$50,G51+1,FALSE)*J51*L51</f>
        <v>#N/A</v>
      </c>
      <c r="AL51" s="43" t="e">
        <f t="shared" si="3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4"/>
        <v>0</v>
      </c>
      <c r="AO51" s="46">
        <f t="shared" si="35"/>
        <v>0</v>
      </c>
      <c r="AP51" s="46" t="e">
        <f t="shared" si="36"/>
        <v>#DIV/0!</v>
      </c>
    </row>
    <row r="52" spans="2:42" x14ac:dyDescent="0.25">
      <c r="B52" s="88" t="s">
        <v>102</v>
      </c>
      <c r="C52" s="89">
        <v>18230661</v>
      </c>
      <c r="D52" s="60" t="s">
        <v>103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8"/>
        <v>0</v>
      </c>
      <c r="U52" s="46">
        <f t="shared" si="19"/>
        <v>0</v>
      </c>
      <c r="V52" s="47">
        <f t="shared" si="20"/>
        <v>0</v>
      </c>
      <c r="W52" s="48">
        <f t="shared" si="21"/>
        <v>0</v>
      </c>
      <c r="X52" s="43">
        <f t="shared" si="22"/>
        <v>0</v>
      </c>
      <c r="Y52" s="43">
        <f t="shared" si="23"/>
        <v>0</v>
      </c>
      <c r="Z52" s="43">
        <f t="shared" si="24"/>
        <v>0</v>
      </c>
      <c r="AA52" s="49">
        <f t="shared" si="25"/>
        <v>0</v>
      </c>
      <c r="AB52" s="50">
        <f t="shared" si="26"/>
        <v>0</v>
      </c>
      <c r="AC52" s="43">
        <f t="shared" si="27"/>
        <v>0</v>
      </c>
      <c r="AD52" s="43">
        <f t="shared" si="28"/>
        <v>0</v>
      </c>
      <c r="AE52" s="43">
        <f t="shared" si="29"/>
        <v>0</v>
      </c>
      <c r="AF52" s="51" t="e">
        <f>HLOOKUP(I52,GasAvoidedCostsWOCC!$A$5:$G$50,G52+1,FALSE)</f>
        <v>#N/A</v>
      </c>
      <c r="AG52" s="43" t="e">
        <f t="shared" si="30"/>
        <v>#N/A</v>
      </c>
      <c r="AH52" s="51" t="e">
        <f>HLOOKUP(I52,GasAvoidedCostsWOCC!$A$5:$Q$50,T52+1,FALSE)</f>
        <v>#N/A</v>
      </c>
      <c r="AI52" s="43" t="e">
        <f t="shared" si="31"/>
        <v>#N/A</v>
      </c>
      <c r="AJ52" s="43" t="e">
        <f t="shared" si="32"/>
        <v>#N/A</v>
      </c>
      <c r="AK52" s="43" t="e">
        <f>HLOOKUP(I52,GasAvoidedCostsWOCC!$A$5:$Q$50,G52+1,FALSE)*J52*L52</f>
        <v>#N/A</v>
      </c>
      <c r="AL52" s="43" t="e">
        <f t="shared" si="3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4"/>
        <v>0</v>
      </c>
      <c r="AO52" s="46">
        <f t="shared" si="35"/>
        <v>0</v>
      </c>
      <c r="AP52" s="46" t="e">
        <f t="shared" si="36"/>
        <v>#DIV/0!</v>
      </c>
    </row>
    <row r="53" spans="2:42" x14ac:dyDescent="0.25">
      <c r="B53" s="88" t="s">
        <v>102</v>
      </c>
      <c r="C53" s="89">
        <v>18230661</v>
      </c>
      <c r="D53" s="60" t="s">
        <v>103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8"/>
        <v>0</v>
      </c>
      <c r="U53" s="46">
        <f t="shared" si="19"/>
        <v>0</v>
      </c>
      <c r="V53" s="47">
        <f t="shared" si="20"/>
        <v>0</v>
      </c>
      <c r="W53" s="48">
        <f t="shared" si="21"/>
        <v>0</v>
      </c>
      <c r="X53" s="43">
        <f t="shared" si="22"/>
        <v>0</v>
      </c>
      <c r="Y53" s="43">
        <f t="shared" si="23"/>
        <v>0</v>
      </c>
      <c r="Z53" s="43">
        <f t="shared" si="24"/>
        <v>0</v>
      </c>
      <c r="AA53" s="49">
        <f t="shared" si="25"/>
        <v>0</v>
      </c>
      <c r="AB53" s="50">
        <f t="shared" si="26"/>
        <v>0</v>
      </c>
      <c r="AC53" s="43">
        <f t="shared" si="27"/>
        <v>0</v>
      </c>
      <c r="AD53" s="43">
        <f t="shared" si="28"/>
        <v>0</v>
      </c>
      <c r="AE53" s="43">
        <f t="shared" si="29"/>
        <v>0</v>
      </c>
      <c r="AF53" s="51" t="e">
        <f>HLOOKUP(I53,GasAvoidedCostsWOCC!$A$5:$G$50,G53+1,FALSE)</f>
        <v>#N/A</v>
      </c>
      <c r="AG53" s="43" t="e">
        <f t="shared" si="30"/>
        <v>#N/A</v>
      </c>
      <c r="AH53" s="51" t="e">
        <f>HLOOKUP(I53,GasAvoidedCostsWOCC!$A$5:$Q$50,T53+1,FALSE)</f>
        <v>#N/A</v>
      </c>
      <c r="AI53" s="43" t="e">
        <f t="shared" si="31"/>
        <v>#N/A</v>
      </c>
      <c r="AJ53" s="43" t="e">
        <f t="shared" si="32"/>
        <v>#N/A</v>
      </c>
      <c r="AK53" s="43" t="e">
        <f>HLOOKUP(I53,GasAvoidedCostsWOCC!$A$5:$Q$50,G53+1,FALSE)*J53*L53</f>
        <v>#N/A</v>
      </c>
      <c r="AL53" s="43" t="e">
        <f t="shared" si="3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4"/>
        <v>0</v>
      </c>
      <c r="AO53" s="46">
        <f t="shared" si="35"/>
        <v>0</v>
      </c>
      <c r="AP53" s="46" t="e">
        <f t="shared" si="36"/>
        <v>#DIV/0!</v>
      </c>
    </row>
    <row r="54" spans="2:42" x14ac:dyDescent="0.25">
      <c r="B54" s="88" t="s">
        <v>102</v>
      </c>
      <c r="C54" s="89">
        <v>18230661</v>
      </c>
      <c r="D54" s="60" t="s">
        <v>103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8"/>
        <v>0</v>
      </c>
      <c r="U54" s="46">
        <f t="shared" si="19"/>
        <v>0</v>
      </c>
      <c r="V54" s="47">
        <f t="shared" si="20"/>
        <v>0</v>
      </c>
      <c r="W54" s="48">
        <f t="shared" si="21"/>
        <v>0</v>
      </c>
      <c r="X54" s="43">
        <f t="shared" si="22"/>
        <v>0</v>
      </c>
      <c r="Y54" s="43">
        <f t="shared" si="23"/>
        <v>0</v>
      </c>
      <c r="Z54" s="43">
        <f t="shared" si="24"/>
        <v>0</v>
      </c>
      <c r="AA54" s="49">
        <f t="shared" si="25"/>
        <v>0</v>
      </c>
      <c r="AB54" s="50">
        <f t="shared" si="26"/>
        <v>0</v>
      </c>
      <c r="AC54" s="43">
        <f t="shared" si="27"/>
        <v>0</v>
      </c>
      <c r="AD54" s="43">
        <f t="shared" si="28"/>
        <v>0</v>
      </c>
      <c r="AE54" s="43">
        <f t="shared" si="29"/>
        <v>0</v>
      </c>
      <c r="AF54" s="51" t="e">
        <f>HLOOKUP(I54,GasAvoidedCostsWOCC!$A$5:$G$50,G54+1,FALSE)</f>
        <v>#N/A</v>
      </c>
      <c r="AG54" s="43" t="e">
        <f t="shared" si="30"/>
        <v>#N/A</v>
      </c>
      <c r="AH54" s="51" t="e">
        <f>HLOOKUP(I54,GasAvoidedCostsWOCC!$A$5:$Q$50,T54+1,FALSE)</f>
        <v>#N/A</v>
      </c>
      <c r="AI54" s="43" t="e">
        <f t="shared" si="31"/>
        <v>#N/A</v>
      </c>
      <c r="AJ54" s="43" t="e">
        <f t="shared" si="32"/>
        <v>#N/A</v>
      </c>
      <c r="AK54" s="43" t="e">
        <f>HLOOKUP(I54,GasAvoidedCostsWOCC!$A$5:$Q$50,G54+1,FALSE)*J54*L54</f>
        <v>#N/A</v>
      </c>
      <c r="AL54" s="43" t="e">
        <f t="shared" si="3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4"/>
        <v>0</v>
      </c>
      <c r="AO54" s="46">
        <f t="shared" si="35"/>
        <v>0</v>
      </c>
      <c r="AP54" s="46" t="e">
        <f t="shared" si="36"/>
        <v>#DIV/0!</v>
      </c>
    </row>
    <row r="55" spans="2:42" x14ac:dyDescent="0.25">
      <c r="B55" s="88" t="s">
        <v>102</v>
      </c>
      <c r="C55" s="89">
        <v>18230661</v>
      </c>
      <c r="D55" s="60" t="s">
        <v>103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8"/>
        <v>0</v>
      </c>
      <c r="U55" s="46">
        <f t="shared" si="19"/>
        <v>0</v>
      </c>
      <c r="V55" s="47">
        <f t="shared" si="20"/>
        <v>0</v>
      </c>
      <c r="W55" s="48">
        <f t="shared" si="21"/>
        <v>0</v>
      </c>
      <c r="X55" s="43">
        <f t="shared" si="22"/>
        <v>0</v>
      </c>
      <c r="Y55" s="43">
        <f t="shared" si="23"/>
        <v>0</v>
      </c>
      <c r="Z55" s="43">
        <f t="shared" si="24"/>
        <v>0</v>
      </c>
      <c r="AA55" s="49">
        <f t="shared" si="25"/>
        <v>0</v>
      </c>
      <c r="AB55" s="50">
        <f t="shared" si="26"/>
        <v>0</v>
      </c>
      <c r="AC55" s="43">
        <f t="shared" si="27"/>
        <v>0</v>
      </c>
      <c r="AD55" s="43">
        <f t="shared" si="28"/>
        <v>0</v>
      </c>
      <c r="AE55" s="43">
        <f t="shared" si="29"/>
        <v>0</v>
      </c>
      <c r="AF55" s="51" t="e">
        <f>HLOOKUP(I55,GasAvoidedCostsWOCC!$A$5:$G$50,G55+1,FALSE)</f>
        <v>#N/A</v>
      </c>
      <c r="AG55" s="43" t="e">
        <f t="shared" si="30"/>
        <v>#N/A</v>
      </c>
      <c r="AH55" s="51" t="e">
        <f>HLOOKUP(I55,GasAvoidedCostsWOCC!$A$5:$Q$50,T55+1,FALSE)</f>
        <v>#N/A</v>
      </c>
      <c r="AI55" s="43" t="e">
        <f t="shared" si="31"/>
        <v>#N/A</v>
      </c>
      <c r="AJ55" s="43" t="e">
        <f t="shared" si="32"/>
        <v>#N/A</v>
      </c>
      <c r="AK55" s="43" t="e">
        <f>HLOOKUP(I55,GasAvoidedCostsWOCC!$A$5:$Q$50,G55+1,FALSE)*J55*L55</f>
        <v>#N/A</v>
      </c>
      <c r="AL55" s="43" t="e">
        <f t="shared" si="3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4"/>
        <v>0</v>
      </c>
      <c r="AO55" s="46">
        <f t="shared" si="35"/>
        <v>0</v>
      </c>
      <c r="AP55" s="46" t="e">
        <f t="shared" si="36"/>
        <v>#DIV/0!</v>
      </c>
    </row>
    <row r="56" spans="2:42" x14ac:dyDescent="0.25">
      <c r="B56" s="88" t="s">
        <v>102</v>
      </c>
      <c r="C56" s="89">
        <v>18230661</v>
      </c>
      <c r="D56" s="60" t="s">
        <v>103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8"/>
        <v>0</v>
      </c>
      <c r="U56" s="46">
        <f t="shared" si="19"/>
        <v>0</v>
      </c>
      <c r="V56" s="47">
        <f t="shared" si="20"/>
        <v>0</v>
      </c>
      <c r="W56" s="48">
        <f t="shared" si="21"/>
        <v>0</v>
      </c>
      <c r="X56" s="43">
        <f t="shared" si="22"/>
        <v>0</v>
      </c>
      <c r="Y56" s="43">
        <f t="shared" si="23"/>
        <v>0</v>
      </c>
      <c r="Z56" s="43">
        <f t="shared" si="24"/>
        <v>0</v>
      </c>
      <c r="AA56" s="49">
        <f t="shared" si="25"/>
        <v>0</v>
      </c>
      <c r="AB56" s="50">
        <f t="shared" si="26"/>
        <v>0</v>
      </c>
      <c r="AC56" s="43">
        <f t="shared" si="27"/>
        <v>0</v>
      </c>
      <c r="AD56" s="43">
        <f t="shared" si="28"/>
        <v>0</v>
      </c>
      <c r="AE56" s="43">
        <f t="shared" si="29"/>
        <v>0</v>
      </c>
      <c r="AF56" s="51" t="e">
        <f>HLOOKUP(I56,GasAvoidedCostsWOCC!$A$5:$G$50,G56+1,FALSE)</f>
        <v>#N/A</v>
      </c>
      <c r="AG56" s="43" t="e">
        <f t="shared" si="30"/>
        <v>#N/A</v>
      </c>
      <c r="AH56" s="51" t="e">
        <f>HLOOKUP(I56,GasAvoidedCostsWOCC!$A$5:$Q$50,T56+1,FALSE)</f>
        <v>#N/A</v>
      </c>
      <c r="AI56" s="43" t="e">
        <f t="shared" si="31"/>
        <v>#N/A</v>
      </c>
      <c r="AJ56" s="43" t="e">
        <f t="shared" si="32"/>
        <v>#N/A</v>
      </c>
      <c r="AK56" s="43" t="e">
        <f>HLOOKUP(I56,GasAvoidedCostsWOCC!$A$5:$Q$50,G56+1,FALSE)*J56*L56</f>
        <v>#N/A</v>
      </c>
      <c r="AL56" s="43" t="e">
        <f t="shared" si="3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4"/>
        <v>0</v>
      </c>
      <c r="AO56" s="46">
        <f t="shared" si="35"/>
        <v>0</v>
      </c>
      <c r="AP56" s="46" t="e">
        <f t="shared" si="36"/>
        <v>#DIV/0!</v>
      </c>
    </row>
    <row r="57" spans="2:42" x14ac:dyDescent="0.25">
      <c r="B57" s="88" t="s">
        <v>102</v>
      </c>
      <c r="C57" s="89">
        <v>18230661</v>
      </c>
      <c r="D57" s="60" t="s">
        <v>103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8"/>
        <v>0</v>
      </c>
      <c r="U57" s="46">
        <f t="shared" si="19"/>
        <v>0</v>
      </c>
      <c r="V57" s="47">
        <f t="shared" si="20"/>
        <v>0</v>
      </c>
      <c r="W57" s="48">
        <f t="shared" si="21"/>
        <v>0</v>
      </c>
      <c r="X57" s="43">
        <f t="shared" si="22"/>
        <v>0</v>
      </c>
      <c r="Y57" s="43">
        <f t="shared" si="23"/>
        <v>0</v>
      </c>
      <c r="Z57" s="43">
        <f t="shared" si="24"/>
        <v>0</v>
      </c>
      <c r="AA57" s="49">
        <f t="shared" si="25"/>
        <v>0</v>
      </c>
      <c r="AB57" s="50">
        <f t="shared" si="26"/>
        <v>0</v>
      </c>
      <c r="AC57" s="43">
        <f t="shared" si="27"/>
        <v>0</v>
      </c>
      <c r="AD57" s="43">
        <f t="shared" si="28"/>
        <v>0</v>
      </c>
      <c r="AE57" s="43">
        <f t="shared" si="29"/>
        <v>0</v>
      </c>
      <c r="AF57" s="51" t="e">
        <f>HLOOKUP(I57,GasAvoidedCostsWOCC!$A$5:$G$50,G57+1,FALSE)</f>
        <v>#N/A</v>
      </c>
      <c r="AG57" s="43" t="e">
        <f t="shared" si="30"/>
        <v>#N/A</v>
      </c>
      <c r="AH57" s="51" t="e">
        <f>HLOOKUP(I57,GasAvoidedCostsWOCC!$A$5:$Q$50,T57+1,FALSE)</f>
        <v>#N/A</v>
      </c>
      <c r="AI57" s="43" t="e">
        <f t="shared" si="31"/>
        <v>#N/A</v>
      </c>
      <c r="AJ57" s="43" t="e">
        <f t="shared" si="32"/>
        <v>#N/A</v>
      </c>
      <c r="AK57" s="43" t="e">
        <f>HLOOKUP(I57,GasAvoidedCostsWOCC!$A$5:$Q$50,G57+1,FALSE)*J57*L57</f>
        <v>#N/A</v>
      </c>
      <c r="AL57" s="43" t="e">
        <f t="shared" si="3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4"/>
        <v>0</v>
      </c>
      <c r="AO57" s="46">
        <f t="shared" si="35"/>
        <v>0</v>
      </c>
      <c r="AP57" s="46" t="e">
        <f t="shared" si="36"/>
        <v>#DIV/0!</v>
      </c>
    </row>
    <row r="58" spans="2:42" x14ac:dyDescent="0.25">
      <c r="B58" s="88" t="s">
        <v>102</v>
      </c>
      <c r="C58" s="89">
        <v>18230661</v>
      </c>
      <c r="D58" s="60" t="s">
        <v>103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8"/>
        <v>0</v>
      </c>
      <c r="U58" s="46">
        <f t="shared" si="19"/>
        <v>0</v>
      </c>
      <c r="V58" s="47">
        <f t="shared" si="20"/>
        <v>0</v>
      </c>
      <c r="W58" s="48">
        <f t="shared" si="21"/>
        <v>0</v>
      </c>
      <c r="X58" s="43">
        <f t="shared" si="22"/>
        <v>0</v>
      </c>
      <c r="Y58" s="43">
        <f t="shared" si="23"/>
        <v>0</v>
      </c>
      <c r="Z58" s="43">
        <f t="shared" si="24"/>
        <v>0</v>
      </c>
      <c r="AA58" s="49">
        <f t="shared" si="25"/>
        <v>0</v>
      </c>
      <c r="AB58" s="50">
        <f t="shared" si="26"/>
        <v>0</v>
      </c>
      <c r="AC58" s="43">
        <f t="shared" si="27"/>
        <v>0</v>
      </c>
      <c r="AD58" s="43">
        <f t="shared" si="28"/>
        <v>0</v>
      </c>
      <c r="AE58" s="43">
        <f t="shared" si="29"/>
        <v>0</v>
      </c>
      <c r="AF58" s="51" t="e">
        <f>HLOOKUP(I58,GasAvoidedCostsWOCC!$A$5:$G$50,G58+1,FALSE)</f>
        <v>#N/A</v>
      </c>
      <c r="AG58" s="43" t="e">
        <f t="shared" si="30"/>
        <v>#N/A</v>
      </c>
      <c r="AH58" s="51" t="e">
        <f>HLOOKUP(I58,GasAvoidedCostsWOCC!$A$5:$Q$50,T58+1,FALSE)</f>
        <v>#N/A</v>
      </c>
      <c r="AI58" s="43" t="e">
        <f t="shared" si="31"/>
        <v>#N/A</v>
      </c>
      <c r="AJ58" s="43" t="e">
        <f t="shared" si="32"/>
        <v>#N/A</v>
      </c>
      <c r="AK58" s="43" t="e">
        <f>HLOOKUP(I58,GasAvoidedCostsWOCC!$A$5:$Q$50,G58+1,FALSE)*J58*L58</f>
        <v>#N/A</v>
      </c>
      <c r="AL58" s="43" t="e">
        <f t="shared" si="3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4"/>
        <v>0</v>
      </c>
      <c r="AO58" s="46">
        <f t="shared" si="35"/>
        <v>0</v>
      </c>
      <c r="AP58" s="46" t="e">
        <f t="shared" si="36"/>
        <v>#DIV/0!</v>
      </c>
    </row>
    <row r="59" spans="2:42" x14ac:dyDescent="0.25">
      <c r="B59" s="88" t="s">
        <v>102</v>
      </c>
      <c r="C59" s="89">
        <v>18230661</v>
      </c>
      <c r="D59" s="60" t="s">
        <v>103</v>
      </c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8"/>
        <v>0</v>
      </c>
      <c r="U59" s="46">
        <f t="shared" si="19"/>
        <v>0</v>
      </c>
      <c r="V59" s="47">
        <f t="shared" si="20"/>
        <v>0</v>
      </c>
      <c r="W59" s="48">
        <f t="shared" si="21"/>
        <v>0</v>
      </c>
      <c r="X59" s="43">
        <f t="shared" si="22"/>
        <v>0</v>
      </c>
      <c r="Y59" s="43">
        <f t="shared" si="23"/>
        <v>0</v>
      </c>
      <c r="Z59" s="43">
        <f t="shared" si="24"/>
        <v>0</v>
      </c>
      <c r="AA59" s="49">
        <f t="shared" si="25"/>
        <v>0</v>
      </c>
      <c r="AB59" s="50">
        <f t="shared" si="26"/>
        <v>0</v>
      </c>
      <c r="AC59" s="43">
        <f t="shared" si="27"/>
        <v>0</v>
      </c>
      <c r="AD59" s="43">
        <f t="shared" si="28"/>
        <v>0</v>
      </c>
      <c r="AE59" s="43">
        <f t="shared" si="29"/>
        <v>0</v>
      </c>
      <c r="AF59" s="51" t="e">
        <f>HLOOKUP(I59,GasAvoidedCostsWOCC!$A$5:$G$50,G59+1,FALSE)</f>
        <v>#N/A</v>
      </c>
      <c r="AG59" s="43" t="e">
        <f t="shared" si="30"/>
        <v>#N/A</v>
      </c>
      <c r="AH59" s="51" t="e">
        <f>HLOOKUP(I59,GasAvoidedCostsWOCC!$A$5:$Q$50,T59+1,FALSE)</f>
        <v>#N/A</v>
      </c>
      <c r="AI59" s="43" t="e">
        <f t="shared" si="31"/>
        <v>#N/A</v>
      </c>
      <c r="AJ59" s="43" t="e">
        <f t="shared" si="32"/>
        <v>#N/A</v>
      </c>
      <c r="AK59" s="43" t="e">
        <f>HLOOKUP(I59,GasAvoidedCostsWOCC!$A$5:$Q$50,G59+1,FALSE)*J59*L59</f>
        <v>#N/A</v>
      </c>
      <c r="AL59" s="43" t="e">
        <f t="shared" si="3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4"/>
        <v>0</v>
      </c>
      <c r="AO59" s="46">
        <f t="shared" si="35"/>
        <v>0</v>
      </c>
      <c r="AP59" s="46" t="e">
        <f t="shared" si="36"/>
        <v>#DIV/0!</v>
      </c>
    </row>
    <row r="60" spans="2:42" x14ac:dyDescent="0.25">
      <c r="B60" s="88" t="s">
        <v>102</v>
      </c>
      <c r="C60" s="89">
        <v>18230661</v>
      </c>
      <c r="D60" s="60" t="s">
        <v>103</v>
      </c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8"/>
        <v>0</v>
      </c>
      <c r="U60" s="46">
        <f t="shared" si="19"/>
        <v>0</v>
      </c>
      <c r="V60" s="47">
        <f t="shared" si="20"/>
        <v>0</v>
      </c>
      <c r="W60" s="48">
        <f t="shared" si="21"/>
        <v>0</v>
      </c>
      <c r="X60" s="43">
        <f t="shared" si="22"/>
        <v>0</v>
      </c>
      <c r="Y60" s="43">
        <f t="shared" si="23"/>
        <v>0</v>
      </c>
      <c r="Z60" s="43">
        <f t="shared" si="24"/>
        <v>0</v>
      </c>
      <c r="AA60" s="49">
        <f t="shared" si="25"/>
        <v>0</v>
      </c>
      <c r="AB60" s="50">
        <f t="shared" si="26"/>
        <v>0</v>
      </c>
      <c r="AC60" s="43">
        <f t="shared" si="27"/>
        <v>0</v>
      </c>
      <c r="AD60" s="43">
        <f t="shared" si="28"/>
        <v>0</v>
      </c>
      <c r="AE60" s="43">
        <f t="shared" si="29"/>
        <v>0</v>
      </c>
      <c r="AF60" s="51" t="e">
        <f>HLOOKUP(I60,GasAvoidedCostsWOCC!$A$5:$G$50,G60+1,FALSE)</f>
        <v>#N/A</v>
      </c>
      <c r="AG60" s="43" t="e">
        <f t="shared" si="30"/>
        <v>#N/A</v>
      </c>
      <c r="AH60" s="51" t="e">
        <f>HLOOKUP(I60,GasAvoidedCostsWOCC!$A$5:$Q$50,T60+1,FALSE)</f>
        <v>#N/A</v>
      </c>
      <c r="AI60" s="43" t="e">
        <f t="shared" si="31"/>
        <v>#N/A</v>
      </c>
      <c r="AJ60" s="43" t="e">
        <f t="shared" si="32"/>
        <v>#N/A</v>
      </c>
      <c r="AK60" s="43" t="e">
        <f>HLOOKUP(I60,GasAvoidedCostsWOCC!$A$5:$Q$50,G60+1,FALSE)*J60*L60</f>
        <v>#N/A</v>
      </c>
      <c r="AL60" s="43" t="e">
        <f t="shared" si="3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4"/>
        <v>0</v>
      </c>
      <c r="AO60" s="46">
        <f t="shared" si="35"/>
        <v>0</v>
      </c>
      <c r="AP60" s="46" t="e">
        <f t="shared" si="36"/>
        <v>#DIV/0!</v>
      </c>
    </row>
    <row r="61" spans="2:42" x14ac:dyDescent="0.25">
      <c r="B61" s="88" t="s">
        <v>102</v>
      </c>
      <c r="C61" s="89">
        <v>18230661</v>
      </c>
      <c r="D61" s="60" t="s">
        <v>103</v>
      </c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8"/>
        <v>0</v>
      </c>
      <c r="U61" s="46">
        <f t="shared" si="19"/>
        <v>0</v>
      </c>
      <c r="V61" s="47">
        <f t="shared" si="20"/>
        <v>0</v>
      </c>
      <c r="W61" s="48">
        <f t="shared" si="21"/>
        <v>0</v>
      </c>
      <c r="X61" s="43">
        <f t="shared" si="22"/>
        <v>0</v>
      </c>
      <c r="Y61" s="43">
        <f t="shared" si="23"/>
        <v>0</v>
      </c>
      <c r="Z61" s="43">
        <f t="shared" si="24"/>
        <v>0</v>
      </c>
      <c r="AA61" s="49">
        <f t="shared" si="25"/>
        <v>0</v>
      </c>
      <c r="AB61" s="50">
        <f t="shared" si="26"/>
        <v>0</v>
      </c>
      <c r="AC61" s="43">
        <f t="shared" si="27"/>
        <v>0</v>
      </c>
      <c r="AD61" s="43">
        <f t="shared" si="28"/>
        <v>0</v>
      </c>
      <c r="AE61" s="43">
        <f t="shared" si="29"/>
        <v>0</v>
      </c>
      <c r="AF61" s="51" t="e">
        <f>HLOOKUP(I61,GasAvoidedCostsWOCC!$A$5:$G$50,G61+1,FALSE)</f>
        <v>#N/A</v>
      </c>
      <c r="AG61" s="43" t="e">
        <f t="shared" si="30"/>
        <v>#N/A</v>
      </c>
      <c r="AH61" s="51" t="e">
        <f>HLOOKUP(I61,GasAvoidedCostsWOCC!$A$5:$Q$50,T61+1,FALSE)</f>
        <v>#N/A</v>
      </c>
      <c r="AI61" s="43" t="e">
        <f t="shared" si="31"/>
        <v>#N/A</v>
      </c>
      <c r="AJ61" s="43" t="e">
        <f t="shared" si="32"/>
        <v>#N/A</v>
      </c>
      <c r="AK61" s="43" t="e">
        <f>HLOOKUP(I61,GasAvoidedCostsWOCC!$A$5:$Q$50,G61+1,FALSE)*J61*L61</f>
        <v>#N/A</v>
      </c>
      <c r="AL61" s="43" t="e">
        <f t="shared" si="3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4"/>
        <v>0</v>
      </c>
      <c r="AO61" s="46">
        <f t="shared" si="35"/>
        <v>0</v>
      </c>
      <c r="AP61" s="46" t="e">
        <f t="shared" si="36"/>
        <v>#DIV/0!</v>
      </c>
    </row>
    <row r="62" spans="2:42" x14ac:dyDescent="0.25">
      <c r="B62" s="88" t="s">
        <v>102</v>
      </c>
      <c r="C62" s="89">
        <v>18230661</v>
      </c>
      <c r="D62" s="60" t="s">
        <v>103</v>
      </c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8"/>
        <v>0</v>
      </c>
      <c r="U62" s="46">
        <f t="shared" si="19"/>
        <v>0</v>
      </c>
      <c r="V62" s="47">
        <f t="shared" si="20"/>
        <v>0</v>
      </c>
      <c r="W62" s="48">
        <f t="shared" si="21"/>
        <v>0</v>
      </c>
      <c r="X62" s="43">
        <f t="shared" si="22"/>
        <v>0</v>
      </c>
      <c r="Y62" s="43">
        <f t="shared" si="23"/>
        <v>0</v>
      </c>
      <c r="Z62" s="43">
        <f t="shared" si="24"/>
        <v>0</v>
      </c>
      <c r="AA62" s="49">
        <f t="shared" si="25"/>
        <v>0</v>
      </c>
      <c r="AB62" s="50">
        <f t="shared" si="26"/>
        <v>0</v>
      </c>
      <c r="AC62" s="43">
        <f t="shared" si="27"/>
        <v>0</v>
      </c>
      <c r="AD62" s="43">
        <f t="shared" si="28"/>
        <v>0</v>
      </c>
      <c r="AE62" s="43">
        <f t="shared" si="29"/>
        <v>0</v>
      </c>
      <c r="AF62" s="51" t="e">
        <f>HLOOKUP(I62,GasAvoidedCostsWOCC!$A$5:$G$50,G62+1,FALSE)</f>
        <v>#N/A</v>
      </c>
      <c r="AG62" s="43" t="e">
        <f t="shared" si="30"/>
        <v>#N/A</v>
      </c>
      <c r="AH62" s="51" t="e">
        <f>HLOOKUP(I62,GasAvoidedCostsWOCC!$A$5:$Q$50,T62+1,FALSE)</f>
        <v>#N/A</v>
      </c>
      <c r="AI62" s="43" t="e">
        <f t="shared" si="31"/>
        <v>#N/A</v>
      </c>
      <c r="AJ62" s="43" t="e">
        <f t="shared" si="32"/>
        <v>#N/A</v>
      </c>
      <c r="AK62" s="43" t="e">
        <f>HLOOKUP(I62,GasAvoidedCostsWOCC!$A$5:$Q$50,G62+1,FALSE)*J62*L62</f>
        <v>#N/A</v>
      </c>
      <c r="AL62" s="43" t="e">
        <f t="shared" si="3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4"/>
        <v>0</v>
      </c>
      <c r="AO62" s="46">
        <f t="shared" si="35"/>
        <v>0</v>
      </c>
      <c r="AP62" s="46" t="e">
        <f t="shared" si="36"/>
        <v>#DIV/0!</v>
      </c>
    </row>
    <row r="63" spans="2:42" x14ac:dyDescent="0.25">
      <c r="B63" s="88" t="s">
        <v>102</v>
      </c>
      <c r="C63" s="89">
        <v>18230661</v>
      </c>
      <c r="D63" s="60" t="s">
        <v>103</v>
      </c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8"/>
        <v>0</v>
      </c>
      <c r="U63" s="46">
        <f t="shared" si="19"/>
        <v>0</v>
      </c>
      <c r="V63" s="47">
        <f t="shared" si="20"/>
        <v>0</v>
      </c>
      <c r="W63" s="48">
        <f t="shared" si="21"/>
        <v>0</v>
      </c>
      <c r="X63" s="43">
        <f t="shared" si="22"/>
        <v>0</v>
      </c>
      <c r="Y63" s="43">
        <f t="shared" si="23"/>
        <v>0</v>
      </c>
      <c r="Z63" s="43">
        <f t="shared" si="24"/>
        <v>0</v>
      </c>
      <c r="AA63" s="49">
        <f t="shared" si="25"/>
        <v>0</v>
      </c>
      <c r="AB63" s="50">
        <f t="shared" si="26"/>
        <v>0</v>
      </c>
      <c r="AC63" s="43">
        <f t="shared" si="27"/>
        <v>0</v>
      </c>
      <c r="AD63" s="43">
        <f t="shared" si="28"/>
        <v>0</v>
      </c>
      <c r="AE63" s="43">
        <f t="shared" si="29"/>
        <v>0</v>
      </c>
      <c r="AF63" s="51" t="e">
        <f>HLOOKUP(I63,GasAvoidedCostsWOCC!$A$5:$G$50,G63+1,FALSE)</f>
        <v>#N/A</v>
      </c>
      <c r="AG63" s="43" t="e">
        <f t="shared" si="30"/>
        <v>#N/A</v>
      </c>
      <c r="AH63" s="51" t="e">
        <f>HLOOKUP(I63,GasAvoidedCostsWOCC!$A$5:$Q$50,T63+1,FALSE)</f>
        <v>#N/A</v>
      </c>
      <c r="AI63" s="43" t="e">
        <f t="shared" si="31"/>
        <v>#N/A</v>
      </c>
      <c r="AJ63" s="43" t="e">
        <f t="shared" si="32"/>
        <v>#N/A</v>
      </c>
      <c r="AK63" s="43" t="e">
        <f>HLOOKUP(I63,GasAvoidedCostsWOCC!$A$5:$Q$50,G63+1,FALSE)*J63*L63</f>
        <v>#N/A</v>
      </c>
      <c r="AL63" s="43" t="e">
        <f t="shared" si="3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4"/>
        <v>0</v>
      </c>
      <c r="AO63" s="46">
        <f t="shared" si="35"/>
        <v>0</v>
      </c>
      <c r="AP63" s="46" t="e">
        <f t="shared" si="36"/>
        <v>#DIV/0!</v>
      </c>
    </row>
    <row r="64" spans="2:42" x14ac:dyDescent="0.25">
      <c r="B64" s="88" t="s">
        <v>102</v>
      </c>
      <c r="C64" s="89">
        <v>18230661</v>
      </c>
      <c r="D64" s="60" t="s">
        <v>103</v>
      </c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8"/>
        <v>0</v>
      </c>
      <c r="U64" s="46">
        <f t="shared" si="19"/>
        <v>0</v>
      </c>
      <c r="V64" s="47">
        <f t="shared" si="20"/>
        <v>0</v>
      </c>
      <c r="W64" s="48">
        <f t="shared" si="21"/>
        <v>0</v>
      </c>
      <c r="X64" s="43">
        <f t="shared" si="22"/>
        <v>0</v>
      </c>
      <c r="Y64" s="43">
        <f t="shared" si="23"/>
        <v>0</v>
      </c>
      <c r="Z64" s="43">
        <f t="shared" si="24"/>
        <v>0</v>
      </c>
      <c r="AA64" s="49">
        <f t="shared" si="25"/>
        <v>0</v>
      </c>
      <c r="AB64" s="50">
        <f t="shared" si="26"/>
        <v>0</v>
      </c>
      <c r="AC64" s="43">
        <f t="shared" si="27"/>
        <v>0</v>
      </c>
      <c r="AD64" s="43">
        <f t="shared" si="28"/>
        <v>0</v>
      </c>
      <c r="AE64" s="43">
        <f t="shared" si="29"/>
        <v>0</v>
      </c>
      <c r="AF64" s="51" t="e">
        <f>HLOOKUP(I64,GasAvoidedCostsWOCC!$A$5:$G$50,G64+1,FALSE)</f>
        <v>#N/A</v>
      </c>
      <c r="AG64" s="43" t="e">
        <f t="shared" si="30"/>
        <v>#N/A</v>
      </c>
      <c r="AH64" s="51" t="e">
        <f>HLOOKUP(I64,GasAvoidedCostsWOCC!$A$5:$Q$50,T64+1,FALSE)</f>
        <v>#N/A</v>
      </c>
      <c r="AI64" s="43" t="e">
        <f t="shared" si="31"/>
        <v>#N/A</v>
      </c>
      <c r="AJ64" s="43" t="e">
        <f t="shared" si="32"/>
        <v>#N/A</v>
      </c>
      <c r="AK64" s="43" t="e">
        <f>HLOOKUP(I64,GasAvoidedCostsWOCC!$A$5:$Q$50,G64+1,FALSE)*J64*L64</f>
        <v>#N/A</v>
      </c>
      <c r="AL64" s="43" t="e">
        <f t="shared" si="3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4"/>
        <v>0</v>
      </c>
      <c r="AO64" s="46">
        <f t="shared" si="35"/>
        <v>0</v>
      </c>
      <c r="AP64" s="46" t="e">
        <f t="shared" si="36"/>
        <v>#DIV/0!</v>
      </c>
    </row>
    <row r="65" spans="2:42" x14ac:dyDescent="0.25">
      <c r="B65" s="88" t="s">
        <v>102</v>
      </c>
      <c r="C65" s="89">
        <v>18230661</v>
      </c>
      <c r="D65" s="60" t="s">
        <v>103</v>
      </c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8"/>
        <v>0</v>
      </c>
      <c r="U65" s="46">
        <f t="shared" si="19"/>
        <v>0</v>
      </c>
      <c r="V65" s="47">
        <f t="shared" si="20"/>
        <v>0</v>
      </c>
      <c r="W65" s="48">
        <f t="shared" si="21"/>
        <v>0</v>
      </c>
      <c r="X65" s="43">
        <f t="shared" si="22"/>
        <v>0</v>
      </c>
      <c r="Y65" s="43">
        <f t="shared" si="23"/>
        <v>0</v>
      </c>
      <c r="Z65" s="43">
        <f t="shared" si="24"/>
        <v>0</v>
      </c>
      <c r="AA65" s="49">
        <f t="shared" si="25"/>
        <v>0</v>
      </c>
      <c r="AB65" s="50">
        <f t="shared" si="26"/>
        <v>0</v>
      </c>
      <c r="AC65" s="43">
        <f t="shared" si="27"/>
        <v>0</v>
      </c>
      <c r="AD65" s="43">
        <f t="shared" si="28"/>
        <v>0</v>
      </c>
      <c r="AE65" s="43">
        <f t="shared" si="29"/>
        <v>0</v>
      </c>
      <c r="AF65" s="51" t="e">
        <f>HLOOKUP(I65,GasAvoidedCostsWOCC!$A$5:$G$50,G65+1,FALSE)</f>
        <v>#N/A</v>
      </c>
      <c r="AG65" s="43" t="e">
        <f t="shared" si="30"/>
        <v>#N/A</v>
      </c>
      <c r="AH65" s="51" t="e">
        <f>HLOOKUP(I65,GasAvoidedCostsWOCC!$A$5:$Q$50,T65+1,FALSE)</f>
        <v>#N/A</v>
      </c>
      <c r="AI65" s="43" t="e">
        <f t="shared" si="31"/>
        <v>#N/A</v>
      </c>
      <c r="AJ65" s="43" t="e">
        <f t="shared" si="32"/>
        <v>#N/A</v>
      </c>
      <c r="AK65" s="43" t="e">
        <f>HLOOKUP(I65,GasAvoidedCostsWOCC!$A$5:$Q$50,G65+1,FALSE)*J65*L65</f>
        <v>#N/A</v>
      </c>
      <c r="AL65" s="43" t="e">
        <f t="shared" si="3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4"/>
        <v>0</v>
      </c>
      <c r="AO65" s="46">
        <f t="shared" si="35"/>
        <v>0</v>
      </c>
      <c r="AP65" s="46" t="e">
        <f t="shared" si="36"/>
        <v>#DIV/0!</v>
      </c>
    </row>
    <row r="66" spans="2:42" x14ac:dyDescent="0.25">
      <c r="B66" s="88" t="s">
        <v>102</v>
      </c>
      <c r="C66" s="89">
        <v>18230661</v>
      </c>
      <c r="D66" s="60" t="s">
        <v>103</v>
      </c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8"/>
        <v>0</v>
      </c>
      <c r="U66" s="46">
        <f t="shared" si="19"/>
        <v>0</v>
      </c>
      <c r="V66" s="47">
        <f t="shared" si="20"/>
        <v>0</v>
      </c>
      <c r="W66" s="48">
        <f t="shared" si="21"/>
        <v>0</v>
      </c>
      <c r="X66" s="43">
        <f t="shared" si="22"/>
        <v>0</v>
      </c>
      <c r="Y66" s="43">
        <f t="shared" si="23"/>
        <v>0</v>
      </c>
      <c r="Z66" s="43">
        <f t="shared" si="24"/>
        <v>0</v>
      </c>
      <c r="AA66" s="49">
        <f t="shared" si="25"/>
        <v>0</v>
      </c>
      <c r="AB66" s="50">
        <f t="shared" si="26"/>
        <v>0</v>
      </c>
      <c r="AC66" s="43">
        <f t="shared" si="27"/>
        <v>0</v>
      </c>
      <c r="AD66" s="43">
        <f t="shared" si="28"/>
        <v>0</v>
      </c>
      <c r="AE66" s="43">
        <f t="shared" si="29"/>
        <v>0</v>
      </c>
      <c r="AF66" s="51" t="e">
        <f>HLOOKUP(I66,GasAvoidedCostsWOCC!$A$5:$G$50,G66+1,FALSE)</f>
        <v>#N/A</v>
      </c>
      <c r="AG66" s="43" t="e">
        <f t="shared" si="30"/>
        <v>#N/A</v>
      </c>
      <c r="AH66" s="51" t="e">
        <f>HLOOKUP(I66,GasAvoidedCostsWOCC!$A$5:$Q$50,T66+1,FALSE)</f>
        <v>#N/A</v>
      </c>
      <c r="AI66" s="43" t="e">
        <f t="shared" si="31"/>
        <v>#N/A</v>
      </c>
      <c r="AJ66" s="43" t="e">
        <f t="shared" si="32"/>
        <v>#N/A</v>
      </c>
      <c r="AK66" s="43" t="e">
        <f>HLOOKUP(I66,GasAvoidedCostsWOCC!$A$5:$Q$50,G66+1,FALSE)*J66*L66</f>
        <v>#N/A</v>
      </c>
      <c r="AL66" s="43" t="e">
        <f t="shared" si="3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4"/>
        <v>0</v>
      </c>
      <c r="AO66" s="46">
        <f t="shared" si="35"/>
        <v>0</v>
      </c>
      <c r="AP66" s="46" t="e">
        <f t="shared" si="36"/>
        <v>#DIV/0!</v>
      </c>
    </row>
    <row r="67" spans="2:42" x14ac:dyDescent="0.25">
      <c r="B67" s="88" t="s">
        <v>102</v>
      </c>
      <c r="C67" s="89">
        <v>18230661</v>
      </c>
      <c r="D67" s="60" t="s">
        <v>103</v>
      </c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8"/>
        <v>0</v>
      </c>
      <c r="U67" s="46">
        <f t="shared" si="19"/>
        <v>0</v>
      </c>
      <c r="V67" s="47">
        <f t="shared" si="20"/>
        <v>0</v>
      </c>
      <c r="W67" s="48">
        <f t="shared" si="21"/>
        <v>0</v>
      </c>
      <c r="X67" s="43">
        <f t="shared" si="22"/>
        <v>0</v>
      </c>
      <c r="Y67" s="43">
        <f t="shared" si="23"/>
        <v>0</v>
      </c>
      <c r="Z67" s="43">
        <f t="shared" si="24"/>
        <v>0</v>
      </c>
      <c r="AA67" s="49">
        <f t="shared" si="25"/>
        <v>0</v>
      </c>
      <c r="AB67" s="50">
        <f t="shared" si="26"/>
        <v>0</v>
      </c>
      <c r="AC67" s="43">
        <f t="shared" si="27"/>
        <v>0</v>
      </c>
      <c r="AD67" s="43">
        <f t="shared" si="28"/>
        <v>0</v>
      </c>
      <c r="AE67" s="43">
        <f t="shared" si="29"/>
        <v>0</v>
      </c>
      <c r="AF67" s="51" t="e">
        <f>HLOOKUP(I67,GasAvoidedCostsWOCC!$A$5:$G$50,G67+1,FALSE)</f>
        <v>#N/A</v>
      </c>
      <c r="AG67" s="43" t="e">
        <f t="shared" si="30"/>
        <v>#N/A</v>
      </c>
      <c r="AH67" s="51" t="e">
        <f>HLOOKUP(I67,GasAvoidedCostsWOCC!$A$5:$Q$50,T67+1,FALSE)</f>
        <v>#N/A</v>
      </c>
      <c r="AI67" s="43" t="e">
        <f t="shared" si="31"/>
        <v>#N/A</v>
      </c>
      <c r="AJ67" s="43" t="e">
        <f t="shared" si="32"/>
        <v>#N/A</v>
      </c>
      <c r="AK67" s="43" t="e">
        <f>HLOOKUP(I67,GasAvoidedCostsWOCC!$A$5:$Q$50,G67+1,FALSE)*J67*L67</f>
        <v>#N/A</v>
      </c>
      <c r="AL67" s="43" t="e">
        <f t="shared" si="3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4"/>
        <v>0</v>
      </c>
      <c r="AO67" s="46">
        <f t="shared" si="35"/>
        <v>0</v>
      </c>
      <c r="AP67" s="46" t="e">
        <f t="shared" si="36"/>
        <v>#DIV/0!</v>
      </c>
    </row>
    <row r="68" spans="2:42" x14ac:dyDescent="0.25">
      <c r="B68" s="88" t="s">
        <v>102</v>
      </c>
      <c r="C68" s="89">
        <v>18230661</v>
      </c>
      <c r="D68" s="60" t="s">
        <v>103</v>
      </c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8"/>
        <v>0</v>
      </c>
      <c r="U68" s="46">
        <f t="shared" si="19"/>
        <v>0</v>
      </c>
      <c r="V68" s="47">
        <f t="shared" si="20"/>
        <v>0</v>
      </c>
      <c r="W68" s="48">
        <f t="shared" si="21"/>
        <v>0</v>
      </c>
      <c r="X68" s="43">
        <f t="shared" si="22"/>
        <v>0</v>
      </c>
      <c r="Y68" s="43">
        <f t="shared" si="23"/>
        <v>0</v>
      </c>
      <c r="Z68" s="43">
        <f t="shared" si="24"/>
        <v>0</v>
      </c>
      <c r="AA68" s="49">
        <f t="shared" si="25"/>
        <v>0</v>
      </c>
      <c r="AB68" s="50">
        <f t="shared" si="26"/>
        <v>0</v>
      </c>
      <c r="AC68" s="43">
        <f t="shared" si="27"/>
        <v>0</v>
      </c>
      <c r="AD68" s="43">
        <f t="shared" si="28"/>
        <v>0</v>
      </c>
      <c r="AE68" s="43">
        <f t="shared" si="29"/>
        <v>0</v>
      </c>
      <c r="AF68" s="51" t="e">
        <f>HLOOKUP(I68,GasAvoidedCostsWOCC!$A$5:$G$50,G68+1,FALSE)</f>
        <v>#N/A</v>
      </c>
      <c r="AG68" s="43" t="e">
        <f t="shared" si="30"/>
        <v>#N/A</v>
      </c>
      <c r="AH68" s="51" t="e">
        <f>HLOOKUP(I68,GasAvoidedCostsWOCC!$A$5:$Q$50,T68+1,FALSE)</f>
        <v>#N/A</v>
      </c>
      <c r="AI68" s="43" t="e">
        <f t="shared" si="31"/>
        <v>#N/A</v>
      </c>
      <c r="AJ68" s="43" t="e">
        <f t="shared" si="32"/>
        <v>#N/A</v>
      </c>
      <c r="AK68" s="43" t="e">
        <f>HLOOKUP(I68,GasAvoidedCostsWOCC!$A$5:$Q$50,G68+1,FALSE)*J68*L68</f>
        <v>#N/A</v>
      </c>
      <c r="AL68" s="43" t="e">
        <f t="shared" si="3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4"/>
        <v>0</v>
      </c>
      <c r="AO68" s="46">
        <f t="shared" si="35"/>
        <v>0</v>
      </c>
      <c r="AP68" s="46" t="e">
        <f t="shared" si="36"/>
        <v>#DIV/0!</v>
      </c>
    </row>
    <row r="69" spans="2:42" x14ac:dyDescent="0.25">
      <c r="B69" s="88" t="s">
        <v>102</v>
      </c>
      <c r="C69" s="89">
        <v>18230661</v>
      </c>
      <c r="D69" s="60" t="s">
        <v>103</v>
      </c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8"/>
        <v>0</v>
      </c>
      <c r="U69" s="46">
        <f t="shared" si="19"/>
        <v>0</v>
      </c>
      <c r="V69" s="47">
        <f t="shared" si="20"/>
        <v>0</v>
      </c>
      <c r="W69" s="48">
        <f t="shared" si="21"/>
        <v>0</v>
      </c>
      <c r="X69" s="43">
        <f t="shared" si="22"/>
        <v>0</v>
      </c>
      <c r="Y69" s="43">
        <f t="shared" si="23"/>
        <v>0</v>
      </c>
      <c r="Z69" s="43">
        <f t="shared" si="24"/>
        <v>0</v>
      </c>
      <c r="AA69" s="49">
        <f t="shared" si="25"/>
        <v>0</v>
      </c>
      <c r="AB69" s="50">
        <f t="shared" si="26"/>
        <v>0</v>
      </c>
      <c r="AC69" s="43">
        <f t="shared" si="27"/>
        <v>0</v>
      </c>
      <c r="AD69" s="43">
        <f t="shared" si="28"/>
        <v>0</v>
      </c>
      <c r="AE69" s="43">
        <f t="shared" si="29"/>
        <v>0</v>
      </c>
      <c r="AF69" s="51" t="e">
        <f>HLOOKUP(I69,GasAvoidedCostsWOCC!$A$5:$G$50,G69+1,FALSE)</f>
        <v>#N/A</v>
      </c>
      <c r="AG69" s="43" t="e">
        <f t="shared" si="30"/>
        <v>#N/A</v>
      </c>
      <c r="AH69" s="51" t="e">
        <f>HLOOKUP(I69,GasAvoidedCostsWOCC!$A$5:$Q$50,T69+1,FALSE)</f>
        <v>#N/A</v>
      </c>
      <c r="AI69" s="43" t="e">
        <f t="shared" si="31"/>
        <v>#N/A</v>
      </c>
      <c r="AJ69" s="43" t="e">
        <f t="shared" si="32"/>
        <v>#N/A</v>
      </c>
      <c r="AK69" s="43" t="e">
        <f>HLOOKUP(I69,GasAvoidedCostsWOCC!$A$5:$Q$50,G69+1,FALSE)*J69*L69</f>
        <v>#N/A</v>
      </c>
      <c r="AL69" s="43" t="e">
        <f t="shared" si="3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4"/>
        <v>0</v>
      </c>
      <c r="AO69" s="46">
        <f t="shared" si="35"/>
        <v>0</v>
      </c>
      <c r="AP69" s="46" t="e">
        <f t="shared" si="36"/>
        <v>#DIV/0!</v>
      </c>
    </row>
    <row r="70" spans="2:42" x14ac:dyDescent="0.25">
      <c r="B70" s="88" t="s">
        <v>102</v>
      </c>
      <c r="C70" s="89">
        <v>18230661</v>
      </c>
      <c r="D70" s="60" t="s">
        <v>103</v>
      </c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8"/>
        <v>0</v>
      </c>
      <c r="U70" s="46">
        <f t="shared" si="19"/>
        <v>0</v>
      </c>
      <c r="V70" s="47">
        <f t="shared" si="20"/>
        <v>0</v>
      </c>
      <c r="W70" s="48">
        <f t="shared" si="21"/>
        <v>0</v>
      </c>
      <c r="X70" s="43">
        <f t="shared" si="22"/>
        <v>0</v>
      </c>
      <c r="Y70" s="43">
        <f t="shared" si="23"/>
        <v>0</v>
      </c>
      <c r="Z70" s="43">
        <f t="shared" si="24"/>
        <v>0</v>
      </c>
      <c r="AA70" s="49">
        <f t="shared" si="25"/>
        <v>0</v>
      </c>
      <c r="AB70" s="50">
        <f t="shared" si="26"/>
        <v>0</v>
      </c>
      <c r="AC70" s="43">
        <f t="shared" si="27"/>
        <v>0</v>
      </c>
      <c r="AD70" s="43">
        <f t="shared" si="28"/>
        <v>0</v>
      </c>
      <c r="AE70" s="43">
        <f t="shared" si="29"/>
        <v>0</v>
      </c>
      <c r="AF70" s="51" t="e">
        <f>HLOOKUP(I70,GasAvoidedCostsWOCC!$A$5:$G$50,G70+1,FALSE)</f>
        <v>#N/A</v>
      </c>
      <c r="AG70" s="43" t="e">
        <f t="shared" si="30"/>
        <v>#N/A</v>
      </c>
      <c r="AH70" s="51" t="e">
        <f>HLOOKUP(I70,GasAvoidedCostsWOCC!$A$5:$Q$50,T70+1,FALSE)</f>
        <v>#N/A</v>
      </c>
      <c r="AI70" s="43" t="e">
        <f t="shared" si="31"/>
        <v>#N/A</v>
      </c>
      <c r="AJ70" s="43" t="e">
        <f t="shared" si="32"/>
        <v>#N/A</v>
      </c>
      <c r="AK70" s="43" t="e">
        <f>HLOOKUP(I70,GasAvoidedCostsWOCC!$A$5:$Q$50,G70+1,FALSE)*J70*L70</f>
        <v>#N/A</v>
      </c>
      <c r="AL70" s="43" t="e">
        <f t="shared" si="3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4"/>
        <v>0</v>
      </c>
      <c r="AO70" s="46">
        <f t="shared" si="35"/>
        <v>0</v>
      </c>
      <c r="AP70" s="46" t="e">
        <f t="shared" si="36"/>
        <v>#DIV/0!</v>
      </c>
    </row>
    <row r="71" spans="2:42" x14ac:dyDescent="0.25">
      <c r="B71" s="88" t="s">
        <v>102</v>
      </c>
      <c r="C71" s="89">
        <v>18230661</v>
      </c>
      <c r="D71" s="60" t="s">
        <v>103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8"/>
        <v>0</v>
      </c>
      <c r="U71" s="46">
        <f t="shared" si="19"/>
        <v>0</v>
      </c>
      <c r="V71" s="47">
        <f t="shared" si="20"/>
        <v>0</v>
      </c>
      <c r="W71" s="48">
        <f t="shared" si="21"/>
        <v>0</v>
      </c>
      <c r="X71" s="43">
        <f t="shared" si="22"/>
        <v>0</v>
      </c>
      <c r="Y71" s="43">
        <f t="shared" si="23"/>
        <v>0</v>
      </c>
      <c r="Z71" s="43">
        <f t="shared" si="24"/>
        <v>0</v>
      </c>
      <c r="AA71" s="49">
        <f t="shared" si="25"/>
        <v>0</v>
      </c>
      <c r="AB71" s="50">
        <f t="shared" si="26"/>
        <v>0</v>
      </c>
      <c r="AC71" s="43">
        <f t="shared" si="27"/>
        <v>0</v>
      </c>
      <c r="AD71" s="43">
        <f t="shared" si="28"/>
        <v>0</v>
      </c>
      <c r="AE71" s="43">
        <f t="shared" si="29"/>
        <v>0</v>
      </c>
      <c r="AF71" s="51" t="e">
        <f>HLOOKUP(I71,GasAvoidedCostsWOCC!$A$5:$G$50,G71+1,FALSE)</f>
        <v>#N/A</v>
      </c>
      <c r="AG71" s="43" t="e">
        <f t="shared" si="30"/>
        <v>#N/A</v>
      </c>
      <c r="AH71" s="51" t="e">
        <f>HLOOKUP(I71,GasAvoidedCostsWOCC!$A$5:$Q$50,T71+1,FALSE)</f>
        <v>#N/A</v>
      </c>
      <c r="AI71" s="43" t="e">
        <f t="shared" si="31"/>
        <v>#N/A</v>
      </c>
      <c r="AJ71" s="43" t="e">
        <f t="shared" si="32"/>
        <v>#N/A</v>
      </c>
      <c r="AK71" s="43" t="e">
        <f>HLOOKUP(I71,GasAvoidedCostsWOCC!$A$5:$Q$50,G71+1,FALSE)*J71*L71</f>
        <v>#N/A</v>
      </c>
      <c r="AL71" s="43" t="e">
        <f t="shared" si="3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4"/>
        <v>0</v>
      </c>
      <c r="AO71" s="46">
        <f t="shared" si="35"/>
        <v>0</v>
      </c>
      <c r="AP71" s="46" t="e">
        <f t="shared" si="36"/>
        <v>#DIV/0!</v>
      </c>
    </row>
    <row r="72" spans="2:42" x14ac:dyDescent="0.25">
      <c r="B72" s="88" t="s">
        <v>102</v>
      </c>
      <c r="C72" s="89">
        <v>18230661</v>
      </c>
      <c r="D72" s="60" t="s">
        <v>103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8"/>
        <v>0</v>
      </c>
      <c r="U72" s="46">
        <f t="shared" si="19"/>
        <v>0</v>
      </c>
      <c r="V72" s="47">
        <f t="shared" si="20"/>
        <v>0</v>
      </c>
      <c r="W72" s="48">
        <f t="shared" si="21"/>
        <v>0</v>
      </c>
      <c r="X72" s="43">
        <f t="shared" si="22"/>
        <v>0</v>
      </c>
      <c r="Y72" s="43">
        <f t="shared" si="23"/>
        <v>0</v>
      </c>
      <c r="Z72" s="43">
        <f t="shared" si="24"/>
        <v>0</v>
      </c>
      <c r="AA72" s="49">
        <f t="shared" si="25"/>
        <v>0</v>
      </c>
      <c r="AB72" s="50">
        <f t="shared" si="26"/>
        <v>0</v>
      </c>
      <c r="AC72" s="43">
        <f t="shared" si="27"/>
        <v>0</v>
      </c>
      <c r="AD72" s="43">
        <f t="shared" si="28"/>
        <v>0</v>
      </c>
      <c r="AE72" s="43">
        <f t="shared" si="29"/>
        <v>0</v>
      </c>
      <c r="AF72" s="51" t="e">
        <f>HLOOKUP(I72,GasAvoidedCostsWOCC!$A$5:$G$50,G72+1,FALSE)</f>
        <v>#N/A</v>
      </c>
      <c r="AG72" s="43" t="e">
        <f t="shared" si="30"/>
        <v>#N/A</v>
      </c>
      <c r="AH72" s="51" t="e">
        <f>HLOOKUP(I72,GasAvoidedCostsWOCC!$A$5:$Q$50,T72+1,FALSE)</f>
        <v>#N/A</v>
      </c>
      <c r="AI72" s="43" t="e">
        <f t="shared" si="31"/>
        <v>#N/A</v>
      </c>
      <c r="AJ72" s="43" t="e">
        <f t="shared" si="32"/>
        <v>#N/A</v>
      </c>
      <c r="AK72" s="43" t="e">
        <f>HLOOKUP(I72,GasAvoidedCostsWOCC!$A$5:$Q$50,G72+1,FALSE)*J72*L72</f>
        <v>#N/A</v>
      </c>
      <c r="AL72" s="43" t="e">
        <f t="shared" si="3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4"/>
        <v>0</v>
      </c>
      <c r="AO72" s="46">
        <f t="shared" si="35"/>
        <v>0</v>
      </c>
      <c r="AP72" s="46" t="e">
        <f t="shared" si="36"/>
        <v>#DIV/0!</v>
      </c>
    </row>
    <row r="73" spans="2:42" x14ac:dyDescent="0.25">
      <c r="B73" s="88" t="s">
        <v>102</v>
      </c>
      <c r="C73" s="89">
        <v>18230661</v>
      </c>
      <c r="D73" s="60" t="s">
        <v>103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8"/>
        <v>0</v>
      </c>
      <c r="U73" s="46">
        <f t="shared" si="19"/>
        <v>0</v>
      </c>
      <c r="V73" s="47">
        <f t="shared" si="20"/>
        <v>0</v>
      </c>
      <c r="W73" s="48">
        <f t="shared" si="21"/>
        <v>0</v>
      </c>
      <c r="X73" s="43">
        <f t="shared" si="22"/>
        <v>0</v>
      </c>
      <c r="Y73" s="43">
        <f t="shared" si="23"/>
        <v>0</v>
      </c>
      <c r="Z73" s="43">
        <f t="shared" si="24"/>
        <v>0</v>
      </c>
      <c r="AA73" s="49">
        <f t="shared" si="25"/>
        <v>0</v>
      </c>
      <c r="AB73" s="50">
        <f t="shared" si="26"/>
        <v>0</v>
      </c>
      <c r="AC73" s="43">
        <f t="shared" si="27"/>
        <v>0</v>
      </c>
      <c r="AD73" s="43">
        <f t="shared" si="28"/>
        <v>0</v>
      </c>
      <c r="AE73" s="43">
        <f t="shared" si="29"/>
        <v>0</v>
      </c>
      <c r="AF73" s="51" t="e">
        <f>HLOOKUP(I73,GasAvoidedCostsWOCC!$A$5:$G$50,G73+1,FALSE)</f>
        <v>#N/A</v>
      </c>
      <c r="AG73" s="43" t="e">
        <f t="shared" si="30"/>
        <v>#N/A</v>
      </c>
      <c r="AH73" s="51" t="e">
        <f>HLOOKUP(I73,GasAvoidedCostsWOCC!$A$5:$Q$50,T73+1,FALSE)</f>
        <v>#N/A</v>
      </c>
      <c r="AI73" s="43" t="e">
        <f t="shared" si="31"/>
        <v>#N/A</v>
      </c>
      <c r="AJ73" s="43" t="e">
        <f t="shared" si="32"/>
        <v>#N/A</v>
      </c>
      <c r="AK73" s="43" t="e">
        <f>HLOOKUP(I73,GasAvoidedCostsWOCC!$A$5:$Q$50,G73+1,FALSE)*J73*L73</f>
        <v>#N/A</v>
      </c>
      <c r="AL73" s="43" t="e">
        <f t="shared" si="3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4"/>
        <v>0</v>
      </c>
      <c r="AO73" s="46">
        <f t="shared" si="35"/>
        <v>0</v>
      </c>
      <c r="AP73" s="46" t="e">
        <f t="shared" si="36"/>
        <v>#DIV/0!</v>
      </c>
    </row>
    <row r="74" spans="2:42" x14ac:dyDescent="0.25">
      <c r="B74" s="88" t="s">
        <v>102</v>
      </c>
      <c r="C74" s="89">
        <v>18230661</v>
      </c>
      <c r="D74" s="60" t="s">
        <v>103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8"/>
        <v>0</v>
      </c>
      <c r="U74" s="46">
        <f t="shared" si="19"/>
        <v>0</v>
      </c>
      <c r="V74" s="47">
        <f t="shared" si="20"/>
        <v>0</v>
      </c>
      <c r="W74" s="48">
        <f t="shared" si="21"/>
        <v>0</v>
      </c>
      <c r="X74" s="43">
        <f t="shared" si="22"/>
        <v>0</v>
      </c>
      <c r="Y74" s="43">
        <f t="shared" si="23"/>
        <v>0</v>
      </c>
      <c r="Z74" s="43">
        <f t="shared" si="24"/>
        <v>0</v>
      </c>
      <c r="AA74" s="49">
        <f t="shared" si="25"/>
        <v>0</v>
      </c>
      <c r="AB74" s="50">
        <f t="shared" si="26"/>
        <v>0</v>
      </c>
      <c r="AC74" s="43">
        <f t="shared" si="27"/>
        <v>0</v>
      </c>
      <c r="AD74" s="43">
        <f t="shared" si="28"/>
        <v>0</v>
      </c>
      <c r="AE74" s="43">
        <f t="shared" si="29"/>
        <v>0</v>
      </c>
      <c r="AF74" s="51" t="e">
        <f>HLOOKUP(I74,GasAvoidedCostsWOCC!$A$5:$G$50,G74+1,FALSE)</f>
        <v>#N/A</v>
      </c>
      <c r="AG74" s="43" t="e">
        <f t="shared" si="30"/>
        <v>#N/A</v>
      </c>
      <c r="AH74" s="51" t="e">
        <f>HLOOKUP(I74,GasAvoidedCostsWOCC!$A$5:$Q$50,T74+1,FALSE)</f>
        <v>#N/A</v>
      </c>
      <c r="AI74" s="43" t="e">
        <f t="shared" si="31"/>
        <v>#N/A</v>
      </c>
      <c r="AJ74" s="43" t="e">
        <f t="shared" si="32"/>
        <v>#N/A</v>
      </c>
      <c r="AK74" s="43" t="e">
        <f>HLOOKUP(I74,GasAvoidedCostsWOCC!$A$5:$Q$50,G74+1,FALSE)*J74*L74</f>
        <v>#N/A</v>
      </c>
      <c r="AL74" s="43" t="e">
        <f t="shared" si="3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4"/>
        <v>0</v>
      </c>
      <c r="AO74" s="46">
        <f t="shared" si="35"/>
        <v>0</v>
      </c>
      <c r="AP74" s="46" t="e">
        <f t="shared" si="36"/>
        <v>#DIV/0!</v>
      </c>
    </row>
    <row r="75" spans="2:42" x14ac:dyDescent="0.25">
      <c r="B75" s="88" t="s">
        <v>102</v>
      </c>
      <c r="C75" s="89">
        <v>18230661</v>
      </c>
      <c r="D75" s="60" t="s">
        <v>103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8"/>
        <v>0</v>
      </c>
      <c r="U75" s="46">
        <f t="shared" si="19"/>
        <v>0</v>
      </c>
      <c r="V75" s="47">
        <f t="shared" si="20"/>
        <v>0</v>
      </c>
      <c r="W75" s="48">
        <f t="shared" si="21"/>
        <v>0</v>
      </c>
      <c r="X75" s="43">
        <f t="shared" si="22"/>
        <v>0</v>
      </c>
      <c r="Y75" s="43">
        <f t="shared" si="23"/>
        <v>0</v>
      </c>
      <c r="Z75" s="43">
        <f t="shared" si="24"/>
        <v>0</v>
      </c>
      <c r="AA75" s="49">
        <f t="shared" si="25"/>
        <v>0</v>
      </c>
      <c r="AB75" s="50">
        <f t="shared" si="26"/>
        <v>0</v>
      </c>
      <c r="AC75" s="43">
        <f t="shared" si="27"/>
        <v>0</v>
      </c>
      <c r="AD75" s="43">
        <f t="shared" si="28"/>
        <v>0</v>
      </c>
      <c r="AE75" s="43">
        <f t="shared" si="29"/>
        <v>0</v>
      </c>
      <c r="AF75" s="51" t="e">
        <f>HLOOKUP(I75,GasAvoidedCostsWOCC!$A$5:$G$50,G75+1,FALSE)</f>
        <v>#N/A</v>
      </c>
      <c r="AG75" s="43" t="e">
        <f t="shared" si="30"/>
        <v>#N/A</v>
      </c>
      <c r="AH75" s="51" t="e">
        <f>HLOOKUP(I75,GasAvoidedCostsWOCC!$A$5:$Q$50,T75+1,FALSE)</f>
        <v>#N/A</v>
      </c>
      <c r="AI75" s="43" t="e">
        <f t="shared" si="31"/>
        <v>#N/A</v>
      </c>
      <c r="AJ75" s="43" t="e">
        <f t="shared" si="32"/>
        <v>#N/A</v>
      </c>
      <c r="AK75" s="43" t="e">
        <f>HLOOKUP(I75,GasAvoidedCostsWOCC!$A$5:$Q$50,G75+1,FALSE)*J75*L75</f>
        <v>#N/A</v>
      </c>
      <c r="AL75" s="43" t="e">
        <f t="shared" si="3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4"/>
        <v>0</v>
      </c>
      <c r="AO75" s="46">
        <f t="shared" si="35"/>
        <v>0</v>
      </c>
      <c r="AP75" s="46" t="e">
        <f t="shared" si="36"/>
        <v>#DIV/0!</v>
      </c>
    </row>
    <row r="76" spans="2:42" x14ac:dyDescent="0.25">
      <c r="B76" s="88" t="s">
        <v>102</v>
      </c>
      <c r="C76" s="89">
        <v>18230661</v>
      </c>
      <c r="D76" s="60" t="s">
        <v>103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8"/>
        <v>0</v>
      </c>
      <c r="U76" s="46">
        <f t="shared" si="19"/>
        <v>0</v>
      </c>
      <c r="V76" s="47">
        <f t="shared" si="20"/>
        <v>0</v>
      </c>
      <c r="W76" s="48">
        <f t="shared" si="21"/>
        <v>0</v>
      </c>
      <c r="X76" s="43">
        <f t="shared" si="22"/>
        <v>0</v>
      </c>
      <c r="Y76" s="43">
        <f t="shared" si="23"/>
        <v>0</v>
      </c>
      <c r="Z76" s="43">
        <f t="shared" si="24"/>
        <v>0</v>
      </c>
      <c r="AA76" s="49">
        <f t="shared" si="25"/>
        <v>0</v>
      </c>
      <c r="AB76" s="50">
        <f t="shared" si="26"/>
        <v>0</v>
      </c>
      <c r="AC76" s="43">
        <f t="shared" si="27"/>
        <v>0</v>
      </c>
      <c r="AD76" s="43">
        <f t="shared" si="28"/>
        <v>0</v>
      </c>
      <c r="AE76" s="43">
        <f t="shared" si="29"/>
        <v>0</v>
      </c>
      <c r="AF76" s="51" t="e">
        <f>HLOOKUP(I76,GasAvoidedCostsWOCC!$A$5:$G$50,G76+1,FALSE)</f>
        <v>#N/A</v>
      </c>
      <c r="AG76" s="43" t="e">
        <f t="shared" si="30"/>
        <v>#N/A</v>
      </c>
      <c r="AH76" s="51" t="e">
        <f>HLOOKUP(I76,GasAvoidedCostsWOCC!$A$5:$Q$50,T76+1,FALSE)</f>
        <v>#N/A</v>
      </c>
      <c r="AI76" s="43" t="e">
        <f t="shared" si="31"/>
        <v>#N/A</v>
      </c>
      <c r="AJ76" s="43" t="e">
        <f t="shared" si="32"/>
        <v>#N/A</v>
      </c>
      <c r="AK76" s="43" t="e">
        <f>HLOOKUP(I76,GasAvoidedCostsWOCC!$A$5:$Q$50,G76+1,FALSE)*J76*L76</f>
        <v>#N/A</v>
      </c>
      <c r="AL76" s="43" t="e">
        <f t="shared" si="3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4"/>
        <v>0</v>
      </c>
      <c r="AO76" s="46">
        <f t="shared" si="35"/>
        <v>0</v>
      </c>
      <c r="AP76" s="46" t="e">
        <f t="shared" si="36"/>
        <v>#DIV/0!</v>
      </c>
    </row>
    <row r="77" spans="2:42" x14ac:dyDescent="0.25">
      <c r="B77" s="88" t="s">
        <v>102</v>
      </c>
      <c r="C77" s="89">
        <v>18230661</v>
      </c>
      <c r="D77" s="60" t="s">
        <v>103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8"/>
        <v>0</v>
      </c>
      <c r="U77" s="46">
        <f t="shared" si="19"/>
        <v>0</v>
      </c>
      <c r="V77" s="47">
        <f t="shared" si="20"/>
        <v>0</v>
      </c>
      <c r="W77" s="48">
        <f t="shared" si="21"/>
        <v>0</v>
      </c>
      <c r="X77" s="43">
        <f t="shared" si="22"/>
        <v>0</v>
      </c>
      <c r="Y77" s="43">
        <f t="shared" si="23"/>
        <v>0</v>
      </c>
      <c r="Z77" s="43">
        <f t="shared" si="24"/>
        <v>0</v>
      </c>
      <c r="AA77" s="49">
        <f t="shared" si="25"/>
        <v>0</v>
      </c>
      <c r="AB77" s="50">
        <f t="shared" si="26"/>
        <v>0</v>
      </c>
      <c r="AC77" s="43">
        <f t="shared" si="27"/>
        <v>0</v>
      </c>
      <c r="AD77" s="43">
        <f t="shared" si="28"/>
        <v>0</v>
      </c>
      <c r="AE77" s="43">
        <f t="shared" si="29"/>
        <v>0</v>
      </c>
      <c r="AF77" s="51" t="e">
        <f>HLOOKUP(I77,GasAvoidedCostsWOCC!$A$5:$G$50,G77+1,FALSE)</f>
        <v>#N/A</v>
      </c>
      <c r="AG77" s="43" t="e">
        <f t="shared" si="30"/>
        <v>#N/A</v>
      </c>
      <c r="AH77" s="51" t="e">
        <f>HLOOKUP(I77,GasAvoidedCostsWOCC!$A$5:$Q$50,T77+1,FALSE)</f>
        <v>#N/A</v>
      </c>
      <c r="AI77" s="43" t="e">
        <f t="shared" si="31"/>
        <v>#N/A</v>
      </c>
      <c r="AJ77" s="43" t="e">
        <f t="shared" si="32"/>
        <v>#N/A</v>
      </c>
      <c r="AK77" s="43" t="e">
        <f>HLOOKUP(I77,GasAvoidedCostsWOCC!$A$5:$Q$50,G77+1,FALSE)*J77*L77</f>
        <v>#N/A</v>
      </c>
      <c r="AL77" s="43" t="e">
        <f t="shared" si="3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4"/>
        <v>0</v>
      </c>
      <c r="AO77" s="46">
        <f t="shared" si="35"/>
        <v>0</v>
      </c>
      <c r="AP77" s="46" t="e">
        <f t="shared" si="36"/>
        <v>#DIV/0!</v>
      </c>
    </row>
    <row r="78" spans="2:42" x14ac:dyDescent="0.25">
      <c r="B78" s="88" t="s">
        <v>102</v>
      </c>
      <c r="C78" s="89">
        <v>18230661</v>
      </c>
      <c r="D78" s="60" t="s">
        <v>103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8"/>
        <v>0</v>
      </c>
      <c r="U78" s="46">
        <f t="shared" si="19"/>
        <v>0</v>
      </c>
      <c r="V78" s="47">
        <f t="shared" si="20"/>
        <v>0</v>
      </c>
      <c r="W78" s="48">
        <f t="shared" si="21"/>
        <v>0</v>
      </c>
      <c r="X78" s="43">
        <f t="shared" si="22"/>
        <v>0</v>
      </c>
      <c r="Y78" s="43">
        <f t="shared" si="23"/>
        <v>0</v>
      </c>
      <c r="Z78" s="43">
        <f t="shared" si="24"/>
        <v>0</v>
      </c>
      <c r="AA78" s="49">
        <f t="shared" si="25"/>
        <v>0</v>
      </c>
      <c r="AB78" s="50">
        <f t="shared" si="26"/>
        <v>0</v>
      </c>
      <c r="AC78" s="43">
        <f t="shared" si="27"/>
        <v>0</v>
      </c>
      <c r="AD78" s="43">
        <f t="shared" si="28"/>
        <v>0</v>
      </c>
      <c r="AE78" s="43">
        <f t="shared" si="29"/>
        <v>0</v>
      </c>
      <c r="AF78" s="51" t="e">
        <f>HLOOKUP(I78,GasAvoidedCostsWOCC!$A$5:$G$50,G78+1,FALSE)</f>
        <v>#N/A</v>
      </c>
      <c r="AG78" s="43" t="e">
        <f t="shared" si="30"/>
        <v>#N/A</v>
      </c>
      <c r="AH78" s="51" t="e">
        <f>HLOOKUP(I78,GasAvoidedCostsWOCC!$A$5:$Q$50,T78+1,FALSE)</f>
        <v>#N/A</v>
      </c>
      <c r="AI78" s="43" t="e">
        <f t="shared" si="31"/>
        <v>#N/A</v>
      </c>
      <c r="AJ78" s="43" t="e">
        <f t="shared" si="32"/>
        <v>#N/A</v>
      </c>
      <c r="AK78" s="43" t="e">
        <f>HLOOKUP(I78,GasAvoidedCostsWOCC!$A$5:$Q$50,G78+1,FALSE)*J78*L78</f>
        <v>#N/A</v>
      </c>
      <c r="AL78" s="43" t="e">
        <f t="shared" si="3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4"/>
        <v>0</v>
      </c>
      <c r="AO78" s="46">
        <f t="shared" si="35"/>
        <v>0</v>
      </c>
      <c r="AP78" s="46" t="e">
        <f t="shared" si="36"/>
        <v>#DIV/0!</v>
      </c>
    </row>
    <row r="79" spans="2:42" x14ac:dyDescent="0.25">
      <c r="B79" s="88" t="s">
        <v>102</v>
      </c>
      <c r="C79" s="89">
        <v>18230661</v>
      </c>
      <c r="D79" s="60" t="s">
        <v>103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8"/>
        <v>0</v>
      </c>
      <c r="U79" s="46">
        <f t="shared" si="19"/>
        <v>0</v>
      </c>
      <c r="V79" s="47">
        <f t="shared" si="20"/>
        <v>0</v>
      </c>
      <c r="W79" s="48">
        <f t="shared" si="21"/>
        <v>0</v>
      </c>
      <c r="X79" s="43">
        <f t="shared" si="22"/>
        <v>0</v>
      </c>
      <c r="Y79" s="43">
        <f t="shared" si="23"/>
        <v>0</v>
      </c>
      <c r="Z79" s="43">
        <f t="shared" si="24"/>
        <v>0</v>
      </c>
      <c r="AA79" s="49">
        <f t="shared" si="25"/>
        <v>0</v>
      </c>
      <c r="AB79" s="50">
        <f t="shared" si="26"/>
        <v>0</v>
      </c>
      <c r="AC79" s="43">
        <f t="shared" si="27"/>
        <v>0</v>
      </c>
      <c r="AD79" s="43">
        <f t="shared" si="28"/>
        <v>0</v>
      </c>
      <c r="AE79" s="43">
        <f t="shared" si="29"/>
        <v>0</v>
      </c>
      <c r="AF79" s="51" t="e">
        <f>HLOOKUP(I79,GasAvoidedCostsWOCC!$A$5:$G$50,G79+1,FALSE)</f>
        <v>#N/A</v>
      </c>
      <c r="AG79" s="43" t="e">
        <f t="shared" si="30"/>
        <v>#N/A</v>
      </c>
      <c r="AH79" s="51" t="e">
        <f>HLOOKUP(I79,GasAvoidedCostsWOCC!$A$5:$Q$50,T79+1,FALSE)</f>
        <v>#N/A</v>
      </c>
      <c r="AI79" s="43" t="e">
        <f t="shared" si="31"/>
        <v>#N/A</v>
      </c>
      <c r="AJ79" s="43" t="e">
        <f t="shared" si="32"/>
        <v>#N/A</v>
      </c>
      <c r="AK79" s="43" t="e">
        <f>HLOOKUP(I79,GasAvoidedCostsWOCC!$A$5:$Q$50,G79+1,FALSE)*J79*L79</f>
        <v>#N/A</v>
      </c>
      <c r="AL79" s="43" t="e">
        <f t="shared" si="3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4"/>
        <v>0</v>
      </c>
      <c r="AO79" s="46">
        <f t="shared" si="35"/>
        <v>0</v>
      </c>
      <c r="AP79" s="46" t="e">
        <f t="shared" si="36"/>
        <v>#DIV/0!</v>
      </c>
    </row>
    <row r="80" spans="2:42" x14ac:dyDescent="0.25">
      <c r="B80" s="88" t="s">
        <v>102</v>
      </c>
      <c r="C80" s="89">
        <v>18230661</v>
      </c>
      <c r="D80" s="60" t="s">
        <v>103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8"/>
        <v>0</v>
      </c>
      <c r="U80" s="46">
        <f t="shared" si="19"/>
        <v>0</v>
      </c>
      <c r="V80" s="47">
        <f t="shared" si="20"/>
        <v>0</v>
      </c>
      <c r="W80" s="48">
        <f t="shared" si="21"/>
        <v>0</v>
      </c>
      <c r="X80" s="43">
        <f t="shared" si="22"/>
        <v>0</v>
      </c>
      <c r="Y80" s="43">
        <f t="shared" si="23"/>
        <v>0</v>
      </c>
      <c r="Z80" s="43">
        <f t="shared" si="24"/>
        <v>0</v>
      </c>
      <c r="AA80" s="49">
        <f t="shared" si="25"/>
        <v>0</v>
      </c>
      <c r="AB80" s="50">
        <f t="shared" si="26"/>
        <v>0</v>
      </c>
      <c r="AC80" s="43">
        <f t="shared" si="27"/>
        <v>0</v>
      </c>
      <c r="AD80" s="43">
        <f t="shared" si="28"/>
        <v>0</v>
      </c>
      <c r="AE80" s="43">
        <f t="shared" si="29"/>
        <v>0</v>
      </c>
      <c r="AF80" s="51" t="e">
        <f>HLOOKUP(I80,GasAvoidedCostsWOCC!$A$5:$G$50,G80+1,FALSE)</f>
        <v>#N/A</v>
      </c>
      <c r="AG80" s="43" t="e">
        <f t="shared" si="30"/>
        <v>#N/A</v>
      </c>
      <c r="AH80" s="51" t="e">
        <f>HLOOKUP(I80,GasAvoidedCostsWOCC!$A$5:$Q$50,T80+1,FALSE)</f>
        <v>#N/A</v>
      </c>
      <c r="AI80" s="43" t="e">
        <f t="shared" si="31"/>
        <v>#N/A</v>
      </c>
      <c r="AJ80" s="43" t="e">
        <f t="shared" si="32"/>
        <v>#N/A</v>
      </c>
      <c r="AK80" s="43" t="e">
        <f>HLOOKUP(I80,GasAvoidedCostsWOCC!$A$5:$Q$50,G80+1,FALSE)*J80*L80</f>
        <v>#N/A</v>
      </c>
      <c r="AL80" s="43" t="e">
        <f t="shared" si="3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4"/>
        <v>0</v>
      </c>
      <c r="AO80" s="46">
        <f t="shared" si="35"/>
        <v>0</v>
      </c>
      <c r="AP80" s="46" t="e">
        <f t="shared" si="36"/>
        <v>#DIV/0!</v>
      </c>
    </row>
    <row r="81" spans="2:42" x14ac:dyDescent="0.25">
      <c r="B81" s="88" t="s">
        <v>102</v>
      </c>
      <c r="C81" s="89">
        <v>18230661</v>
      </c>
      <c r="D81" s="60" t="s">
        <v>103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8"/>
        <v>0</v>
      </c>
      <c r="U81" s="46">
        <f t="shared" si="19"/>
        <v>0</v>
      </c>
      <c r="V81" s="47">
        <f t="shared" si="20"/>
        <v>0</v>
      </c>
      <c r="W81" s="48">
        <f t="shared" si="21"/>
        <v>0</v>
      </c>
      <c r="X81" s="43">
        <f t="shared" si="22"/>
        <v>0</v>
      </c>
      <c r="Y81" s="43">
        <f t="shared" si="23"/>
        <v>0</v>
      </c>
      <c r="Z81" s="43">
        <f t="shared" si="24"/>
        <v>0</v>
      </c>
      <c r="AA81" s="49">
        <f t="shared" si="25"/>
        <v>0</v>
      </c>
      <c r="AB81" s="50">
        <f t="shared" si="26"/>
        <v>0</v>
      </c>
      <c r="AC81" s="43">
        <f t="shared" si="27"/>
        <v>0</v>
      </c>
      <c r="AD81" s="43">
        <f t="shared" si="28"/>
        <v>0</v>
      </c>
      <c r="AE81" s="43">
        <f t="shared" si="29"/>
        <v>0</v>
      </c>
      <c r="AF81" s="51" t="e">
        <f>HLOOKUP(I81,GasAvoidedCostsWOCC!$A$5:$G$50,G81+1,FALSE)</f>
        <v>#N/A</v>
      </c>
      <c r="AG81" s="43" t="e">
        <f t="shared" si="30"/>
        <v>#N/A</v>
      </c>
      <c r="AH81" s="51" t="e">
        <f>HLOOKUP(I81,GasAvoidedCostsWOCC!$A$5:$Q$50,T81+1,FALSE)</f>
        <v>#N/A</v>
      </c>
      <c r="AI81" s="43" t="e">
        <f t="shared" si="31"/>
        <v>#N/A</v>
      </c>
      <c r="AJ81" s="43" t="e">
        <f t="shared" si="32"/>
        <v>#N/A</v>
      </c>
      <c r="AK81" s="43" t="e">
        <f>HLOOKUP(I81,GasAvoidedCostsWOCC!$A$5:$Q$50,G81+1,FALSE)*J81*L81</f>
        <v>#N/A</v>
      </c>
      <c r="AL81" s="43" t="e">
        <f t="shared" si="3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4"/>
        <v>0</v>
      </c>
      <c r="AO81" s="46">
        <f t="shared" si="35"/>
        <v>0</v>
      </c>
      <c r="AP81" s="46" t="e">
        <f t="shared" si="36"/>
        <v>#DIV/0!</v>
      </c>
    </row>
    <row r="82" spans="2:42" x14ac:dyDescent="0.25">
      <c r="B82" s="88" t="s">
        <v>102</v>
      </c>
      <c r="C82" s="89">
        <v>18230661</v>
      </c>
      <c r="D82" s="60" t="s">
        <v>103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8"/>
        <v>0</v>
      </c>
      <c r="U82" s="46">
        <f t="shared" si="19"/>
        <v>0</v>
      </c>
      <c r="V82" s="47">
        <f t="shared" si="20"/>
        <v>0</v>
      </c>
      <c r="W82" s="48">
        <f t="shared" si="21"/>
        <v>0</v>
      </c>
      <c r="X82" s="43">
        <f t="shared" si="22"/>
        <v>0</v>
      </c>
      <c r="Y82" s="43">
        <f t="shared" si="23"/>
        <v>0</v>
      </c>
      <c r="Z82" s="43">
        <f t="shared" si="24"/>
        <v>0</v>
      </c>
      <c r="AA82" s="49">
        <f t="shared" si="25"/>
        <v>0</v>
      </c>
      <c r="AB82" s="50">
        <f t="shared" si="26"/>
        <v>0</v>
      </c>
      <c r="AC82" s="43">
        <f t="shared" si="27"/>
        <v>0</v>
      </c>
      <c r="AD82" s="43">
        <f t="shared" si="28"/>
        <v>0</v>
      </c>
      <c r="AE82" s="43">
        <f t="shared" si="29"/>
        <v>0</v>
      </c>
      <c r="AF82" s="51" t="e">
        <f>HLOOKUP(I82,GasAvoidedCostsWOCC!$A$5:$G$50,G82+1,FALSE)</f>
        <v>#N/A</v>
      </c>
      <c r="AG82" s="43" t="e">
        <f t="shared" si="30"/>
        <v>#N/A</v>
      </c>
      <c r="AH82" s="51" t="e">
        <f>HLOOKUP(I82,GasAvoidedCostsWOCC!$A$5:$Q$50,T82+1,FALSE)</f>
        <v>#N/A</v>
      </c>
      <c r="AI82" s="43" t="e">
        <f t="shared" si="31"/>
        <v>#N/A</v>
      </c>
      <c r="AJ82" s="43" t="e">
        <f t="shared" si="32"/>
        <v>#N/A</v>
      </c>
      <c r="AK82" s="43" t="e">
        <f>HLOOKUP(I82,GasAvoidedCostsWOCC!$A$5:$Q$50,G82+1,FALSE)*J82*L82</f>
        <v>#N/A</v>
      </c>
      <c r="AL82" s="43" t="e">
        <f t="shared" si="3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4"/>
        <v>0</v>
      </c>
      <c r="AO82" s="46">
        <f t="shared" si="35"/>
        <v>0</v>
      </c>
      <c r="AP82" s="46" t="e">
        <f t="shared" si="36"/>
        <v>#DIV/0!</v>
      </c>
    </row>
    <row r="83" spans="2:42" x14ac:dyDescent="0.25">
      <c r="B83" s="88" t="s">
        <v>102</v>
      </c>
      <c r="C83" s="89">
        <v>18230661</v>
      </c>
      <c r="D83" s="60" t="s">
        <v>103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8"/>
        <v>0</v>
      </c>
      <c r="U83" s="46">
        <f t="shared" si="19"/>
        <v>0</v>
      </c>
      <c r="V83" s="47">
        <f t="shared" si="20"/>
        <v>0</v>
      </c>
      <c r="W83" s="48">
        <f t="shared" si="21"/>
        <v>0</v>
      </c>
      <c r="X83" s="43">
        <f t="shared" si="22"/>
        <v>0</v>
      </c>
      <c r="Y83" s="43">
        <f t="shared" si="23"/>
        <v>0</v>
      </c>
      <c r="Z83" s="43">
        <f t="shared" si="24"/>
        <v>0</v>
      </c>
      <c r="AA83" s="49">
        <f t="shared" si="25"/>
        <v>0</v>
      </c>
      <c r="AB83" s="50">
        <f t="shared" si="26"/>
        <v>0</v>
      </c>
      <c r="AC83" s="43">
        <f t="shared" si="27"/>
        <v>0</v>
      </c>
      <c r="AD83" s="43">
        <f t="shared" si="28"/>
        <v>0</v>
      </c>
      <c r="AE83" s="43">
        <f t="shared" si="29"/>
        <v>0</v>
      </c>
      <c r="AF83" s="51" t="e">
        <f>HLOOKUP(I83,GasAvoidedCostsWOCC!$A$5:$G$50,G83+1,FALSE)</f>
        <v>#N/A</v>
      </c>
      <c r="AG83" s="43" t="e">
        <f t="shared" si="30"/>
        <v>#N/A</v>
      </c>
      <c r="AH83" s="51" t="e">
        <f>HLOOKUP(I83,GasAvoidedCostsWOCC!$A$5:$Q$50,T83+1,FALSE)</f>
        <v>#N/A</v>
      </c>
      <c r="AI83" s="43" t="e">
        <f t="shared" si="31"/>
        <v>#N/A</v>
      </c>
      <c r="AJ83" s="43" t="e">
        <f t="shared" si="32"/>
        <v>#N/A</v>
      </c>
      <c r="AK83" s="43" t="e">
        <f>HLOOKUP(I83,GasAvoidedCostsWOCC!$A$5:$Q$50,G83+1,FALSE)*J83*L83</f>
        <v>#N/A</v>
      </c>
      <c r="AL83" s="43" t="e">
        <f t="shared" si="3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4"/>
        <v>0</v>
      </c>
      <c r="AO83" s="46">
        <f t="shared" si="35"/>
        <v>0</v>
      </c>
      <c r="AP83" s="46" t="e">
        <f t="shared" si="36"/>
        <v>#DIV/0!</v>
      </c>
    </row>
    <row r="84" spans="2:42" x14ac:dyDescent="0.25">
      <c r="B84" s="88" t="s">
        <v>102</v>
      </c>
      <c r="C84" s="89">
        <v>18230661</v>
      </c>
      <c r="D84" s="60" t="s">
        <v>103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8"/>
        <v>0</v>
      </c>
      <c r="U84" s="46">
        <f t="shared" si="19"/>
        <v>0</v>
      </c>
      <c r="V84" s="47">
        <f t="shared" si="20"/>
        <v>0</v>
      </c>
      <c r="W84" s="48">
        <f t="shared" si="21"/>
        <v>0</v>
      </c>
      <c r="X84" s="43">
        <f t="shared" si="22"/>
        <v>0</v>
      </c>
      <c r="Y84" s="43">
        <f t="shared" si="23"/>
        <v>0</v>
      </c>
      <c r="Z84" s="43">
        <f t="shared" si="24"/>
        <v>0</v>
      </c>
      <c r="AA84" s="49">
        <f t="shared" si="25"/>
        <v>0</v>
      </c>
      <c r="AB84" s="50">
        <f t="shared" si="26"/>
        <v>0</v>
      </c>
      <c r="AC84" s="43">
        <f t="shared" si="27"/>
        <v>0</v>
      </c>
      <c r="AD84" s="43">
        <f t="shared" si="28"/>
        <v>0</v>
      </c>
      <c r="AE84" s="43">
        <f t="shared" si="29"/>
        <v>0</v>
      </c>
      <c r="AF84" s="51" t="e">
        <f>HLOOKUP(I84,GasAvoidedCostsWOCC!$A$5:$G$50,G84+1,FALSE)</f>
        <v>#N/A</v>
      </c>
      <c r="AG84" s="43" t="e">
        <f t="shared" si="30"/>
        <v>#N/A</v>
      </c>
      <c r="AH84" s="51" t="e">
        <f>HLOOKUP(I84,GasAvoidedCostsWOCC!$A$5:$Q$50,T84+1,FALSE)</f>
        <v>#N/A</v>
      </c>
      <c r="AI84" s="43" t="e">
        <f t="shared" si="31"/>
        <v>#N/A</v>
      </c>
      <c r="AJ84" s="43" t="e">
        <f t="shared" si="32"/>
        <v>#N/A</v>
      </c>
      <c r="AK84" s="43" t="e">
        <f>HLOOKUP(I84,GasAvoidedCostsWOCC!$A$5:$Q$50,G84+1,FALSE)*J84*L84</f>
        <v>#N/A</v>
      </c>
      <c r="AL84" s="43" t="e">
        <f t="shared" si="3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4"/>
        <v>0</v>
      </c>
      <c r="AO84" s="46">
        <f t="shared" si="35"/>
        <v>0</v>
      </c>
      <c r="AP84" s="46" t="e">
        <f t="shared" si="36"/>
        <v>#DIV/0!</v>
      </c>
    </row>
    <row r="85" spans="2:42" x14ac:dyDescent="0.25">
      <c r="B85" s="88" t="s">
        <v>102</v>
      </c>
      <c r="C85" s="89">
        <v>18230661</v>
      </c>
      <c r="D85" s="60" t="s">
        <v>103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8"/>
        <v>0</v>
      </c>
      <c r="U85" s="46">
        <f t="shared" si="19"/>
        <v>0</v>
      </c>
      <c r="V85" s="47">
        <f t="shared" si="20"/>
        <v>0</v>
      </c>
      <c r="W85" s="48">
        <f t="shared" si="21"/>
        <v>0</v>
      </c>
      <c r="X85" s="43">
        <f t="shared" si="22"/>
        <v>0</v>
      </c>
      <c r="Y85" s="43">
        <f t="shared" si="23"/>
        <v>0</v>
      </c>
      <c r="Z85" s="43">
        <f t="shared" si="24"/>
        <v>0</v>
      </c>
      <c r="AA85" s="49">
        <f t="shared" si="25"/>
        <v>0</v>
      </c>
      <c r="AB85" s="50">
        <f t="shared" si="26"/>
        <v>0</v>
      </c>
      <c r="AC85" s="43">
        <f t="shared" si="27"/>
        <v>0</v>
      </c>
      <c r="AD85" s="43">
        <f t="shared" si="28"/>
        <v>0</v>
      </c>
      <c r="AE85" s="43">
        <f t="shared" si="29"/>
        <v>0</v>
      </c>
      <c r="AF85" s="51" t="e">
        <f>HLOOKUP(I85,GasAvoidedCostsWOCC!$A$5:$G$50,G85+1,FALSE)</f>
        <v>#N/A</v>
      </c>
      <c r="AG85" s="43" t="e">
        <f t="shared" si="30"/>
        <v>#N/A</v>
      </c>
      <c r="AH85" s="51" t="e">
        <f>HLOOKUP(I85,GasAvoidedCostsWOCC!$A$5:$Q$50,T85+1,FALSE)</f>
        <v>#N/A</v>
      </c>
      <c r="AI85" s="43" t="e">
        <f t="shared" si="31"/>
        <v>#N/A</v>
      </c>
      <c r="AJ85" s="43" t="e">
        <f t="shared" si="32"/>
        <v>#N/A</v>
      </c>
      <c r="AK85" s="43" t="e">
        <f>HLOOKUP(I85,GasAvoidedCostsWOCC!$A$5:$Q$50,G85+1,FALSE)*J85*L85</f>
        <v>#N/A</v>
      </c>
      <c r="AL85" s="43" t="e">
        <f t="shared" si="3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4"/>
        <v>0</v>
      </c>
      <c r="AO85" s="46">
        <f t="shared" si="35"/>
        <v>0</v>
      </c>
      <c r="AP85" s="46" t="e">
        <f t="shared" si="36"/>
        <v>#DIV/0!</v>
      </c>
    </row>
    <row r="86" spans="2:42" x14ac:dyDescent="0.25">
      <c r="B86" s="88" t="s">
        <v>102</v>
      </c>
      <c r="C86" s="89">
        <v>18230661</v>
      </c>
      <c r="D86" s="60" t="s">
        <v>103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ref="T86:T131" si="37">G86+H86</f>
        <v>0</v>
      </c>
      <c r="U86" s="46">
        <f t="shared" ref="U86:U131" si="38">(O86/$A$10)*T86</f>
        <v>0</v>
      </c>
      <c r="V86" s="47">
        <f t="shared" ref="V86:V131" si="39">N86-M86</f>
        <v>0</v>
      </c>
      <c r="W86" s="48">
        <f t="shared" ref="W86:W131" si="40">(O86/A$10)</f>
        <v>0</v>
      </c>
      <c r="X86" s="43">
        <f t="shared" ref="X86:X131" si="41">W86*A$8</f>
        <v>0</v>
      </c>
      <c r="Y86" s="43">
        <f t="shared" ref="Y86:Y131" si="42">Q86-P86</f>
        <v>0</v>
      </c>
      <c r="Z86" s="43">
        <f t="shared" ref="Z86:Z131" si="43">X86+(A$6*W86)</f>
        <v>0</v>
      </c>
      <c r="AA86" s="49">
        <f t="shared" ref="AA86:AA131" si="44">Q86+X86</f>
        <v>0</v>
      </c>
      <c r="AB86" s="50">
        <f t="shared" ref="AB86:AB131" si="45">Z86/(1+GasDiscountRate)^1</f>
        <v>0</v>
      </c>
      <c r="AC86" s="43">
        <f t="shared" ref="AC86:AC131" si="46">AA86/(1+GasDiscountRate)^1</f>
        <v>0</v>
      </c>
      <c r="AD86" s="43">
        <f t="shared" ref="AD86:AD131" si="47">-PV(GasDiscountRate,T86,R86)*J86</f>
        <v>0</v>
      </c>
      <c r="AE86" s="43">
        <f t="shared" ref="AE86:AE131" si="48">-PV(GasDiscountRate,T86,S86)*J86</f>
        <v>0</v>
      </c>
      <c r="AF86" s="51" t="e">
        <f>HLOOKUP(I86,GasAvoidedCostsWOCC!$A$5:$G$50,G86+1,FALSE)</f>
        <v>#N/A</v>
      </c>
      <c r="AG86" s="43" t="e">
        <f t="shared" ref="AG86:AG131" si="49">AF86*J86*K86</f>
        <v>#N/A</v>
      </c>
      <c r="AH86" s="51" t="e">
        <f>HLOOKUP(I86,GasAvoidedCostsWOCC!$A$5:$Q$50,T86+1,FALSE)</f>
        <v>#N/A</v>
      </c>
      <c r="AI86" s="43" t="e">
        <f t="shared" ref="AI86:AI131" si="50">AH86*J86*L86</f>
        <v>#N/A</v>
      </c>
      <c r="AJ86" s="43" t="e">
        <f t="shared" ref="AJ86:AJ131" si="51">AG86+AI86</f>
        <v>#N/A</v>
      </c>
      <c r="AK86" s="43" t="e">
        <f>HLOOKUP(I86,GasAvoidedCostsWOCC!$A$5:$Q$50,G86+1,FALSE)*J86*L86</f>
        <v>#N/A</v>
      </c>
      <c r="AL86" s="43" t="e">
        <f t="shared" ref="AL86:AL131" si="52">AG86+AI86-AK86</f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ref="AN86:AN131" si="53">AM86*1.1+AD86+AE86</f>
        <v>0</v>
      </c>
      <c r="AO86" s="46">
        <f t="shared" ref="AO86:AO131" si="54">IFERROR(AM86/AB86,0)</f>
        <v>0</v>
      </c>
      <c r="AP86" s="46" t="e">
        <f t="shared" ref="AP86:AP131" si="55">AN86/AC86</f>
        <v>#DIV/0!</v>
      </c>
    </row>
    <row r="87" spans="2:42" x14ac:dyDescent="0.25">
      <c r="B87" s="88" t="s">
        <v>102</v>
      </c>
      <c r="C87" s="89">
        <v>18230661</v>
      </c>
      <c r="D87" s="60" t="s">
        <v>103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7"/>
        <v>0</v>
      </c>
      <c r="U87" s="46">
        <f t="shared" si="38"/>
        <v>0</v>
      </c>
      <c r="V87" s="47">
        <f t="shared" si="39"/>
        <v>0</v>
      </c>
      <c r="W87" s="48">
        <f t="shared" si="40"/>
        <v>0</v>
      </c>
      <c r="X87" s="43">
        <f t="shared" si="41"/>
        <v>0</v>
      </c>
      <c r="Y87" s="43">
        <f t="shared" si="42"/>
        <v>0</v>
      </c>
      <c r="Z87" s="43">
        <f t="shared" si="43"/>
        <v>0</v>
      </c>
      <c r="AA87" s="49">
        <f t="shared" si="44"/>
        <v>0</v>
      </c>
      <c r="AB87" s="50">
        <f t="shared" si="45"/>
        <v>0</v>
      </c>
      <c r="AC87" s="43">
        <f t="shared" si="46"/>
        <v>0</v>
      </c>
      <c r="AD87" s="43">
        <f t="shared" si="47"/>
        <v>0</v>
      </c>
      <c r="AE87" s="43">
        <f t="shared" si="48"/>
        <v>0</v>
      </c>
      <c r="AF87" s="51" t="e">
        <f>HLOOKUP(I87,GasAvoidedCostsWOCC!$A$5:$G$50,G87+1,FALSE)</f>
        <v>#N/A</v>
      </c>
      <c r="AG87" s="43" t="e">
        <f t="shared" si="49"/>
        <v>#N/A</v>
      </c>
      <c r="AH87" s="51" t="e">
        <f>HLOOKUP(I87,GasAvoidedCostsWOCC!$A$5:$Q$50,T87+1,FALSE)</f>
        <v>#N/A</v>
      </c>
      <c r="AI87" s="43" t="e">
        <f t="shared" si="50"/>
        <v>#N/A</v>
      </c>
      <c r="AJ87" s="43" t="e">
        <f t="shared" si="51"/>
        <v>#N/A</v>
      </c>
      <c r="AK87" s="43" t="e">
        <f>HLOOKUP(I87,GasAvoidedCostsWOCC!$A$5:$Q$50,G87+1,FALSE)*J87*L87</f>
        <v>#N/A</v>
      </c>
      <c r="AL87" s="43" t="e">
        <f t="shared" si="5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3"/>
        <v>0</v>
      </c>
      <c r="AO87" s="46">
        <f t="shared" si="54"/>
        <v>0</v>
      </c>
      <c r="AP87" s="46" t="e">
        <f t="shared" si="55"/>
        <v>#DIV/0!</v>
      </c>
    </row>
    <row r="88" spans="2:42" x14ac:dyDescent="0.25">
      <c r="B88" s="88" t="s">
        <v>102</v>
      </c>
      <c r="C88" s="89">
        <v>18230661</v>
      </c>
      <c r="D88" s="60" t="s">
        <v>103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7"/>
        <v>0</v>
      </c>
      <c r="U88" s="46">
        <f t="shared" si="38"/>
        <v>0</v>
      </c>
      <c r="V88" s="47">
        <f t="shared" si="39"/>
        <v>0</v>
      </c>
      <c r="W88" s="48">
        <f t="shared" si="40"/>
        <v>0</v>
      </c>
      <c r="X88" s="43">
        <f t="shared" si="41"/>
        <v>0</v>
      </c>
      <c r="Y88" s="43">
        <f t="shared" si="42"/>
        <v>0</v>
      </c>
      <c r="Z88" s="43">
        <f t="shared" si="43"/>
        <v>0</v>
      </c>
      <c r="AA88" s="49">
        <f t="shared" si="44"/>
        <v>0</v>
      </c>
      <c r="AB88" s="50">
        <f t="shared" si="45"/>
        <v>0</v>
      </c>
      <c r="AC88" s="43">
        <f t="shared" si="46"/>
        <v>0</v>
      </c>
      <c r="AD88" s="43">
        <f t="shared" si="47"/>
        <v>0</v>
      </c>
      <c r="AE88" s="43">
        <f t="shared" si="48"/>
        <v>0</v>
      </c>
      <c r="AF88" s="51" t="e">
        <f>HLOOKUP(I88,GasAvoidedCostsWOCC!$A$5:$G$50,G88+1,FALSE)</f>
        <v>#N/A</v>
      </c>
      <c r="AG88" s="43" t="e">
        <f t="shared" si="49"/>
        <v>#N/A</v>
      </c>
      <c r="AH88" s="51" t="e">
        <f>HLOOKUP(I88,GasAvoidedCostsWOCC!$A$5:$Q$50,T88+1,FALSE)</f>
        <v>#N/A</v>
      </c>
      <c r="AI88" s="43" t="e">
        <f t="shared" si="50"/>
        <v>#N/A</v>
      </c>
      <c r="AJ88" s="43" t="e">
        <f t="shared" si="51"/>
        <v>#N/A</v>
      </c>
      <c r="AK88" s="43" t="e">
        <f>HLOOKUP(I88,GasAvoidedCostsWOCC!$A$5:$Q$50,G88+1,FALSE)*J88*L88</f>
        <v>#N/A</v>
      </c>
      <c r="AL88" s="43" t="e">
        <f t="shared" si="5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3"/>
        <v>0</v>
      </c>
      <c r="AO88" s="46">
        <f t="shared" si="54"/>
        <v>0</v>
      </c>
      <c r="AP88" s="46" t="e">
        <f t="shared" si="55"/>
        <v>#DIV/0!</v>
      </c>
    </row>
    <row r="89" spans="2:42" x14ac:dyDescent="0.25">
      <c r="B89" s="88" t="s">
        <v>102</v>
      </c>
      <c r="C89" s="89">
        <v>18230661</v>
      </c>
      <c r="D89" s="60" t="s">
        <v>103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7"/>
        <v>0</v>
      </c>
      <c r="U89" s="46">
        <f t="shared" si="38"/>
        <v>0</v>
      </c>
      <c r="V89" s="47">
        <f t="shared" si="39"/>
        <v>0</v>
      </c>
      <c r="W89" s="48">
        <f t="shared" si="40"/>
        <v>0</v>
      </c>
      <c r="X89" s="43">
        <f t="shared" si="41"/>
        <v>0</v>
      </c>
      <c r="Y89" s="43">
        <f t="shared" si="42"/>
        <v>0</v>
      </c>
      <c r="Z89" s="43">
        <f t="shared" si="43"/>
        <v>0</v>
      </c>
      <c r="AA89" s="49">
        <f t="shared" si="44"/>
        <v>0</v>
      </c>
      <c r="AB89" s="50">
        <f t="shared" si="45"/>
        <v>0</v>
      </c>
      <c r="AC89" s="43">
        <f t="shared" si="46"/>
        <v>0</v>
      </c>
      <c r="AD89" s="43">
        <f t="shared" si="47"/>
        <v>0</v>
      </c>
      <c r="AE89" s="43">
        <f t="shared" si="48"/>
        <v>0</v>
      </c>
      <c r="AF89" s="51" t="e">
        <f>HLOOKUP(I89,GasAvoidedCostsWOCC!$A$5:$G$50,G89+1,FALSE)</f>
        <v>#N/A</v>
      </c>
      <c r="AG89" s="43" t="e">
        <f t="shared" si="49"/>
        <v>#N/A</v>
      </c>
      <c r="AH89" s="51" t="e">
        <f>HLOOKUP(I89,GasAvoidedCostsWOCC!$A$5:$Q$50,T89+1,FALSE)</f>
        <v>#N/A</v>
      </c>
      <c r="AI89" s="43" t="e">
        <f t="shared" si="50"/>
        <v>#N/A</v>
      </c>
      <c r="AJ89" s="43" t="e">
        <f t="shared" si="51"/>
        <v>#N/A</v>
      </c>
      <c r="AK89" s="43" t="e">
        <f>HLOOKUP(I89,GasAvoidedCostsWOCC!$A$5:$Q$50,G89+1,FALSE)*J89*L89</f>
        <v>#N/A</v>
      </c>
      <c r="AL89" s="43" t="e">
        <f t="shared" si="5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53"/>
        <v>0</v>
      </c>
      <c r="AO89" s="46">
        <f t="shared" si="54"/>
        <v>0</v>
      </c>
      <c r="AP89" s="46" t="e">
        <f t="shared" si="55"/>
        <v>#DIV/0!</v>
      </c>
    </row>
    <row r="90" spans="2:42" x14ac:dyDescent="0.25">
      <c r="B90" s="88" t="s">
        <v>102</v>
      </c>
      <c r="C90" s="89">
        <v>18230661</v>
      </c>
      <c r="D90" s="60" t="s">
        <v>103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7"/>
        <v>0</v>
      </c>
      <c r="U90" s="46">
        <f t="shared" si="38"/>
        <v>0</v>
      </c>
      <c r="V90" s="47">
        <f t="shared" si="39"/>
        <v>0</v>
      </c>
      <c r="W90" s="48">
        <f t="shared" si="40"/>
        <v>0</v>
      </c>
      <c r="X90" s="43">
        <f t="shared" si="41"/>
        <v>0</v>
      </c>
      <c r="Y90" s="43">
        <f t="shared" si="42"/>
        <v>0</v>
      </c>
      <c r="Z90" s="43">
        <f t="shared" si="43"/>
        <v>0</v>
      </c>
      <c r="AA90" s="49">
        <f t="shared" si="44"/>
        <v>0</v>
      </c>
      <c r="AB90" s="50">
        <f t="shared" si="45"/>
        <v>0</v>
      </c>
      <c r="AC90" s="43">
        <f t="shared" si="46"/>
        <v>0</v>
      </c>
      <c r="AD90" s="43">
        <f t="shared" si="47"/>
        <v>0</v>
      </c>
      <c r="AE90" s="43">
        <f t="shared" si="48"/>
        <v>0</v>
      </c>
      <c r="AF90" s="51" t="e">
        <f>HLOOKUP(I90,GasAvoidedCostsWOCC!$A$5:$G$50,G90+1,FALSE)</f>
        <v>#N/A</v>
      </c>
      <c r="AG90" s="43" t="e">
        <f t="shared" si="49"/>
        <v>#N/A</v>
      </c>
      <c r="AH90" s="51" t="e">
        <f>HLOOKUP(I90,GasAvoidedCostsWOCC!$A$5:$Q$50,T90+1,FALSE)</f>
        <v>#N/A</v>
      </c>
      <c r="AI90" s="43" t="e">
        <f t="shared" si="50"/>
        <v>#N/A</v>
      </c>
      <c r="AJ90" s="43" t="e">
        <f t="shared" si="51"/>
        <v>#N/A</v>
      </c>
      <c r="AK90" s="43" t="e">
        <f>HLOOKUP(I90,GasAvoidedCostsWOCC!$A$5:$Q$50,G90+1,FALSE)*J90*L90</f>
        <v>#N/A</v>
      </c>
      <c r="AL90" s="43" t="e">
        <f t="shared" si="5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3"/>
        <v>0</v>
      </c>
      <c r="AO90" s="46">
        <f t="shared" si="54"/>
        <v>0</v>
      </c>
      <c r="AP90" s="46" t="e">
        <f t="shared" si="55"/>
        <v>#DIV/0!</v>
      </c>
    </row>
    <row r="91" spans="2:42" x14ac:dyDescent="0.25">
      <c r="B91" s="88" t="s">
        <v>102</v>
      </c>
      <c r="C91" s="89">
        <v>18230661</v>
      </c>
      <c r="D91" s="60" t="s">
        <v>103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7"/>
        <v>0</v>
      </c>
      <c r="U91" s="46">
        <f t="shared" si="38"/>
        <v>0</v>
      </c>
      <c r="V91" s="47">
        <f t="shared" si="39"/>
        <v>0</v>
      </c>
      <c r="W91" s="48">
        <f t="shared" si="40"/>
        <v>0</v>
      </c>
      <c r="X91" s="43">
        <f t="shared" si="41"/>
        <v>0</v>
      </c>
      <c r="Y91" s="43">
        <f t="shared" si="42"/>
        <v>0</v>
      </c>
      <c r="Z91" s="43">
        <f t="shared" si="43"/>
        <v>0</v>
      </c>
      <c r="AA91" s="49">
        <f t="shared" si="44"/>
        <v>0</v>
      </c>
      <c r="AB91" s="50">
        <f t="shared" si="45"/>
        <v>0</v>
      </c>
      <c r="AC91" s="43">
        <f t="shared" si="46"/>
        <v>0</v>
      </c>
      <c r="AD91" s="43">
        <f t="shared" si="47"/>
        <v>0</v>
      </c>
      <c r="AE91" s="43">
        <f t="shared" si="48"/>
        <v>0</v>
      </c>
      <c r="AF91" s="51" t="e">
        <f>HLOOKUP(I91,GasAvoidedCostsWOCC!$A$5:$G$50,G91+1,FALSE)</f>
        <v>#N/A</v>
      </c>
      <c r="AG91" s="43" t="e">
        <f t="shared" si="49"/>
        <v>#N/A</v>
      </c>
      <c r="AH91" s="51" t="e">
        <f>HLOOKUP(I91,GasAvoidedCostsWOCC!$A$5:$Q$50,T91+1,FALSE)</f>
        <v>#N/A</v>
      </c>
      <c r="AI91" s="43" t="e">
        <f t="shared" si="50"/>
        <v>#N/A</v>
      </c>
      <c r="AJ91" s="43" t="e">
        <f t="shared" si="51"/>
        <v>#N/A</v>
      </c>
      <c r="AK91" s="43" t="e">
        <f>HLOOKUP(I91,GasAvoidedCostsWOCC!$A$5:$Q$50,G91+1,FALSE)*J91*L91</f>
        <v>#N/A</v>
      </c>
      <c r="AL91" s="43" t="e">
        <f t="shared" si="5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3"/>
        <v>0</v>
      </c>
      <c r="AO91" s="46">
        <f t="shared" si="54"/>
        <v>0</v>
      </c>
      <c r="AP91" s="46" t="e">
        <f t="shared" si="55"/>
        <v>#DIV/0!</v>
      </c>
    </row>
    <row r="92" spans="2:42" x14ac:dyDescent="0.25">
      <c r="B92" s="88" t="s">
        <v>102</v>
      </c>
      <c r="C92" s="89">
        <v>18230661</v>
      </c>
      <c r="D92" s="60" t="s">
        <v>103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7"/>
        <v>0</v>
      </c>
      <c r="U92" s="46">
        <f t="shared" si="38"/>
        <v>0</v>
      </c>
      <c r="V92" s="47">
        <f t="shared" si="39"/>
        <v>0</v>
      </c>
      <c r="W92" s="48">
        <f t="shared" si="40"/>
        <v>0</v>
      </c>
      <c r="X92" s="43">
        <f t="shared" si="41"/>
        <v>0</v>
      </c>
      <c r="Y92" s="43">
        <f t="shared" si="42"/>
        <v>0</v>
      </c>
      <c r="Z92" s="43">
        <f t="shared" si="43"/>
        <v>0</v>
      </c>
      <c r="AA92" s="49">
        <f t="shared" si="44"/>
        <v>0</v>
      </c>
      <c r="AB92" s="50">
        <f t="shared" si="45"/>
        <v>0</v>
      </c>
      <c r="AC92" s="43">
        <f t="shared" si="46"/>
        <v>0</v>
      </c>
      <c r="AD92" s="43">
        <f t="shared" si="47"/>
        <v>0</v>
      </c>
      <c r="AE92" s="43">
        <f t="shared" si="48"/>
        <v>0</v>
      </c>
      <c r="AF92" s="51" t="e">
        <f>HLOOKUP(I92,GasAvoidedCostsWOCC!$A$5:$G$50,G92+1,FALSE)</f>
        <v>#N/A</v>
      </c>
      <c r="AG92" s="43" t="e">
        <f t="shared" si="49"/>
        <v>#N/A</v>
      </c>
      <c r="AH92" s="51" t="e">
        <f>HLOOKUP(I92,GasAvoidedCostsWOCC!$A$5:$Q$50,T92+1,FALSE)</f>
        <v>#N/A</v>
      </c>
      <c r="AI92" s="43" t="e">
        <f t="shared" si="50"/>
        <v>#N/A</v>
      </c>
      <c r="AJ92" s="43" t="e">
        <f t="shared" si="51"/>
        <v>#N/A</v>
      </c>
      <c r="AK92" s="43" t="e">
        <f>HLOOKUP(I92,GasAvoidedCostsWOCC!$A$5:$Q$50,G92+1,FALSE)*J92*L92</f>
        <v>#N/A</v>
      </c>
      <c r="AL92" s="43" t="e">
        <f t="shared" si="5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3"/>
        <v>0</v>
      </c>
      <c r="AO92" s="46">
        <f t="shared" si="54"/>
        <v>0</v>
      </c>
      <c r="AP92" s="46" t="e">
        <f t="shared" si="55"/>
        <v>#DIV/0!</v>
      </c>
    </row>
    <row r="93" spans="2:42" x14ac:dyDescent="0.25">
      <c r="B93" s="88" t="s">
        <v>102</v>
      </c>
      <c r="C93" s="89">
        <v>18230661</v>
      </c>
      <c r="D93" s="60" t="s">
        <v>103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7"/>
        <v>0</v>
      </c>
      <c r="U93" s="46">
        <f t="shared" si="38"/>
        <v>0</v>
      </c>
      <c r="V93" s="47">
        <f t="shared" si="39"/>
        <v>0</v>
      </c>
      <c r="W93" s="48">
        <f t="shared" si="40"/>
        <v>0</v>
      </c>
      <c r="X93" s="43">
        <f t="shared" si="41"/>
        <v>0</v>
      </c>
      <c r="Y93" s="43">
        <f t="shared" si="42"/>
        <v>0</v>
      </c>
      <c r="Z93" s="43">
        <f t="shared" si="43"/>
        <v>0</v>
      </c>
      <c r="AA93" s="49">
        <f t="shared" si="44"/>
        <v>0</v>
      </c>
      <c r="AB93" s="50">
        <f t="shared" si="45"/>
        <v>0</v>
      </c>
      <c r="AC93" s="43">
        <f t="shared" si="46"/>
        <v>0</v>
      </c>
      <c r="AD93" s="43">
        <f t="shared" si="47"/>
        <v>0</v>
      </c>
      <c r="AE93" s="43">
        <f t="shared" si="48"/>
        <v>0</v>
      </c>
      <c r="AF93" s="51" t="e">
        <f>HLOOKUP(I93,GasAvoidedCostsWOCC!$A$5:$G$50,G93+1,FALSE)</f>
        <v>#N/A</v>
      </c>
      <c r="AG93" s="43" t="e">
        <f t="shared" si="49"/>
        <v>#N/A</v>
      </c>
      <c r="AH93" s="51" t="e">
        <f>HLOOKUP(I93,GasAvoidedCostsWOCC!$A$5:$Q$50,T93+1,FALSE)</f>
        <v>#N/A</v>
      </c>
      <c r="AI93" s="43" t="e">
        <f t="shared" si="50"/>
        <v>#N/A</v>
      </c>
      <c r="AJ93" s="43" t="e">
        <f t="shared" si="51"/>
        <v>#N/A</v>
      </c>
      <c r="AK93" s="43" t="e">
        <f>HLOOKUP(I93,GasAvoidedCostsWOCC!$A$5:$Q$50,G93+1,FALSE)*J93*L93</f>
        <v>#N/A</v>
      </c>
      <c r="AL93" s="43" t="e">
        <f t="shared" si="5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3"/>
        <v>0</v>
      </c>
      <c r="AO93" s="46">
        <f t="shared" si="54"/>
        <v>0</v>
      </c>
      <c r="AP93" s="46" t="e">
        <f t="shared" si="55"/>
        <v>#DIV/0!</v>
      </c>
    </row>
    <row r="94" spans="2:42" x14ac:dyDescent="0.25">
      <c r="B94" s="88" t="s">
        <v>102</v>
      </c>
      <c r="C94" s="89">
        <v>18230661</v>
      </c>
      <c r="D94" s="60" t="s">
        <v>103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7"/>
        <v>0</v>
      </c>
      <c r="U94" s="46">
        <f t="shared" si="38"/>
        <v>0</v>
      </c>
      <c r="V94" s="47">
        <f t="shared" si="39"/>
        <v>0</v>
      </c>
      <c r="W94" s="48">
        <f t="shared" si="40"/>
        <v>0</v>
      </c>
      <c r="X94" s="43">
        <f t="shared" si="41"/>
        <v>0</v>
      </c>
      <c r="Y94" s="43">
        <f t="shared" si="42"/>
        <v>0</v>
      </c>
      <c r="Z94" s="43">
        <f t="shared" si="43"/>
        <v>0</v>
      </c>
      <c r="AA94" s="49">
        <f t="shared" si="44"/>
        <v>0</v>
      </c>
      <c r="AB94" s="50">
        <f t="shared" si="45"/>
        <v>0</v>
      </c>
      <c r="AC94" s="43">
        <f t="shared" si="46"/>
        <v>0</v>
      </c>
      <c r="AD94" s="43">
        <f t="shared" si="47"/>
        <v>0</v>
      </c>
      <c r="AE94" s="43">
        <f t="shared" si="48"/>
        <v>0</v>
      </c>
      <c r="AF94" s="51" t="e">
        <f>HLOOKUP(I94,GasAvoidedCostsWOCC!$A$5:$G$50,G94+1,FALSE)</f>
        <v>#N/A</v>
      </c>
      <c r="AG94" s="43" t="e">
        <f t="shared" si="49"/>
        <v>#N/A</v>
      </c>
      <c r="AH94" s="51" t="e">
        <f>HLOOKUP(I94,GasAvoidedCostsWOCC!$A$5:$Q$50,T94+1,FALSE)</f>
        <v>#N/A</v>
      </c>
      <c r="AI94" s="43" t="e">
        <f t="shared" si="50"/>
        <v>#N/A</v>
      </c>
      <c r="AJ94" s="43" t="e">
        <f t="shared" si="51"/>
        <v>#N/A</v>
      </c>
      <c r="AK94" s="43" t="e">
        <f>HLOOKUP(I94,GasAvoidedCostsWOCC!$A$5:$Q$50,G94+1,FALSE)*J94*L94</f>
        <v>#N/A</v>
      </c>
      <c r="AL94" s="43" t="e">
        <f t="shared" si="5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3"/>
        <v>0</v>
      </c>
      <c r="AO94" s="46">
        <f t="shared" si="54"/>
        <v>0</v>
      </c>
      <c r="AP94" s="46" t="e">
        <f t="shared" si="55"/>
        <v>#DIV/0!</v>
      </c>
    </row>
    <row r="95" spans="2:42" x14ac:dyDescent="0.25">
      <c r="B95" s="88" t="s">
        <v>102</v>
      </c>
      <c r="C95" s="89">
        <v>18230661</v>
      </c>
      <c r="D95" s="60" t="s">
        <v>103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7"/>
        <v>0</v>
      </c>
      <c r="U95" s="46">
        <f t="shared" si="38"/>
        <v>0</v>
      </c>
      <c r="V95" s="47">
        <f t="shared" si="39"/>
        <v>0</v>
      </c>
      <c r="W95" s="48">
        <f t="shared" si="40"/>
        <v>0</v>
      </c>
      <c r="X95" s="43">
        <f t="shared" si="41"/>
        <v>0</v>
      </c>
      <c r="Y95" s="43">
        <f t="shared" si="42"/>
        <v>0</v>
      </c>
      <c r="Z95" s="43">
        <f t="shared" si="43"/>
        <v>0</v>
      </c>
      <c r="AA95" s="49">
        <f t="shared" si="44"/>
        <v>0</v>
      </c>
      <c r="AB95" s="50">
        <f t="shared" si="45"/>
        <v>0</v>
      </c>
      <c r="AC95" s="43">
        <f t="shared" si="46"/>
        <v>0</v>
      </c>
      <c r="AD95" s="43">
        <f t="shared" si="47"/>
        <v>0</v>
      </c>
      <c r="AE95" s="43">
        <f t="shared" si="48"/>
        <v>0</v>
      </c>
      <c r="AF95" s="51" t="e">
        <f>HLOOKUP(I95,GasAvoidedCostsWOCC!$A$5:$G$50,G95+1,FALSE)</f>
        <v>#N/A</v>
      </c>
      <c r="AG95" s="43" t="e">
        <f t="shared" si="49"/>
        <v>#N/A</v>
      </c>
      <c r="AH95" s="51" t="e">
        <f>HLOOKUP(I95,GasAvoidedCostsWOCC!$A$5:$Q$50,T95+1,FALSE)</f>
        <v>#N/A</v>
      </c>
      <c r="AI95" s="43" t="e">
        <f t="shared" si="50"/>
        <v>#N/A</v>
      </c>
      <c r="AJ95" s="43" t="e">
        <f t="shared" si="51"/>
        <v>#N/A</v>
      </c>
      <c r="AK95" s="43" t="e">
        <f>HLOOKUP(I95,GasAvoidedCostsWOCC!$A$5:$Q$50,G95+1,FALSE)*J95*L95</f>
        <v>#N/A</v>
      </c>
      <c r="AL95" s="43" t="e">
        <f t="shared" si="5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3"/>
        <v>0</v>
      </c>
      <c r="AO95" s="46">
        <f t="shared" si="54"/>
        <v>0</v>
      </c>
      <c r="AP95" s="46" t="e">
        <f t="shared" si="55"/>
        <v>#DIV/0!</v>
      </c>
    </row>
    <row r="96" spans="2:42" x14ac:dyDescent="0.25">
      <c r="B96" s="88" t="s">
        <v>102</v>
      </c>
      <c r="C96" s="89">
        <v>18230661</v>
      </c>
      <c r="D96" s="60" t="s">
        <v>103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7"/>
        <v>0</v>
      </c>
      <c r="U96" s="46">
        <f t="shared" si="38"/>
        <v>0</v>
      </c>
      <c r="V96" s="47">
        <f t="shared" si="39"/>
        <v>0</v>
      </c>
      <c r="W96" s="48">
        <f t="shared" si="40"/>
        <v>0</v>
      </c>
      <c r="X96" s="43">
        <f t="shared" si="41"/>
        <v>0</v>
      </c>
      <c r="Y96" s="43">
        <f t="shared" si="42"/>
        <v>0</v>
      </c>
      <c r="Z96" s="43">
        <f t="shared" si="43"/>
        <v>0</v>
      </c>
      <c r="AA96" s="49">
        <f t="shared" si="44"/>
        <v>0</v>
      </c>
      <c r="AB96" s="50">
        <f t="shared" si="45"/>
        <v>0</v>
      </c>
      <c r="AC96" s="43">
        <f t="shared" si="46"/>
        <v>0</v>
      </c>
      <c r="AD96" s="43">
        <f t="shared" si="47"/>
        <v>0</v>
      </c>
      <c r="AE96" s="43">
        <f t="shared" si="48"/>
        <v>0</v>
      </c>
      <c r="AF96" s="51" t="e">
        <f>HLOOKUP(I96,GasAvoidedCostsWOCC!$A$5:$G$50,G96+1,FALSE)</f>
        <v>#N/A</v>
      </c>
      <c r="AG96" s="43" t="e">
        <f t="shared" si="49"/>
        <v>#N/A</v>
      </c>
      <c r="AH96" s="51" t="e">
        <f>HLOOKUP(I96,GasAvoidedCostsWOCC!$A$5:$Q$50,T96+1,FALSE)</f>
        <v>#N/A</v>
      </c>
      <c r="AI96" s="43" t="e">
        <f t="shared" si="50"/>
        <v>#N/A</v>
      </c>
      <c r="AJ96" s="43" t="e">
        <f t="shared" si="51"/>
        <v>#N/A</v>
      </c>
      <c r="AK96" s="43" t="e">
        <f>HLOOKUP(I96,GasAvoidedCostsWOCC!$A$5:$Q$50,G96+1,FALSE)*J96*L96</f>
        <v>#N/A</v>
      </c>
      <c r="AL96" s="43" t="e">
        <f t="shared" si="5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3"/>
        <v>0</v>
      </c>
      <c r="AO96" s="46">
        <f t="shared" si="54"/>
        <v>0</v>
      </c>
      <c r="AP96" s="46" t="e">
        <f t="shared" si="55"/>
        <v>#DIV/0!</v>
      </c>
    </row>
    <row r="97" spans="1:42" x14ac:dyDescent="0.25">
      <c r="B97" s="88" t="s">
        <v>102</v>
      </c>
      <c r="C97" s="89">
        <v>18230661</v>
      </c>
      <c r="D97" s="60" t="s">
        <v>103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7"/>
        <v>0</v>
      </c>
      <c r="U97" s="46">
        <f t="shared" si="38"/>
        <v>0</v>
      </c>
      <c r="V97" s="47">
        <f t="shared" si="39"/>
        <v>0</v>
      </c>
      <c r="W97" s="48">
        <f t="shared" si="40"/>
        <v>0</v>
      </c>
      <c r="X97" s="43">
        <f t="shared" si="41"/>
        <v>0</v>
      </c>
      <c r="Y97" s="43">
        <f t="shared" si="42"/>
        <v>0</v>
      </c>
      <c r="Z97" s="43">
        <f t="shared" si="43"/>
        <v>0</v>
      </c>
      <c r="AA97" s="49">
        <f t="shared" si="44"/>
        <v>0</v>
      </c>
      <c r="AB97" s="50">
        <f t="shared" si="45"/>
        <v>0</v>
      </c>
      <c r="AC97" s="43">
        <f t="shared" si="46"/>
        <v>0</v>
      </c>
      <c r="AD97" s="43">
        <f t="shared" si="47"/>
        <v>0</v>
      </c>
      <c r="AE97" s="43">
        <f t="shared" si="48"/>
        <v>0</v>
      </c>
      <c r="AF97" s="51" t="e">
        <f>HLOOKUP(I97,GasAvoidedCostsWOCC!$A$5:$G$50,G97+1,FALSE)</f>
        <v>#N/A</v>
      </c>
      <c r="AG97" s="43" t="e">
        <f t="shared" si="49"/>
        <v>#N/A</v>
      </c>
      <c r="AH97" s="51" t="e">
        <f>HLOOKUP(I97,GasAvoidedCostsWOCC!$A$5:$Q$50,T97+1,FALSE)</f>
        <v>#N/A</v>
      </c>
      <c r="AI97" s="43" t="e">
        <f t="shared" si="50"/>
        <v>#N/A</v>
      </c>
      <c r="AJ97" s="43" t="e">
        <f t="shared" si="51"/>
        <v>#N/A</v>
      </c>
      <c r="AK97" s="43" t="e">
        <f>HLOOKUP(I97,GasAvoidedCostsWOCC!$A$5:$Q$50,G97+1,FALSE)*J97*L97</f>
        <v>#N/A</v>
      </c>
      <c r="AL97" s="43" t="e">
        <f t="shared" si="5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3"/>
        <v>0</v>
      </c>
      <c r="AO97" s="46">
        <f t="shared" si="54"/>
        <v>0</v>
      </c>
      <c r="AP97" s="46" t="e">
        <f t="shared" si="55"/>
        <v>#DIV/0!</v>
      </c>
    </row>
    <row r="98" spans="1:42" x14ac:dyDescent="0.25">
      <c r="B98" s="88" t="s">
        <v>102</v>
      </c>
      <c r="C98" s="89">
        <v>18230661</v>
      </c>
      <c r="D98" s="60" t="s">
        <v>103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7"/>
        <v>0</v>
      </c>
      <c r="U98" s="46">
        <f t="shared" si="38"/>
        <v>0</v>
      </c>
      <c r="V98" s="47">
        <f t="shared" si="39"/>
        <v>0</v>
      </c>
      <c r="W98" s="48">
        <f t="shared" si="40"/>
        <v>0</v>
      </c>
      <c r="X98" s="43">
        <f t="shared" si="41"/>
        <v>0</v>
      </c>
      <c r="Y98" s="43">
        <f t="shared" si="42"/>
        <v>0</v>
      </c>
      <c r="Z98" s="43">
        <f t="shared" si="43"/>
        <v>0</v>
      </c>
      <c r="AA98" s="49">
        <f t="shared" si="44"/>
        <v>0</v>
      </c>
      <c r="AB98" s="50">
        <f t="shared" si="45"/>
        <v>0</v>
      </c>
      <c r="AC98" s="43">
        <f t="shared" si="46"/>
        <v>0</v>
      </c>
      <c r="AD98" s="43">
        <f t="shared" si="47"/>
        <v>0</v>
      </c>
      <c r="AE98" s="43">
        <f t="shared" si="48"/>
        <v>0</v>
      </c>
      <c r="AF98" s="51" t="e">
        <f>HLOOKUP(I98,GasAvoidedCostsWOCC!$A$5:$G$50,G98+1,FALSE)</f>
        <v>#N/A</v>
      </c>
      <c r="AG98" s="43" t="e">
        <f t="shared" si="49"/>
        <v>#N/A</v>
      </c>
      <c r="AH98" s="51" t="e">
        <f>HLOOKUP(I98,GasAvoidedCostsWOCC!$A$5:$Q$50,T98+1,FALSE)</f>
        <v>#N/A</v>
      </c>
      <c r="AI98" s="43" t="e">
        <f t="shared" si="50"/>
        <v>#N/A</v>
      </c>
      <c r="AJ98" s="43" t="e">
        <f t="shared" si="51"/>
        <v>#N/A</v>
      </c>
      <c r="AK98" s="43" t="e">
        <f>HLOOKUP(I98,GasAvoidedCostsWOCC!$A$5:$Q$50,G98+1,FALSE)*J98*L98</f>
        <v>#N/A</v>
      </c>
      <c r="AL98" s="43" t="e">
        <f t="shared" si="5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3"/>
        <v>0</v>
      </c>
      <c r="AO98" s="46">
        <f t="shared" si="54"/>
        <v>0</v>
      </c>
      <c r="AP98" s="46" t="e">
        <f t="shared" si="55"/>
        <v>#DIV/0!</v>
      </c>
    </row>
    <row r="99" spans="1:42" x14ac:dyDescent="0.25">
      <c r="B99" s="88" t="s">
        <v>102</v>
      </c>
      <c r="C99" s="89">
        <v>18230661</v>
      </c>
      <c r="D99" s="60" t="s">
        <v>103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7"/>
        <v>0</v>
      </c>
      <c r="U99" s="46">
        <f t="shared" si="38"/>
        <v>0</v>
      </c>
      <c r="V99" s="47">
        <f t="shared" si="39"/>
        <v>0</v>
      </c>
      <c r="W99" s="48">
        <f t="shared" si="40"/>
        <v>0</v>
      </c>
      <c r="X99" s="43">
        <f t="shared" si="41"/>
        <v>0</v>
      </c>
      <c r="Y99" s="43">
        <f t="shared" si="42"/>
        <v>0</v>
      </c>
      <c r="Z99" s="43">
        <f t="shared" si="43"/>
        <v>0</v>
      </c>
      <c r="AA99" s="49">
        <f t="shared" si="44"/>
        <v>0</v>
      </c>
      <c r="AB99" s="50">
        <f t="shared" si="45"/>
        <v>0</v>
      </c>
      <c r="AC99" s="43">
        <f t="shared" si="46"/>
        <v>0</v>
      </c>
      <c r="AD99" s="43">
        <f t="shared" si="47"/>
        <v>0</v>
      </c>
      <c r="AE99" s="43">
        <f t="shared" si="48"/>
        <v>0</v>
      </c>
      <c r="AF99" s="51" t="e">
        <f>HLOOKUP(I99,GasAvoidedCostsWOCC!$A$5:$G$50,G99+1,FALSE)</f>
        <v>#N/A</v>
      </c>
      <c r="AG99" s="43" t="e">
        <f t="shared" si="49"/>
        <v>#N/A</v>
      </c>
      <c r="AH99" s="51" t="e">
        <f>HLOOKUP(I99,GasAvoidedCostsWOCC!$A$5:$Q$50,T99+1,FALSE)</f>
        <v>#N/A</v>
      </c>
      <c r="AI99" s="43" t="e">
        <f t="shared" si="50"/>
        <v>#N/A</v>
      </c>
      <c r="AJ99" s="43" t="e">
        <f t="shared" si="51"/>
        <v>#N/A</v>
      </c>
      <c r="AK99" s="43" t="e">
        <f>HLOOKUP(I99,GasAvoidedCostsWOCC!$A$5:$Q$50,G99+1,FALSE)*J99*L99</f>
        <v>#N/A</v>
      </c>
      <c r="AL99" s="43" t="e">
        <f t="shared" si="5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3"/>
        <v>0</v>
      </c>
      <c r="AO99" s="46">
        <f t="shared" si="54"/>
        <v>0</v>
      </c>
      <c r="AP99" s="46" t="e">
        <f t="shared" si="55"/>
        <v>#DIV/0!</v>
      </c>
    </row>
    <row r="100" spans="1:42" x14ac:dyDescent="0.25">
      <c r="B100" s="88" t="s">
        <v>102</v>
      </c>
      <c r="C100" s="89">
        <v>18230661</v>
      </c>
      <c r="D100" s="60" t="s">
        <v>103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7"/>
        <v>0</v>
      </c>
      <c r="U100" s="46">
        <f t="shared" si="38"/>
        <v>0</v>
      </c>
      <c r="V100" s="47">
        <f t="shared" si="39"/>
        <v>0</v>
      </c>
      <c r="W100" s="48">
        <f t="shared" si="40"/>
        <v>0</v>
      </c>
      <c r="X100" s="43">
        <f t="shared" si="41"/>
        <v>0</v>
      </c>
      <c r="Y100" s="43">
        <f t="shared" si="42"/>
        <v>0</v>
      </c>
      <c r="Z100" s="43">
        <f t="shared" si="43"/>
        <v>0</v>
      </c>
      <c r="AA100" s="49">
        <f t="shared" si="44"/>
        <v>0</v>
      </c>
      <c r="AB100" s="50">
        <f t="shared" si="45"/>
        <v>0</v>
      </c>
      <c r="AC100" s="43">
        <f t="shared" si="46"/>
        <v>0</v>
      </c>
      <c r="AD100" s="43">
        <f t="shared" si="47"/>
        <v>0</v>
      </c>
      <c r="AE100" s="43">
        <f t="shared" si="48"/>
        <v>0</v>
      </c>
      <c r="AF100" s="51" t="e">
        <f>HLOOKUP(I100,GasAvoidedCostsWOCC!$A$5:$G$50,G100+1,FALSE)</f>
        <v>#N/A</v>
      </c>
      <c r="AG100" s="43" t="e">
        <f t="shared" si="49"/>
        <v>#N/A</v>
      </c>
      <c r="AH100" s="51" t="e">
        <f>HLOOKUP(I100,GasAvoidedCostsWOCC!$A$5:$Q$50,T100+1,FALSE)</f>
        <v>#N/A</v>
      </c>
      <c r="AI100" s="43" t="e">
        <f t="shared" si="50"/>
        <v>#N/A</v>
      </c>
      <c r="AJ100" s="43" t="e">
        <f t="shared" si="51"/>
        <v>#N/A</v>
      </c>
      <c r="AK100" s="43" t="e">
        <f>HLOOKUP(I100,GasAvoidedCostsWOCC!$A$5:$Q$50,G100+1,FALSE)*J100*L100</f>
        <v>#N/A</v>
      </c>
      <c r="AL100" s="43" t="e">
        <f t="shared" si="5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3"/>
        <v>0</v>
      </c>
      <c r="AO100" s="46">
        <f t="shared" si="54"/>
        <v>0</v>
      </c>
      <c r="AP100" s="46" t="e">
        <f t="shared" si="55"/>
        <v>#DIV/0!</v>
      </c>
    </row>
    <row r="101" spans="1:42" x14ac:dyDescent="0.25">
      <c r="B101" s="88" t="s">
        <v>102</v>
      </c>
      <c r="C101" s="89">
        <v>18230661</v>
      </c>
      <c r="D101" s="60" t="s">
        <v>103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7"/>
        <v>0</v>
      </c>
      <c r="U101" s="46">
        <f t="shared" si="38"/>
        <v>0</v>
      </c>
      <c r="V101" s="47">
        <f t="shared" si="39"/>
        <v>0</v>
      </c>
      <c r="W101" s="48">
        <f t="shared" si="40"/>
        <v>0</v>
      </c>
      <c r="X101" s="43">
        <f t="shared" si="41"/>
        <v>0</v>
      </c>
      <c r="Y101" s="43">
        <f t="shared" si="42"/>
        <v>0</v>
      </c>
      <c r="Z101" s="43">
        <f t="shared" si="43"/>
        <v>0</v>
      </c>
      <c r="AA101" s="49">
        <f t="shared" si="44"/>
        <v>0</v>
      </c>
      <c r="AB101" s="50">
        <f t="shared" si="45"/>
        <v>0</v>
      </c>
      <c r="AC101" s="43">
        <f t="shared" si="46"/>
        <v>0</v>
      </c>
      <c r="AD101" s="43">
        <f t="shared" si="47"/>
        <v>0</v>
      </c>
      <c r="AE101" s="43">
        <f t="shared" si="48"/>
        <v>0</v>
      </c>
      <c r="AF101" s="51" t="e">
        <f>HLOOKUP(I101,GasAvoidedCostsWOCC!$A$5:$G$50,G101+1,FALSE)</f>
        <v>#N/A</v>
      </c>
      <c r="AG101" s="43" t="e">
        <f t="shared" si="49"/>
        <v>#N/A</v>
      </c>
      <c r="AH101" s="51" t="e">
        <f>HLOOKUP(I101,GasAvoidedCostsWOCC!$A$5:$Q$50,T101+1,FALSE)</f>
        <v>#N/A</v>
      </c>
      <c r="AI101" s="43" t="e">
        <f t="shared" si="50"/>
        <v>#N/A</v>
      </c>
      <c r="AJ101" s="43" t="e">
        <f t="shared" si="51"/>
        <v>#N/A</v>
      </c>
      <c r="AK101" s="43" t="e">
        <f>HLOOKUP(I101,GasAvoidedCostsWOCC!$A$5:$Q$50,G101+1,FALSE)*J101*L101</f>
        <v>#N/A</v>
      </c>
      <c r="AL101" s="43" t="e">
        <f t="shared" si="5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3"/>
        <v>0</v>
      </c>
      <c r="AO101" s="46">
        <f t="shared" si="54"/>
        <v>0</v>
      </c>
      <c r="AP101" s="46" t="e">
        <f t="shared" si="55"/>
        <v>#DIV/0!</v>
      </c>
    </row>
    <row r="102" spans="1:42" x14ac:dyDescent="0.25">
      <c r="B102" s="88" t="s">
        <v>102</v>
      </c>
      <c r="C102" s="89">
        <v>18230661</v>
      </c>
      <c r="D102" s="60" t="s">
        <v>103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7"/>
        <v>0</v>
      </c>
      <c r="U102" s="46">
        <f t="shared" si="38"/>
        <v>0</v>
      </c>
      <c r="V102" s="47">
        <f t="shared" si="39"/>
        <v>0</v>
      </c>
      <c r="W102" s="48">
        <f t="shared" si="40"/>
        <v>0</v>
      </c>
      <c r="X102" s="43">
        <f t="shared" si="41"/>
        <v>0</v>
      </c>
      <c r="Y102" s="43">
        <f t="shared" si="42"/>
        <v>0</v>
      </c>
      <c r="Z102" s="43">
        <f t="shared" si="43"/>
        <v>0</v>
      </c>
      <c r="AA102" s="49">
        <f t="shared" si="44"/>
        <v>0</v>
      </c>
      <c r="AB102" s="50">
        <f t="shared" si="45"/>
        <v>0</v>
      </c>
      <c r="AC102" s="43">
        <f t="shared" si="46"/>
        <v>0</v>
      </c>
      <c r="AD102" s="43">
        <f t="shared" si="47"/>
        <v>0</v>
      </c>
      <c r="AE102" s="43">
        <f t="shared" si="48"/>
        <v>0</v>
      </c>
      <c r="AF102" s="51" t="e">
        <f>HLOOKUP(I102,GasAvoidedCostsWOCC!$A$5:$G$50,G102+1,FALSE)</f>
        <v>#N/A</v>
      </c>
      <c r="AG102" s="43" t="e">
        <f t="shared" si="49"/>
        <v>#N/A</v>
      </c>
      <c r="AH102" s="51" t="e">
        <f>HLOOKUP(I102,GasAvoidedCostsWOCC!$A$5:$Q$50,T102+1,FALSE)</f>
        <v>#N/A</v>
      </c>
      <c r="AI102" s="43" t="e">
        <f t="shared" si="50"/>
        <v>#N/A</v>
      </c>
      <c r="AJ102" s="43" t="e">
        <f t="shared" si="51"/>
        <v>#N/A</v>
      </c>
      <c r="AK102" s="43" t="e">
        <f>HLOOKUP(I102,GasAvoidedCostsWOCC!$A$5:$Q$50,G102+1,FALSE)*J102*L102</f>
        <v>#N/A</v>
      </c>
      <c r="AL102" s="43" t="e">
        <f t="shared" si="5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3"/>
        <v>0</v>
      </c>
      <c r="AO102" s="46">
        <f t="shared" si="54"/>
        <v>0</v>
      </c>
      <c r="AP102" s="46" t="e">
        <f t="shared" si="55"/>
        <v>#DIV/0!</v>
      </c>
    </row>
    <row r="103" spans="1:42" x14ac:dyDescent="0.25">
      <c r="B103" s="88" t="s">
        <v>102</v>
      </c>
      <c r="C103" s="89">
        <v>18230661</v>
      </c>
      <c r="D103" s="60" t="s">
        <v>103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7"/>
        <v>0</v>
      </c>
      <c r="U103" s="46">
        <f t="shared" si="38"/>
        <v>0</v>
      </c>
      <c r="V103" s="47">
        <f t="shared" si="39"/>
        <v>0</v>
      </c>
      <c r="W103" s="48">
        <f t="shared" si="40"/>
        <v>0</v>
      </c>
      <c r="X103" s="43">
        <f t="shared" si="41"/>
        <v>0</v>
      </c>
      <c r="Y103" s="43">
        <f t="shared" si="42"/>
        <v>0</v>
      </c>
      <c r="Z103" s="43">
        <f t="shared" si="43"/>
        <v>0</v>
      </c>
      <c r="AA103" s="49">
        <f t="shared" si="44"/>
        <v>0</v>
      </c>
      <c r="AB103" s="50">
        <f t="shared" si="45"/>
        <v>0</v>
      </c>
      <c r="AC103" s="43">
        <f t="shared" si="46"/>
        <v>0</v>
      </c>
      <c r="AD103" s="43">
        <f t="shared" si="47"/>
        <v>0</v>
      </c>
      <c r="AE103" s="43">
        <f t="shared" si="48"/>
        <v>0</v>
      </c>
      <c r="AF103" s="51" t="e">
        <f>HLOOKUP(I103,GasAvoidedCostsWOCC!$A$5:$G$50,G103+1,FALSE)</f>
        <v>#N/A</v>
      </c>
      <c r="AG103" s="43" t="e">
        <f t="shared" si="49"/>
        <v>#N/A</v>
      </c>
      <c r="AH103" s="51" t="e">
        <f>HLOOKUP(I103,GasAvoidedCostsWOCC!$A$5:$Q$50,T103+1,FALSE)</f>
        <v>#N/A</v>
      </c>
      <c r="AI103" s="43" t="e">
        <f t="shared" si="50"/>
        <v>#N/A</v>
      </c>
      <c r="AJ103" s="43" t="e">
        <f t="shared" si="51"/>
        <v>#N/A</v>
      </c>
      <c r="AK103" s="43" t="e">
        <f>HLOOKUP(I103,GasAvoidedCostsWOCC!$A$5:$Q$50,G103+1,FALSE)*J103*L103</f>
        <v>#N/A</v>
      </c>
      <c r="AL103" s="43" t="e">
        <f t="shared" si="5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3"/>
        <v>0</v>
      </c>
      <c r="AO103" s="46">
        <f t="shared" si="54"/>
        <v>0</v>
      </c>
      <c r="AP103" s="46" t="e">
        <f t="shared" si="55"/>
        <v>#DIV/0!</v>
      </c>
    </row>
    <row r="104" spans="1:42" x14ac:dyDescent="0.25">
      <c r="B104" s="88" t="s">
        <v>102</v>
      </c>
      <c r="C104" s="89">
        <v>18230661</v>
      </c>
      <c r="D104" s="60" t="s">
        <v>103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7"/>
        <v>0</v>
      </c>
      <c r="U104" s="46">
        <f t="shared" si="38"/>
        <v>0</v>
      </c>
      <c r="V104" s="47">
        <f t="shared" si="39"/>
        <v>0</v>
      </c>
      <c r="W104" s="48">
        <f t="shared" si="40"/>
        <v>0</v>
      </c>
      <c r="X104" s="43">
        <f t="shared" si="41"/>
        <v>0</v>
      </c>
      <c r="Y104" s="43">
        <f t="shared" si="42"/>
        <v>0</v>
      </c>
      <c r="Z104" s="43">
        <f t="shared" si="43"/>
        <v>0</v>
      </c>
      <c r="AA104" s="49">
        <f t="shared" si="44"/>
        <v>0</v>
      </c>
      <c r="AB104" s="50">
        <f t="shared" si="45"/>
        <v>0</v>
      </c>
      <c r="AC104" s="43">
        <f t="shared" si="46"/>
        <v>0</v>
      </c>
      <c r="AD104" s="43">
        <f t="shared" si="47"/>
        <v>0</v>
      </c>
      <c r="AE104" s="43">
        <f t="shared" si="48"/>
        <v>0</v>
      </c>
      <c r="AF104" s="51" t="e">
        <f>HLOOKUP(I104,GasAvoidedCostsWOCC!$A$5:$G$50,G104+1,FALSE)</f>
        <v>#N/A</v>
      </c>
      <c r="AG104" s="43" t="e">
        <f t="shared" si="49"/>
        <v>#N/A</v>
      </c>
      <c r="AH104" s="51" t="e">
        <f>HLOOKUP(I104,GasAvoidedCostsWOCC!$A$5:$Q$50,T104+1,FALSE)</f>
        <v>#N/A</v>
      </c>
      <c r="AI104" s="43" t="e">
        <f t="shared" si="50"/>
        <v>#N/A</v>
      </c>
      <c r="AJ104" s="43" t="e">
        <f t="shared" si="51"/>
        <v>#N/A</v>
      </c>
      <c r="AK104" s="43" t="e">
        <f>HLOOKUP(I104,GasAvoidedCostsWOCC!$A$5:$Q$50,G104+1,FALSE)*J104*L104</f>
        <v>#N/A</v>
      </c>
      <c r="AL104" s="43" t="e">
        <f t="shared" si="5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3"/>
        <v>0</v>
      </c>
      <c r="AO104" s="46">
        <f t="shared" si="54"/>
        <v>0</v>
      </c>
      <c r="AP104" s="46" t="e">
        <f t="shared" si="55"/>
        <v>#DIV/0!</v>
      </c>
    </row>
    <row r="105" spans="1:42" x14ac:dyDescent="0.25">
      <c r="B105" s="88" t="s">
        <v>102</v>
      </c>
      <c r="C105" s="89">
        <v>18230661</v>
      </c>
      <c r="D105" s="60" t="s">
        <v>103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7"/>
        <v>0</v>
      </c>
      <c r="U105" s="46">
        <f t="shared" si="38"/>
        <v>0</v>
      </c>
      <c r="V105" s="47">
        <f t="shared" si="39"/>
        <v>0</v>
      </c>
      <c r="W105" s="48">
        <f t="shared" si="40"/>
        <v>0</v>
      </c>
      <c r="X105" s="43">
        <f t="shared" si="41"/>
        <v>0</v>
      </c>
      <c r="Y105" s="43">
        <f t="shared" si="42"/>
        <v>0</v>
      </c>
      <c r="Z105" s="43">
        <f t="shared" si="43"/>
        <v>0</v>
      </c>
      <c r="AA105" s="49">
        <f t="shared" si="44"/>
        <v>0</v>
      </c>
      <c r="AB105" s="50">
        <f t="shared" si="45"/>
        <v>0</v>
      </c>
      <c r="AC105" s="43">
        <f t="shared" si="46"/>
        <v>0</v>
      </c>
      <c r="AD105" s="43">
        <f t="shared" si="47"/>
        <v>0</v>
      </c>
      <c r="AE105" s="43">
        <f t="shared" si="48"/>
        <v>0</v>
      </c>
      <c r="AF105" s="51" t="e">
        <f>HLOOKUP(I105,GasAvoidedCostsWOCC!$A$5:$G$50,G105+1,FALSE)</f>
        <v>#N/A</v>
      </c>
      <c r="AG105" s="43" t="e">
        <f t="shared" si="49"/>
        <v>#N/A</v>
      </c>
      <c r="AH105" s="51" t="e">
        <f>HLOOKUP(I105,GasAvoidedCostsWOCC!$A$5:$Q$50,T105+1,FALSE)</f>
        <v>#N/A</v>
      </c>
      <c r="AI105" s="43" t="e">
        <f t="shared" si="50"/>
        <v>#N/A</v>
      </c>
      <c r="AJ105" s="43" t="e">
        <f t="shared" si="51"/>
        <v>#N/A</v>
      </c>
      <c r="AK105" s="43" t="e">
        <f>HLOOKUP(I105,GasAvoidedCostsWOCC!$A$5:$Q$50,G105+1,FALSE)*J105*L105</f>
        <v>#N/A</v>
      </c>
      <c r="AL105" s="43" t="e">
        <f t="shared" si="5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3"/>
        <v>0</v>
      </c>
      <c r="AO105" s="46">
        <f t="shared" si="54"/>
        <v>0</v>
      </c>
      <c r="AP105" s="46" t="e">
        <f t="shared" si="55"/>
        <v>#DIV/0!</v>
      </c>
    </row>
    <row r="106" spans="1:42" x14ac:dyDescent="0.25">
      <c r="B106" s="88" t="s">
        <v>102</v>
      </c>
      <c r="C106" s="89">
        <v>18230661</v>
      </c>
      <c r="D106" s="60" t="s">
        <v>103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7"/>
        <v>0</v>
      </c>
      <c r="U106" s="46">
        <f t="shared" si="38"/>
        <v>0</v>
      </c>
      <c r="V106" s="47">
        <f t="shared" si="39"/>
        <v>0</v>
      </c>
      <c r="W106" s="48">
        <f t="shared" si="40"/>
        <v>0</v>
      </c>
      <c r="X106" s="43">
        <f t="shared" si="41"/>
        <v>0</v>
      </c>
      <c r="Y106" s="43">
        <f t="shared" si="42"/>
        <v>0</v>
      </c>
      <c r="Z106" s="43">
        <f t="shared" si="43"/>
        <v>0</v>
      </c>
      <c r="AA106" s="49">
        <f t="shared" si="44"/>
        <v>0</v>
      </c>
      <c r="AB106" s="50">
        <f t="shared" si="45"/>
        <v>0</v>
      </c>
      <c r="AC106" s="43">
        <f t="shared" si="46"/>
        <v>0</v>
      </c>
      <c r="AD106" s="43">
        <f t="shared" si="47"/>
        <v>0</v>
      </c>
      <c r="AE106" s="43">
        <f t="shared" si="48"/>
        <v>0</v>
      </c>
      <c r="AF106" s="51" t="e">
        <f>HLOOKUP(I106,GasAvoidedCostsWOCC!$A$5:$G$50,G106+1,FALSE)</f>
        <v>#N/A</v>
      </c>
      <c r="AG106" s="43" t="e">
        <f t="shared" si="49"/>
        <v>#N/A</v>
      </c>
      <c r="AH106" s="51" t="e">
        <f>HLOOKUP(I106,GasAvoidedCostsWOCC!$A$5:$Q$50,T106+1,FALSE)</f>
        <v>#N/A</v>
      </c>
      <c r="AI106" s="43" t="e">
        <f t="shared" si="50"/>
        <v>#N/A</v>
      </c>
      <c r="AJ106" s="43" t="e">
        <f t="shared" si="51"/>
        <v>#N/A</v>
      </c>
      <c r="AK106" s="43" t="e">
        <f>HLOOKUP(I106,GasAvoidedCostsWOCC!$A$5:$Q$50,G106+1,FALSE)*J106*L106</f>
        <v>#N/A</v>
      </c>
      <c r="AL106" s="43" t="e">
        <f t="shared" si="5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3"/>
        <v>0</v>
      </c>
      <c r="AO106" s="46">
        <f t="shared" si="54"/>
        <v>0</v>
      </c>
      <c r="AP106" s="46" t="e">
        <f t="shared" si="55"/>
        <v>#DIV/0!</v>
      </c>
    </row>
    <row r="107" spans="1:42" x14ac:dyDescent="0.25">
      <c r="B107" s="88" t="s">
        <v>102</v>
      </c>
      <c r="C107" s="89">
        <v>18230661</v>
      </c>
      <c r="D107" s="60" t="s">
        <v>103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7"/>
        <v>0</v>
      </c>
      <c r="U107" s="46">
        <f t="shared" si="38"/>
        <v>0</v>
      </c>
      <c r="V107" s="47">
        <f t="shared" si="39"/>
        <v>0</v>
      </c>
      <c r="W107" s="48">
        <f t="shared" si="40"/>
        <v>0</v>
      </c>
      <c r="X107" s="43">
        <f t="shared" si="41"/>
        <v>0</v>
      </c>
      <c r="Y107" s="43">
        <f t="shared" si="42"/>
        <v>0</v>
      </c>
      <c r="Z107" s="43">
        <f t="shared" si="43"/>
        <v>0</v>
      </c>
      <c r="AA107" s="49">
        <f t="shared" si="44"/>
        <v>0</v>
      </c>
      <c r="AB107" s="50">
        <f t="shared" si="45"/>
        <v>0</v>
      </c>
      <c r="AC107" s="43">
        <f t="shared" si="46"/>
        <v>0</v>
      </c>
      <c r="AD107" s="43">
        <f t="shared" si="47"/>
        <v>0</v>
      </c>
      <c r="AE107" s="43">
        <f t="shared" si="48"/>
        <v>0</v>
      </c>
      <c r="AF107" s="51" t="e">
        <f>HLOOKUP(I107,GasAvoidedCostsWOCC!$A$5:$G$50,G107+1,FALSE)</f>
        <v>#N/A</v>
      </c>
      <c r="AG107" s="43" t="e">
        <f t="shared" si="49"/>
        <v>#N/A</v>
      </c>
      <c r="AH107" s="51" t="e">
        <f>HLOOKUP(I107,GasAvoidedCostsWOCC!$A$5:$Q$50,T107+1,FALSE)</f>
        <v>#N/A</v>
      </c>
      <c r="AI107" s="43" t="e">
        <f t="shared" si="50"/>
        <v>#N/A</v>
      </c>
      <c r="AJ107" s="43" t="e">
        <f t="shared" si="51"/>
        <v>#N/A</v>
      </c>
      <c r="AK107" s="43" t="e">
        <f>HLOOKUP(I107,GasAvoidedCostsWOCC!$A$5:$Q$50,G107+1,FALSE)*J107*L107</f>
        <v>#N/A</v>
      </c>
      <c r="AL107" s="43" t="e">
        <f t="shared" si="5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3"/>
        <v>0</v>
      </c>
      <c r="AO107" s="46">
        <f t="shared" si="54"/>
        <v>0</v>
      </c>
      <c r="AP107" s="46" t="e">
        <f t="shared" si="55"/>
        <v>#DIV/0!</v>
      </c>
    </row>
    <row r="108" spans="1:42" x14ac:dyDescent="0.25">
      <c r="B108" s="88" t="s">
        <v>102</v>
      </c>
      <c r="C108" s="89">
        <v>18230661</v>
      </c>
      <c r="D108" s="60" t="s">
        <v>103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7"/>
        <v>0</v>
      </c>
      <c r="U108" s="46">
        <f t="shared" si="38"/>
        <v>0</v>
      </c>
      <c r="V108" s="47">
        <f t="shared" si="39"/>
        <v>0</v>
      </c>
      <c r="W108" s="48">
        <f t="shared" si="40"/>
        <v>0</v>
      </c>
      <c r="X108" s="43">
        <f t="shared" si="41"/>
        <v>0</v>
      </c>
      <c r="Y108" s="43">
        <f t="shared" si="42"/>
        <v>0</v>
      </c>
      <c r="Z108" s="43">
        <f t="shared" si="43"/>
        <v>0</v>
      </c>
      <c r="AA108" s="49">
        <f t="shared" si="44"/>
        <v>0</v>
      </c>
      <c r="AB108" s="50">
        <f t="shared" si="45"/>
        <v>0</v>
      </c>
      <c r="AC108" s="43">
        <f t="shared" si="46"/>
        <v>0</v>
      </c>
      <c r="AD108" s="43">
        <f t="shared" si="47"/>
        <v>0</v>
      </c>
      <c r="AE108" s="43">
        <f t="shared" si="48"/>
        <v>0</v>
      </c>
      <c r="AF108" s="51" t="e">
        <f>HLOOKUP(I108,GasAvoidedCostsWOCC!$A$5:$G$50,G108+1,FALSE)</f>
        <v>#N/A</v>
      </c>
      <c r="AG108" s="43" t="e">
        <f t="shared" si="49"/>
        <v>#N/A</v>
      </c>
      <c r="AH108" s="51" t="e">
        <f>HLOOKUP(I108,GasAvoidedCostsWOCC!$A$5:$Q$50,T108+1,FALSE)</f>
        <v>#N/A</v>
      </c>
      <c r="AI108" s="43" t="e">
        <f t="shared" si="50"/>
        <v>#N/A</v>
      </c>
      <c r="AJ108" s="43" t="e">
        <f t="shared" si="51"/>
        <v>#N/A</v>
      </c>
      <c r="AK108" s="43" t="e">
        <f>HLOOKUP(I108,GasAvoidedCostsWOCC!$A$5:$Q$50,G108+1,FALSE)*J108*L108</f>
        <v>#N/A</v>
      </c>
      <c r="AL108" s="43" t="e">
        <f t="shared" si="5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3"/>
        <v>0</v>
      </c>
      <c r="AO108" s="46">
        <f t="shared" si="54"/>
        <v>0</v>
      </c>
      <c r="AP108" s="46" t="e">
        <f t="shared" si="55"/>
        <v>#DIV/0!</v>
      </c>
    </row>
    <row r="109" spans="1:42" x14ac:dyDescent="0.25">
      <c r="B109" s="88" t="s">
        <v>102</v>
      </c>
      <c r="C109" s="89">
        <v>18230661</v>
      </c>
      <c r="D109" s="60" t="s">
        <v>103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7"/>
        <v>0</v>
      </c>
      <c r="U109" s="46">
        <f t="shared" si="38"/>
        <v>0</v>
      </c>
      <c r="V109" s="47">
        <f t="shared" si="39"/>
        <v>0</v>
      </c>
      <c r="W109" s="48">
        <f t="shared" si="40"/>
        <v>0</v>
      </c>
      <c r="X109" s="43">
        <f t="shared" si="41"/>
        <v>0</v>
      </c>
      <c r="Y109" s="43">
        <f t="shared" si="42"/>
        <v>0</v>
      </c>
      <c r="Z109" s="43">
        <f t="shared" si="43"/>
        <v>0</v>
      </c>
      <c r="AA109" s="49">
        <f t="shared" si="44"/>
        <v>0</v>
      </c>
      <c r="AB109" s="50">
        <f t="shared" si="45"/>
        <v>0</v>
      </c>
      <c r="AC109" s="43">
        <f t="shared" si="46"/>
        <v>0</v>
      </c>
      <c r="AD109" s="43">
        <f t="shared" si="47"/>
        <v>0</v>
      </c>
      <c r="AE109" s="43">
        <f t="shared" si="48"/>
        <v>0</v>
      </c>
      <c r="AF109" s="51" t="e">
        <f>HLOOKUP(I109,GasAvoidedCostsWOCC!$A$5:$G$50,G109+1,FALSE)</f>
        <v>#N/A</v>
      </c>
      <c r="AG109" s="43" t="e">
        <f t="shared" si="49"/>
        <v>#N/A</v>
      </c>
      <c r="AH109" s="51" t="e">
        <f>HLOOKUP(I109,GasAvoidedCostsWOCC!$A$5:$Q$50,T109+1,FALSE)</f>
        <v>#N/A</v>
      </c>
      <c r="AI109" s="43" t="e">
        <f t="shared" si="50"/>
        <v>#N/A</v>
      </c>
      <c r="AJ109" s="43" t="e">
        <f t="shared" si="51"/>
        <v>#N/A</v>
      </c>
      <c r="AK109" s="43" t="e">
        <f>HLOOKUP(I109,GasAvoidedCostsWOCC!$A$5:$Q$50,G109+1,FALSE)*J109*L109</f>
        <v>#N/A</v>
      </c>
      <c r="AL109" s="43" t="e">
        <f t="shared" si="5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3"/>
        <v>0</v>
      </c>
      <c r="AO109" s="46">
        <f t="shared" si="54"/>
        <v>0</v>
      </c>
      <c r="AP109" s="46" t="e">
        <f t="shared" si="55"/>
        <v>#DIV/0!</v>
      </c>
    </row>
    <row r="110" spans="1:42" x14ac:dyDescent="0.25">
      <c r="A110" s="387"/>
      <c r="B110" s="88" t="s">
        <v>102</v>
      </c>
      <c r="C110" s="89">
        <v>18230661</v>
      </c>
      <c r="D110" s="60" t="s">
        <v>103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7"/>
        <v>0</v>
      </c>
      <c r="U110" s="46">
        <f t="shared" si="38"/>
        <v>0</v>
      </c>
      <c r="V110" s="47">
        <f t="shared" si="39"/>
        <v>0</v>
      </c>
      <c r="W110" s="48">
        <f t="shared" si="40"/>
        <v>0</v>
      </c>
      <c r="X110" s="43">
        <f t="shared" si="41"/>
        <v>0</v>
      </c>
      <c r="Y110" s="43">
        <f t="shared" si="42"/>
        <v>0</v>
      </c>
      <c r="Z110" s="43">
        <f t="shared" si="43"/>
        <v>0</v>
      </c>
      <c r="AA110" s="49">
        <f t="shared" si="44"/>
        <v>0</v>
      </c>
      <c r="AB110" s="50">
        <f t="shared" si="45"/>
        <v>0</v>
      </c>
      <c r="AC110" s="43">
        <f t="shared" si="46"/>
        <v>0</v>
      </c>
      <c r="AD110" s="43">
        <f t="shared" si="47"/>
        <v>0</v>
      </c>
      <c r="AE110" s="43">
        <f t="shared" si="48"/>
        <v>0</v>
      </c>
      <c r="AF110" s="51" t="e">
        <f>HLOOKUP(I110,GasAvoidedCostsWOCC!$A$5:$G$50,G110+1,FALSE)</f>
        <v>#N/A</v>
      </c>
      <c r="AG110" s="43" t="e">
        <f t="shared" si="49"/>
        <v>#N/A</v>
      </c>
      <c r="AH110" s="51" t="e">
        <f>HLOOKUP(I110,GasAvoidedCostsWOCC!$A$5:$Q$50,T110+1,FALSE)</f>
        <v>#N/A</v>
      </c>
      <c r="AI110" s="43" t="e">
        <f t="shared" si="50"/>
        <v>#N/A</v>
      </c>
      <c r="AJ110" s="43" t="e">
        <f t="shared" si="51"/>
        <v>#N/A</v>
      </c>
      <c r="AK110" s="43" t="e">
        <f>HLOOKUP(I110,GasAvoidedCostsWOCC!$A$5:$Q$50,G110+1,FALSE)*J110*L110</f>
        <v>#N/A</v>
      </c>
      <c r="AL110" s="43" t="e">
        <f t="shared" si="5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3"/>
        <v>0</v>
      </c>
      <c r="AO110" s="46">
        <f t="shared" si="54"/>
        <v>0</v>
      </c>
      <c r="AP110" s="46" t="e">
        <f t="shared" si="55"/>
        <v>#DIV/0!</v>
      </c>
    </row>
    <row r="111" spans="1:42" x14ac:dyDescent="0.25">
      <c r="B111" s="88" t="s">
        <v>102</v>
      </c>
      <c r="C111" s="89">
        <v>18230661</v>
      </c>
      <c r="D111" s="60" t="s">
        <v>103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7"/>
        <v>0</v>
      </c>
      <c r="U111" s="46">
        <f t="shared" si="38"/>
        <v>0</v>
      </c>
      <c r="V111" s="47">
        <f t="shared" si="39"/>
        <v>0</v>
      </c>
      <c r="W111" s="48">
        <f t="shared" si="40"/>
        <v>0</v>
      </c>
      <c r="X111" s="43">
        <f t="shared" si="41"/>
        <v>0</v>
      </c>
      <c r="Y111" s="43">
        <f t="shared" si="42"/>
        <v>0</v>
      </c>
      <c r="Z111" s="43">
        <f t="shared" si="43"/>
        <v>0</v>
      </c>
      <c r="AA111" s="49">
        <f t="shared" si="44"/>
        <v>0</v>
      </c>
      <c r="AB111" s="50">
        <f t="shared" si="45"/>
        <v>0</v>
      </c>
      <c r="AC111" s="43">
        <f t="shared" si="46"/>
        <v>0</v>
      </c>
      <c r="AD111" s="43">
        <f t="shared" si="47"/>
        <v>0</v>
      </c>
      <c r="AE111" s="43">
        <f t="shared" si="48"/>
        <v>0</v>
      </c>
      <c r="AF111" s="51" t="e">
        <f>HLOOKUP(I111,GasAvoidedCostsWOCC!$A$5:$G$50,G111+1,FALSE)</f>
        <v>#N/A</v>
      </c>
      <c r="AG111" s="43" t="e">
        <f t="shared" si="49"/>
        <v>#N/A</v>
      </c>
      <c r="AH111" s="51" t="e">
        <f>HLOOKUP(I111,GasAvoidedCostsWOCC!$A$5:$Q$50,T111+1,FALSE)</f>
        <v>#N/A</v>
      </c>
      <c r="AI111" s="43" t="e">
        <f t="shared" si="50"/>
        <v>#N/A</v>
      </c>
      <c r="AJ111" s="43" t="e">
        <f t="shared" si="51"/>
        <v>#N/A</v>
      </c>
      <c r="AK111" s="43" t="e">
        <f>HLOOKUP(I111,GasAvoidedCostsWOCC!$A$5:$Q$50,G111+1,FALSE)*J111*L111</f>
        <v>#N/A</v>
      </c>
      <c r="AL111" s="43" t="e">
        <f t="shared" si="5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3"/>
        <v>0</v>
      </c>
      <c r="AO111" s="46">
        <f t="shared" si="54"/>
        <v>0</v>
      </c>
      <c r="AP111" s="46" t="e">
        <f t="shared" si="55"/>
        <v>#DIV/0!</v>
      </c>
    </row>
    <row r="112" spans="1:42" x14ac:dyDescent="0.25">
      <c r="B112" s="88" t="s">
        <v>102</v>
      </c>
      <c r="C112" s="89">
        <v>18230661</v>
      </c>
      <c r="D112" s="60" t="s">
        <v>103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7"/>
        <v>0</v>
      </c>
      <c r="U112" s="46">
        <f t="shared" si="38"/>
        <v>0</v>
      </c>
      <c r="V112" s="47">
        <f t="shared" si="39"/>
        <v>0</v>
      </c>
      <c r="W112" s="48">
        <f t="shared" si="40"/>
        <v>0</v>
      </c>
      <c r="X112" s="43">
        <f t="shared" si="41"/>
        <v>0</v>
      </c>
      <c r="Y112" s="43">
        <f t="shared" si="42"/>
        <v>0</v>
      </c>
      <c r="Z112" s="43">
        <f t="shared" si="43"/>
        <v>0</v>
      </c>
      <c r="AA112" s="49">
        <f t="shared" si="44"/>
        <v>0</v>
      </c>
      <c r="AB112" s="50">
        <f t="shared" si="45"/>
        <v>0</v>
      </c>
      <c r="AC112" s="43">
        <f t="shared" si="46"/>
        <v>0</v>
      </c>
      <c r="AD112" s="43">
        <f t="shared" si="47"/>
        <v>0</v>
      </c>
      <c r="AE112" s="43">
        <f t="shared" si="48"/>
        <v>0</v>
      </c>
      <c r="AF112" s="51" t="e">
        <f>HLOOKUP(I112,GasAvoidedCostsWOCC!$A$5:$G$50,G112+1,FALSE)</f>
        <v>#N/A</v>
      </c>
      <c r="AG112" s="43" t="e">
        <f t="shared" si="49"/>
        <v>#N/A</v>
      </c>
      <c r="AH112" s="51" t="e">
        <f>HLOOKUP(I112,GasAvoidedCostsWOCC!$A$5:$Q$50,T112+1,FALSE)</f>
        <v>#N/A</v>
      </c>
      <c r="AI112" s="43" t="e">
        <f t="shared" si="50"/>
        <v>#N/A</v>
      </c>
      <c r="AJ112" s="43" t="e">
        <f t="shared" si="51"/>
        <v>#N/A</v>
      </c>
      <c r="AK112" s="43" t="e">
        <f>HLOOKUP(I112,GasAvoidedCostsWOCC!$A$5:$Q$50,G112+1,FALSE)*J112*L112</f>
        <v>#N/A</v>
      </c>
      <c r="AL112" s="43" t="e">
        <f t="shared" si="5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3"/>
        <v>0</v>
      </c>
      <c r="AO112" s="46">
        <f t="shared" si="54"/>
        <v>0</v>
      </c>
      <c r="AP112" s="46" t="e">
        <f t="shared" si="55"/>
        <v>#DIV/0!</v>
      </c>
    </row>
    <row r="113" spans="2:42" x14ac:dyDescent="0.25">
      <c r="B113" s="36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7"/>
        <v>0</v>
      </c>
      <c r="U113" s="46">
        <f t="shared" si="38"/>
        <v>0</v>
      </c>
      <c r="V113" s="47">
        <f t="shared" si="39"/>
        <v>0</v>
      </c>
      <c r="W113" s="48">
        <f t="shared" si="40"/>
        <v>0</v>
      </c>
      <c r="X113" s="43">
        <f t="shared" si="41"/>
        <v>0</v>
      </c>
      <c r="Y113" s="43">
        <f t="shared" si="42"/>
        <v>0</v>
      </c>
      <c r="Z113" s="43">
        <f t="shared" si="43"/>
        <v>0</v>
      </c>
      <c r="AA113" s="49">
        <f t="shared" si="44"/>
        <v>0</v>
      </c>
      <c r="AB113" s="50">
        <f t="shared" si="45"/>
        <v>0</v>
      </c>
      <c r="AC113" s="43">
        <f t="shared" si="46"/>
        <v>0</v>
      </c>
      <c r="AD113" s="43">
        <f t="shared" si="47"/>
        <v>0</v>
      </c>
      <c r="AE113" s="43">
        <f t="shared" si="48"/>
        <v>0</v>
      </c>
      <c r="AF113" s="51" t="e">
        <f>HLOOKUP(I113,GasAvoidedCostsWOCC!$A$5:$G$50,G113+1,FALSE)</f>
        <v>#N/A</v>
      </c>
      <c r="AG113" s="43" t="e">
        <f t="shared" si="49"/>
        <v>#N/A</v>
      </c>
      <c r="AH113" s="51" t="e">
        <f>HLOOKUP(I113,GasAvoidedCostsWOCC!$A$5:$Q$50,T113+1,FALSE)</f>
        <v>#N/A</v>
      </c>
      <c r="AI113" s="43" t="e">
        <f t="shared" si="50"/>
        <v>#N/A</v>
      </c>
      <c r="AJ113" s="43" t="e">
        <f t="shared" si="51"/>
        <v>#N/A</v>
      </c>
      <c r="AK113" s="43" t="e">
        <f>HLOOKUP(I113,GasAvoidedCostsWOCC!$A$5:$Q$50,G113+1,FALSE)*J113*L113</f>
        <v>#N/A</v>
      </c>
      <c r="AL113" s="43" t="e">
        <f t="shared" si="5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3"/>
        <v>0</v>
      </c>
      <c r="AO113" s="46">
        <f t="shared" si="54"/>
        <v>0</v>
      </c>
      <c r="AP113" s="46" t="e">
        <f t="shared" si="55"/>
        <v>#DIV/0!</v>
      </c>
    </row>
    <row r="114" spans="2:42" x14ac:dyDescent="0.25">
      <c r="B114" s="36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7"/>
        <v>0</v>
      </c>
      <c r="U114" s="46">
        <f t="shared" si="38"/>
        <v>0</v>
      </c>
      <c r="V114" s="47">
        <f t="shared" si="39"/>
        <v>0</v>
      </c>
      <c r="W114" s="48">
        <f t="shared" si="40"/>
        <v>0</v>
      </c>
      <c r="X114" s="43">
        <f t="shared" si="41"/>
        <v>0</v>
      </c>
      <c r="Y114" s="43">
        <f t="shared" si="42"/>
        <v>0</v>
      </c>
      <c r="Z114" s="43">
        <f t="shared" si="43"/>
        <v>0</v>
      </c>
      <c r="AA114" s="49">
        <f t="shared" si="44"/>
        <v>0</v>
      </c>
      <c r="AB114" s="50">
        <f t="shared" si="45"/>
        <v>0</v>
      </c>
      <c r="AC114" s="43">
        <f t="shared" si="46"/>
        <v>0</v>
      </c>
      <c r="AD114" s="43">
        <f t="shared" si="47"/>
        <v>0</v>
      </c>
      <c r="AE114" s="43">
        <f t="shared" si="48"/>
        <v>0</v>
      </c>
      <c r="AF114" s="51" t="e">
        <f>HLOOKUP(I114,GasAvoidedCostsWOCC!$A$5:$G$50,G114+1,FALSE)</f>
        <v>#N/A</v>
      </c>
      <c r="AG114" s="43" t="e">
        <f t="shared" si="49"/>
        <v>#N/A</v>
      </c>
      <c r="AH114" s="51" t="e">
        <f>HLOOKUP(I114,GasAvoidedCostsWOCC!$A$5:$Q$50,T114+1,FALSE)</f>
        <v>#N/A</v>
      </c>
      <c r="AI114" s="43" t="e">
        <f t="shared" si="50"/>
        <v>#N/A</v>
      </c>
      <c r="AJ114" s="43" t="e">
        <f t="shared" si="51"/>
        <v>#N/A</v>
      </c>
      <c r="AK114" s="43" t="e">
        <f>HLOOKUP(I114,GasAvoidedCostsWOCC!$A$5:$Q$50,G114+1,FALSE)*J114*L114</f>
        <v>#N/A</v>
      </c>
      <c r="AL114" s="43" t="e">
        <f t="shared" si="5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3"/>
        <v>0</v>
      </c>
      <c r="AO114" s="46">
        <f t="shared" si="54"/>
        <v>0</v>
      </c>
      <c r="AP114" s="46" t="e">
        <f t="shared" si="55"/>
        <v>#DIV/0!</v>
      </c>
    </row>
    <row r="115" spans="2:42" x14ac:dyDescent="0.25">
      <c r="B115" s="36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7"/>
        <v>0</v>
      </c>
      <c r="U115" s="46">
        <f t="shared" si="38"/>
        <v>0</v>
      </c>
      <c r="V115" s="47">
        <f t="shared" si="39"/>
        <v>0</v>
      </c>
      <c r="W115" s="48">
        <f t="shared" si="40"/>
        <v>0</v>
      </c>
      <c r="X115" s="43">
        <f t="shared" si="41"/>
        <v>0</v>
      </c>
      <c r="Y115" s="43">
        <f t="shared" si="42"/>
        <v>0</v>
      </c>
      <c r="Z115" s="43">
        <f t="shared" si="43"/>
        <v>0</v>
      </c>
      <c r="AA115" s="49">
        <f t="shared" si="44"/>
        <v>0</v>
      </c>
      <c r="AB115" s="50">
        <f t="shared" si="45"/>
        <v>0</v>
      </c>
      <c r="AC115" s="43">
        <f t="shared" si="46"/>
        <v>0</v>
      </c>
      <c r="AD115" s="43">
        <f t="shared" si="47"/>
        <v>0</v>
      </c>
      <c r="AE115" s="43">
        <f t="shared" si="48"/>
        <v>0</v>
      </c>
      <c r="AF115" s="51" t="e">
        <f>HLOOKUP(I115,GasAvoidedCostsWOCC!$A$5:$G$50,G115+1,FALSE)</f>
        <v>#N/A</v>
      </c>
      <c r="AG115" s="43" t="e">
        <f t="shared" si="49"/>
        <v>#N/A</v>
      </c>
      <c r="AH115" s="51" t="e">
        <f>HLOOKUP(I115,GasAvoidedCostsWOCC!$A$5:$Q$50,T115+1,FALSE)</f>
        <v>#N/A</v>
      </c>
      <c r="AI115" s="43" t="e">
        <f t="shared" si="50"/>
        <v>#N/A</v>
      </c>
      <c r="AJ115" s="43" t="e">
        <f t="shared" si="51"/>
        <v>#N/A</v>
      </c>
      <c r="AK115" s="43" t="e">
        <f>HLOOKUP(I115,GasAvoidedCostsWOCC!$A$5:$Q$50,G115+1,FALSE)*J115*L115</f>
        <v>#N/A</v>
      </c>
      <c r="AL115" s="43" t="e">
        <f t="shared" si="5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3"/>
        <v>0</v>
      </c>
      <c r="AO115" s="46">
        <f t="shared" si="54"/>
        <v>0</v>
      </c>
      <c r="AP115" s="46" t="e">
        <f t="shared" si="55"/>
        <v>#DIV/0!</v>
      </c>
    </row>
    <row r="116" spans="2:42" x14ac:dyDescent="0.25">
      <c r="B116" s="36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7"/>
        <v>0</v>
      </c>
      <c r="U116" s="46">
        <f t="shared" si="38"/>
        <v>0</v>
      </c>
      <c r="V116" s="47">
        <f t="shared" si="39"/>
        <v>0</v>
      </c>
      <c r="W116" s="48">
        <f t="shared" si="40"/>
        <v>0</v>
      </c>
      <c r="X116" s="43">
        <f t="shared" si="41"/>
        <v>0</v>
      </c>
      <c r="Y116" s="43">
        <f t="shared" si="42"/>
        <v>0</v>
      </c>
      <c r="Z116" s="43">
        <f t="shared" si="43"/>
        <v>0</v>
      </c>
      <c r="AA116" s="49">
        <f t="shared" si="44"/>
        <v>0</v>
      </c>
      <c r="AB116" s="50">
        <f t="shared" si="45"/>
        <v>0</v>
      </c>
      <c r="AC116" s="43">
        <f t="shared" si="46"/>
        <v>0</v>
      </c>
      <c r="AD116" s="43">
        <f t="shared" si="47"/>
        <v>0</v>
      </c>
      <c r="AE116" s="43">
        <f t="shared" si="48"/>
        <v>0</v>
      </c>
      <c r="AF116" s="51" t="e">
        <f>HLOOKUP(I116,GasAvoidedCostsWOCC!$A$5:$G$50,G116+1,FALSE)</f>
        <v>#N/A</v>
      </c>
      <c r="AG116" s="43" t="e">
        <f t="shared" si="49"/>
        <v>#N/A</v>
      </c>
      <c r="AH116" s="51" t="e">
        <f>HLOOKUP(I116,GasAvoidedCostsWOCC!$A$5:$Q$50,T116+1,FALSE)</f>
        <v>#N/A</v>
      </c>
      <c r="AI116" s="43" t="e">
        <f t="shared" si="50"/>
        <v>#N/A</v>
      </c>
      <c r="AJ116" s="43" t="e">
        <f t="shared" si="51"/>
        <v>#N/A</v>
      </c>
      <c r="AK116" s="43" t="e">
        <f>HLOOKUP(I116,GasAvoidedCostsWOCC!$A$5:$Q$50,G116+1,FALSE)*J116*L116</f>
        <v>#N/A</v>
      </c>
      <c r="AL116" s="43" t="e">
        <f t="shared" si="5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3"/>
        <v>0</v>
      </c>
      <c r="AO116" s="46">
        <f t="shared" si="54"/>
        <v>0</v>
      </c>
      <c r="AP116" s="46" t="e">
        <f t="shared" si="55"/>
        <v>#DIV/0!</v>
      </c>
    </row>
    <row r="117" spans="2:42" x14ac:dyDescent="0.25">
      <c r="B117" s="36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7"/>
        <v>0</v>
      </c>
      <c r="U117" s="46">
        <f t="shared" si="38"/>
        <v>0</v>
      </c>
      <c r="V117" s="47">
        <f t="shared" si="39"/>
        <v>0</v>
      </c>
      <c r="W117" s="48">
        <f t="shared" si="40"/>
        <v>0</v>
      </c>
      <c r="X117" s="43">
        <f t="shared" si="41"/>
        <v>0</v>
      </c>
      <c r="Y117" s="43">
        <f t="shared" si="42"/>
        <v>0</v>
      </c>
      <c r="Z117" s="43">
        <f t="shared" si="43"/>
        <v>0</v>
      </c>
      <c r="AA117" s="49">
        <f t="shared" si="44"/>
        <v>0</v>
      </c>
      <c r="AB117" s="50">
        <f t="shared" si="45"/>
        <v>0</v>
      </c>
      <c r="AC117" s="43">
        <f t="shared" si="46"/>
        <v>0</v>
      </c>
      <c r="AD117" s="43">
        <f t="shared" si="47"/>
        <v>0</v>
      </c>
      <c r="AE117" s="43">
        <f t="shared" si="48"/>
        <v>0</v>
      </c>
      <c r="AF117" s="51" t="e">
        <f>HLOOKUP(I117,GasAvoidedCostsWOCC!$A$5:$G$50,G117+1,FALSE)</f>
        <v>#N/A</v>
      </c>
      <c r="AG117" s="43" t="e">
        <f t="shared" si="49"/>
        <v>#N/A</v>
      </c>
      <c r="AH117" s="51" t="e">
        <f>HLOOKUP(I117,GasAvoidedCostsWOCC!$A$5:$Q$50,T117+1,FALSE)</f>
        <v>#N/A</v>
      </c>
      <c r="AI117" s="43" t="e">
        <f t="shared" si="50"/>
        <v>#N/A</v>
      </c>
      <c r="AJ117" s="43" t="e">
        <f t="shared" si="51"/>
        <v>#N/A</v>
      </c>
      <c r="AK117" s="43" t="e">
        <f>HLOOKUP(I117,GasAvoidedCostsWOCC!$A$5:$Q$50,G117+1,FALSE)*J117*L117</f>
        <v>#N/A</v>
      </c>
      <c r="AL117" s="43" t="e">
        <f t="shared" si="5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3"/>
        <v>0</v>
      </c>
      <c r="AO117" s="46">
        <f t="shared" si="54"/>
        <v>0</v>
      </c>
      <c r="AP117" s="46" t="e">
        <f t="shared" si="55"/>
        <v>#DIV/0!</v>
      </c>
    </row>
    <row r="118" spans="2:42" x14ac:dyDescent="0.25">
      <c r="B118" s="36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7"/>
        <v>0</v>
      </c>
      <c r="U118" s="46">
        <f t="shared" si="38"/>
        <v>0</v>
      </c>
      <c r="V118" s="47">
        <f t="shared" si="39"/>
        <v>0</v>
      </c>
      <c r="W118" s="48">
        <f t="shared" si="40"/>
        <v>0</v>
      </c>
      <c r="X118" s="43">
        <f t="shared" si="41"/>
        <v>0</v>
      </c>
      <c r="Y118" s="43">
        <f t="shared" si="42"/>
        <v>0</v>
      </c>
      <c r="Z118" s="43">
        <f t="shared" si="43"/>
        <v>0</v>
      </c>
      <c r="AA118" s="49">
        <f t="shared" si="44"/>
        <v>0</v>
      </c>
      <c r="AB118" s="50">
        <f t="shared" si="45"/>
        <v>0</v>
      </c>
      <c r="AC118" s="43">
        <f t="shared" si="46"/>
        <v>0</v>
      </c>
      <c r="AD118" s="43">
        <f t="shared" si="47"/>
        <v>0</v>
      </c>
      <c r="AE118" s="43">
        <f t="shared" si="48"/>
        <v>0</v>
      </c>
      <c r="AF118" s="51" t="e">
        <f>HLOOKUP(I118,GasAvoidedCostsWOCC!$A$5:$G$50,G118+1,FALSE)</f>
        <v>#N/A</v>
      </c>
      <c r="AG118" s="43" t="e">
        <f t="shared" si="49"/>
        <v>#N/A</v>
      </c>
      <c r="AH118" s="51" t="e">
        <f>HLOOKUP(I118,GasAvoidedCostsWOCC!$A$5:$Q$50,T118+1,FALSE)</f>
        <v>#N/A</v>
      </c>
      <c r="AI118" s="43" t="e">
        <f t="shared" si="50"/>
        <v>#N/A</v>
      </c>
      <c r="AJ118" s="43" t="e">
        <f t="shared" si="51"/>
        <v>#N/A</v>
      </c>
      <c r="AK118" s="43" t="e">
        <f>HLOOKUP(I118,GasAvoidedCostsWOCC!$A$5:$Q$50,G118+1,FALSE)*J118*L118</f>
        <v>#N/A</v>
      </c>
      <c r="AL118" s="43" t="e">
        <f t="shared" si="5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3"/>
        <v>0</v>
      </c>
      <c r="AO118" s="46">
        <f t="shared" si="54"/>
        <v>0</v>
      </c>
      <c r="AP118" s="46" t="e">
        <f t="shared" si="55"/>
        <v>#DIV/0!</v>
      </c>
    </row>
    <row r="119" spans="2:42" x14ac:dyDescent="0.25">
      <c r="B119" s="36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7"/>
        <v>0</v>
      </c>
      <c r="U119" s="46">
        <f t="shared" si="38"/>
        <v>0</v>
      </c>
      <c r="V119" s="47">
        <f t="shared" si="39"/>
        <v>0</v>
      </c>
      <c r="W119" s="48">
        <f t="shared" si="40"/>
        <v>0</v>
      </c>
      <c r="X119" s="43">
        <f t="shared" si="41"/>
        <v>0</v>
      </c>
      <c r="Y119" s="43">
        <f t="shared" si="42"/>
        <v>0</v>
      </c>
      <c r="Z119" s="43">
        <f t="shared" si="43"/>
        <v>0</v>
      </c>
      <c r="AA119" s="49">
        <f t="shared" si="44"/>
        <v>0</v>
      </c>
      <c r="AB119" s="50">
        <f t="shared" si="45"/>
        <v>0</v>
      </c>
      <c r="AC119" s="43">
        <f t="shared" si="46"/>
        <v>0</v>
      </c>
      <c r="AD119" s="43">
        <f t="shared" si="47"/>
        <v>0</v>
      </c>
      <c r="AE119" s="43">
        <f t="shared" si="48"/>
        <v>0</v>
      </c>
      <c r="AF119" s="51" t="e">
        <f>HLOOKUP(I119,GasAvoidedCostsWOCC!$A$5:$G$50,G119+1,FALSE)</f>
        <v>#N/A</v>
      </c>
      <c r="AG119" s="43" t="e">
        <f t="shared" si="49"/>
        <v>#N/A</v>
      </c>
      <c r="AH119" s="51" t="e">
        <f>HLOOKUP(I119,GasAvoidedCostsWOCC!$A$5:$Q$50,T119+1,FALSE)</f>
        <v>#N/A</v>
      </c>
      <c r="AI119" s="43" t="e">
        <f t="shared" si="50"/>
        <v>#N/A</v>
      </c>
      <c r="AJ119" s="43" t="e">
        <f t="shared" si="51"/>
        <v>#N/A</v>
      </c>
      <c r="AK119" s="43" t="e">
        <f>HLOOKUP(I119,GasAvoidedCostsWOCC!$A$5:$Q$50,G119+1,FALSE)*J119*L119</f>
        <v>#N/A</v>
      </c>
      <c r="AL119" s="43" t="e">
        <f t="shared" si="5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3"/>
        <v>0</v>
      </c>
      <c r="AO119" s="46">
        <f t="shared" si="54"/>
        <v>0</v>
      </c>
      <c r="AP119" s="46" t="e">
        <f t="shared" si="55"/>
        <v>#DIV/0!</v>
      </c>
    </row>
    <row r="120" spans="2:42" x14ac:dyDescent="0.25">
      <c r="B120" s="36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7"/>
        <v>0</v>
      </c>
      <c r="U120" s="46">
        <f t="shared" si="38"/>
        <v>0</v>
      </c>
      <c r="V120" s="47">
        <f t="shared" si="39"/>
        <v>0</v>
      </c>
      <c r="W120" s="48">
        <f t="shared" si="40"/>
        <v>0</v>
      </c>
      <c r="X120" s="43">
        <f t="shared" si="41"/>
        <v>0</v>
      </c>
      <c r="Y120" s="43">
        <f t="shared" si="42"/>
        <v>0</v>
      </c>
      <c r="Z120" s="43">
        <f t="shared" si="43"/>
        <v>0</v>
      </c>
      <c r="AA120" s="49">
        <f t="shared" si="44"/>
        <v>0</v>
      </c>
      <c r="AB120" s="50">
        <f t="shared" si="45"/>
        <v>0</v>
      </c>
      <c r="AC120" s="43">
        <f t="shared" si="46"/>
        <v>0</v>
      </c>
      <c r="AD120" s="43">
        <f t="shared" si="47"/>
        <v>0</v>
      </c>
      <c r="AE120" s="43">
        <f t="shared" si="48"/>
        <v>0</v>
      </c>
      <c r="AF120" s="51" t="e">
        <f>HLOOKUP(I120,GasAvoidedCostsWOCC!$A$5:$G$50,G120+1,FALSE)</f>
        <v>#N/A</v>
      </c>
      <c r="AG120" s="43" t="e">
        <f t="shared" si="49"/>
        <v>#N/A</v>
      </c>
      <c r="AH120" s="51" t="e">
        <f>HLOOKUP(I120,GasAvoidedCostsWOCC!$A$5:$Q$50,T120+1,FALSE)</f>
        <v>#N/A</v>
      </c>
      <c r="AI120" s="43" t="e">
        <f t="shared" si="50"/>
        <v>#N/A</v>
      </c>
      <c r="AJ120" s="43" t="e">
        <f t="shared" si="51"/>
        <v>#N/A</v>
      </c>
      <c r="AK120" s="43" t="e">
        <f>HLOOKUP(I120,GasAvoidedCostsWOCC!$A$5:$Q$50,G120+1,FALSE)*J120*L120</f>
        <v>#N/A</v>
      </c>
      <c r="AL120" s="43" t="e">
        <f t="shared" si="5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3"/>
        <v>0</v>
      </c>
      <c r="AO120" s="46">
        <f t="shared" si="54"/>
        <v>0</v>
      </c>
      <c r="AP120" s="46" t="e">
        <f t="shared" si="55"/>
        <v>#DIV/0!</v>
      </c>
    </row>
    <row r="121" spans="2:42" x14ac:dyDescent="0.25">
      <c r="B121" s="36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7"/>
        <v>0</v>
      </c>
      <c r="U121" s="46">
        <f t="shared" si="38"/>
        <v>0</v>
      </c>
      <c r="V121" s="47">
        <f t="shared" si="39"/>
        <v>0</v>
      </c>
      <c r="W121" s="48">
        <f t="shared" si="40"/>
        <v>0</v>
      </c>
      <c r="X121" s="43">
        <f t="shared" si="41"/>
        <v>0</v>
      </c>
      <c r="Y121" s="43">
        <f t="shared" si="42"/>
        <v>0</v>
      </c>
      <c r="Z121" s="43">
        <f t="shared" si="43"/>
        <v>0</v>
      </c>
      <c r="AA121" s="49">
        <f t="shared" si="44"/>
        <v>0</v>
      </c>
      <c r="AB121" s="50">
        <f t="shared" si="45"/>
        <v>0</v>
      </c>
      <c r="AC121" s="43">
        <f t="shared" si="46"/>
        <v>0</v>
      </c>
      <c r="AD121" s="43">
        <f t="shared" si="47"/>
        <v>0</v>
      </c>
      <c r="AE121" s="43">
        <f t="shared" si="48"/>
        <v>0</v>
      </c>
      <c r="AF121" s="51" t="e">
        <f>HLOOKUP(I121,GasAvoidedCostsWOCC!$A$5:$G$50,G121+1,FALSE)</f>
        <v>#N/A</v>
      </c>
      <c r="AG121" s="43" t="e">
        <f t="shared" si="49"/>
        <v>#N/A</v>
      </c>
      <c r="AH121" s="51" t="e">
        <f>HLOOKUP(I121,GasAvoidedCostsWOCC!$A$5:$Q$50,T121+1,FALSE)</f>
        <v>#N/A</v>
      </c>
      <c r="AI121" s="43" t="e">
        <f t="shared" si="50"/>
        <v>#N/A</v>
      </c>
      <c r="AJ121" s="43" t="e">
        <f t="shared" si="51"/>
        <v>#N/A</v>
      </c>
      <c r="AK121" s="43" t="e">
        <f>HLOOKUP(I121,GasAvoidedCostsWOCC!$A$5:$Q$50,G121+1,FALSE)*J121*L121</f>
        <v>#N/A</v>
      </c>
      <c r="AL121" s="43" t="e">
        <f t="shared" si="5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3"/>
        <v>0</v>
      </c>
      <c r="AO121" s="46">
        <f t="shared" si="54"/>
        <v>0</v>
      </c>
      <c r="AP121" s="46" t="e">
        <f t="shared" si="55"/>
        <v>#DIV/0!</v>
      </c>
    </row>
    <row r="122" spans="2:42" x14ac:dyDescent="0.25">
      <c r="B122" s="36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7"/>
        <v>0</v>
      </c>
      <c r="U122" s="46">
        <f t="shared" si="38"/>
        <v>0</v>
      </c>
      <c r="V122" s="47">
        <f t="shared" si="39"/>
        <v>0</v>
      </c>
      <c r="W122" s="48">
        <f t="shared" si="40"/>
        <v>0</v>
      </c>
      <c r="X122" s="43">
        <f t="shared" si="41"/>
        <v>0</v>
      </c>
      <c r="Y122" s="43">
        <f t="shared" si="42"/>
        <v>0</v>
      </c>
      <c r="Z122" s="43">
        <f t="shared" si="43"/>
        <v>0</v>
      </c>
      <c r="AA122" s="49">
        <f t="shared" si="44"/>
        <v>0</v>
      </c>
      <c r="AB122" s="50">
        <f t="shared" si="45"/>
        <v>0</v>
      </c>
      <c r="AC122" s="43">
        <f t="shared" si="46"/>
        <v>0</v>
      </c>
      <c r="AD122" s="43">
        <f t="shared" si="47"/>
        <v>0</v>
      </c>
      <c r="AE122" s="43">
        <f t="shared" si="48"/>
        <v>0</v>
      </c>
      <c r="AF122" s="51" t="e">
        <f>HLOOKUP(I122,GasAvoidedCostsWOCC!$A$5:$G$50,G122+1,FALSE)</f>
        <v>#N/A</v>
      </c>
      <c r="AG122" s="43" t="e">
        <f t="shared" si="49"/>
        <v>#N/A</v>
      </c>
      <c r="AH122" s="51" t="e">
        <f>HLOOKUP(I122,GasAvoidedCostsWOCC!$A$5:$Q$50,T122+1,FALSE)</f>
        <v>#N/A</v>
      </c>
      <c r="AI122" s="43" t="e">
        <f t="shared" si="50"/>
        <v>#N/A</v>
      </c>
      <c r="AJ122" s="43" t="e">
        <f t="shared" si="51"/>
        <v>#N/A</v>
      </c>
      <c r="AK122" s="43" t="e">
        <f>HLOOKUP(I122,GasAvoidedCostsWOCC!$A$5:$Q$50,G122+1,FALSE)*J122*L122</f>
        <v>#N/A</v>
      </c>
      <c r="AL122" s="43" t="e">
        <f t="shared" si="5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3"/>
        <v>0</v>
      </c>
      <c r="AO122" s="46">
        <f t="shared" si="54"/>
        <v>0</v>
      </c>
      <c r="AP122" s="46" t="e">
        <f t="shared" si="55"/>
        <v>#DIV/0!</v>
      </c>
    </row>
    <row r="123" spans="2:42" x14ac:dyDescent="0.25">
      <c r="B123" s="36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7"/>
        <v>0</v>
      </c>
      <c r="U123" s="46">
        <f t="shared" si="38"/>
        <v>0</v>
      </c>
      <c r="V123" s="47">
        <f t="shared" si="39"/>
        <v>0</v>
      </c>
      <c r="W123" s="48">
        <f t="shared" si="40"/>
        <v>0</v>
      </c>
      <c r="X123" s="43">
        <f t="shared" si="41"/>
        <v>0</v>
      </c>
      <c r="Y123" s="43">
        <f t="shared" si="42"/>
        <v>0</v>
      </c>
      <c r="Z123" s="43">
        <f t="shared" si="43"/>
        <v>0</v>
      </c>
      <c r="AA123" s="49">
        <f t="shared" si="44"/>
        <v>0</v>
      </c>
      <c r="AB123" s="50">
        <f t="shared" si="45"/>
        <v>0</v>
      </c>
      <c r="AC123" s="43">
        <f t="shared" si="46"/>
        <v>0</v>
      </c>
      <c r="AD123" s="43">
        <f t="shared" si="47"/>
        <v>0</v>
      </c>
      <c r="AE123" s="43">
        <f t="shared" si="48"/>
        <v>0</v>
      </c>
      <c r="AF123" s="51" t="e">
        <f>HLOOKUP(I123,GasAvoidedCostsWOCC!$A$5:$G$50,G123+1,FALSE)</f>
        <v>#N/A</v>
      </c>
      <c r="AG123" s="43" t="e">
        <f t="shared" si="49"/>
        <v>#N/A</v>
      </c>
      <c r="AH123" s="51" t="e">
        <f>HLOOKUP(I123,GasAvoidedCostsWOCC!$A$5:$Q$50,T123+1,FALSE)</f>
        <v>#N/A</v>
      </c>
      <c r="AI123" s="43" t="e">
        <f t="shared" si="50"/>
        <v>#N/A</v>
      </c>
      <c r="AJ123" s="43" t="e">
        <f t="shared" si="51"/>
        <v>#N/A</v>
      </c>
      <c r="AK123" s="43" t="e">
        <f>HLOOKUP(I123,GasAvoidedCostsWOCC!$A$5:$Q$50,G123+1,FALSE)*J123*L123</f>
        <v>#N/A</v>
      </c>
      <c r="AL123" s="43" t="e">
        <f t="shared" si="5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3"/>
        <v>0</v>
      </c>
      <c r="AO123" s="46">
        <f t="shared" si="54"/>
        <v>0</v>
      </c>
      <c r="AP123" s="46" t="e">
        <f t="shared" si="55"/>
        <v>#DIV/0!</v>
      </c>
    </row>
    <row r="124" spans="2:42" x14ac:dyDescent="0.25">
      <c r="B124" s="36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7"/>
        <v>0</v>
      </c>
      <c r="U124" s="46">
        <f t="shared" si="38"/>
        <v>0</v>
      </c>
      <c r="V124" s="47">
        <f t="shared" si="39"/>
        <v>0</v>
      </c>
      <c r="W124" s="48">
        <f t="shared" si="40"/>
        <v>0</v>
      </c>
      <c r="X124" s="43">
        <f t="shared" si="41"/>
        <v>0</v>
      </c>
      <c r="Y124" s="43">
        <f t="shared" si="42"/>
        <v>0</v>
      </c>
      <c r="Z124" s="43">
        <f t="shared" si="43"/>
        <v>0</v>
      </c>
      <c r="AA124" s="49">
        <f t="shared" si="44"/>
        <v>0</v>
      </c>
      <c r="AB124" s="50">
        <f t="shared" si="45"/>
        <v>0</v>
      </c>
      <c r="AC124" s="43">
        <f t="shared" si="46"/>
        <v>0</v>
      </c>
      <c r="AD124" s="43">
        <f t="shared" si="47"/>
        <v>0</v>
      </c>
      <c r="AE124" s="43">
        <f t="shared" si="48"/>
        <v>0</v>
      </c>
      <c r="AF124" s="51" t="e">
        <f>HLOOKUP(I124,GasAvoidedCostsWOCC!$A$5:$G$50,G124+1,FALSE)</f>
        <v>#N/A</v>
      </c>
      <c r="AG124" s="43" t="e">
        <f t="shared" si="49"/>
        <v>#N/A</v>
      </c>
      <c r="AH124" s="51" t="e">
        <f>HLOOKUP(I124,GasAvoidedCostsWOCC!$A$5:$Q$50,T124+1,FALSE)</f>
        <v>#N/A</v>
      </c>
      <c r="AI124" s="43" t="e">
        <f t="shared" si="50"/>
        <v>#N/A</v>
      </c>
      <c r="AJ124" s="43" t="e">
        <f t="shared" si="51"/>
        <v>#N/A</v>
      </c>
      <c r="AK124" s="43" t="e">
        <f>HLOOKUP(I124,GasAvoidedCostsWOCC!$A$5:$Q$50,G124+1,FALSE)*J124*L124</f>
        <v>#N/A</v>
      </c>
      <c r="AL124" s="43" t="e">
        <f t="shared" si="5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3"/>
        <v>0</v>
      </c>
      <c r="AO124" s="46">
        <f t="shared" si="54"/>
        <v>0</v>
      </c>
      <c r="AP124" s="46" t="e">
        <f t="shared" si="55"/>
        <v>#DIV/0!</v>
      </c>
    </row>
    <row r="125" spans="2:42" x14ac:dyDescent="0.25">
      <c r="B125" s="36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7"/>
        <v>0</v>
      </c>
      <c r="U125" s="46">
        <f t="shared" si="38"/>
        <v>0</v>
      </c>
      <c r="V125" s="47">
        <f t="shared" si="39"/>
        <v>0</v>
      </c>
      <c r="W125" s="48">
        <f t="shared" si="40"/>
        <v>0</v>
      </c>
      <c r="X125" s="43">
        <f t="shared" si="41"/>
        <v>0</v>
      </c>
      <c r="Y125" s="43">
        <f t="shared" si="42"/>
        <v>0</v>
      </c>
      <c r="Z125" s="43">
        <f t="shared" si="43"/>
        <v>0</v>
      </c>
      <c r="AA125" s="49">
        <f t="shared" si="44"/>
        <v>0</v>
      </c>
      <c r="AB125" s="50">
        <f t="shared" si="45"/>
        <v>0</v>
      </c>
      <c r="AC125" s="43">
        <f t="shared" si="46"/>
        <v>0</v>
      </c>
      <c r="AD125" s="43">
        <f t="shared" si="47"/>
        <v>0</v>
      </c>
      <c r="AE125" s="43">
        <f t="shared" si="48"/>
        <v>0</v>
      </c>
      <c r="AF125" s="51" t="e">
        <f>HLOOKUP(I125,GasAvoidedCostsWOCC!$A$5:$G$50,G125+1,FALSE)</f>
        <v>#N/A</v>
      </c>
      <c r="AG125" s="43" t="e">
        <f t="shared" si="49"/>
        <v>#N/A</v>
      </c>
      <c r="AH125" s="51" t="e">
        <f>HLOOKUP(I125,GasAvoidedCostsWOCC!$A$5:$Q$50,T125+1,FALSE)</f>
        <v>#N/A</v>
      </c>
      <c r="AI125" s="43" t="e">
        <f t="shared" si="50"/>
        <v>#N/A</v>
      </c>
      <c r="AJ125" s="43" t="e">
        <f t="shared" si="51"/>
        <v>#N/A</v>
      </c>
      <c r="AK125" s="43" t="e">
        <f>HLOOKUP(I125,GasAvoidedCostsWOCC!$A$5:$Q$50,G125+1,FALSE)*J125*L125</f>
        <v>#N/A</v>
      </c>
      <c r="AL125" s="43" t="e">
        <f t="shared" si="5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3"/>
        <v>0</v>
      </c>
      <c r="AO125" s="46">
        <f t="shared" si="54"/>
        <v>0</v>
      </c>
      <c r="AP125" s="46" t="e">
        <f t="shared" si="55"/>
        <v>#DIV/0!</v>
      </c>
    </row>
    <row r="126" spans="2:42" x14ac:dyDescent="0.25">
      <c r="B126" s="36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7"/>
        <v>0</v>
      </c>
      <c r="U126" s="46">
        <f t="shared" si="38"/>
        <v>0</v>
      </c>
      <c r="V126" s="47">
        <f t="shared" si="39"/>
        <v>0</v>
      </c>
      <c r="W126" s="48">
        <f t="shared" si="40"/>
        <v>0</v>
      </c>
      <c r="X126" s="43">
        <f t="shared" si="41"/>
        <v>0</v>
      </c>
      <c r="Y126" s="43">
        <f t="shared" si="42"/>
        <v>0</v>
      </c>
      <c r="Z126" s="43">
        <f t="shared" si="43"/>
        <v>0</v>
      </c>
      <c r="AA126" s="49">
        <f t="shared" si="44"/>
        <v>0</v>
      </c>
      <c r="AB126" s="50">
        <f t="shared" si="45"/>
        <v>0</v>
      </c>
      <c r="AC126" s="43">
        <f t="shared" si="46"/>
        <v>0</v>
      </c>
      <c r="AD126" s="43">
        <f t="shared" si="47"/>
        <v>0</v>
      </c>
      <c r="AE126" s="43">
        <f t="shared" si="48"/>
        <v>0</v>
      </c>
      <c r="AF126" s="51" t="e">
        <f>HLOOKUP(I126,GasAvoidedCostsWOCC!$A$5:$G$50,G126+1,FALSE)</f>
        <v>#N/A</v>
      </c>
      <c r="AG126" s="43" t="e">
        <f t="shared" si="49"/>
        <v>#N/A</v>
      </c>
      <c r="AH126" s="51" t="e">
        <f>HLOOKUP(I126,GasAvoidedCostsWOCC!$A$5:$Q$50,T126+1,FALSE)</f>
        <v>#N/A</v>
      </c>
      <c r="AI126" s="43" t="e">
        <f t="shared" si="50"/>
        <v>#N/A</v>
      </c>
      <c r="AJ126" s="43" t="e">
        <f t="shared" si="51"/>
        <v>#N/A</v>
      </c>
      <c r="AK126" s="43" t="e">
        <f>HLOOKUP(I126,GasAvoidedCostsWOCC!$A$5:$Q$50,G126+1,FALSE)*J126*L126</f>
        <v>#N/A</v>
      </c>
      <c r="AL126" s="43" t="e">
        <f t="shared" si="5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3"/>
        <v>0</v>
      </c>
      <c r="AO126" s="46">
        <f t="shared" si="54"/>
        <v>0</v>
      </c>
      <c r="AP126" s="46" t="e">
        <f t="shared" si="55"/>
        <v>#DIV/0!</v>
      </c>
    </row>
    <row r="127" spans="2:42" x14ac:dyDescent="0.25">
      <c r="B127" s="36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7"/>
        <v>0</v>
      </c>
      <c r="U127" s="46">
        <f t="shared" si="38"/>
        <v>0</v>
      </c>
      <c r="V127" s="47">
        <f t="shared" si="39"/>
        <v>0</v>
      </c>
      <c r="W127" s="48">
        <f t="shared" si="40"/>
        <v>0</v>
      </c>
      <c r="X127" s="43">
        <f t="shared" si="41"/>
        <v>0</v>
      </c>
      <c r="Y127" s="43">
        <f t="shared" si="42"/>
        <v>0</v>
      </c>
      <c r="Z127" s="43">
        <f t="shared" si="43"/>
        <v>0</v>
      </c>
      <c r="AA127" s="49">
        <f t="shared" si="44"/>
        <v>0</v>
      </c>
      <c r="AB127" s="50">
        <f t="shared" si="45"/>
        <v>0</v>
      </c>
      <c r="AC127" s="43">
        <f t="shared" si="46"/>
        <v>0</v>
      </c>
      <c r="AD127" s="43">
        <f t="shared" si="47"/>
        <v>0</v>
      </c>
      <c r="AE127" s="43">
        <f t="shared" si="48"/>
        <v>0</v>
      </c>
      <c r="AF127" s="51" t="e">
        <f>HLOOKUP(I127,GasAvoidedCostsWOCC!$A$5:$G$50,G127+1,FALSE)</f>
        <v>#N/A</v>
      </c>
      <c r="AG127" s="43" t="e">
        <f t="shared" si="49"/>
        <v>#N/A</v>
      </c>
      <c r="AH127" s="51" t="e">
        <f>HLOOKUP(I127,GasAvoidedCostsWOCC!$A$5:$Q$50,T127+1,FALSE)</f>
        <v>#N/A</v>
      </c>
      <c r="AI127" s="43" t="e">
        <f t="shared" si="50"/>
        <v>#N/A</v>
      </c>
      <c r="AJ127" s="43" t="e">
        <f t="shared" si="51"/>
        <v>#N/A</v>
      </c>
      <c r="AK127" s="43" t="e">
        <f>HLOOKUP(I127,GasAvoidedCostsWOCC!$A$5:$Q$50,G127+1,FALSE)*J127*L127</f>
        <v>#N/A</v>
      </c>
      <c r="AL127" s="43" t="e">
        <f t="shared" si="5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3"/>
        <v>0</v>
      </c>
      <c r="AO127" s="46">
        <f t="shared" si="54"/>
        <v>0</v>
      </c>
      <c r="AP127" s="46" t="e">
        <f t="shared" si="55"/>
        <v>#DIV/0!</v>
      </c>
    </row>
    <row r="128" spans="2:42" x14ac:dyDescent="0.25">
      <c r="B128" s="36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7"/>
        <v>0</v>
      </c>
      <c r="U128" s="46">
        <f t="shared" si="38"/>
        <v>0</v>
      </c>
      <c r="V128" s="47">
        <f t="shared" si="39"/>
        <v>0</v>
      </c>
      <c r="W128" s="48">
        <f t="shared" si="40"/>
        <v>0</v>
      </c>
      <c r="X128" s="43">
        <f t="shared" si="41"/>
        <v>0</v>
      </c>
      <c r="Y128" s="43">
        <f t="shared" si="42"/>
        <v>0</v>
      </c>
      <c r="Z128" s="43">
        <f t="shared" si="43"/>
        <v>0</v>
      </c>
      <c r="AA128" s="49">
        <f t="shared" si="44"/>
        <v>0</v>
      </c>
      <c r="AB128" s="50">
        <f t="shared" si="45"/>
        <v>0</v>
      </c>
      <c r="AC128" s="43">
        <f t="shared" si="46"/>
        <v>0</v>
      </c>
      <c r="AD128" s="43">
        <f t="shared" si="47"/>
        <v>0</v>
      </c>
      <c r="AE128" s="43">
        <f t="shared" si="48"/>
        <v>0</v>
      </c>
      <c r="AF128" s="51" t="e">
        <f>HLOOKUP(I128,GasAvoidedCostsWOCC!$A$5:$G$50,G128+1,FALSE)</f>
        <v>#N/A</v>
      </c>
      <c r="AG128" s="43" t="e">
        <f t="shared" si="49"/>
        <v>#N/A</v>
      </c>
      <c r="AH128" s="51" t="e">
        <f>HLOOKUP(I128,GasAvoidedCostsWOCC!$A$5:$Q$50,T128+1,FALSE)</f>
        <v>#N/A</v>
      </c>
      <c r="AI128" s="43" t="e">
        <f t="shared" si="50"/>
        <v>#N/A</v>
      </c>
      <c r="AJ128" s="43" t="e">
        <f t="shared" si="51"/>
        <v>#N/A</v>
      </c>
      <c r="AK128" s="43" t="e">
        <f>HLOOKUP(I128,GasAvoidedCostsWOCC!$A$5:$Q$50,G128+1,FALSE)*J128*L128</f>
        <v>#N/A</v>
      </c>
      <c r="AL128" s="43" t="e">
        <f t="shared" si="5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3"/>
        <v>0</v>
      </c>
      <c r="AO128" s="46">
        <f t="shared" si="54"/>
        <v>0</v>
      </c>
      <c r="AP128" s="46" t="e">
        <f t="shared" si="55"/>
        <v>#DIV/0!</v>
      </c>
    </row>
    <row r="129" spans="2:42" x14ac:dyDescent="0.25">
      <c r="B129" s="36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7"/>
        <v>0</v>
      </c>
      <c r="U129" s="46">
        <f t="shared" si="38"/>
        <v>0</v>
      </c>
      <c r="V129" s="47">
        <f t="shared" si="39"/>
        <v>0</v>
      </c>
      <c r="W129" s="48">
        <f t="shared" si="40"/>
        <v>0</v>
      </c>
      <c r="X129" s="43">
        <f t="shared" si="41"/>
        <v>0</v>
      </c>
      <c r="Y129" s="43">
        <f t="shared" si="42"/>
        <v>0</v>
      </c>
      <c r="Z129" s="43">
        <f t="shared" si="43"/>
        <v>0</v>
      </c>
      <c r="AA129" s="49">
        <f t="shared" si="44"/>
        <v>0</v>
      </c>
      <c r="AB129" s="50">
        <f t="shared" si="45"/>
        <v>0</v>
      </c>
      <c r="AC129" s="43">
        <f t="shared" si="46"/>
        <v>0</v>
      </c>
      <c r="AD129" s="43">
        <f t="shared" si="47"/>
        <v>0</v>
      </c>
      <c r="AE129" s="43">
        <f t="shared" si="48"/>
        <v>0</v>
      </c>
      <c r="AF129" s="51" t="e">
        <f>HLOOKUP(I129,GasAvoidedCostsWOCC!$A$5:$G$50,G129+1,FALSE)</f>
        <v>#N/A</v>
      </c>
      <c r="AG129" s="43" t="e">
        <f t="shared" si="49"/>
        <v>#N/A</v>
      </c>
      <c r="AH129" s="51" t="e">
        <f>HLOOKUP(I129,GasAvoidedCostsWOCC!$A$5:$Q$50,T129+1,FALSE)</f>
        <v>#N/A</v>
      </c>
      <c r="AI129" s="43" t="e">
        <f t="shared" si="50"/>
        <v>#N/A</v>
      </c>
      <c r="AJ129" s="43" t="e">
        <f t="shared" si="51"/>
        <v>#N/A</v>
      </c>
      <c r="AK129" s="43" t="e">
        <f>HLOOKUP(I129,GasAvoidedCostsWOCC!$A$5:$Q$50,G129+1,FALSE)*J129*L129</f>
        <v>#N/A</v>
      </c>
      <c r="AL129" s="43" t="e">
        <f t="shared" si="5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3"/>
        <v>0</v>
      </c>
      <c r="AO129" s="46">
        <f t="shared" si="54"/>
        <v>0</v>
      </c>
      <c r="AP129" s="46" t="e">
        <f t="shared" si="55"/>
        <v>#DIV/0!</v>
      </c>
    </row>
    <row r="130" spans="2:42" x14ac:dyDescent="0.25">
      <c r="B130" s="36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7"/>
        <v>0</v>
      </c>
      <c r="U130" s="46">
        <f t="shared" si="38"/>
        <v>0</v>
      </c>
      <c r="V130" s="47">
        <f t="shared" si="39"/>
        <v>0</v>
      </c>
      <c r="W130" s="48">
        <f t="shared" si="40"/>
        <v>0</v>
      </c>
      <c r="X130" s="43">
        <f t="shared" si="41"/>
        <v>0</v>
      </c>
      <c r="Y130" s="43">
        <f t="shared" si="42"/>
        <v>0</v>
      </c>
      <c r="Z130" s="43">
        <f t="shared" si="43"/>
        <v>0</v>
      </c>
      <c r="AA130" s="49">
        <f t="shared" si="44"/>
        <v>0</v>
      </c>
      <c r="AB130" s="50">
        <f t="shared" si="45"/>
        <v>0</v>
      </c>
      <c r="AC130" s="43">
        <f t="shared" si="46"/>
        <v>0</v>
      </c>
      <c r="AD130" s="43">
        <f t="shared" si="47"/>
        <v>0</v>
      </c>
      <c r="AE130" s="43">
        <f t="shared" si="48"/>
        <v>0</v>
      </c>
      <c r="AF130" s="51" t="e">
        <f>HLOOKUP(I130,GasAvoidedCostsWOCC!$A$5:$G$50,G130+1,FALSE)</f>
        <v>#N/A</v>
      </c>
      <c r="AG130" s="43" t="e">
        <f t="shared" si="49"/>
        <v>#N/A</v>
      </c>
      <c r="AH130" s="51" t="e">
        <f>HLOOKUP(I130,GasAvoidedCostsWOCC!$A$5:$Q$50,T130+1,FALSE)</f>
        <v>#N/A</v>
      </c>
      <c r="AI130" s="43" t="e">
        <f t="shared" si="50"/>
        <v>#N/A</v>
      </c>
      <c r="AJ130" s="43" t="e">
        <f t="shared" si="51"/>
        <v>#N/A</v>
      </c>
      <c r="AK130" s="43" t="e">
        <f>HLOOKUP(I130,GasAvoidedCostsWOCC!$A$5:$Q$50,G130+1,FALSE)*J130*L130</f>
        <v>#N/A</v>
      </c>
      <c r="AL130" s="43" t="e">
        <f t="shared" si="5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3"/>
        <v>0</v>
      </c>
      <c r="AO130" s="46">
        <f t="shared" si="54"/>
        <v>0</v>
      </c>
      <c r="AP130" s="46" t="e">
        <f t="shared" si="55"/>
        <v>#DIV/0!</v>
      </c>
    </row>
    <row r="131" spans="2:42" x14ac:dyDescent="0.25">
      <c r="B131" s="36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7"/>
        <v>0</v>
      </c>
      <c r="U131" s="46">
        <f t="shared" si="38"/>
        <v>0</v>
      </c>
      <c r="V131" s="47">
        <f t="shared" si="39"/>
        <v>0</v>
      </c>
      <c r="W131" s="48">
        <f t="shared" si="40"/>
        <v>0</v>
      </c>
      <c r="X131" s="43">
        <f t="shared" si="41"/>
        <v>0</v>
      </c>
      <c r="Y131" s="43">
        <f t="shared" si="42"/>
        <v>0</v>
      </c>
      <c r="Z131" s="43">
        <f t="shared" si="43"/>
        <v>0</v>
      </c>
      <c r="AA131" s="49">
        <f t="shared" si="44"/>
        <v>0</v>
      </c>
      <c r="AB131" s="50">
        <f t="shared" si="45"/>
        <v>0</v>
      </c>
      <c r="AC131" s="43">
        <f t="shared" si="46"/>
        <v>0</v>
      </c>
      <c r="AD131" s="43">
        <f t="shared" si="47"/>
        <v>0</v>
      </c>
      <c r="AE131" s="43">
        <f t="shared" si="48"/>
        <v>0</v>
      </c>
      <c r="AF131" s="51" t="e">
        <f>HLOOKUP(I131,GasAvoidedCostsWOCC!$A$5:$G$50,G131+1,FALSE)</f>
        <v>#N/A</v>
      </c>
      <c r="AG131" s="43" t="e">
        <f t="shared" si="49"/>
        <v>#N/A</v>
      </c>
      <c r="AH131" s="51" t="e">
        <f>HLOOKUP(I131,GasAvoidedCostsWOCC!$A$5:$Q$50,T131+1,FALSE)</f>
        <v>#N/A</v>
      </c>
      <c r="AI131" s="43" t="e">
        <f t="shared" si="50"/>
        <v>#N/A</v>
      </c>
      <c r="AJ131" s="43" t="e">
        <f t="shared" si="51"/>
        <v>#N/A</v>
      </c>
      <c r="AK131" s="43" t="e">
        <f>HLOOKUP(I131,GasAvoidedCostsWOCC!$A$5:$Q$50,G131+1,FALSE)*J131*L131</f>
        <v>#N/A</v>
      </c>
      <c r="AL131" s="43" t="e">
        <f t="shared" si="5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3"/>
        <v>0</v>
      </c>
      <c r="AO131" s="46">
        <f t="shared" si="54"/>
        <v>0</v>
      </c>
      <c r="AP131" s="46" t="e">
        <f t="shared" si="55"/>
        <v>#DIV/0!</v>
      </c>
    </row>
  </sheetData>
  <autoFilter ref="B4:AP131"/>
  <conditionalFormatting sqref="J5:L131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131 R5:S131">
    <cfRule type="expression" dxfId="147" priority="2">
      <formula>ISTEXT(M5)</formula>
    </cfRule>
  </conditionalFormatting>
  <conditionalFormatting sqref="M5:N131 R5:S131">
    <cfRule type="notContainsBlanks" dxfId="146" priority="3">
      <formula>LEN(TRIM(M5))&gt;0</formula>
    </cfRule>
  </conditionalFormatting>
  <conditionalFormatting sqref="R5:S131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8" sqref="I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18230638</v>
      </c>
      <c r="D2" s="19" t="s">
        <v>79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18230638</v>
      </c>
      <c r="D5" s="60" t="s">
        <v>79</v>
      </c>
      <c r="E5" s="37" t="s">
        <v>1456</v>
      </c>
      <c r="F5" s="38" t="s">
        <v>1457</v>
      </c>
      <c r="G5" s="38">
        <v>20</v>
      </c>
      <c r="H5" s="38">
        <v>0</v>
      </c>
      <c r="I5" s="39" t="s">
        <v>273</v>
      </c>
      <c r="J5" s="40">
        <v>380</v>
      </c>
      <c r="K5" s="40">
        <v>81</v>
      </c>
      <c r="L5" s="40">
        <v>0</v>
      </c>
      <c r="M5" s="41">
        <v>1250</v>
      </c>
      <c r="N5" s="41">
        <v>2500</v>
      </c>
      <c r="O5" s="42">
        <v>30780</v>
      </c>
      <c r="P5" s="43">
        <v>475000</v>
      </c>
      <c r="Q5" s="43">
        <v>950000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1.4649908592756813</v>
      </c>
      <c r="V5" s="47">
        <f t="shared" ref="V5:V24" si="2">N5-M5</f>
        <v>1250</v>
      </c>
      <c r="W5" s="48">
        <f t="shared" ref="W5:W24" si="3">(O5/A$10)</f>
        <v>7.3249542963784067E-2</v>
      </c>
      <c r="X5" s="43">
        <f t="shared" ref="X5:X24" si="4">W5*A$8</f>
        <v>32893.088165510664</v>
      </c>
      <c r="Y5" s="43">
        <f t="shared" ref="Y5:Y24" si="5">Q5-P5</f>
        <v>475000</v>
      </c>
      <c r="Z5" s="43">
        <f t="shared" ref="Z5:Z24" si="6">X5+(A$6*W5)</f>
        <v>235179.02601429675</v>
      </c>
      <c r="AA5" s="49">
        <f t="shared" ref="AA5:AA24" si="7">Q5+X5</f>
        <v>982893.08816551068</v>
      </c>
      <c r="AB5" s="50">
        <f t="shared" ref="AB5:AB24" si="8">Z5/(1+GasDiscountRate)^1</f>
        <v>220205.08053773103</v>
      </c>
      <c r="AC5" s="43">
        <f t="shared" ref="AC5:AC24" si="9">AA5/(1+GasDiscountRate)^1</f>
        <v>920311.88030478521</v>
      </c>
      <c r="AD5" s="43">
        <f t="shared" ref="AD5:AD24" si="10">-PV(GasDiscountRate,T5,R5)*J5</f>
        <v>60824.501675436455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596994.76897205052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596994.76897205052</v>
      </c>
      <c r="AK5" s="43">
        <f>HLOOKUP(I5,GasAvoidedCostsWOCC!$A$5:$Q$50,G5+1,FALSE)*J5*L5</f>
        <v>0</v>
      </c>
      <c r="AL5" s="43">
        <f>AG5+AI5-AK5</f>
        <v>596994.76897205052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596994.76897205052</v>
      </c>
      <c r="AN5" s="47">
        <f>AM5*1.1+AD5+AE5</f>
        <v>717518.74754469213</v>
      </c>
      <c r="AO5" s="46">
        <f>IFERROR(AM5/AB5,0)</f>
        <v>2.7110853551344762</v>
      </c>
      <c r="AP5" s="46">
        <f>AN5/AC5</f>
        <v>0.77964738139321543</v>
      </c>
    </row>
    <row r="6" spans="1:42" ht="13.5" customHeight="1" x14ac:dyDescent="0.25">
      <c r="A6" s="52">
        <f>SUMIF('Program Costs'!D:D,C2,'Program Costs'!L:L)</f>
        <v>2761600</v>
      </c>
      <c r="B6" s="88" t="s">
        <v>33</v>
      </c>
      <c r="C6" s="89">
        <v>18230638</v>
      </c>
      <c r="D6" s="60" t="s">
        <v>79</v>
      </c>
      <c r="E6" s="37" t="s">
        <v>1527</v>
      </c>
      <c r="F6" s="38" t="s">
        <v>672</v>
      </c>
      <c r="G6" s="38">
        <v>22</v>
      </c>
      <c r="H6" s="38">
        <v>0</v>
      </c>
      <c r="I6" s="39" t="s">
        <v>273</v>
      </c>
      <c r="J6" s="40">
        <v>7727</v>
      </c>
      <c r="K6" s="40">
        <v>45.2</v>
      </c>
      <c r="L6" s="40">
        <v>0</v>
      </c>
      <c r="M6" s="41">
        <v>250</v>
      </c>
      <c r="N6" s="41">
        <v>265</v>
      </c>
      <c r="O6" s="42">
        <v>349260.4</v>
      </c>
      <c r="P6" s="43">
        <v>1931750</v>
      </c>
      <c r="Q6" s="43">
        <v>2047655</v>
      </c>
      <c r="R6" s="44">
        <v>33.929000000000002</v>
      </c>
      <c r="S6" s="45"/>
      <c r="T6" s="38">
        <f t="shared" si="0"/>
        <v>22</v>
      </c>
      <c r="U6" s="46">
        <f t="shared" si="1"/>
        <v>18.285562795895551</v>
      </c>
      <c r="V6" s="47">
        <f t="shared" si="2"/>
        <v>15</v>
      </c>
      <c r="W6" s="48">
        <f t="shared" si="3"/>
        <v>0.8311619452679796</v>
      </c>
      <c r="X6" s="43">
        <f t="shared" si="4"/>
        <v>373237.59356470179</v>
      </c>
      <c r="Y6" s="43">
        <f t="shared" si="5"/>
        <v>115905</v>
      </c>
      <c r="Z6" s="43">
        <f t="shared" si="6"/>
        <v>2668574.421616754</v>
      </c>
      <c r="AA6" s="49">
        <f t="shared" si="7"/>
        <v>2420892.5935647017</v>
      </c>
      <c r="AB6" s="50">
        <f t="shared" si="8"/>
        <v>2498665.1887797322</v>
      </c>
      <c r="AC6" s="43">
        <f t="shared" si="9"/>
        <v>2266753.3647609567</v>
      </c>
      <c r="AD6" s="43">
        <f t="shared" si="10"/>
        <v>2948644.6545925755</v>
      </c>
      <c r="AE6" s="43">
        <v>0</v>
      </c>
      <c r="AF6" s="51">
        <f>HLOOKUP(I6,GasAvoidedCostsWOCC!$A$5:$G$50,G6+1,FALSE)</f>
        <v>20.838159707120742</v>
      </c>
      <c r="AG6" s="43">
        <f t="shared" si="11"/>
        <v>7277943.9945728732</v>
      </c>
      <c r="AH6" s="51">
        <f>HLOOKUP(I6,GasAvoidedCostsWOCC!$A$5:$Q$50,T6+1,FALSE)</f>
        <v>20.838159707120742</v>
      </c>
      <c r="AI6" s="43">
        <f t="shared" si="12"/>
        <v>0</v>
      </c>
      <c r="AJ6" s="43">
        <f t="shared" ref="AJ6:AJ24" si="13">AG6+AI6</f>
        <v>7277943.9945728732</v>
      </c>
      <c r="AK6" s="43">
        <f>HLOOKUP(I6,GasAvoidedCostsWOCC!$A$5:$Q$50,G6+1,FALSE)*J6*L6</f>
        <v>0</v>
      </c>
      <c r="AL6" s="43">
        <f t="shared" ref="AL6:AL24" si="14">AG6+AI6-AK6</f>
        <v>7277943.9945728732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7277943.9945728732</v>
      </c>
      <c r="AN6" s="47">
        <f t="shared" ref="AN6:AN24" si="15">AM6*1.1+AD6+AE6</f>
        <v>10954383.048622737</v>
      </c>
      <c r="AO6" s="46">
        <f t="shared" ref="AO6:AO24" si="16">IFERROR(AM6/AB6,0)</f>
        <v>2.9127327771862013</v>
      </c>
      <c r="AP6" s="46">
        <f t="shared" ref="AP6:AP24" si="17">AN6/AC6</f>
        <v>4.8326312067823682</v>
      </c>
    </row>
    <row r="7" spans="1:42" ht="13.5" customHeight="1" x14ac:dyDescent="0.25">
      <c r="A7" s="35" t="s">
        <v>239</v>
      </c>
      <c r="B7" s="88" t="s">
        <v>33</v>
      </c>
      <c r="C7" s="89">
        <v>18230638</v>
      </c>
      <c r="D7" s="60" t="s">
        <v>79</v>
      </c>
      <c r="E7" s="37" t="s">
        <v>1528</v>
      </c>
      <c r="F7" s="38" t="s">
        <v>784</v>
      </c>
      <c r="G7" s="38">
        <v>22</v>
      </c>
      <c r="H7" s="38">
        <v>0</v>
      </c>
      <c r="I7" s="39" t="s">
        <v>273</v>
      </c>
      <c r="J7" s="40">
        <v>254</v>
      </c>
      <c r="K7" s="40">
        <v>45.2</v>
      </c>
      <c r="L7" s="40">
        <v>0</v>
      </c>
      <c r="M7" s="41">
        <v>750</v>
      </c>
      <c r="N7" s="41">
        <v>265</v>
      </c>
      <c r="O7" s="42">
        <v>11480.800000000001</v>
      </c>
      <c r="P7" s="43">
        <v>190500</v>
      </c>
      <c r="Q7" s="43">
        <v>67310</v>
      </c>
      <c r="R7" s="44">
        <v>33.948900000000002</v>
      </c>
      <c r="S7" s="45"/>
      <c r="T7" s="38">
        <f t="shared" si="0"/>
        <v>22</v>
      </c>
      <c r="U7" s="46">
        <f t="shared" si="1"/>
        <v>0.60107841984696131</v>
      </c>
      <c r="V7" s="47">
        <f t="shared" si="2"/>
        <v>-485</v>
      </c>
      <c r="W7" s="48">
        <f t="shared" si="3"/>
        <v>2.7321746356680058E-2</v>
      </c>
      <c r="X7" s="43">
        <f t="shared" si="4"/>
        <v>12268.97227454824</v>
      </c>
      <c r="Y7" s="43">
        <f t="shared" si="5"/>
        <v>-123190</v>
      </c>
      <c r="Z7" s="43">
        <f t="shared" si="6"/>
        <v>87720.707013155887</v>
      </c>
      <c r="AA7" s="49">
        <f t="shared" si="7"/>
        <v>79578.972274548243</v>
      </c>
      <c r="AB7" s="50">
        <f t="shared" si="8"/>
        <v>82135.493458011129</v>
      </c>
      <c r="AC7" s="43">
        <f t="shared" si="9"/>
        <v>74512.146324483372</v>
      </c>
      <c r="AD7" s="43">
        <f t="shared" si="10"/>
        <v>96983.954829811919</v>
      </c>
      <c r="AE7" s="43">
        <v>0</v>
      </c>
      <c r="AF7" s="51">
        <f>HLOOKUP(I7,GasAvoidedCostsWOCC!$A$5:$G$50,G7+1,FALSE)</f>
        <v>20.838159707120742</v>
      </c>
      <c r="AG7" s="43">
        <f t="shared" si="11"/>
        <v>239238.74396551182</v>
      </c>
      <c r="AH7" s="51">
        <f>HLOOKUP(I7,GasAvoidedCostsWOCC!$A$5:$Q$50,T7+1,FALSE)</f>
        <v>20.838159707120742</v>
      </c>
      <c r="AI7" s="43">
        <f t="shared" si="12"/>
        <v>0</v>
      </c>
      <c r="AJ7" s="43">
        <f t="shared" si="13"/>
        <v>239238.74396551182</v>
      </c>
      <c r="AK7" s="43">
        <f>HLOOKUP(I7,GasAvoidedCostsWOCC!$A$5:$Q$50,G7+1,FALSE)*J7*L7</f>
        <v>0</v>
      </c>
      <c r="AL7" s="43">
        <f t="shared" si="14"/>
        <v>239238.74396551182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239238.74396551182</v>
      </c>
      <c r="AN7" s="47">
        <f t="shared" si="15"/>
        <v>360146.57319187495</v>
      </c>
      <c r="AO7" s="46">
        <f t="shared" si="16"/>
        <v>2.9127327771862013</v>
      </c>
      <c r="AP7" s="46">
        <f t="shared" si="17"/>
        <v>4.8333941640000395</v>
      </c>
    </row>
    <row r="8" spans="1:42" ht="13.5" customHeight="1" x14ac:dyDescent="0.25">
      <c r="A8" s="52">
        <f>SUMIF('Program Costs'!D:D,C2,'Program Costs'!O:O)</f>
        <v>449055.20000000019</v>
      </c>
      <c r="B8" s="88" t="s">
        <v>33</v>
      </c>
      <c r="C8" s="89">
        <v>18230638</v>
      </c>
      <c r="D8" s="60" t="s">
        <v>79</v>
      </c>
      <c r="E8" s="37" t="s">
        <v>1529</v>
      </c>
      <c r="F8" s="38" t="s">
        <v>786</v>
      </c>
      <c r="G8" s="38">
        <v>22</v>
      </c>
      <c r="H8" s="38">
        <v>0</v>
      </c>
      <c r="I8" s="39" t="s">
        <v>273</v>
      </c>
      <c r="J8" s="40">
        <v>14</v>
      </c>
      <c r="K8" s="40">
        <v>30.3</v>
      </c>
      <c r="L8" s="40">
        <v>0</v>
      </c>
      <c r="M8" s="41">
        <v>750</v>
      </c>
      <c r="N8" s="41">
        <v>231</v>
      </c>
      <c r="O8" s="42">
        <v>424.2</v>
      </c>
      <c r="P8" s="43">
        <v>10500</v>
      </c>
      <c r="Q8" s="43">
        <v>3234</v>
      </c>
      <c r="R8" s="44">
        <v>0</v>
      </c>
      <c r="S8" s="45"/>
      <c r="T8" s="38">
        <f t="shared" si="0"/>
        <v>22</v>
      </c>
      <c r="U8" s="46">
        <f t="shared" si="1"/>
        <v>2.2209032968005797E-2</v>
      </c>
      <c r="V8" s="47">
        <f t="shared" si="2"/>
        <v>-519</v>
      </c>
      <c r="W8" s="48">
        <f t="shared" si="3"/>
        <v>1.0095014985457181E-3</v>
      </c>
      <c r="X8" s="43">
        <f t="shared" si="4"/>
        <v>453.32189732974734</v>
      </c>
      <c r="Y8" s="43">
        <f t="shared" si="5"/>
        <v>-7266</v>
      </c>
      <c r="Z8" s="43">
        <f t="shared" si="6"/>
        <v>3241.1612357136028</v>
      </c>
      <c r="AA8" s="49">
        <f t="shared" si="7"/>
        <v>3687.3218973297471</v>
      </c>
      <c r="AB8" s="50">
        <f t="shared" si="8"/>
        <v>3034.7951645258449</v>
      </c>
      <c r="AC8" s="43">
        <f t="shared" si="9"/>
        <v>3452.548593005381</v>
      </c>
      <c r="AD8" s="43">
        <f t="shared" si="10"/>
        <v>0</v>
      </c>
      <c r="AE8" s="43">
        <v>0</v>
      </c>
      <c r="AF8" s="51">
        <f>HLOOKUP(I8,GasAvoidedCostsWOCC!$A$5:$G$50,G8+1,FALSE)</f>
        <v>20.838159707120742</v>
      </c>
      <c r="AG8" s="43">
        <f t="shared" si="11"/>
        <v>8839.5473477606174</v>
      </c>
      <c r="AH8" s="51">
        <f>HLOOKUP(I8,GasAvoidedCostsWOCC!$A$5:$Q$50,T8+1,FALSE)</f>
        <v>20.838159707120742</v>
      </c>
      <c r="AI8" s="43">
        <f t="shared" si="12"/>
        <v>0</v>
      </c>
      <c r="AJ8" s="43">
        <f t="shared" si="13"/>
        <v>8839.5473477606174</v>
      </c>
      <c r="AK8" s="43">
        <f>HLOOKUP(I8,GasAvoidedCostsWOCC!$A$5:$Q$50,G8+1,FALSE)*J8*L8</f>
        <v>0</v>
      </c>
      <c r="AL8" s="43">
        <f t="shared" si="14"/>
        <v>8839.5473477606174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8839.5473477606192</v>
      </c>
      <c r="AN8" s="47">
        <f t="shared" si="15"/>
        <v>9723.5020825366828</v>
      </c>
      <c r="AO8" s="46">
        <f t="shared" si="16"/>
        <v>2.9127327771862013</v>
      </c>
      <c r="AP8" s="46">
        <f t="shared" si="17"/>
        <v>2.8163259171024588</v>
      </c>
    </row>
    <row r="9" spans="1:42" ht="13.5" customHeight="1" x14ac:dyDescent="0.25">
      <c r="A9" s="35" t="s">
        <v>303</v>
      </c>
      <c r="B9" s="88" t="s">
        <v>33</v>
      </c>
      <c r="C9" s="89">
        <v>18230638</v>
      </c>
      <c r="D9" s="60" t="s">
        <v>79</v>
      </c>
      <c r="E9" s="37" t="s">
        <v>1530</v>
      </c>
      <c r="F9" s="38" t="s">
        <v>1531</v>
      </c>
      <c r="G9" s="38">
        <v>22</v>
      </c>
      <c r="H9" s="38">
        <v>0</v>
      </c>
      <c r="I9" s="39" t="s">
        <v>273</v>
      </c>
      <c r="J9" s="40">
        <v>20</v>
      </c>
      <c r="K9" s="40">
        <v>45.2</v>
      </c>
      <c r="L9" s="40">
        <v>0</v>
      </c>
      <c r="M9" s="41">
        <v>1780</v>
      </c>
      <c r="N9" s="41">
        <v>265</v>
      </c>
      <c r="O9" s="42">
        <v>904</v>
      </c>
      <c r="P9" s="43">
        <v>35600</v>
      </c>
      <c r="Q9" s="43">
        <v>5300</v>
      </c>
      <c r="R9" s="44">
        <v>33.929000000000002</v>
      </c>
      <c r="S9" s="45"/>
      <c r="T9" s="38">
        <f t="shared" si="0"/>
        <v>22</v>
      </c>
      <c r="U9" s="46">
        <f t="shared" si="1"/>
        <v>4.7329009436768599E-2</v>
      </c>
      <c r="V9" s="47">
        <f t="shared" si="2"/>
        <v>-1515</v>
      </c>
      <c r="W9" s="48">
        <f t="shared" si="3"/>
        <v>2.1513186107622092E-3</v>
      </c>
      <c r="X9" s="43">
        <f t="shared" si="4"/>
        <v>966.06080901954635</v>
      </c>
      <c r="Y9" s="43">
        <f t="shared" si="5"/>
        <v>-30300</v>
      </c>
      <c r="Z9" s="43">
        <f t="shared" si="6"/>
        <v>6907.1422845004636</v>
      </c>
      <c r="AA9" s="49">
        <f t="shared" si="7"/>
        <v>6266.0608090195465</v>
      </c>
      <c r="AB9" s="50">
        <f t="shared" si="8"/>
        <v>6467.3616896071753</v>
      </c>
      <c r="AC9" s="43">
        <f t="shared" si="9"/>
        <v>5867.0981357860919</v>
      </c>
      <c r="AD9" s="43">
        <f t="shared" si="10"/>
        <v>7632.0555314936601</v>
      </c>
      <c r="AE9" s="43">
        <f t="shared" ref="AE9:AE24" si="18">-PV(GasDiscountRate,T9,S9)*J9</f>
        <v>0</v>
      </c>
      <c r="AF9" s="51">
        <f>HLOOKUP(I9,GasAvoidedCostsWOCC!$A$5:$G$50,G9+1,FALSE)</f>
        <v>20.838159707120742</v>
      </c>
      <c r="AG9" s="43">
        <f t="shared" si="11"/>
        <v>18837.696375237152</v>
      </c>
      <c r="AH9" s="51">
        <f>HLOOKUP(I9,GasAvoidedCostsWOCC!$A$5:$Q$50,T9+1,FALSE)</f>
        <v>20.838159707120742</v>
      </c>
      <c r="AI9" s="43">
        <f t="shared" si="12"/>
        <v>0</v>
      </c>
      <c r="AJ9" s="43">
        <f t="shared" si="13"/>
        <v>18837.696375237152</v>
      </c>
      <c r="AK9" s="43">
        <f>HLOOKUP(I9,GasAvoidedCostsWOCC!$A$5:$Q$50,G9+1,FALSE)*J9*L9</f>
        <v>0</v>
      </c>
      <c r="AL9" s="43">
        <f t="shared" si="14"/>
        <v>18837.696375237152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18837.696375237152</v>
      </c>
      <c r="AN9" s="47">
        <f t="shared" si="15"/>
        <v>28353.52154425453</v>
      </c>
      <c r="AO9" s="46">
        <f t="shared" si="16"/>
        <v>2.9127327771862013</v>
      </c>
      <c r="AP9" s="46">
        <f t="shared" si="17"/>
        <v>4.8326312067823691</v>
      </c>
    </row>
    <row r="10" spans="1:42" ht="13.5" customHeight="1" x14ac:dyDescent="0.25">
      <c r="A10" s="53">
        <f>SUM(O5:O999)</f>
        <v>420207.4</v>
      </c>
      <c r="B10" s="36"/>
      <c r="E10" s="37" t="s">
        <v>1532</v>
      </c>
      <c r="F10" s="38" t="s">
        <v>1533</v>
      </c>
      <c r="G10" s="38">
        <v>22</v>
      </c>
      <c r="H10" s="38">
        <v>0</v>
      </c>
      <c r="I10" s="39" t="s">
        <v>273</v>
      </c>
      <c r="J10" s="40">
        <v>100</v>
      </c>
      <c r="K10" s="40">
        <v>22.6</v>
      </c>
      <c r="L10" s="40">
        <v>0</v>
      </c>
      <c r="M10" s="41">
        <v>250</v>
      </c>
      <c r="N10" s="41">
        <v>265</v>
      </c>
      <c r="O10" s="42">
        <v>2260</v>
      </c>
      <c r="P10" s="43">
        <v>25000</v>
      </c>
      <c r="Q10" s="43">
        <v>26500</v>
      </c>
      <c r="R10" s="44">
        <v>16.964500000000001</v>
      </c>
      <c r="S10" s="45"/>
      <c r="T10" s="38">
        <f t="shared" si="0"/>
        <v>22</v>
      </c>
      <c r="U10" s="46">
        <f t="shared" si="1"/>
        <v>0.11832252359192151</v>
      </c>
      <c r="V10" s="47">
        <f t="shared" si="2"/>
        <v>15</v>
      </c>
      <c r="W10" s="48">
        <f t="shared" si="3"/>
        <v>5.378296526905523E-3</v>
      </c>
      <c r="X10" s="43">
        <f t="shared" si="4"/>
        <v>2415.1520225488662</v>
      </c>
      <c r="Y10" s="43">
        <f t="shared" si="5"/>
        <v>1500</v>
      </c>
      <c r="Z10" s="43">
        <f t="shared" si="6"/>
        <v>17267.855711251159</v>
      </c>
      <c r="AA10" s="49">
        <f t="shared" si="7"/>
        <v>28915.152022548868</v>
      </c>
      <c r="AB10" s="50">
        <f t="shared" si="8"/>
        <v>16168.404224017939</v>
      </c>
      <c r="AC10" s="43">
        <f t="shared" si="9"/>
        <v>27074.112380663733</v>
      </c>
      <c r="AD10" s="43">
        <f t="shared" si="10"/>
        <v>19080.138828734151</v>
      </c>
      <c r="AE10" s="43">
        <f t="shared" si="18"/>
        <v>0</v>
      </c>
      <c r="AF10" s="51">
        <f>HLOOKUP(I10,GasAvoidedCostsWOCC!$A$5:$G$50,G10+1,FALSE)</f>
        <v>20.838159707120742</v>
      </c>
      <c r="AG10" s="43">
        <f t="shared" si="11"/>
        <v>47094.240938092873</v>
      </c>
      <c r="AH10" s="51">
        <f>HLOOKUP(I10,GasAvoidedCostsWOCC!$A$5:$Q$50,T10+1,FALSE)</f>
        <v>20.838159707120742</v>
      </c>
      <c r="AI10" s="43">
        <f t="shared" si="12"/>
        <v>0</v>
      </c>
      <c r="AJ10" s="43">
        <f t="shared" si="13"/>
        <v>47094.240938092873</v>
      </c>
      <c r="AK10" s="43">
        <f>HLOOKUP(I10,GasAvoidedCostsWOCC!$A$5:$Q$50,G10+1,FALSE)*J10*L10</f>
        <v>0</v>
      </c>
      <c r="AL10" s="43">
        <f t="shared" si="14"/>
        <v>47094.240938092873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47094.24093809288</v>
      </c>
      <c r="AN10" s="47">
        <f t="shared" si="15"/>
        <v>70883.803860636326</v>
      </c>
      <c r="AO10" s="46">
        <f t="shared" si="16"/>
        <v>2.9127327771862013</v>
      </c>
      <c r="AP10" s="46">
        <f t="shared" si="17"/>
        <v>2.6181395298950361</v>
      </c>
    </row>
    <row r="11" spans="1:42" ht="13.5" customHeight="1" x14ac:dyDescent="0.25">
      <c r="A11" s="35" t="s">
        <v>242</v>
      </c>
      <c r="B11" s="36"/>
      <c r="E11" s="37" t="s">
        <v>1534</v>
      </c>
      <c r="F11" s="38" t="s">
        <v>589</v>
      </c>
      <c r="G11" s="38">
        <v>7</v>
      </c>
      <c r="H11" s="38">
        <v>0</v>
      </c>
      <c r="I11" s="39" t="s">
        <v>273</v>
      </c>
      <c r="J11" s="40">
        <v>600</v>
      </c>
      <c r="K11" s="40">
        <v>26.7</v>
      </c>
      <c r="L11" s="40">
        <v>0</v>
      </c>
      <c r="M11" s="41">
        <v>75</v>
      </c>
      <c r="N11" s="41">
        <v>165.03</v>
      </c>
      <c r="O11" s="42">
        <v>16020</v>
      </c>
      <c r="P11" s="43">
        <v>45000</v>
      </c>
      <c r="Q11" s="43">
        <v>99018</v>
      </c>
      <c r="R11" s="44">
        <v>5.1630000000000003</v>
      </c>
      <c r="S11" s="45"/>
      <c r="T11" s="38">
        <f t="shared" si="0"/>
        <v>7</v>
      </c>
      <c r="U11" s="46">
        <f t="shared" si="1"/>
        <v>0.26686821793238291</v>
      </c>
      <c r="V11" s="47">
        <f t="shared" si="2"/>
        <v>90.03</v>
      </c>
      <c r="W11" s="48">
        <f t="shared" si="3"/>
        <v>3.812403113319756E-2</v>
      </c>
      <c r="X11" s="43">
        <f t="shared" si="4"/>
        <v>17119.794425324264</v>
      </c>
      <c r="Y11" s="43">
        <f t="shared" si="5"/>
        <v>54018</v>
      </c>
      <c r="Z11" s="43">
        <f t="shared" si="6"/>
        <v>122403.11880276265</v>
      </c>
      <c r="AA11" s="49">
        <f t="shared" si="7"/>
        <v>116137.79442532426</v>
      </c>
      <c r="AB11" s="50">
        <f t="shared" si="8"/>
        <v>114609.66180033956</v>
      </c>
      <c r="AC11" s="43">
        <f t="shared" si="9"/>
        <v>108743.25320723245</v>
      </c>
      <c r="AD11" s="43">
        <f t="shared" si="10"/>
        <v>16811.982314042547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132911.11457448555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132911.11457448555</v>
      </c>
      <c r="AK11" s="43">
        <f>HLOOKUP(I11,GasAvoidedCostsWOCC!$A$5:$Q$50,G11+1,FALSE)*J11*L11</f>
        <v>0</v>
      </c>
      <c r="AL11" s="43">
        <f t="shared" si="14"/>
        <v>132911.11457448555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132911.11457448555</v>
      </c>
      <c r="AN11" s="47">
        <f t="shared" si="15"/>
        <v>163014.20834597666</v>
      </c>
      <c r="AO11" s="46">
        <f t="shared" si="16"/>
        <v>1.1596850779127923</v>
      </c>
      <c r="AP11" s="46">
        <f t="shared" si="17"/>
        <v>1.499074227946076</v>
      </c>
    </row>
    <row r="12" spans="1:42" ht="13.5" customHeight="1" x14ac:dyDescent="0.25">
      <c r="A12" s="54">
        <f>SUM(P5:P1000)</f>
        <v>2761600</v>
      </c>
      <c r="B12" s="36"/>
      <c r="E12" s="37" t="s">
        <v>1535</v>
      </c>
      <c r="F12" s="38" t="s">
        <v>590</v>
      </c>
      <c r="G12" s="38">
        <v>7</v>
      </c>
      <c r="H12" s="38">
        <v>0</v>
      </c>
      <c r="I12" s="39" t="s">
        <v>273</v>
      </c>
      <c r="J12" s="40">
        <v>90</v>
      </c>
      <c r="K12" s="40">
        <v>26.7</v>
      </c>
      <c r="L12" s="40">
        <v>0</v>
      </c>
      <c r="M12" s="41">
        <v>175</v>
      </c>
      <c r="N12" s="41">
        <v>165.03</v>
      </c>
      <c r="O12" s="42">
        <v>2403</v>
      </c>
      <c r="P12" s="43">
        <v>15750</v>
      </c>
      <c r="Q12" s="43">
        <v>14852.7</v>
      </c>
      <c r="R12" s="44">
        <v>5.1630000000000003</v>
      </c>
      <c r="S12" s="45"/>
      <c r="T12" s="38">
        <f t="shared" si="0"/>
        <v>7</v>
      </c>
      <c r="U12" s="46">
        <f t="shared" si="1"/>
        <v>4.0030232689857434E-2</v>
      </c>
      <c r="V12" s="47">
        <f t="shared" si="2"/>
        <v>-9.9699999999999989</v>
      </c>
      <c r="W12" s="48">
        <f t="shared" si="3"/>
        <v>5.7186046699796338E-3</v>
      </c>
      <c r="X12" s="43">
        <f t="shared" si="4"/>
        <v>2567.9691637986393</v>
      </c>
      <c r="Y12" s="43">
        <f t="shared" si="5"/>
        <v>-897.29999999999927</v>
      </c>
      <c r="Z12" s="43">
        <f t="shared" si="6"/>
        <v>18360.467820414397</v>
      </c>
      <c r="AA12" s="49">
        <f t="shared" si="7"/>
        <v>17420.669163798641</v>
      </c>
      <c r="AB12" s="50">
        <f t="shared" si="8"/>
        <v>17191.449270050933</v>
      </c>
      <c r="AC12" s="43">
        <f t="shared" si="9"/>
        <v>16311.487981084869</v>
      </c>
      <c r="AD12" s="43">
        <f t="shared" si="10"/>
        <v>2521.7973471063824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19936.667186172832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19936.667186172832</v>
      </c>
      <c r="AK12" s="43">
        <f>HLOOKUP(I12,GasAvoidedCostsWOCC!$A$5:$Q$50,G12+1,FALSE)*J12*L12</f>
        <v>0</v>
      </c>
      <c r="AL12" s="43">
        <f t="shared" si="14"/>
        <v>19936.667186172832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19936.667186172832</v>
      </c>
      <c r="AN12" s="47">
        <f t="shared" si="15"/>
        <v>24452.131251896499</v>
      </c>
      <c r="AO12" s="46">
        <f t="shared" si="16"/>
        <v>1.1596850779127923</v>
      </c>
      <c r="AP12" s="46">
        <f t="shared" si="17"/>
        <v>1.499074227946076</v>
      </c>
    </row>
    <row r="13" spans="1:42" ht="13.5" customHeight="1" x14ac:dyDescent="0.25">
      <c r="A13" s="55" t="s">
        <v>245</v>
      </c>
      <c r="B13" s="36"/>
      <c r="E13" s="37" t="s">
        <v>1536</v>
      </c>
      <c r="F13" s="38" t="s">
        <v>1537</v>
      </c>
      <c r="G13" s="38">
        <v>7</v>
      </c>
      <c r="H13" s="38">
        <v>0</v>
      </c>
      <c r="I13" s="39" t="s">
        <v>273</v>
      </c>
      <c r="J13" s="40">
        <v>100</v>
      </c>
      <c r="K13" s="40">
        <v>26.7</v>
      </c>
      <c r="L13" s="40">
        <v>0</v>
      </c>
      <c r="M13" s="41">
        <v>100</v>
      </c>
      <c r="N13" s="41">
        <v>165.03</v>
      </c>
      <c r="O13" s="42">
        <v>2670</v>
      </c>
      <c r="P13" s="43">
        <v>10000</v>
      </c>
      <c r="Q13" s="43">
        <v>16503</v>
      </c>
      <c r="R13" s="44">
        <v>5.1630000000000003</v>
      </c>
      <c r="S13" s="45"/>
      <c r="T13" s="38">
        <f t="shared" si="0"/>
        <v>7</v>
      </c>
      <c r="U13" s="46">
        <f t="shared" si="1"/>
        <v>4.4478036322063819E-2</v>
      </c>
      <c r="V13" s="47">
        <f t="shared" si="2"/>
        <v>65.03</v>
      </c>
      <c r="W13" s="48">
        <f t="shared" si="3"/>
        <v>6.3540051888662597E-3</v>
      </c>
      <c r="X13" s="43">
        <f t="shared" si="4"/>
        <v>2853.2990708873772</v>
      </c>
      <c r="Y13" s="43">
        <f t="shared" si="5"/>
        <v>6503</v>
      </c>
      <c r="Z13" s="43">
        <f t="shared" si="6"/>
        <v>20400.519800460439</v>
      </c>
      <c r="AA13" s="49">
        <f t="shared" si="7"/>
        <v>19356.299070887377</v>
      </c>
      <c r="AB13" s="50">
        <f t="shared" si="8"/>
        <v>19101.610300056589</v>
      </c>
      <c r="AC13" s="43">
        <f t="shared" si="9"/>
        <v>18123.87553453874</v>
      </c>
      <c r="AD13" s="43">
        <f t="shared" si="10"/>
        <v>2801.9970523404245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22151.852429080926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22151.852429080926</v>
      </c>
      <c r="AK13" s="43">
        <f>HLOOKUP(I13,GasAvoidedCostsWOCC!$A$5:$Q$50,G13+1,FALSE)*J13*L13</f>
        <v>0</v>
      </c>
      <c r="AL13" s="43">
        <f t="shared" si="14"/>
        <v>22151.852429080926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22151.852429080926</v>
      </c>
      <c r="AN13" s="47">
        <f t="shared" si="15"/>
        <v>27169.034724329445</v>
      </c>
      <c r="AO13" s="46">
        <f t="shared" si="16"/>
        <v>1.1596850779127925</v>
      </c>
      <c r="AP13" s="46">
        <f t="shared" si="17"/>
        <v>1.4990742279460765</v>
      </c>
    </row>
    <row r="14" spans="1:42" ht="13.5" customHeight="1" x14ac:dyDescent="0.25">
      <c r="A14" s="54">
        <f>SUM(Y5:Y1000)</f>
        <v>493527.2</v>
      </c>
      <c r="B14" s="36"/>
      <c r="E14" s="37" t="s">
        <v>1538</v>
      </c>
      <c r="F14" s="38" t="s">
        <v>1539</v>
      </c>
      <c r="G14" s="38">
        <v>7</v>
      </c>
      <c r="H14" s="38">
        <v>0</v>
      </c>
      <c r="I14" s="39" t="s">
        <v>273</v>
      </c>
      <c r="J14" s="40">
        <v>150</v>
      </c>
      <c r="K14" s="40">
        <v>26.7</v>
      </c>
      <c r="L14" s="40">
        <v>0</v>
      </c>
      <c r="M14" s="41">
        <v>150</v>
      </c>
      <c r="N14" s="41">
        <v>165.03</v>
      </c>
      <c r="O14" s="42">
        <v>4005</v>
      </c>
      <c r="P14" s="43">
        <v>22500</v>
      </c>
      <c r="Q14" s="43">
        <v>24754.5</v>
      </c>
      <c r="R14" s="44">
        <v>5.1630000000000003</v>
      </c>
      <c r="S14" s="45"/>
      <c r="T14" s="38">
        <f t="shared" si="0"/>
        <v>7</v>
      </c>
      <c r="U14" s="46">
        <f t="shared" si="1"/>
        <v>6.6717054483095728E-2</v>
      </c>
      <c r="V14" s="47">
        <f t="shared" si="2"/>
        <v>15.030000000000001</v>
      </c>
      <c r="W14" s="48">
        <f t="shared" si="3"/>
        <v>9.53100778329939E-3</v>
      </c>
      <c r="X14" s="43">
        <f t="shared" si="4"/>
        <v>4279.948606331066</v>
      </c>
      <c r="Y14" s="43">
        <f t="shared" si="5"/>
        <v>2254.5</v>
      </c>
      <c r="Z14" s="43">
        <f t="shared" si="6"/>
        <v>30600.779700690662</v>
      </c>
      <c r="AA14" s="49">
        <f t="shared" si="7"/>
        <v>29034.448606331065</v>
      </c>
      <c r="AB14" s="50">
        <f t="shared" si="8"/>
        <v>28652.415450084889</v>
      </c>
      <c r="AC14" s="43">
        <f t="shared" si="9"/>
        <v>27185.813301808113</v>
      </c>
      <c r="AD14" s="43">
        <f t="shared" si="10"/>
        <v>4202.9955785106367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33227.778643621386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33227.778643621386</v>
      </c>
      <c r="AK14" s="43">
        <f>HLOOKUP(I14,GasAvoidedCostsWOCC!$A$5:$Q$50,G14+1,FALSE)*J14*L14</f>
        <v>0</v>
      </c>
      <c r="AL14" s="43">
        <f t="shared" si="14"/>
        <v>33227.778643621386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33227.778643621386</v>
      </c>
      <c r="AN14" s="47">
        <f t="shared" si="15"/>
        <v>40753.552086494165</v>
      </c>
      <c r="AO14" s="46">
        <f t="shared" si="16"/>
        <v>1.1596850779127923</v>
      </c>
      <c r="AP14" s="46">
        <f t="shared" si="17"/>
        <v>1.499074227946076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20.957586182442292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3210655.2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3704182.4000000004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2.793256778412462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3.5741634093496044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Z25/(1+GasDiscountRate)^1</f>
        <v>0</v>
      </c>
      <c r="AC25" s="43">
        <f t="shared" ref="AC25:AC50" si="28">AA25/(1+GasDiscountRate)^1</f>
        <v>0</v>
      </c>
      <c r="AD25" s="43">
        <f t="shared" ref="AD25:AD50" si="29">-PV(GasDiscountRate,T25,R25)*J25</f>
        <v>0</v>
      </c>
      <c r="AE25" s="43">
        <f t="shared" ref="AE25:AE50" si="30">-PV(GasDiscountRate,T25,S25)*J25</f>
        <v>0</v>
      </c>
      <c r="AF25" s="51" t="e">
        <f>HLOOKUP(I25,GasAvoidedCostsWOCC!$A$5:$G$50,G25+1,FALSE)</f>
        <v>#N/A</v>
      </c>
      <c r="AG25" s="43" t="e">
        <f t="shared" ref="AG25:AG50" si="31">AF25*J25*K25</f>
        <v>#N/A</v>
      </c>
      <c r="AH25" s="51" t="e">
        <f>HLOOKUP(I25,GasAvoidedCostsWOCC!$A$5:$Q$50,T25+1,FALSE)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HLOOKUP(I25,GasAvoidedCostsWOCC!$A$5:$Q$50,G25+1,FALSE)*J25*L25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0 R5:S50">
    <cfRule type="expression" dxfId="142" priority="2">
      <formula>ISTEXT(M5)</formula>
    </cfRule>
  </conditionalFormatting>
  <conditionalFormatting sqref="M5:N50 R5:S50">
    <cfRule type="notContainsBlanks" dxfId="141" priority="3">
      <formula>LEN(TRIM(M5))&gt;0</formula>
    </cfRule>
  </conditionalFormatting>
  <conditionalFormatting sqref="R5:S50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7" sqref="J1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18230249</v>
      </c>
      <c r="D2" s="19" t="s">
        <v>34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18230249</v>
      </c>
      <c r="D5" s="60" t="s">
        <v>34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660</v>
      </c>
      <c r="K5" s="40">
        <v>-5.39</v>
      </c>
      <c r="L5" s="40">
        <v>0</v>
      </c>
      <c r="M5" s="41">
        <v>0</v>
      </c>
      <c r="N5" s="41">
        <v>0</v>
      </c>
      <c r="O5" s="42">
        <v>-3557.3999999999996</v>
      </c>
      <c r="P5" s="43">
        <v>0</v>
      </c>
      <c r="Q5" s="43">
        <v>0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-0.37763652784287721</v>
      </c>
      <c r="V5" s="47">
        <f t="shared" ref="V5:V24" si="2">N5-M5</f>
        <v>0</v>
      </c>
      <c r="W5" s="48">
        <f t="shared" ref="W5:W24" si="3">(O5/A$10)</f>
        <v>-2.9048963680221324E-2</v>
      </c>
      <c r="X5" s="43">
        <f t="shared" ref="X5:X24" si="4">W5*A$8</f>
        <v>-12095.686367221888</v>
      </c>
      <c r="Y5" s="43">
        <f t="shared" ref="Y5:Y24" si="5">Q5-P5</f>
        <v>0</v>
      </c>
      <c r="Z5" s="43">
        <f t="shared" ref="Z5:Z24" si="6">X5+(A$6*W5)</f>
        <v>-38611.580414527911</v>
      </c>
      <c r="AA5" s="49">
        <f t="shared" ref="AA5:AA24" si="7">Q5+X5</f>
        <v>-12095.686367221888</v>
      </c>
      <c r="AB5" s="50">
        <f t="shared" ref="AB5:AB24" si="8">Z5/(1+GasDiscountRate)^1</f>
        <v>-36153.165182142235</v>
      </c>
      <c r="AC5" s="43">
        <f t="shared" ref="AC5:AC24" si="9">AA5/(1+GasDiscountRate)^1</f>
        <v>-11325.549032979296</v>
      </c>
      <c r="AD5" s="43">
        <f t="shared" ref="AD5:AD24" si="10">-PV(GasDiscountRate,T5,R5)*J5</f>
        <v>20848.639170100039</v>
      </c>
      <c r="AE5" s="43">
        <v>0</v>
      </c>
      <c r="AF5" s="51">
        <f>HLOOKUP(I5,GasAvoidedCostsWOCC!$A$5:$G$50,G5+1,FALSE)</f>
        <v>13.232715973047561</v>
      </c>
      <c r="AG5" s="43">
        <f t="shared" ref="AG5:AG24" si="11">AF5*J5*K5</f>
        <v>-47074.063802519391</v>
      </c>
      <c r="AH5" s="51">
        <f>HLOOKUP(I5,GasAvoidedCostsWOCC!$A$5:$Q$50,T5+1,FALSE)</f>
        <v>13.232715973047561</v>
      </c>
      <c r="AI5" s="43">
        <f t="shared" ref="AI5:AI24" si="12">AH5*J5*L5</f>
        <v>0</v>
      </c>
      <c r="AJ5" s="43">
        <f>AG5+AI5</f>
        <v>-47074.063802519391</v>
      </c>
      <c r="AK5" s="43">
        <f>HLOOKUP(I5,GasAvoidedCostsWOCC!$A$5:$Q$50,G5+1,FALSE)*J5*L5</f>
        <v>0</v>
      </c>
      <c r="AL5" s="43">
        <f>AG5+AI5-AK5</f>
        <v>-47074.063802519391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-47074.063802519391</v>
      </c>
      <c r="AN5" s="47">
        <f>AM5*1.1+AD5+AE5</f>
        <v>-30932.831012671297</v>
      </c>
      <c r="AO5" s="46">
        <f>IFERROR(AM5/AB5,0)</f>
        <v>1.3020730983126065</v>
      </c>
      <c r="AP5" s="46">
        <f>AN5/AC5</f>
        <v>2.7312433969070122</v>
      </c>
    </row>
    <row r="6" spans="1:42" ht="13.5" customHeight="1" x14ac:dyDescent="0.25">
      <c r="A6" s="52">
        <f>SUMIF('Program Costs'!D:D,C2,'Program Costs'!L:L)</f>
        <v>912800</v>
      </c>
      <c r="B6" s="88" t="s">
        <v>33</v>
      </c>
      <c r="C6" s="89">
        <v>18230249</v>
      </c>
      <c r="D6" s="60" t="s">
        <v>34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30</v>
      </c>
      <c r="K6" s="40">
        <v>-5.39</v>
      </c>
      <c r="L6" s="40">
        <v>0</v>
      </c>
      <c r="M6" s="41">
        <v>0</v>
      </c>
      <c r="N6" s="41">
        <v>0</v>
      </c>
      <c r="O6" s="42">
        <v>-161.69999999999999</v>
      </c>
      <c r="P6" s="43">
        <v>0</v>
      </c>
      <c r="Q6" s="43">
        <v>0</v>
      </c>
      <c r="R6" s="44">
        <v>3.7368999999999999</v>
      </c>
      <c r="S6" s="45"/>
      <c r="T6" s="38">
        <f t="shared" si="0"/>
        <v>13</v>
      </c>
      <c r="U6" s="46">
        <f t="shared" si="1"/>
        <v>-1.7165296720130785E-2</v>
      </c>
      <c r="V6" s="47">
        <f t="shared" si="2"/>
        <v>0</v>
      </c>
      <c r="W6" s="48">
        <f t="shared" si="3"/>
        <v>-1.3204074400100603E-3</v>
      </c>
      <c r="X6" s="43">
        <f t="shared" si="4"/>
        <v>-549.80392578281317</v>
      </c>
      <c r="Y6" s="43">
        <f t="shared" si="5"/>
        <v>0</v>
      </c>
      <c r="Z6" s="43">
        <f t="shared" si="6"/>
        <v>-1755.0718370239963</v>
      </c>
      <c r="AA6" s="49">
        <f t="shared" si="7"/>
        <v>-549.80392578281317</v>
      </c>
      <c r="AB6" s="50">
        <f t="shared" si="8"/>
        <v>-1643.3256900973747</v>
      </c>
      <c r="AC6" s="43">
        <f t="shared" si="9"/>
        <v>-514.79768331724074</v>
      </c>
      <c r="AD6" s="43">
        <f t="shared" si="10"/>
        <v>947.66541682272896</v>
      </c>
      <c r="AE6" s="43">
        <v>0</v>
      </c>
      <c r="AF6" s="51">
        <f>HLOOKUP(I6,GasAvoidedCostsWOCC!$A$5:$G$50,G6+1,FALSE)</f>
        <v>13.232715973047561</v>
      </c>
      <c r="AG6" s="43">
        <f t="shared" si="11"/>
        <v>-2139.7301728417906</v>
      </c>
      <c r="AH6" s="51">
        <f>HLOOKUP(I6,GasAvoidedCostsWOCC!$A$5:$Q$50,T6+1,FALSE)</f>
        <v>13.232715973047561</v>
      </c>
      <c r="AI6" s="43">
        <f t="shared" si="12"/>
        <v>0</v>
      </c>
      <c r="AJ6" s="43">
        <f t="shared" ref="AJ6:AJ24" si="13">AG6+AI6</f>
        <v>-2139.7301728417906</v>
      </c>
      <c r="AK6" s="43">
        <f>HLOOKUP(I6,GasAvoidedCostsWOCC!$A$5:$Q$50,G6+1,FALSE)*J6*L6</f>
        <v>0</v>
      </c>
      <c r="AL6" s="43">
        <f t="shared" ref="AL6:AL24" si="14">AG6+AI6-AK6</f>
        <v>-2139.7301728417906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-2139.7301728417906</v>
      </c>
      <c r="AN6" s="47">
        <f t="shared" ref="AN6:AN24" si="15">AM6*1.1+AD6+AE6</f>
        <v>-1406.0377733032408</v>
      </c>
      <c r="AO6" s="46">
        <f t="shared" ref="AO6:AO24" si="16">IFERROR(AM6/AB6,0)</f>
        <v>1.3020730983126063</v>
      </c>
      <c r="AP6" s="46">
        <f t="shared" ref="AP6:AP24" si="17">AN6/AC6</f>
        <v>2.7312433969070118</v>
      </c>
    </row>
    <row r="7" spans="1:42" ht="13.5" customHeight="1" x14ac:dyDescent="0.25">
      <c r="A7" s="35" t="s">
        <v>239</v>
      </c>
      <c r="B7" s="88" t="s">
        <v>33</v>
      </c>
      <c r="C7" s="89">
        <v>18230249</v>
      </c>
      <c r="D7" s="60" t="s">
        <v>34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-5.39</v>
      </c>
      <c r="L7" s="40">
        <v>0</v>
      </c>
      <c r="M7" s="41">
        <v>0</v>
      </c>
      <c r="N7" s="41">
        <v>0</v>
      </c>
      <c r="O7" s="42">
        <v>-53.9</v>
      </c>
      <c r="P7" s="43">
        <v>0</v>
      </c>
      <c r="Q7" s="43">
        <v>0</v>
      </c>
      <c r="R7" s="44">
        <v>3.78369</v>
      </c>
      <c r="S7" s="45"/>
      <c r="T7" s="38">
        <f t="shared" si="0"/>
        <v>13</v>
      </c>
      <c r="U7" s="46">
        <f t="shared" si="1"/>
        <v>-5.7217655733769277E-3</v>
      </c>
      <c r="V7" s="47">
        <f t="shared" si="2"/>
        <v>0</v>
      </c>
      <c r="W7" s="48">
        <f t="shared" si="3"/>
        <v>-4.4013581333668676E-4</v>
      </c>
      <c r="X7" s="43">
        <f t="shared" si="4"/>
        <v>-183.2679752609377</v>
      </c>
      <c r="Y7" s="43">
        <f t="shared" si="5"/>
        <v>0</v>
      </c>
      <c r="Z7" s="43">
        <f t="shared" si="6"/>
        <v>-585.02394567466536</v>
      </c>
      <c r="AA7" s="49">
        <f t="shared" si="7"/>
        <v>-183.2679752609377</v>
      </c>
      <c r="AB7" s="50">
        <f t="shared" si="8"/>
        <v>-547.77523003245813</v>
      </c>
      <c r="AC7" s="43">
        <f t="shared" si="9"/>
        <v>-171.59922777241357</v>
      </c>
      <c r="AD7" s="43">
        <f t="shared" si="10"/>
        <v>319.84373509040392</v>
      </c>
      <c r="AE7" s="43">
        <v>0</v>
      </c>
      <c r="AF7" s="51">
        <f>HLOOKUP(I7,GasAvoidedCostsWOCC!$A$5:$G$50,G7+1,FALSE)</f>
        <v>13.232715973047561</v>
      </c>
      <c r="AG7" s="43">
        <f t="shared" si="11"/>
        <v>-713.24339094726349</v>
      </c>
      <c r="AH7" s="51">
        <f>HLOOKUP(I7,GasAvoidedCostsWOCC!$A$5:$Q$50,T7+1,FALSE)</f>
        <v>13.232715973047561</v>
      </c>
      <c r="AI7" s="43">
        <f t="shared" si="12"/>
        <v>0</v>
      </c>
      <c r="AJ7" s="43">
        <f t="shared" si="13"/>
        <v>-713.24339094726349</v>
      </c>
      <c r="AK7" s="43">
        <f>HLOOKUP(I7,GasAvoidedCostsWOCC!$A$5:$Q$50,G7+1,FALSE)*J7*L7</f>
        <v>0</v>
      </c>
      <c r="AL7" s="43">
        <f t="shared" si="14"/>
        <v>-713.24339094726349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-713.24339094726361</v>
      </c>
      <c r="AN7" s="47">
        <f t="shared" si="15"/>
        <v>-464.72399495158606</v>
      </c>
      <c r="AO7" s="46">
        <f t="shared" si="16"/>
        <v>1.3020730983126068</v>
      </c>
      <c r="AP7" s="46">
        <f t="shared" si="17"/>
        <v>2.7081939760704183</v>
      </c>
    </row>
    <row r="8" spans="1:42" ht="13.5" customHeight="1" x14ac:dyDescent="0.25">
      <c r="A8" s="52">
        <f>SUMIF('Program Costs'!D:D,C2,'Program Costs'!O:O)</f>
        <v>416389.60000000009</v>
      </c>
      <c r="B8" s="88" t="s">
        <v>33</v>
      </c>
      <c r="C8" s="89">
        <v>18230249</v>
      </c>
      <c r="D8" s="60" t="s">
        <v>34</v>
      </c>
      <c r="E8" s="37" t="s">
        <v>1546</v>
      </c>
      <c r="F8" s="38" t="s">
        <v>576</v>
      </c>
      <c r="G8" s="38">
        <v>20</v>
      </c>
      <c r="H8" s="38">
        <v>0</v>
      </c>
      <c r="I8" s="39" t="s">
        <v>269</v>
      </c>
      <c r="J8" s="40">
        <v>1600</v>
      </c>
      <c r="K8" s="40">
        <v>60.69</v>
      </c>
      <c r="L8" s="40">
        <v>0</v>
      </c>
      <c r="M8" s="41">
        <v>400</v>
      </c>
      <c r="N8" s="41">
        <v>665.13</v>
      </c>
      <c r="O8" s="42">
        <v>97104</v>
      </c>
      <c r="P8" s="43">
        <v>640000</v>
      </c>
      <c r="Q8" s="43">
        <v>1064208</v>
      </c>
      <c r="R8" s="44">
        <v>16.214700000000001</v>
      </c>
      <c r="S8" s="45"/>
      <c r="T8" s="38">
        <f t="shared" si="0"/>
        <v>20</v>
      </c>
      <c r="U8" s="46">
        <f t="shared" si="1"/>
        <v>15.858607798977971</v>
      </c>
      <c r="V8" s="47">
        <f t="shared" si="2"/>
        <v>265.13</v>
      </c>
      <c r="W8" s="48">
        <f t="shared" si="3"/>
        <v>0.79293038994889853</v>
      </c>
      <c r="X8" s="43">
        <f t="shared" si="4"/>
        <v>330167.96789866593</v>
      </c>
      <c r="Y8" s="43">
        <f t="shared" si="5"/>
        <v>424208</v>
      </c>
      <c r="Z8" s="43">
        <f t="shared" si="6"/>
        <v>1053954.8278440204</v>
      </c>
      <c r="AA8" s="49">
        <f t="shared" si="7"/>
        <v>1394375.9678986659</v>
      </c>
      <c r="AB8" s="50">
        <f t="shared" si="8"/>
        <v>986849.08974159218</v>
      </c>
      <c r="AC8" s="43">
        <f t="shared" si="9"/>
        <v>1305595.4755605485</v>
      </c>
      <c r="AD8" s="43">
        <f t="shared" si="10"/>
        <v>279170.6827408516</v>
      </c>
      <c r="AE8" s="43">
        <v>0</v>
      </c>
      <c r="AF8" s="51">
        <f>HLOOKUP(I8,GasAvoidedCostsWOCC!$A$5:$G$50,G8+1,FALSE)</f>
        <v>18.71534547322053</v>
      </c>
      <c r="AG8" s="43">
        <f t="shared" si="11"/>
        <v>1817334.9068316063</v>
      </c>
      <c r="AH8" s="51">
        <f>HLOOKUP(I8,GasAvoidedCostsWOCC!$A$5:$Q$50,T8+1,FALSE)</f>
        <v>18.71534547322053</v>
      </c>
      <c r="AI8" s="43">
        <f t="shared" si="12"/>
        <v>0</v>
      </c>
      <c r="AJ8" s="43">
        <f t="shared" si="13"/>
        <v>1817334.9068316063</v>
      </c>
      <c r="AK8" s="43">
        <f>HLOOKUP(I8,GasAvoidedCostsWOCC!$A$5:$Q$50,G8+1,FALSE)*J8*L8</f>
        <v>0</v>
      </c>
      <c r="AL8" s="43">
        <f t="shared" si="14"/>
        <v>1817334.9068316063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1817334.9068316063</v>
      </c>
      <c r="AN8" s="47">
        <f t="shared" si="15"/>
        <v>2278239.0802556188</v>
      </c>
      <c r="AO8" s="46">
        <f t="shared" si="16"/>
        <v>1.8415530051382811</v>
      </c>
      <c r="AP8" s="46">
        <f t="shared" si="17"/>
        <v>1.7449808328092378</v>
      </c>
    </row>
    <row r="9" spans="1:42" ht="13.5" customHeight="1" x14ac:dyDescent="0.25">
      <c r="A9" s="35" t="s">
        <v>303</v>
      </c>
      <c r="B9" s="88" t="s">
        <v>33</v>
      </c>
      <c r="C9" s="89">
        <v>18230249</v>
      </c>
      <c r="D9" s="60" t="s">
        <v>34</v>
      </c>
      <c r="E9" s="37" t="s">
        <v>1547</v>
      </c>
      <c r="F9" s="38" t="s">
        <v>575</v>
      </c>
      <c r="G9" s="38">
        <v>20</v>
      </c>
      <c r="H9" s="38">
        <v>0</v>
      </c>
      <c r="I9" s="39" t="s">
        <v>269</v>
      </c>
      <c r="J9" s="40">
        <v>60</v>
      </c>
      <c r="K9" s="40">
        <v>60.69</v>
      </c>
      <c r="L9" s="40">
        <v>0</v>
      </c>
      <c r="M9" s="41">
        <v>660</v>
      </c>
      <c r="N9" s="41">
        <v>665.13</v>
      </c>
      <c r="O9" s="42">
        <v>3641.3999999999996</v>
      </c>
      <c r="P9" s="43">
        <v>39600</v>
      </c>
      <c r="Q9" s="43">
        <v>39907.800000000003</v>
      </c>
      <c r="R9" s="44">
        <v>16.214700000000001</v>
      </c>
      <c r="S9" s="45"/>
      <c r="T9" s="38">
        <f t="shared" si="0"/>
        <v>20</v>
      </c>
      <c r="U9" s="46">
        <f t="shared" si="1"/>
        <v>0.59469779246167387</v>
      </c>
      <c r="V9" s="47">
        <f t="shared" si="2"/>
        <v>5.1299999999999955</v>
      </c>
      <c r="W9" s="48">
        <f t="shared" si="3"/>
        <v>2.9734889623083693E-2</v>
      </c>
      <c r="X9" s="43">
        <f t="shared" si="4"/>
        <v>12381.298796199972</v>
      </c>
      <c r="Y9" s="43">
        <f t="shared" si="5"/>
        <v>307.80000000000291</v>
      </c>
      <c r="Z9" s="43">
        <f t="shared" si="6"/>
        <v>39523.30604415077</v>
      </c>
      <c r="AA9" s="49">
        <f t="shared" si="7"/>
        <v>52289.098796199978</v>
      </c>
      <c r="AB9" s="50">
        <f t="shared" si="8"/>
        <v>37006.840865309707</v>
      </c>
      <c r="AC9" s="43">
        <f t="shared" si="9"/>
        <v>48959.830333520578</v>
      </c>
      <c r="AD9" s="43">
        <f t="shared" si="10"/>
        <v>10468.900602781934</v>
      </c>
      <c r="AE9" s="43">
        <f t="shared" ref="AE9:AE24" si="18">-PV(GasDiscountRate,T9,S9)*J9</f>
        <v>0</v>
      </c>
      <c r="AF9" s="51">
        <f>HLOOKUP(I9,GasAvoidedCostsWOCC!$A$5:$G$50,G9+1,FALSE)</f>
        <v>18.71534547322053</v>
      </c>
      <c r="AG9" s="43">
        <f t="shared" si="11"/>
        <v>68150.059006185242</v>
      </c>
      <c r="AH9" s="51">
        <f>HLOOKUP(I9,GasAvoidedCostsWOCC!$A$5:$Q$50,T9+1,FALSE)</f>
        <v>18.71534547322053</v>
      </c>
      <c r="AI9" s="43">
        <f t="shared" si="12"/>
        <v>0</v>
      </c>
      <c r="AJ9" s="43">
        <f t="shared" si="13"/>
        <v>68150.059006185242</v>
      </c>
      <c r="AK9" s="43">
        <f>HLOOKUP(I9,GasAvoidedCostsWOCC!$A$5:$Q$50,G9+1,FALSE)*J9*L9</f>
        <v>0</v>
      </c>
      <c r="AL9" s="43">
        <f t="shared" si="14"/>
        <v>68150.059006185242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68150.059006185242</v>
      </c>
      <c r="AN9" s="47">
        <f t="shared" si="15"/>
        <v>85433.965509585716</v>
      </c>
      <c r="AO9" s="46">
        <f t="shared" si="16"/>
        <v>1.8415530051382811</v>
      </c>
      <c r="AP9" s="46">
        <f t="shared" si="17"/>
        <v>1.7449808328092378</v>
      </c>
    </row>
    <row r="10" spans="1:42" ht="13.5" customHeight="1" x14ac:dyDescent="0.25">
      <c r="A10" s="53">
        <f>SUM(O5:O999)</f>
        <v>122462.2</v>
      </c>
      <c r="B10" s="88" t="s">
        <v>33</v>
      </c>
      <c r="C10" s="89">
        <v>18230249</v>
      </c>
      <c r="D10" s="60" t="s">
        <v>34</v>
      </c>
      <c r="E10" s="37" t="s">
        <v>1548</v>
      </c>
      <c r="F10" s="38" t="s">
        <v>573</v>
      </c>
      <c r="G10" s="38">
        <v>20</v>
      </c>
      <c r="H10" s="38">
        <v>0</v>
      </c>
      <c r="I10" s="39" t="s">
        <v>269</v>
      </c>
      <c r="J10" s="40">
        <v>20</v>
      </c>
      <c r="K10" s="40">
        <v>60.69</v>
      </c>
      <c r="L10" s="40">
        <v>0</v>
      </c>
      <c r="M10" s="41">
        <v>660</v>
      </c>
      <c r="N10" s="41">
        <v>665.13</v>
      </c>
      <c r="O10" s="42">
        <v>1213.8</v>
      </c>
      <c r="P10" s="43">
        <v>13200</v>
      </c>
      <c r="Q10" s="43">
        <v>13302.6</v>
      </c>
      <c r="R10" s="44">
        <v>16.214700000000001</v>
      </c>
      <c r="S10" s="45"/>
      <c r="T10" s="38">
        <f t="shared" si="0"/>
        <v>20</v>
      </c>
      <c r="U10" s="46">
        <f t="shared" si="1"/>
        <v>0.1982325974872246</v>
      </c>
      <c r="V10" s="47">
        <f t="shared" si="2"/>
        <v>5.1299999999999955</v>
      </c>
      <c r="W10" s="48">
        <f t="shared" si="3"/>
        <v>9.9116298743612309E-3</v>
      </c>
      <c r="X10" s="43">
        <f t="shared" si="4"/>
        <v>4127.0995987333245</v>
      </c>
      <c r="Y10" s="43">
        <f t="shared" si="5"/>
        <v>102.60000000000036</v>
      </c>
      <c r="Z10" s="43">
        <f t="shared" si="6"/>
        <v>13174.435348050256</v>
      </c>
      <c r="AA10" s="49">
        <f t="shared" si="7"/>
        <v>17429.699598733325</v>
      </c>
      <c r="AB10" s="50">
        <f t="shared" si="8"/>
        <v>12335.613621769902</v>
      </c>
      <c r="AC10" s="43">
        <f t="shared" si="9"/>
        <v>16319.943444506858</v>
      </c>
      <c r="AD10" s="43">
        <f t="shared" si="10"/>
        <v>3489.6335342606449</v>
      </c>
      <c r="AE10" s="43">
        <f t="shared" si="18"/>
        <v>0</v>
      </c>
      <c r="AF10" s="51">
        <f>HLOOKUP(I10,GasAvoidedCostsWOCC!$A$5:$G$50,G10+1,FALSE)</f>
        <v>18.71534547322053</v>
      </c>
      <c r="AG10" s="43">
        <f t="shared" si="11"/>
        <v>22716.686335395079</v>
      </c>
      <c r="AH10" s="51">
        <f>HLOOKUP(I10,GasAvoidedCostsWOCC!$A$5:$Q$50,T10+1,FALSE)</f>
        <v>18.71534547322053</v>
      </c>
      <c r="AI10" s="43">
        <f t="shared" si="12"/>
        <v>0</v>
      </c>
      <c r="AJ10" s="43">
        <f t="shared" si="13"/>
        <v>22716.686335395079</v>
      </c>
      <c r="AK10" s="43">
        <f>HLOOKUP(I10,GasAvoidedCostsWOCC!$A$5:$Q$50,G10+1,FALSE)*J10*L10</f>
        <v>0</v>
      </c>
      <c r="AL10" s="43">
        <f t="shared" si="14"/>
        <v>22716.686335395079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22716.686335395079</v>
      </c>
      <c r="AN10" s="47">
        <f t="shared" si="15"/>
        <v>28477.988503195233</v>
      </c>
      <c r="AO10" s="46">
        <f t="shared" si="16"/>
        <v>1.8415530051382811</v>
      </c>
      <c r="AP10" s="46">
        <f t="shared" si="17"/>
        <v>1.7449808328092375</v>
      </c>
    </row>
    <row r="11" spans="1:42" ht="13.5" customHeight="1" x14ac:dyDescent="0.25">
      <c r="A11" s="35" t="s">
        <v>242</v>
      </c>
      <c r="B11" s="88" t="s">
        <v>33</v>
      </c>
      <c r="C11" s="89">
        <v>18230249</v>
      </c>
      <c r="D11" s="60" t="s">
        <v>34</v>
      </c>
      <c r="E11" s="37" t="s">
        <v>1549</v>
      </c>
      <c r="F11" s="38" t="s">
        <v>1550</v>
      </c>
      <c r="G11" s="38">
        <v>20</v>
      </c>
      <c r="H11" s="38">
        <v>0</v>
      </c>
      <c r="I11" s="39" t="s">
        <v>269</v>
      </c>
      <c r="J11" s="40">
        <v>400</v>
      </c>
      <c r="K11" s="40">
        <v>60.69</v>
      </c>
      <c r="L11" s="40">
        <v>0</v>
      </c>
      <c r="M11" s="41">
        <v>550</v>
      </c>
      <c r="N11" s="41">
        <v>665.13</v>
      </c>
      <c r="O11" s="42">
        <v>24276</v>
      </c>
      <c r="P11" s="43">
        <v>220000</v>
      </c>
      <c r="Q11" s="43">
        <v>266052</v>
      </c>
      <c r="R11" s="44">
        <v>16.214700000000001</v>
      </c>
      <c r="S11" s="45"/>
      <c r="T11" s="38">
        <f t="shared" si="0"/>
        <v>20</v>
      </c>
      <c r="U11" s="46">
        <f t="shared" si="1"/>
        <v>3.9646519497444928</v>
      </c>
      <c r="V11" s="47">
        <f t="shared" si="2"/>
        <v>115.13</v>
      </c>
      <c r="W11" s="48">
        <f t="shared" si="3"/>
        <v>0.19823259748722463</v>
      </c>
      <c r="X11" s="43">
        <f t="shared" si="4"/>
        <v>82541.991974666482</v>
      </c>
      <c r="Y11" s="43">
        <f t="shared" si="5"/>
        <v>46052</v>
      </c>
      <c r="Z11" s="43">
        <f t="shared" si="6"/>
        <v>263488.70696100511</v>
      </c>
      <c r="AA11" s="49">
        <f t="shared" si="7"/>
        <v>348593.99197466648</v>
      </c>
      <c r="AB11" s="50">
        <f t="shared" si="8"/>
        <v>246712.27243539804</v>
      </c>
      <c r="AC11" s="43">
        <f t="shared" si="9"/>
        <v>326398.86889013712</v>
      </c>
      <c r="AD11" s="43">
        <f t="shared" si="10"/>
        <v>69792.670685212899</v>
      </c>
      <c r="AE11" s="43">
        <f t="shared" si="18"/>
        <v>0</v>
      </c>
      <c r="AF11" s="51">
        <f>HLOOKUP(I11,GasAvoidedCostsWOCC!$A$5:$G$50,G11+1,FALSE)</f>
        <v>18.71534547322053</v>
      </c>
      <c r="AG11" s="43">
        <f t="shared" si="11"/>
        <v>454333.72670790157</v>
      </c>
      <c r="AH11" s="51">
        <f>HLOOKUP(I11,GasAvoidedCostsWOCC!$A$5:$Q$50,T11+1,FALSE)</f>
        <v>18.71534547322053</v>
      </c>
      <c r="AI11" s="43">
        <f t="shared" si="12"/>
        <v>0</v>
      </c>
      <c r="AJ11" s="43">
        <f t="shared" si="13"/>
        <v>454333.72670790157</v>
      </c>
      <c r="AK11" s="43">
        <f>HLOOKUP(I11,GasAvoidedCostsWOCC!$A$5:$Q$50,G11+1,FALSE)*J11*L11</f>
        <v>0</v>
      </c>
      <c r="AL11" s="43">
        <f t="shared" si="14"/>
        <v>454333.72670790157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454333.72670790157</v>
      </c>
      <c r="AN11" s="47">
        <f t="shared" si="15"/>
        <v>569559.7700639047</v>
      </c>
      <c r="AO11" s="46">
        <f t="shared" si="16"/>
        <v>1.8415530051382811</v>
      </c>
      <c r="AP11" s="46">
        <f t="shared" si="17"/>
        <v>1.7449808328092378</v>
      </c>
    </row>
    <row r="12" spans="1:42" ht="13.5" customHeight="1" x14ac:dyDescent="0.25">
      <c r="A12" s="54">
        <f>SUM(P5:P1000)</f>
        <v>912800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470670.39999999997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20.215666548534976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1329189.6000000001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1799860.0000000002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1.8581741150681472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1.7379534530112739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18230625</v>
      </c>
      <c r="D2" s="19" t="s">
        <v>315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18230625</v>
      </c>
      <c r="D5" s="60" t="s">
        <v>315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18230247</v>
      </c>
      <c r="D2" s="19" t="s">
        <v>316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18230247</v>
      </c>
      <c r="D5" s="60" t="s">
        <v>316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317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18230434</v>
      </c>
      <c r="D5" s="60" t="s">
        <v>317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2.4</v>
      </c>
      <c r="L5" s="40">
        <v>0</v>
      </c>
      <c r="M5" s="41">
        <v>0</v>
      </c>
      <c r="N5" s="41">
        <v>0</v>
      </c>
      <c r="O5" s="42">
        <v>9600</v>
      </c>
      <c r="P5" s="43">
        <v>0</v>
      </c>
      <c r="Q5" s="43">
        <v>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13.895781637717121</v>
      </c>
      <c r="V5" s="47">
        <f t="shared" ref="V5:V24" si="2">N5-M5</f>
        <v>0</v>
      </c>
      <c r="W5" s="48">
        <f t="shared" ref="W5:W24" si="3">(O5/A$10)</f>
        <v>0.99255583126550873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B24" si="8">Z5/(1+GasDiscountRate)^1</f>
        <v>0</v>
      </c>
      <c r="AC5" s="43">
        <f t="shared" ref="AC5:AC24" si="9">AA5/(1+GasDiscountRate)^1</f>
        <v>0</v>
      </c>
      <c r="AD5" s="43">
        <f t="shared" ref="AD5:AD24" si="10">-PV(GasDiscountRate,T5,R5)*J5</f>
        <v>672042.68877418945</v>
      </c>
      <c r="AE5" s="43">
        <v>0</v>
      </c>
      <c r="AF5" s="51">
        <f>HLOOKUP(I5,GasAvoidedCostsWOCC!$A$5:$G$50,G5+1,FALSE)</f>
        <v>14.06421015641665</v>
      </c>
      <c r="AG5" s="43">
        <f t="shared" ref="AG5:AG24" si="11">AF5*J5*K5</f>
        <v>135016.41750159982</v>
      </c>
      <c r="AH5" s="51">
        <f>HLOOKUP(I5,GasAvoidedCostsWOCC!$A$5:$Q$50,T5+1,FALSE)</f>
        <v>14.06421015641665</v>
      </c>
      <c r="AI5" s="43">
        <f t="shared" ref="AI5:AI24" si="12">AH5*J5*L5</f>
        <v>0</v>
      </c>
      <c r="AJ5" s="43">
        <f>AG5+AI5</f>
        <v>135016.41750159982</v>
      </c>
      <c r="AK5" s="43">
        <f>HLOOKUP(I5,GasAvoidedCostsWOCC!$A$5:$Q$50,G5+1,FALSE)*J5*L5</f>
        <v>0</v>
      </c>
      <c r="AL5" s="43">
        <f>AG5+AI5-AK5</f>
        <v>135016.41750159982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135016.41750159982</v>
      </c>
      <c r="AN5" s="47">
        <f>AM5*1.1+AD5+AE5</f>
        <v>820560.74802594923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/>
      <c r="B6" s="88" t="s">
        <v>33</v>
      </c>
      <c r="C6" s="89">
        <v>18230434</v>
      </c>
      <c r="D6" s="60" t="s">
        <v>317</v>
      </c>
      <c r="E6" s="37" t="s">
        <v>999</v>
      </c>
      <c r="F6" s="38" t="s">
        <v>585</v>
      </c>
      <c r="G6" s="38">
        <v>14</v>
      </c>
      <c r="H6" s="38">
        <v>0</v>
      </c>
      <c r="I6" s="39" t="s">
        <v>269</v>
      </c>
      <c r="J6" s="40">
        <v>30</v>
      </c>
      <c r="K6" s="40">
        <v>2.4</v>
      </c>
      <c r="L6" s="40">
        <v>0</v>
      </c>
      <c r="M6" s="41">
        <v>0</v>
      </c>
      <c r="N6" s="41">
        <v>0</v>
      </c>
      <c r="O6" s="42">
        <v>72</v>
      </c>
      <c r="P6" s="43">
        <v>0</v>
      </c>
      <c r="Q6" s="43">
        <v>0</v>
      </c>
      <c r="R6" s="44">
        <v>18.981400000000001</v>
      </c>
      <c r="S6" s="45"/>
      <c r="T6" s="38">
        <f t="shared" si="0"/>
        <v>14</v>
      </c>
      <c r="U6" s="46">
        <f t="shared" si="1"/>
        <v>0.10421836228287841</v>
      </c>
      <c r="V6" s="47">
        <f t="shared" si="2"/>
        <v>0</v>
      </c>
      <c r="W6" s="48">
        <f t="shared" si="3"/>
        <v>7.4441687344913151E-3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5040.3201658064208</v>
      </c>
      <c r="AE6" s="43">
        <v>0</v>
      </c>
      <c r="AF6" s="51">
        <f>HLOOKUP(I6,GasAvoidedCostsWOCC!$A$5:$G$50,G6+1,FALSE)</f>
        <v>14.06421015641665</v>
      </c>
      <c r="AG6" s="43">
        <f t="shared" si="11"/>
        <v>1012.6231312619987</v>
      </c>
      <c r="AH6" s="51">
        <f>HLOOKUP(I6,GasAvoidedCostsWOCC!$A$5:$Q$50,T6+1,FALSE)</f>
        <v>14.06421015641665</v>
      </c>
      <c r="AI6" s="43">
        <f t="shared" si="12"/>
        <v>0</v>
      </c>
      <c r="AJ6" s="43">
        <f t="shared" ref="AJ6:AJ24" si="13">AG6+AI6</f>
        <v>1012.6231312619987</v>
      </c>
      <c r="AK6" s="43">
        <f>HLOOKUP(I6,GasAvoidedCostsWOCC!$A$5:$Q$50,G6+1,FALSE)*J6*L6</f>
        <v>0</v>
      </c>
      <c r="AL6" s="43">
        <f t="shared" ref="AL6:AL24" si="14">AG6+AI6-AK6</f>
        <v>1012.6231312619987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1012.6231312619987</v>
      </c>
      <c r="AN6" s="47">
        <f t="shared" ref="AN6:AN24" si="15">AM6*1.1+AD6+AE6</f>
        <v>6154.2056101946191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18230434</v>
      </c>
      <c r="D7" s="60" t="s">
        <v>317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/>
      <c r="B8" s="88" t="s">
        <v>33</v>
      </c>
      <c r="C8" s="89">
        <v>18230434</v>
      </c>
      <c r="D8" s="60" t="s">
        <v>317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18230434</v>
      </c>
      <c r="D9" s="60" t="s">
        <v>317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9672</v>
      </c>
      <c r="B10" s="88" t="s">
        <v>33</v>
      </c>
      <c r="C10" s="89">
        <v>18230434</v>
      </c>
      <c r="D10" s="60" t="s">
        <v>317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18230434</v>
      </c>
      <c r="D11" s="60" t="s">
        <v>317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18230434</v>
      </c>
      <c r="D12" s="60" t="s">
        <v>317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18230434</v>
      </c>
      <c r="D13" s="60" t="s">
        <v>317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18230434</v>
      </c>
      <c r="D14" s="60" t="s">
        <v>317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18230434</v>
      </c>
      <c r="D15" s="60" t="s">
        <v>317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14</v>
      </c>
      <c r="B16" s="88" t="s">
        <v>33</v>
      </c>
      <c r="C16" s="89">
        <v>18230434</v>
      </c>
      <c r="D16" s="60" t="s">
        <v>317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18230434</v>
      </c>
      <c r="D17" s="60" t="s">
        <v>317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18230434</v>
      </c>
      <c r="D18" s="60" t="s">
        <v>317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33</v>
      </c>
      <c r="C19" s="89">
        <v>18230434</v>
      </c>
      <c r="D19" s="60" t="s">
        <v>317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88" t="s">
        <v>33</v>
      </c>
      <c r="C20" s="89">
        <v>18230434</v>
      </c>
      <c r="D20" s="60" t="s">
        <v>317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18230611</v>
      </c>
      <c r="D2" s="19" t="s">
        <v>72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71</v>
      </c>
      <c r="C5" s="91">
        <v>18230611</v>
      </c>
      <c r="D5" s="91" t="s">
        <v>72</v>
      </c>
      <c r="E5" s="37" t="s">
        <v>324</v>
      </c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>
        <v>0</v>
      </c>
      <c r="T5" s="38">
        <f t="shared" ref="T5:T24" si="0">G5+H5</f>
        <v>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 t="e">
        <f t="shared" ref="AD5:AD24" si="9">-PV(ElecDiscountRate,T5,R5)*J5</f>
        <v>#VALUE!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20627885.199999999</v>
      </c>
      <c r="B6" s="88" t="s">
        <v>71</v>
      </c>
      <c r="C6" s="91">
        <v>18230611</v>
      </c>
      <c r="D6" s="91" t="s">
        <v>72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1322300</v>
      </c>
      <c r="N6" s="41">
        <v>1322300</v>
      </c>
      <c r="O6" s="42">
        <v>0</v>
      </c>
      <c r="P6" s="43">
        <v>1322300</v>
      </c>
      <c r="Q6" s="43">
        <v>1322300</v>
      </c>
      <c r="R6" s="44">
        <v>1322300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1322300</v>
      </c>
      <c r="AB6" s="50">
        <f t="shared" si="8"/>
        <v>0</v>
      </c>
      <c r="AC6" s="43">
        <f t="shared" si="8"/>
        <v>1238108.6142322097</v>
      </c>
      <c r="AD6" s="43">
        <f t="shared" si="9"/>
        <v>1238108.6142322107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1238108.6142322107</v>
      </c>
      <c r="AO6" s="46">
        <f t="shared" ref="AO6:AO24" si="15">IFERROR(AM6/AB6,0)</f>
        <v>0</v>
      </c>
      <c r="AP6" s="46">
        <f t="shared" ref="AP6:AP24" si="16">AN6/AC6</f>
        <v>1.0000000000000007</v>
      </c>
    </row>
    <row r="7" spans="1:42" ht="13.5" customHeight="1" x14ac:dyDescent="0.25">
      <c r="A7" s="35" t="s">
        <v>239</v>
      </c>
      <c r="B7" s="88" t="s">
        <v>71</v>
      </c>
      <c r="C7" s="91">
        <v>18230611</v>
      </c>
      <c r="D7" s="91" t="s">
        <v>72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1322300</v>
      </c>
      <c r="N7" s="41">
        <v>1322300</v>
      </c>
      <c r="O7" s="42">
        <v>0</v>
      </c>
      <c r="P7" s="43">
        <v>1322300</v>
      </c>
      <c r="Q7" s="43">
        <v>1322300</v>
      </c>
      <c r="R7" s="44">
        <v>1322300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1322300</v>
      </c>
      <c r="AB7" s="50">
        <f t="shared" si="8"/>
        <v>0</v>
      </c>
      <c r="AC7" s="43">
        <f t="shared" si="8"/>
        <v>1238108.6142322097</v>
      </c>
      <c r="AD7" s="43">
        <f t="shared" si="9"/>
        <v>1238108.6142322107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1238108.6142322107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904252.39999999851</v>
      </c>
      <c r="B8" s="88" t="s">
        <v>71</v>
      </c>
      <c r="C8" s="91">
        <v>18230611</v>
      </c>
      <c r="D8" s="91" t="s">
        <v>72</v>
      </c>
      <c r="E8" s="37" t="s">
        <v>1048</v>
      </c>
      <c r="F8" s="38" t="s">
        <v>1049</v>
      </c>
      <c r="G8" s="38">
        <v>25</v>
      </c>
      <c r="H8" s="38">
        <v>0</v>
      </c>
      <c r="I8" s="39" t="s">
        <v>273</v>
      </c>
      <c r="J8" s="40">
        <v>140000</v>
      </c>
      <c r="K8" s="40">
        <v>0.34</v>
      </c>
      <c r="L8" s="40">
        <v>0</v>
      </c>
      <c r="M8" s="41">
        <v>1.58</v>
      </c>
      <c r="N8" s="41">
        <v>1.58</v>
      </c>
      <c r="O8" s="42">
        <v>47600</v>
      </c>
      <c r="P8" s="43">
        <v>221200</v>
      </c>
      <c r="Q8" s="43">
        <v>221200</v>
      </c>
      <c r="R8" s="44">
        <v>2.7900000000000001E-2</v>
      </c>
      <c r="S8" s="45"/>
      <c r="T8" s="38">
        <f t="shared" si="0"/>
        <v>25</v>
      </c>
      <c r="U8" s="46">
        <f t="shared" si="1"/>
        <v>0.27626160200063543</v>
      </c>
      <c r="V8" s="47">
        <f t="shared" si="2"/>
        <v>0</v>
      </c>
      <c r="W8" s="503">
        <f t="shared" si="3"/>
        <v>1.1050464080025416E-2</v>
      </c>
      <c r="X8" s="43">
        <f t="shared" si="4"/>
        <v>9992.408665476758</v>
      </c>
      <c r="Y8" s="43">
        <f t="shared" si="5"/>
        <v>0</v>
      </c>
      <c r="Z8" s="43">
        <f t="shared" si="6"/>
        <v>237940.11311496462</v>
      </c>
      <c r="AA8" s="49">
        <f>Q8+X8</f>
        <v>231192.40866547675</v>
      </c>
      <c r="AB8" s="50">
        <f t="shared" si="8"/>
        <v>222790.36808517284</v>
      </c>
      <c r="AC8" s="43">
        <f t="shared" si="8"/>
        <v>216472.29275793702</v>
      </c>
      <c r="AD8" s="43">
        <f t="shared" si="9"/>
        <v>46350.909293209777</v>
      </c>
      <c r="AE8" s="43">
        <v>0</v>
      </c>
      <c r="AF8" s="51">
        <f>HLOOKUP(I8,ElecAvoidedCostsWOCC!$A$5:$Q$50,G8+1,FALSE)</f>
        <v>2.3312175480570905</v>
      </c>
      <c r="AG8" s="43">
        <f t="shared" si="10"/>
        <v>110965.95528751751</v>
      </c>
      <c r="AH8" s="51">
        <f>HLOOKUP(I8,ElecAvoidedCostsWOCC!$A$5:$Q$50,T8+1,FALSE)</f>
        <v>2.3312175480570905</v>
      </c>
      <c r="AI8" s="43">
        <f t="shared" si="11"/>
        <v>0</v>
      </c>
      <c r="AJ8" s="43">
        <f t="shared" si="12"/>
        <v>110965.95528751751</v>
      </c>
      <c r="AK8" s="43">
        <f>HLOOKUP(I8,ElecAvoidedCostsWOCC!$A$5:$Q$50,G8+1,FALSE)*J8*L8</f>
        <v>0</v>
      </c>
      <c r="AL8" s="43">
        <f t="shared" si="13"/>
        <v>110965.95528751751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110965.95528751751</v>
      </c>
      <c r="AN8" s="47">
        <f t="shared" si="14"/>
        <v>168413.46010947906</v>
      </c>
      <c r="AO8" s="46">
        <f t="shared" si="15"/>
        <v>0.49807339626592467</v>
      </c>
      <c r="AP8" s="46">
        <f t="shared" si="16"/>
        <v>0.77799083644298916</v>
      </c>
    </row>
    <row r="9" spans="1:42" ht="13.5" customHeight="1" x14ac:dyDescent="0.25">
      <c r="A9" s="35" t="s">
        <v>241</v>
      </c>
      <c r="B9" s="88" t="s">
        <v>71</v>
      </c>
      <c r="C9" s="91">
        <v>18230611</v>
      </c>
      <c r="D9" s="91" t="s">
        <v>72</v>
      </c>
      <c r="E9" s="37" t="s">
        <v>1050</v>
      </c>
      <c r="F9" s="38" t="s">
        <v>1051</v>
      </c>
      <c r="G9" s="38">
        <v>15</v>
      </c>
      <c r="H9" s="38">
        <v>0</v>
      </c>
      <c r="I9" s="39" t="s">
        <v>273</v>
      </c>
      <c r="J9" s="40">
        <v>80000</v>
      </c>
      <c r="K9" s="40">
        <v>0.13</v>
      </c>
      <c r="L9" s="40">
        <v>0</v>
      </c>
      <c r="M9" s="41">
        <v>1.81</v>
      </c>
      <c r="N9" s="41">
        <v>1.81</v>
      </c>
      <c r="O9" s="42">
        <v>10400</v>
      </c>
      <c r="P9" s="43">
        <v>144800</v>
      </c>
      <c r="Q9" s="43">
        <v>144800</v>
      </c>
      <c r="R9" s="44">
        <v>1.0699999999999999E-2</v>
      </c>
      <c r="S9" s="45"/>
      <c r="T9" s="38">
        <f t="shared" si="0"/>
        <v>15</v>
      </c>
      <c r="U9" s="46">
        <f t="shared" si="1"/>
        <v>3.6215806648822797E-2</v>
      </c>
      <c r="V9" s="47">
        <f t="shared" si="2"/>
        <v>0</v>
      </c>
      <c r="W9" s="48">
        <f t="shared" si="3"/>
        <v>2.4143871099215198E-3</v>
      </c>
      <c r="X9" s="43">
        <f t="shared" si="4"/>
        <v>2183.2153386755945</v>
      </c>
      <c r="Y9" s="43">
        <f t="shared" si="5"/>
        <v>0</v>
      </c>
      <c r="Z9" s="43">
        <f t="shared" si="6"/>
        <v>51986.915470496489</v>
      </c>
      <c r="AA9" s="49">
        <f t="shared" si="7"/>
        <v>146983.2153386756</v>
      </c>
      <c r="AB9" s="50">
        <f t="shared" si="8"/>
        <v>48676.887144659631</v>
      </c>
      <c r="AC9" s="43">
        <f t="shared" si="8"/>
        <v>137624.73346317938</v>
      </c>
      <c r="AD9" s="43">
        <f t="shared" si="9"/>
        <v>7895.824106267627</v>
      </c>
      <c r="AE9" s="43">
        <f t="shared" ref="AE9:AE24" si="17">-PV(ElecDiscountRate,T9,S9)*J9</f>
        <v>0</v>
      </c>
      <c r="AF9" s="51">
        <f>HLOOKUP(I9,ElecAvoidedCostsWOCC!$A$5:$Q$50,G9+1,FALSE)</f>
        <v>1.7462566560958237</v>
      </c>
      <c r="AG9" s="43">
        <f t="shared" si="10"/>
        <v>18161.069223396567</v>
      </c>
      <c r="AH9" s="51">
        <f>HLOOKUP(I9,ElecAvoidedCostsWOCC!$A$5:$Q$50,T9+1,FALSE)</f>
        <v>1.7462566560958237</v>
      </c>
      <c r="AI9" s="43">
        <f t="shared" si="11"/>
        <v>0</v>
      </c>
      <c r="AJ9" s="43">
        <f t="shared" si="12"/>
        <v>18161.069223396567</v>
      </c>
      <c r="AK9" s="43">
        <f>HLOOKUP(I9,ElecAvoidedCostsWOCC!$A$5:$Q$50,G9+1,FALSE)*J9*L9</f>
        <v>0</v>
      </c>
      <c r="AL9" s="43">
        <f t="shared" si="13"/>
        <v>18161.069223396567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18161.069223396567</v>
      </c>
      <c r="AN9" s="47">
        <f t="shared" si="14"/>
        <v>27873.000252003854</v>
      </c>
      <c r="AO9" s="46">
        <f t="shared" si="15"/>
        <v>0.37309430180744474</v>
      </c>
      <c r="AP9" s="46">
        <f t="shared" si="16"/>
        <v>0.20252900442100474</v>
      </c>
    </row>
    <row r="10" spans="1:42" ht="13.5" customHeight="1" x14ac:dyDescent="0.25">
      <c r="A10" s="53">
        <f>SUM(O6:O960)</f>
        <v>4307511.4000000004</v>
      </c>
      <c r="B10" s="88" t="s">
        <v>71</v>
      </c>
      <c r="C10" s="91">
        <v>18230611</v>
      </c>
      <c r="D10" s="91" t="s">
        <v>72</v>
      </c>
      <c r="E10" s="37" t="s">
        <v>1052</v>
      </c>
      <c r="F10" s="38" t="s">
        <v>1053</v>
      </c>
      <c r="G10" s="38">
        <v>18</v>
      </c>
      <c r="H10" s="38">
        <v>0</v>
      </c>
      <c r="I10" s="39" t="s">
        <v>273</v>
      </c>
      <c r="J10" s="40">
        <v>100</v>
      </c>
      <c r="K10" s="40">
        <v>888.03</v>
      </c>
      <c r="L10" s="40">
        <v>0</v>
      </c>
      <c r="M10" s="41">
        <v>714</v>
      </c>
      <c r="N10" s="41">
        <v>714</v>
      </c>
      <c r="O10" s="42">
        <v>88803</v>
      </c>
      <c r="P10" s="43">
        <v>71400</v>
      </c>
      <c r="Q10" s="43">
        <v>71400</v>
      </c>
      <c r="R10" s="44">
        <v>246.3253</v>
      </c>
      <c r="S10" s="45"/>
      <c r="T10" s="38">
        <f t="shared" si="0"/>
        <v>18</v>
      </c>
      <c r="U10" s="46">
        <f t="shared" si="1"/>
        <v>0.37108526282716281</v>
      </c>
      <c r="V10" s="47">
        <f t="shared" si="2"/>
        <v>0</v>
      </c>
      <c r="W10" s="48">
        <f t="shared" si="3"/>
        <v>2.0615847934842377E-2</v>
      </c>
      <c r="X10" s="43">
        <f t="shared" si="4"/>
        <v>18641.929973116232</v>
      </c>
      <c r="Y10" s="43">
        <f t="shared" si="5"/>
        <v>0</v>
      </c>
      <c r="Z10" s="43">
        <f t="shared" si="6"/>
        <v>443903.27447370184</v>
      </c>
      <c r="AA10" s="49">
        <f t="shared" si="7"/>
        <v>90041.929973116232</v>
      </c>
      <c r="AB10" s="50">
        <f t="shared" si="8"/>
        <v>415639.77010646235</v>
      </c>
      <c r="AC10" s="43">
        <f t="shared" si="8"/>
        <v>84308.923195801704</v>
      </c>
      <c r="AD10" s="43">
        <f t="shared" si="9"/>
        <v>251397.71776929361</v>
      </c>
      <c r="AE10" s="43">
        <f t="shared" si="17"/>
        <v>0</v>
      </c>
      <c r="AF10" s="51">
        <f>HLOOKUP(I10,ElecAvoidedCostsWOCC!$A$5:$Q$50,G10+1,FALSE)</f>
        <v>1.9446021196344847</v>
      </c>
      <c r="AG10" s="43">
        <f t="shared" si="10"/>
        <v>172686.50202990114</v>
      </c>
      <c r="AH10" s="51">
        <f>HLOOKUP(I10,ElecAvoidedCostsWOCC!$A$5:$Q$50,T10+1,FALSE)</f>
        <v>1.9446021196344847</v>
      </c>
      <c r="AI10" s="43">
        <f t="shared" si="11"/>
        <v>0</v>
      </c>
      <c r="AJ10" s="43">
        <f t="shared" si="12"/>
        <v>172686.50202990114</v>
      </c>
      <c r="AK10" s="43">
        <f>HLOOKUP(I10,ElecAvoidedCostsWOCC!$A$5:$Q$50,G10+1,FALSE)*J10*L10</f>
        <v>0</v>
      </c>
      <c r="AL10" s="43">
        <f t="shared" si="13"/>
        <v>172686.50202990114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172686.50202990114</v>
      </c>
      <c r="AN10" s="47">
        <f t="shared" si="14"/>
        <v>441352.87000218488</v>
      </c>
      <c r="AO10" s="46">
        <f t="shared" si="15"/>
        <v>0.41547155601993779</v>
      </c>
      <c r="AP10" s="46">
        <f t="shared" si="16"/>
        <v>5.2349484879218897</v>
      </c>
    </row>
    <row r="11" spans="1:42" ht="13.5" customHeight="1" x14ac:dyDescent="0.25">
      <c r="A11" s="35" t="s">
        <v>242</v>
      </c>
      <c r="B11" s="88" t="s">
        <v>71</v>
      </c>
      <c r="C11" s="91">
        <v>18230611</v>
      </c>
      <c r="D11" s="91" t="s">
        <v>72</v>
      </c>
      <c r="E11" s="37" t="s">
        <v>1054</v>
      </c>
      <c r="F11" s="38" t="s">
        <v>1055</v>
      </c>
      <c r="G11" s="38">
        <v>20</v>
      </c>
      <c r="H11" s="38">
        <v>0</v>
      </c>
      <c r="I11" s="39" t="s">
        <v>273</v>
      </c>
      <c r="J11" s="40">
        <v>30</v>
      </c>
      <c r="K11" s="40">
        <v>1134</v>
      </c>
      <c r="L11" s="40">
        <v>0</v>
      </c>
      <c r="M11" s="41">
        <v>895</v>
      </c>
      <c r="N11" s="41">
        <v>895</v>
      </c>
      <c r="O11" s="42">
        <v>34020</v>
      </c>
      <c r="P11" s="43">
        <v>26850</v>
      </c>
      <c r="Q11" s="43">
        <v>26850</v>
      </c>
      <c r="R11" s="44">
        <v>90.030600000000007</v>
      </c>
      <c r="S11" s="45"/>
      <c r="T11" s="38">
        <f t="shared" si="0"/>
        <v>20</v>
      </c>
      <c r="U11" s="46">
        <f t="shared" si="1"/>
        <v>0.15795663361448095</v>
      </c>
      <c r="V11" s="47">
        <f t="shared" si="2"/>
        <v>0</v>
      </c>
      <c r="W11" s="48">
        <f t="shared" si="3"/>
        <v>7.8978316807240476E-3</v>
      </c>
      <c r="X11" s="43">
        <f t="shared" si="4"/>
        <v>7141.6332520907417</v>
      </c>
      <c r="Y11" s="43">
        <f t="shared" si="5"/>
        <v>0</v>
      </c>
      <c r="Z11" s="43">
        <f t="shared" si="6"/>
        <v>170057.19849098945</v>
      </c>
      <c r="AA11" s="49">
        <f t="shared" si="7"/>
        <v>33991.633252090745</v>
      </c>
      <c r="AB11" s="50">
        <f t="shared" si="8"/>
        <v>159229.58660205005</v>
      </c>
      <c r="AC11" s="43">
        <f t="shared" si="8"/>
        <v>31827.371958886462</v>
      </c>
      <c r="AD11" s="43">
        <f t="shared" si="9"/>
        <v>29063.794045181818</v>
      </c>
      <c r="AE11" s="43">
        <f t="shared" si="17"/>
        <v>0</v>
      </c>
      <c r="AF11" s="51">
        <f>HLOOKUP(I11,ElecAvoidedCostsWOCC!$A$5:$Q$50,G11+1,FALSE)</f>
        <v>2.0629229085847913</v>
      </c>
      <c r="AG11" s="43">
        <f t="shared" si="10"/>
        <v>70180.637350054603</v>
      </c>
      <c r="AH11" s="51">
        <f>HLOOKUP(I11,ElecAvoidedCostsWOCC!$A$5:$Q$50,T11+1,FALSE)</f>
        <v>2.0629229085847913</v>
      </c>
      <c r="AI11" s="43">
        <f t="shared" si="11"/>
        <v>0</v>
      </c>
      <c r="AJ11" s="43">
        <f t="shared" si="12"/>
        <v>70180.637350054603</v>
      </c>
      <c r="AK11" s="43">
        <f>HLOOKUP(I11,ElecAvoidedCostsWOCC!$A$5:$Q$50,G11+1,FALSE)*J11*L11</f>
        <v>0</v>
      </c>
      <c r="AL11" s="43">
        <f t="shared" si="13"/>
        <v>70180.637350054603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70180.637350054603</v>
      </c>
      <c r="AN11" s="47">
        <f t="shared" si="14"/>
        <v>106262.49513024188</v>
      </c>
      <c r="AO11" s="46">
        <f t="shared" si="15"/>
        <v>0.44075123755393231</v>
      </c>
      <c r="AP11" s="46">
        <f t="shared" si="16"/>
        <v>3.338714087594421</v>
      </c>
    </row>
    <row r="12" spans="1:42" ht="13.5" customHeight="1" x14ac:dyDescent="0.25">
      <c r="A12" s="54">
        <f>SUM(P6:P961)</f>
        <v>15867604</v>
      </c>
      <c r="B12" s="88" t="s">
        <v>71</v>
      </c>
      <c r="C12" s="91">
        <v>18230611</v>
      </c>
      <c r="D12" s="91" t="s">
        <v>72</v>
      </c>
      <c r="E12" s="37" t="s">
        <v>1056</v>
      </c>
      <c r="F12" s="38" t="s">
        <v>1057</v>
      </c>
      <c r="G12" s="38">
        <v>25</v>
      </c>
      <c r="H12" s="38">
        <v>0</v>
      </c>
      <c r="I12" s="39" t="s">
        <v>273</v>
      </c>
      <c r="J12" s="40">
        <v>280000</v>
      </c>
      <c r="K12" s="40">
        <v>0.34</v>
      </c>
      <c r="L12" s="40">
        <v>0</v>
      </c>
      <c r="M12" s="41">
        <v>1.58</v>
      </c>
      <c r="N12" s="41">
        <v>1.58</v>
      </c>
      <c r="O12" s="42">
        <v>95200</v>
      </c>
      <c r="P12" s="43">
        <v>442400</v>
      </c>
      <c r="Q12" s="43">
        <v>442400</v>
      </c>
      <c r="R12" s="44">
        <v>0.19220000000000001</v>
      </c>
      <c r="S12" s="45"/>
      <c r="T12" s="38">
        <f t="shared" si="0"/>
        <v>25</v>
      </c>
      <c r="U12" s="46">
        <f t="shared" si="1"/>
        <v>0.55252320400127086</v>
      </c>
      <c r="V12" s="47">
        <f t="shared" si="2"/>
        <v>0</v>
      </c>
      <c r="W12" s="48">
        <f t="shared" si="3"/>
        <v>2.2100928160050833E-2</v>
      </c>
      <c r="X12" s="43">
        <f t="shared" si="4"/>
        <v>19984.817330953516</v>
      </c>
      <c r="Y12" s="43">
        <f t="shared" si="5"/>
        <v>0</v>
      </c>
      <c r="Z12" s="43">
        <f t="shared" si="6"/>
        <v>475880.22622992925</v>
      </c>
      <c r="AA12" s="49">
        <f t="shared" si="7"/>
        <v>462384.81733095349</v>
      </c>
      <c r="AB12" s="50">
        <f t="shared" si="8"/>
        <v>445580.73617034568</v>
      </c>
      <c r="AC12" s="43">
        <f t="shared" si="8"/>
        <v>432944.58551587403</v>
      </c>
      <c r="AD12" s="43">
        <f t="shared" si="9"/>
        <v>638612.52803977916</v>
      </c>
      <c r="AE12" s="43">
        <f t="shared" si="17"/>
        <v>0</v>
      </c>
      <c r="AF12" s="51">
        <f>HLOOKUP(I12,ElecAvoidedCostsWOCC!$A$5:$Q$50,G12+1,FALSE)</f>
        <v>2.3312175480570905</v>
      </c>
      <c r="AG12" s="43">
        <f t="shared" si="10"/>
        <v>221931.91057503503</v>
      </c>
      <c r="AH12" s="51">
        <f>HLOOKUP(I12,ElecAvoidedCostsWOCC!$A$5:$Q$50,T12+1,FALSE)</f>
        <v>2.3312175480570905</v>
      </c>
      <c r="AI12" s="43">
        <f t="shared" si="11"/>
        <v>0</v>
      </c>
      <c r="AJ12" s="43">
        <f t="shared" si="12"/>
        <v>221931.91057503503</v>
      </c>
      <c r="AK12" s="43">
        <f>HLOOKUP(I12,ElecAvoidedCostsWOCC!$A$5:$Q$50,G12+1,FALSE)*J12*L12</f>
        <v>0</v>
      </c>
      <c r="AL12" s="43">
        <f t="shared" si="13"/>
        <v>221931.91057503503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221931.91057503503</v>
      </c>
      <c r="AN12" s="47">
        <f t="shared" si="14"/>
        <v>882737.62967231777</v>
      </c>
      <c r="AO12" s="46">
        <f t="shared" si="15"/>
        <v>0.49807339626592467</v>
      </c>
      <c r="AP12" s="46">
        <f t="shared" si="16"/>
        <v>2.0389159703209914</v>
      </c>
    </row>
    <row r="13" spans="1:42" ht="13.5" customHeight="1" x14ac:dyDescent="0.25">
      <c r="A13" s="55" t="s">
        <v>245</v>
      </c>
      <c r="B13" s="88" t="s">
        <v>71</v>
      </c>
      <c r="C13" s="91">
        <v>18230611</v>
      </c>
      <c r="D13" s="91" t="s">
        <v>72</v>
      </c>
      <c r="E13" s="37" t="s">
        <v>1058</v>
      </c>
      <c r="F13" s="38" t="s">
        <v>1059</v>
      </c>
      <c r="G13" s="38">
        <v>15</v>
      </c>
      <c r="H13" s="38">
        <v>0</v>
      </c>
      <c r="I13" s="39" t="s">
        <v>273</v>
      </c>
      <c r="J13" s="40">
        <v>160000</v>
      </c>
      <c r="K13" s="40">
        <v>0.13</v>
      </c>
      <c r="L13" s="40">
        <v>0</v>
      </c>
      <c r="M13" s="41">
        <v>1.81</v>
      </c>
      <c r="N13" s="41">
        <v>1.81</v>
      </c>
      <c r="O13" s="42">
        <v>20800</v>
      </c>
      <c r="P13" s="43">
        <v>289600</v>
      </c>
      <c r="Q13" s="43">
        <v>289600</v>
      </c>
      <c r="R13" s="44">
        <v>3.9100000000000003E-2</v>
      </c>
      <c r="S13" s="45"/>
      <c r="T13" s="38">
        <f t="shared" si="0"/>
        <v>15</v>
      </c>
      <c r="U13" s="46">
        <f t="shared" si="1"/>
        <v>7.2431613297645595E-2</v>
      </c>
      <c r="V13" s="47">
        <f t="shared" si="2"/>
        <v>0</v>
      </c>
      <c r="W13" s="48">
        <f t="shared" si="3"/>
        <v>4.8287742198430397E-3</v>
      </c>
      <c r="X13" s="43">
        <f t="shared" si="4"/>
        <v>4366.4306773511889</v>
      </c>
      <c r="Y13" s="43">
        <f t="shared" si="5"/>
        <v>0</v>
      </c>
      <c r="Z13" s="43">
        <f t="shared" si="6"/>
        <v>103973.83094099298</v>
      </c>
      <c r="AA13" s="49">
        <f t="shared" si="7"/>
        <v>293966.43067735119</v>
      </c>
      <c r="AB13" s="50">
        <f t="shared" si="8"/>
        <v>97353.774289319263</v>
      </c>
      <c r="AC13" s="43">
        <f t="shared" si="8"/>
        <v>275249.46692635876</v>
      </c>
      <c r="AD13" s="43">
        <f t="shared" si="9"/>
        <v>57705.929449544725</v>
      </c>
      <c r="AE13" s="43">
        <f t="shared" si="17"/>
        <v>0</v>
      </c>
      <c r="AF13" s="51">
        <f>HLOOKUP(I13,ElecAvoidedCostsWOCC!$A$5:$Q$50,G13+1,FALSE)</f>
        <v>1.7462566560958237</v>
      </c>
      <c r="AG13" s="43">
        <f t="shared" si="10"/>
        <v>36322.138446793135</v>
      </c>
      <c r="AH13" s="51">
        <f>HLOOKUP(I13,ElecAvoidedCostsWOCC!$A$5:$Q$50,T13+1,FALSE)</f>
        <v>1.7462566560958237</v>
      </c>
      <c r="AI13" s="43">
        <f t="shared" si="11"/>
        <v>0</v>
      </c>
      <c r="AJ13" s="43">
        <f t="shared" si="12"/>
        <v>36322.138446793135</v>
      </c>
      <c r="AK13" s="43">
        <f>HLOOKUP(I13,ElecAvoidedCostsWOCC!$A$5:$Q$50,G13+1,FALSE)*J13*L13</f>
        <v>0</v>
      </c>
      <c r="AL13" s="43">
        <f t="shared" si="13"/>
        <v>36322.138446793135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36322.138446793135</v>
      </c>
      <c r="AN13" s="47">
        <f t="shared" si="14"/>
        <v>97660.281741017185</v>
      </c>
      <c r="AO13" s="46">
        <f t="shared" si="15"/>
        <v>0.37309430180744474</v>
      </c>
      <c r="AP13" s="46">
        <f t="shared" si="16"/>
        <v>0.35480643371107989</v>
      </c>
    </row>
    <row r="14" spans="1:42" ht="13.5" customHeight="1" x14ac:dyDescent="0.25">
      <c r="A14" s="54">
        <f>SUM(Y6:Y961)</f>
        <v>0</v>
      </c>
      <c r="B14" s="88" t="s">
        <v>71</v>
      </c>
      <c r="C14" s="91">
        <v>18230611</v>
      </c>
      <c r="D14" s="91" t="s">
        <v>72</v>
      </c>
      <c r="E14" s="37" t="s">
        <v>1060</v>
      </c>
      <c r="F14" s="38" t="s">
        <v>1061</v>
      </c>
      <c r="G14" s="38">
        <v>45</v>
      </c>
      <c r="H14" s="38">
        <v>0</v>
      </c>
      <c r="I14" s="39" t="s">
        <v>271</v>
      </c>
      <c r="J14" s="40">
        <v>140000</v>
      </c>
      <c r="K14" s="40">
        <v>0</v>
      </c>
      <c r="L14" s="40">
        <v>0</v>
      </c>
      <c r="M14" s="41">
        <v>1.3</v>
      </c>
      <c r="N14" s="41">
        <v>1.3</v>
      </c>
      <c r="O14" s="42">
        <v>0</v>
      </c>
      <c r="P14" s="43">
        <v>182000</v>
      </c>
      <c r="Q14" s="43">
        <v>182000</v>
      </c>
      <c r="R14" s="44">
        <v>0</v>
      </c>
      <c r="S14" s="45"/>
      <c r="T14" s="38">
        <f t="shared" si="0"/>
        <v>45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182000</v>
      </c>
      <c r="AB14" s="50">
        <f t="shared" si="8"/>
        <v>0</v>
      </c>
      <c r="AC14" s="43">
        <f t="shared" si="8"/>
        <v>170411.98501872658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0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>
        <f t="shared" si="16"/>
        <v>0</v>
      </c>
    </row>
    <row r="15" spans="1:42" ht="13.5" customHeight="1" x14ac:dyDescent="0.25">
      <c r="A15" s="56" t="s">
        <v>248</v>
      </c>
      <c r="B15" s="88" t="s">
        <v>71</v>
      </c>
      <c r="C15" s="91">
        <v>18230611</v>
      </c>
      <c r="D15" s="91" t="s">
        <v>72</v>
      </c>
      <c r="E15" s="37" t="s">
        <v>1062</v>
      </c>
      <c r="F15" s="38" t="s">
        <v>1063</v>
      </c>
      <c r="G15" s="38">
        <v>45</v>
      </c>
      <c r="H15" s="38">
        <v>0</v>
      </c>
      <c r="I15" s="39" t="s">
        <v>271</v>
      </c>
      <c r="J15" s="40">
        <v>126000</v>
      </c>
      <c r="K15" s="40">
        <v>0</v>
      </c>
      <c r="L15" s="40">
        <v>0</v>
      </c>
      <c r="M15" s="41">
        <v>1.3</v>
      </c>
      <c r="N15" s="41">
        <v>1.3</v>
      </c>
      <c r="O15" s="42">
        <v>0</v>
      </c>
      <c r="P15" s="43">
        <v>163800</v>
      </c>
      <c r="Q15" s="43">
        <v>163800</v>
      </c>
      <c r="R15" s="44">
        <v>0</v>
      </c>
      <c r="S15" s="45"/>
      <c r="T15" s="38">
        <f t="shared" si="0"/>
        <v>45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163800</v>
      </c>
      <c r="AB15" s="50">
        <f t="shared" si="8"/>
        <v>0</v>
      </c>
      <c r="AC15" s="43">
        <f t="shared" si="8"/>
        <v>153370.78651685393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0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>
        <f t="shared" si="16"/>
        <v>0</v>
      </c>
    </row>
    <row r="16" spans="1:42" ht="13.5" customHeight="1" x14ac:dyDescent="0.25">
      <c r="A16" s="53">
        <f>SUM(U6:U960)</f>
        <v>23.651104904794913</v>
      </c>
      <c r="B16" s="88" t="s">
        <v>71</v>
      </c>
      <c r="C16" s="91">
        <v>18230611</v>
      </c>
      <c r="D16" s="91" t="s">
        <v>72</v>
      </c>
      <c r="E16" s="37" t="s">
        <v>1064</v>
      </c>
      <c r="F16" s="38" t="s">
        <v>1065</v>
      </c>
      <c r="G16" s="38">
        <v>45</v>
      </c>
      <c r="H16" s="38">
        <v>0</v>
      </c>
      <c r="I16" s="39" t="s">
        <v>271</v>
      </c>
      <c r="J16" s="40">
        <v>400</v>
      </c>
      <c r="K16" s="40">
        <v>764</v>
      </c>
      <c r="L16" s="40">
        <v>0</v>
      </c>
      <c r="M16" s="41">
        <v>0</v>
      </c>
      <c r="N16" s="41">
        <v>0</v>
      </c>
      <c r="O16" s="42">
        <v>305600</v>
      </c>
      <c r="P16" s="43">
        <v>0</v>
      </c>
      <c r="Q16" s="43">
        <v>0</v>
      </c>
      <c r="R16" s="44">
        <v>68.738600000000005</v>
      </c>
      <c r="S16" s="45"/>
      <c r="T16" s="38">
        <f t="shared" si="0"/>
        <v>45</v>
      </c>
      <c r="U16" s="46">
        <f t="shared" si="1"/>
        <v>3.1925626476577635</v>
      </c>
      <c r="V16" s="47">
        <f t="shared" si="2"/>
        <v>0</v>
      </c>
      <c r="W16" s="48">
        <f t="shared" si="3"/>
        <v>7.0945836614616967E-2</v>
      </c>
      <c r="X16" s="43">
        <f t="shared" si="4"/>
        <v>64152.94302877516</v>
      </c>
      <c r="Y16" s="43">
        <f t="shared" si="5"/>
        <v>0</v>
      </c>
      <c r="Z16" s="43">
        <f t="shared" si="6"/>
        <v>1527615.5161330504</v>
      </c>
      <c r="AA16" s="49">
        <f t="shared" si="7"/>
        <v>64152.94302877516</v>
      </c>
      <c r="AB16" s="50">
        <f t="shared" si="8"/>
        <v>1430351.606866152</v>
      </c>
      <c r="AC16" s="43">
        <f t="shared" si="8"/>
        <v>60068.298716081605</v>
      </c>
      <c r="AD16" s="43">
        <f t="shared" si="9"/>
        <v>383401.39255846973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1082072.7483081818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1082072.7483081818</v>
      </c>
      <c r="AK16" s="43">
        <f>HLOOKUP(I16,ElecAvoidedCostsWOCC!$A$5:$Q$50,G16+1,FALSE)*J16*L16</f>
        <v>0</v>
      </c>
      <c r="AL16" s="43">
        <f t="shared" si="13"/>
        <v>1082072.7483081818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1082072.7483081818</v>
      </c>
      <c r="AN16" s="47">
        <f t="shared" si="14"/>
        <v>1573681.4156974696</v>
      </c>
      <c r="AO16" s="46">
        <f t="shared" si="15"/>
        <v>0.75650822015641561</v>
      </c>
      <c r="AP16" s="46">
        <f t="shared" si="16"/>
        <v>26.198201869102721</v>
      </c>
    </row>
    <row r="17" spans="1:42" ht="13.5" customHeight="1" x14ac:dyDescent="0.25">
      <c r="A17" s="57" t="s">
        <v>251</v>
      </c>
      <c r="B17" s="88" t="s">
        <v>71</v>
      </c>
      <c r="C17" s="91">
        <v>18230611</v>
      </c>
      <c r="D17" s="91" t="s">
        <v>72</v>
      </c>
      <c r="E17" s="37" t="s">
        <v>1066</v>
      </c>
      <c r="F17" s="38" t="s">
        <v>1067</v>
      </c>
      <c r="G17" s="38">
        <v>45</v>
      </c>
      <c r="H17" s="38">
        <v>0</v>
      </c>
      <c r="I17" s="39" t="s">
        <v>271</v>
      </c>
      <c r="J17" s="40">
        <v>114000</v>
      </c>
      <c r="K17" s="40">
        <v>0</v>
      </c>
      <c r="L17" s="40">
        <v>0</v>
      </c>
      <c r="M17" s="41">
        <v>3.01</v>
      </c>
      <c r="N17" s="41">
        <v>3.01</v>
      </c>
      <c r="O17" s="42">
        <v>0</v>
      </c>
      <c r="P17" s="43">
        <v>343140</v>
      </c>
      <c r="Q17" s="43">
        <v>343140</v>
      </c>
      <c r="R17" s="44">
        <v>0</v>
      </c>
      <c r="S17" s="45"/>
      <c r="T17" s="38">
        <f t="shared" si="0"/>
        <v>45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343140</v>
      </c>
      <c r="AB17" s="50">
        <f t="shared" si="8"/>
        <v>0</v>
      </c>
      <c r="AC17" s="43">
        <f t="shared" si="8"/>
        <v>321292.13483146066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0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>
        <f t="shared" si="16"/>
        <v>0</v>
      </c>
    </row>
    <row r="18" spans="1:42" ht="13.5" customHeight="1" x14ac:dyDescent="0.25">
      <c r="A18" s="58">
        <f>A6+A8</f>
        <v>21532137.599999998</v>
      </c>
      <c r="B18" s="88" t="s">
        <v>71</v>
      </c>
      <c r="C18" s="91">
        <v>18230611</v>
      </c>
      <c r="D18" s="91" t="s">
        <v>72</v>
      </c>
      <c r="E18" s="37" t="s">
        <v>1068</v>
      </c>
      <c r="F18" s="38" t="s">
        <v>1069</v>
      </c>
      <c r="G18" s="38">
        <v>45</v>
      </c>
      <c r="H18" s="38">
        <v>0</v>
      </c>
      <c r="I18" s="39" t="s">
        <v>273</v>
      </c>
      <c r="J18" s="40">
        <v>2</v>
      </c>
      <c r="K18" s="40">
        <v>5000</v>
      </c>
      <c r="L18" s="40">
        <v>0</v>
      </c>
      <c r="M18" s="41">
        <v>15000</v>
      </c>
      <c r="N18" s="41">
        <v>15000</v>
      </c>
      <c r="O18" s="42">
        <v>10000</v>
      </c>
      <c r="P18" s="43">
        <v>30000</v>
      </c>
      <c r="Q18" s="43">
        <v>30000</v>
      </c>
      <c r="R18" s="44">
        <v>0</v>
      </c>
      <c r="S18" s="45"/>
      <c r="T18" s="38">
        <f t="shared" si="0"/>
        <v>45</v>
      </c>
      <c r="U18" s="46">
        <f t="shared" si="1"/>
        <v>0.10446867302545038</v>
      </c>
      <c r="V18" s="47">
        <f t="shared" si="2"/>
        <v>0</v>
      </c>
      <c r="W18" s="48">
        <f t="shared" si="3"/>
        <v>2.3215260672322306E-3</v>
      </c>
      <c r="X18" s="43">
        <f t="shared" si="4"/>
        <v>2099.2455179573026</v>
      </c>
      <c r="Y18" s="43">
        <f t="shared" si="5"/>
        <v>0</v>
      </c>
      <c r="Z18" s="43">
        <f t="shared" si="6"/>
        <v>49987.418721631235</v>
      </c>
      <c r="AA18" s="49">
        <f t="shared" si="7"/>
        <v>32099.245517957301</v>
      </c>
      <c r="AB18" s="50">
        <f t="shared" si="8"/>
        <v>46804.699177557333</v>
      </c>
      <c r="AC18" s="43">
        <f t="shared" si="8"/>
        <v>30055.473331420693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3.7416616988497218</v>
      </c>
      <c r="AG18" s="43">
        <f t="shared" si="10"/>
        <v>37416.616988497219</v>
      </c>
      <c r="AH18" s="51">
        <f>HLOOKUP(I18,ElecAvoidedCostsWOCC!$A$5:$Q$50,T18+1,FALSE)</f>
        <v>3.7416616988497218</v>
      </c>
      <c r="AI18" s="43">
        <f t="shared" si="11"/>
        <v>0</v>
      </c>
      <c r="AJ18" s="43">
        <f t="shared" si="12"/>
        <v>37416.616988497219</v>
      </c>
      <c r="AK18" s="43">
        <f>HLOOKUP(I18,ElecAvoidedCostsWOCC!$A$5:$Q$50,G18+1,FALSE)*J18*L18</f>
        <v>0</v>
      </c>
      <c r="AL18" s="43">
        <f t="shared" si="13"/>
        <v>37416.616988497219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37416.616988497219</v>
      </c>
      <c r="AN18" s="47">
        <f t="shared" si="14"/>
        <v>41158.278687346945</v>
      </c>
      <c r="AO18" s="46">
        <f t="shared" si="15"/>
        <v>0.79942009340887588</v>
      </c>
      <c r="AP18" s="46">
        <f t="shared" si="16"/>
        <v>1.3694104309553201</v>
      </c>
    </row>
    <row r="19" spans="1:42" ht="13.5" customHeight="1" x14ac:dyDescent="0.25">
      <c r="A19" s="57" t="s">
        <v>221</v>
      </c>
      <c r="B19" s="88" t="s">
        <v>71</v>
      </c>
      <c r="C19" s="91">
        <v>18230611</v>
      </c>
      <c r="D19" s="91" t="s">
        <v>72</v>
      </c>
      <c r="E19" s="37" t="s">
        <v>1070</v>
      </c>
      <c r="F19" s="38" t="s">
        <v>1071</v>
      </c>
      <c r="G19" s="38">
        <v>45</v>
      </c>
      <c r="H19" s="38">
        <v>0</v>
      </c>
      <c r="I19" s="39" t="s">
        <v>271</v>
      </c>
      <c r="J19" s="40">
        <v>2</v>
      </c>
      <c r="K19" s="40">
        <v>2800</v>
      </c>
      <c r="L19" s="40">
        <v>0</v>
      </c>
      <c r="M19" s="41">
        <v>8400</v>
      </c>
      <c r="N19" s="41">
        <v>8400</v>
      </c>
      <c r="O19" s="42">
        <v>5600</v>
      </c>
      <c r="P19" s="43">
        <v>16800</v>
      </c>
      <c r="Q19" s="43">
        <v>16800</v>
      </c>
      <c r="R19" s="44">
        <v>0</v>
      </c>
      <c r="S19" s="45"/>
      <c r="T19" s="38">
        <f t="shared" si="0"/>
        <v>45</v>
      </c>
      <c r="U19" s="46">
        <f t="shared" si="1"/>
        <v>5.8502456894252201E-2</v>
      </c>
      <c r="V19" s="47">
        <f t="shared" si="2"/>
        <v>0</v>
      </c>
      <c r="W19" s="48">
        <f t="shared" si="3"/>
        <v>1.3000545976500489E-3</v>
      </c>
      <c r="X19" s="43">
        <f t="shared" si="4"/>
        <v>1175.5774900560891</v>
      </c>
      <c r="Y19" s="43">
        <f t="shared" si="5"/>
        <v>0</v>
      </c>
      <c r="Z19" s="43">
        <f t="shared" si="6"/>
        <v>27992.954484113488</v>
      </c>
      <c r="AA19" s="49">
        <f t="shared" si="7"/>
        <v>17975.57749005609</v>
      </c>
      <c r="AB19" s="50">
        <f t="shared" si="8"/>
        <v>26210.631539432103</v>
      </c>
      <c r="AC19" s="43">
        <f t="shared" si="8"/>
        <v>16831.065065595591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19828.558215071393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19828.558215071393</v>
      </c>
      <c r="AK19" s="43">
        <f>HLOOKUP(I19,ElecAvoidedCostsWOCC!$A$5:$Q$50,G19+1,FALSE)*J19*L19</f>
        <v>0</v>
      </c>
      <c r="AL19" s="43">
        <f t="shared" si="13"/>
        <v>19828.558215071393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19828.558215071393</v>
      </c>
      <c r="AN19" s="47">
        <f t="shared" si="14"/>
        <v>21811.414036578535</v>
      </c>
      <c r="AO19" s="46">
        <f t="shared" si="15"/>
        <v>0.75650822015641561</v>
      </c>
      <c r="AP19" s="46">
        <f t="shared" si="16"/>
        <v>1.2959021875070333</v>
      </c>
    </row>
    <row r="20" spans="1:42" ht="13.5" customHeight="1" x14ac:dyDescent="0.25">
      <c r="A20" s="58">
        <f>A8+SUM(Q6:Q867)</f>
        <v>16771856.399999999</v>
      </c>
      <c r="B20" s="88" t="s">
        <v>71</v>
      </c>
      <c r="C20" s="91">
        <v>18230611</v>
      </c>
      <c r="D20" s="91" t="s">
        <v>72</v>
      </c>
      <c r="E20" s="37" t="s">
        <v>1072</v>
      </c>
      <c r="F20" s="38" t="s">
        <v>1073</v>
      </c>
      <c r="G20" s="38">
        <v>45</v>
      </c>
      <c r="H20" s="38">
        <v>0</v>
      </c>
      <c r="I20" s="39" t="s">
        <v>271</v>
      </c>
      <c r="J20" s="40">
        <v>2</v>
      </c>
      <c r="K20" s="40">
        <v>4000</v>
      </c>
      <c r="L20" s="40">
        <v>0</v>
      </c>
      <c r="M20" s="41">
        <v>16000</v>
      </c>
      <c r="N20" s="41">
        <v>16000</v>
      </c>
      <c r="O20" s="42">
        <v>8000</v>
      </c>
      <c r="P20" s="43">
        <v>32000</v>
      </c>
      <c r="Q20" s="43">
        <v>32000</v>
      </c>
      <c r="R20" s="44">
        <v>0</v>
      </c>
      <c r="S20" s="45"/>
      <c r="T20" s="38">
        <f t="shared" si="0"/>
        <v>45</v>
      </c>
      <c r="U20" s="46">
        <f t="shared" si="1"/>
        <v>8.3574938420360304E-2</v>
      </c>
      <c r="V20" s="47">
        <f t="shared" si="2"/>
        <v>0</v>
      </c>
      <c r="W20" s="48">
        <f t="shared" si="3"/>
        <v>1.8572208537857844E-3</v>
      </c>
      <c r="X20" s="43">
        <f t="shared" si="4"/>
        <v>1679.3964143658418</v>
      </c>
      <c r="Y20" s="43">
        <f t="shared" si="5"/>
        <v>0</v>
      </c>
      <c r="Z20" s="43">
        <f t="shared" si="6"/>
        <v>39989.934977304991</v>
      </c>
      <c r="AA20" s="49">
        <f t="shared" si="7"/>
        <v>33679.396414365845</v>
      </c>
      <c r="AB20" s="50">
        <f t="shared" si="8"/>
        <v>37443.759342045872</v>
      </c>
      <c r="AC20" s="43">
        <f t="shared" si="8"/>
        <v>31535.015369256409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28326.511735816275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28326.511735816275</v>
      </c>
      <c r="AK20" s="43">
        <f>HLOOKUP(I20,ElecAvoidedCostsWOCC!$A$5:$Q$50,G20+1,FALSE)*J20*L20</f>
        <v>0</v>
      </c>
      <c r="AL20" s="43">
        <f t="shared" si="13"/>
        <v>28326.511735816275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28326.511735816275</v>
      </c>
      <c r="AN20" s="47">
        <f t="shared" si="14"/>
        <v>31159.162909397906</v>
      </c>
      <c r="AO20" s="46">
        <f t="shared" si="15"/>
        <v>0.75650822015641539</v>
      </c>
      <c r="AP20" s="46">
        <f t="shared" si="16"/>
        <v>0.98808142455434089</v>
      </c>
    </row>
    <row r="21" spans="1:42" ht="13.5" customHeight="1" x14ac:dyDescent="0.25">
      <c r="A21" s="57" t="s">
        <v>235</v>
      </c>
      <c r="B21" s="88" t="s">
        <v>71</v>
      </c>
      <c r="C21" s="91">
        <v>18230611</v>
      </c>
      <c r="D21" s="91" t="s">
        <v>72</v>
      </c>
      <c r="E21" s="37" t="s">
        <v>1074</v>
      </c>
      <c r="F21" s="38" t="s">
        <v>1075</v>
      </c>
      <c r="G21" s="38">
        <v>25</v>
      </c>
      <c r="H21" s="38">
        <v>0</v>
      </c>
      <c r="I21" s="39" t="s">
        <v>273</v>
      </c>
      <c r="J21" s="40">
        <v>34000</v>
      </c>
      <c r="K21" s="40">
        <v>0.68</v>
      </c>
      <c r="L21" s="40">
        <v>0</v>
      </c>
      <c r="M21" s="41">
        <v>2.12</v>
      </c>
      <c r="N21" s="41">
        <v>2.12</v>
      </c>
      <c r="O21" s="42">
        <v>23120</v>
      </c>
      <c r="P21" s="43">
        <v>72080</v>
      </c>
      <c r="Q21" s="43">
        <v>72080</v>
      </c>
      <c r="R21" s="44">
        <v>0</v>
      </c>
      <c r="S21" s="45"/>
      <c r="T21" s="38">
        <f t="shared" si="0"/>
        <v>25</v>
      </c>
      <c r="U21" s="46">
        <f t="shared" si="1"/>
        <v>0.13418420668602291</v>
      </c>
      <c r="V21" s="47">
        <f t="shared" si="2"/>
        <v>0</v>
      </c>
      <c r="W21" s="48">
        <f t="shared" si="3"/>
        <v>5.3673682674409166E-3</v>
      </c>
      <c r="X21" s="43">
        <f t="shared" si="4"/>
        <v>4853.4556375172824</v>
      </c>
      <c r="Y21" s="43">
        <f t="shared" si="5"/>
        <v>0</v>
      </c>
      <c r="Z21" s="43">
        <f t="shared" si="6"/>
        <v>115570.91208441141</v>
      </c>
      <c r="AA21" s="49">
        <f t="shared" si="7"/>
        <v>76933.455637517283</v>
      </c>
      <c r="AB21" s="50">
        <f t="shared" ref="AB21:AC24" si="18">Z21/(1+ElecDiscountRate)^1</f>
        <v>108212.46449851255</v>
      </c>
      <c r="AC21" s="43">
        <f t="shared" si="18"/>
        <v>72035.070821645393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53897.74971107993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53897.74971107993</v>
      </c>
      <c r="AK21" s="43">
        <f>HLOOKUP(I21,ElecAvoidedCostsWOCC!$A$5:$Q$50,G21+1,FALSE)*J21*L21</f>
        <v>0</v>
      </c>
      <c r="AL21" s="43">
        <f t="shared" si="13"/>
        <v>53897.74971107993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53897.749711079938</v>
      </c>
      <c r="AN21" s="47">
        <f t="shared" si="14"/>
        <v>59287.524682187934</v>
      </c>
      <c r="AO21" s="46">
        <f t="shared" si="15"/>
        <v>0.49807339626592462</v>
      </c>
      <c r="AP21" s="46">
        <f t="shared" si="16"/>
        <v>0.82303694583684617</v>
      </c>
    </row>
    <row r="22" spans="1:42" ht="13.5" customHeight="1" x14ac:dyDescent="0.25">
      <c r="A22" s="59">
        <f>(SUM(AM6:AM961)/(SUM(AB6:AB961)))</f>
        <v>0.48095656958147859</v>
      </c>
      <c r="B22" s="88" t="s">
        <v>71</v>
      </c>
      <c r="C22" s="91">
        <v>18230611</v>
      </c>
      <c r="D22" s="91" t="s">
        <v>72</v>
      </c>
      <c r="E22" s="37" t="s">
        <v>1076</v>
      </c>
      <c r="F22" s="38" t="s">
        <v>1077</v>
      </c>
      <c r="G22" s="38">
        <v>25</v>
      </c>
      <c r="H22" s="38">
        <v>0</v>
      </c>
      <c r="I22" s="39" t="s">
        <v>273</v>
      </c>
      <c r="J22" s="40">
        <v>86000</v>
      </c>
      <c r="K22" s="40">
        <v>0.93</v>
      </c>
      <c r="L22" s="40">
        <v>0</v>
      </c>
      <c r="M22" s="41">
        <v>2.41</v>
      </c>
      <c r="N22" s="41">
        <v>2.41</v>
      </c>
      <c r="O22" s="42">
        <v>79980</v>
      </c>
      <c r="P22" s="43">
        <v>207260</v>
      </c>
      <c r="Q22" s="43">
        <v>207260</v>
      </c>
      <c r="R22" s="44">
        <v>0.3014</v>
      </c>
      <c r="S22" s="45"/>
      <c r="T22" s="38">
        <f t="shared" si="0"/>
        <v>25</v>
      </c>
      <c r="U22" s="46">
        <f t="shared" si="1"/>
        <v>0.46418913714308446</v>
      </c>
      <c r="V22" s="47">
        <f t="shared" si="2"/>
        <v>0</v>
      </c>
      <c r="W22" s="48">
        <f t="shared" si="3"/>
        <v>1.8567565485723379E-2</v>
      </c>
      <c r="X22" s="43">
        <f t="shared" si="4"/>
        <v>16789.765652622504</v>
      </c>
      <c r="Y22" s="43">
        <f t="shared" si="5"/>
        <v>0</v>
      </c>
      <c r="Z22" s="43">
        <f t="shared" si="6"/>
        <v>399799.37493560661</v>
      </c>
      <c r="AA22" s="49">
        <f t="shared" si="7"/>
        <v>224049.7656526225</v>
      </c>
      <c r="AB22" s="50">
        <f t="shared" si="18"/>
        <v>374343.98402210354</v>
      </c>
      <c r="AC22" s="43">
        <f t="shared" si="18"/>
        <v>209784.42476837311</v>
      </c>
      <c r="AD22" s="43">
        <f t="shared" si="9"/>
        <v>307586.8175227124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186450.7794936061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186450.7794936061</v>
      </c>
      <c r="AK22" s="43">
        <f>HLOOKUP(I22,ElecAvoidedCostsWOCC!$A$5:$Q$50,G22+1,FALSE)*J22*L22</f>
        <v>0</v>
      </c>
      <c r="AL22" s="43">
        <f t="shared" si="13"/>
        <v>186450.7794936061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186450.77949360613</v>
      </c>
      <c r="AN22" s="47">
        <f t="shared" si="14"/>
        <v>512682.67496567918</v>
      </c>
      <c r="AO22" s="46">
        <f t="shared" si="15"/>
        <v>0.49807339626592462</v>
      </c>
      <c r="AP22" s="46">
        <f t="shared" si="16"/>
        <v>2.4438548072944006</v>
      </c>
    </row>
    <row r="23" spans="1:42" ht="13.5" customHeight="1" x14ac:dyDescent="0.25">
      <c r="A23" s="57" t="s">
        <v>236</v>
      </c>
      <c r="B23" s="88" t="s">
        <v>71</v>
      </c>
      <c r="C23" s="91">
        <v>18230611</v>
      </c>
      <c r="D23" s="91" t="s">
        <v>72</v>
      </c>
      <c r="E23" s="37" t="s">
        <v>1078</v>
      </c>
      <c r="F23" s="38" t="s">
        <v>1079</v>
      </c>
      <c r="G23" s="38">
        <v>45</v>
      </c>
      <c r="H23" s="38">
        <v>0</v>
      </c>
      <c r="I23" s="39" t="s">
        <v>273</v>
      </c>
      <c r="J23" s="40">
        <v>2200</v>
      </c>
      <c r="K23" s="40">
        <v>1.35</v>
      </c>
      <c r="L23" s="40">
        <v>0</v>
      </c>
      <c r="M23" s="41">
        <v>2.63</v>
      </c>
      <c r="N23" s="41">
        <v>2.63</v>
      </c>
      <c r="O23" s="42">
        <v>2970</v>
      </c>
      <c r="P23" s="43">
        <v>5786</v>
      </c>
      <c r="Q23" s="43">
        <v>5786</v>
      </c>
      <c r="R23" s="44">
        <v>0.1857</v>
      </c>
      <c r="S23" s="45"/>
      <c r="T23" s="38">
        <f t="shared" si="0"/>
        <v>45</v>
      </c>
      <c r="U23" s="46">
        <f t="shared" si="1"/>
        <v>3.1027195888558762E-2</v>
      </c>
      <c r="V23" s="47">
        <f t="shared" si="2"/>
        <v>0</v>
      </c>
      <c r="W23" s="48">
        <f t="shared" si="3"/>
        <v>6.8949324196797247E-4</v>
      </c>
      <c r="X23" s="43">
        <f t="shared" si="4"/>
        <v>623.47591883331881</v>
      </c>
      <c r="Y23" s="43">
        <f t="shared" si="5"/>
        <v>0</v>
      </c>
      <c r="Z23" s="43">
        <f t="shared" si="6"/>
        <v>14846.263360324478</v>
      </c>
      <c r="AA23" s="49">
        <f t="shared" si="7"/>
        <v>6409.4759188333192</v>
      </c>
      <c r="AB23" s="50">
        <f t="shared" si="18"/>
        <v>13900.995655734529</v>
      </c>
      <c r="AC23" s="43">
        <f t="shared" si="18"/>
        <v>6001.381946473145</v>
      </c>
      <c r="AD23" s="43">
        <f t="shared" si="9"/>
        <v>5696.7557135233046</v>
      </c>
      <c r="AE23" s="43">
        <f t="shared" si="17"/>
        <v>0</v>
      </c>
      <c r="AF23" s="51">
        <f>HLOOKUP(I23,ElecAvoidedCostsWOCC!$A$5:$Q$50,G23+1,FALSE)</f>
        <v>3.7416616988497218</v>
      </c>
      <c r="AG23" s="43">
        <f t="shared" si="10"/>
        <v>11112.735245583674</v>
      </c>
      <c r="AH23" s="51">
        <f>HLOOKUP(I23,ElecAvoidedCostsWOCC!$A$5:$Q$50,T23+1,FALSE)</f>
        <v>3.7416616988497218</v>
      </c>
      <c r="AI23" s="43">
        <f t="shared" si="11"/>
        <v>0</v>
      </c>
      <c r="AJ23" s="43">
        <f t="shared" si="12"/>
        <v>11112.735245583674</v>
      </c>
      <c r="AK23" s="43">
        <f>HLOOKUP(I23,ElecAvoidedCostsWOCC!$A$5:$Q$50,G23+1,FALSE)*J23*L23</f>
        <v>0</v>
      </c>
      <c r="AL23" s="43">
        <f t="shared" si="13"/>
        <v>11112.735245583674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11112.735245583675</v>
      </c>
      <c r="AN23" s="47">
        <f t="shared" si="14"/>
        <v>17920.764483665349</v>
      </c>
      <c r="AO23" s="46">
        <f t="shared" si="15"/>
        <v>0.79942009340887599</v>
      </c>
      <c r="AP23" s="46">
        <f t="shared" si="16"/>
        <v>2.9861063074308931</v>
      </c>
    </row>
    <row r="24" spans="1:42" ht="13.5" customHeight="1" x14ac:dyDescent="0.25">
      <c r="A24" s="59">
        <f>(SUM(AN6:AN961)/SUM(AC6:AC961))</f>
        <v>1.2570298121983237</v>
      </c>
      <c r="B24" s="88" t="s">
        <v>71</v>
      </c>
      <c r="C24" s="91">
        <v>18230611</v>
      </c>
      <c r="D24" s="91" t="s">
        <v>72</v>
      </c>
      <c r="E24" s="37" t="s">
        <v>1080</v>
      </c>
      <c r="F24" s="38" t="s">
        <v>1081</v>
      </c>
      <c r="G24" s="38">
        <v>45</v>
      </c>
      <c r="H24" s="38">
        <v>0</v>
      </c>
      <c r="I24" s="39" t="s">
        <v>273</v>
      </c>
      <c r="J24" s="40">
        <v>20000</v>
      </c>
      <c r="K24" s="40">
        <v>1.37</v>
      </c>
      <c r="L24" s="40">
        <v>0</v>
      </c>
      <c r="M24" s="41">
        <v>2.93</v>
      </c>
      <c r="N24" s="41">
        <v>2.93</v>
      </c>
      <c r="O24" s="42">
        <v>27400.000000000004</v>
      </c>
      <c r="P24" s="43">
        <v>58600</v>
      </c>
      <c r="Q24" s="43">
        <v>58600</v>
      </c>
      <c r="R24" s="44">
        <v>0.16689999999999999</v>
      </c>
      <c r="S24" s="45"/>
      <c r="T24" s="38">
        <f t="shared" si="0"/>
        <v>45</v>
      </c>
      <c r="U24" s="46">
        <f t="shared" si="1"/>
        <v>0.28624416408973402</v>
      </c>
      <c r="V24" s="47">
        <f t="shared" si="2"/>
        <v>0</v>
      </c>
      <c r="W24" s="48">
        <f t="shared" si="3"/>
        <v>6.3609814242163122E-3</v>
      </c>
      <c r="X24" s="43">
        <f t="shared" si="4"/>
        <v>5751.9327192030087</v>
      </c>
      <c r="Y24" s="43">
        <f t="shared" si="5"/>
        <v>0</v>
      </c>
      <c r="Z24" s="43">
        <f t="shared" si="6"/>
        <v>136965.52729726958</v>
      </c>
      <c r="AA24" s="49">
        <f t="shared" si="7"/>
        <v>64351.93271920301</v>
      </c>
      <c r="AB24" s="50">
        <f t="shared" si="18"/>
        <v>128244.8757465071</v>
      </c>
      <c r="AC24" s="43">
        <f t="shared" si="18"/>
        <v>60254.618650939148</v>
      </c>
      <c r="AD24" s="43">
        <f t="shared" si="9"/>
        <v>46545.676241593945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102521.53054848239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102521.53054848239</v>
      </c>
      <c r="AK24" s="43">
        <f>HLOOKUP(I24,ElecAvoidedCostsWOCC!$A$5:$Q$50,G24+1,FALSE)*J24*L24</f>
        <v>0</v>
      </c>
      <c r="AL24" s="43">
        <f t="shared" si="13"/>
        <v>102521.53054848239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102521.53054848238</v>
      </c>
      <c r="AN24" s="47">
        <f t="shared" si="14"/>
        <v>159319.35984492456</v>
      </c>
      <c r="AO24" s="46">
        <f t="shared" si="15"/>
        <v>0.79942009340887588</v>
      </c>
      <c r="AP24" s="46">
        <f t="shared" si="16"/>
        <v>2.6441020358601399</v>
      </c>
    </row>
    <row r="25" spans="1:42" ht="13.5" customHeight="1" x14ac:dyDescent="0.25">
      <c r="B25" s="88" t="s">
        <v>71</v>
      </c>
      <c r="C25" s="91">
        <v>18230611</v>
      </c>
      <c r="D25" s="91" t="s">
        <v>72</v>
      </c>
      <c r="E25" s="37" t="s">
        <v>1082</v>
      </c>
      <c r="F25" s="38" t="s">
        <v>1083</v>
      </c>
      <c r="G25" s="38">
        <v>45</v>
      </c>
      <c r="H25" s="38">
        <v>0</v>
      </c>
      <c r="I25" s="39" t="s">
        <v>273</v>
      </c>
      <c r="J25" s="40">
        <v>60000</v>
      </c>
      <c r="K25" s="40">
        <v>0.36</v>
      </c>
      <c r="L25" s="40">
        <v>0</v>
      </c>
      <c r="M25" s="41">
        <v>2.1800000000000002</v>
      </c>
      <c r="N25" s="41">
        <v>2.1800000000000002</v>
      </c>
      <c r="O25" s="42">
        <v>21600</v>
      </c>
      <c r="P25" s="43">
        <v>130800</v>
      </c>
      <c r="Q25" s="43">
        <v>130800.00000000001</v>
      </c>
      <c r="R25" s="44">
        <v>9.5100000000000004E-2</v>
      </c>
      <c r="S25" s="45"/>
      <c r="T25" s="38">
        <f t="shared" ref="T25:T78" si="19">G25+H25</f>
        <v>45</v>
      </c>
      <c r="U25" s="46">
        <f t="shared" ref="U25:U78" si="20">(O25/$A$10)*T25</f>
        <v>0.22565233373497282</v>
      </c>
      <c r="V25" s="47">
        <f t="shared" ref="V25:V78" si="21">N25-M25</f>
        <v>0</v>
      </c>
      <c r="W25" s="48">
        <f t="shared" ref="W25:W78" si="22">(O25/A$10)</f>
        <v>5.0144963052216182E-3</v>
      </c>
      <c r="X25" s="43">
        <f t="shared" ref="X25:X78" si="23">W25*A$8</f>
        <v>4534.3703187877736</v>
      </c>
      <c r="Y25" s="43">
        <f t="shared" ref="Y25:Y78" si="24">Q25-P25</f>
        <v>0</v>
      </c>
      <c r="Z25" s="43">
        <f t="shared" ref="Z25:Z78" si="25">X25+(A$6*W25)</f>
        <v>107972.82443872346</v>
      </c>
      <c r="AA25" s="49">
        <f t="shared" ref="AA25:AA78" si="26">Q25+X25</f>
        <v>135334.37031878778</v>
      </c>
      <c r="AB25" s="50">
        <f t="shared" ref="AB25:AB78" si="27">Z25/(1+ElecDiscountRate)^1</f>
        <v>101098.15022352383</v>
      </c>
      <c r="AC25" s="43">
        <f t="shared" ref="AC25:AC78" si="28">AA25/(1+ElecDiscountRate)^1</f>
        <v>126717.57520485746</v>
      </c>
      <c r="AD25" s="43">
        <f t="shared" ref="AD25:AD78" si="29">-PV(ElecDiscountRate,T25,R25)*J25</f>
        <v>79565.496894707932</v>
      </c>
      <c r="AE25" s="43">
        <f t="shared" ref="AE25:AE78" si="30">-PV(ElecDiscountRate,T25,S25)*J25</f>
        <v>0</v>
      </c>
      <c r="AF25" s="51">
        <f>HLOOKUP(I25,ElecAvoidedCostsWOCC!$A$5:$Q$50,G25+1,FALSE)</f>
        <v>3.7416616988497218</v>
      </c>
      <c r="AG25" s="43">
        <f t="shared" ref="AG25:AG78" si="31">AF25*J25*K25</f>
        <v>80819.892695153991</v>
      </c>
      <c r="AH25" s="51">
        <f>HLOOKUP(I25,ElecAvoidedCostsWOCC!$A$5:$Q$50,T25+1,FALSE)</f>
        <v>3.7416616988497218</v>
      </c>
      <c r="AI25" s="43">
        <f t="shared" ref="AI25:AI78" si="32">AH25*J25*L25</f>
        <v>0</v>
      </c>
      <c r="AJ25" s="43">
        <f t="shared" ref="AJ25:AJ78" si="33">AG25+AI25</f>
        <v>80819.892695153991</v>
      </c>
      <c r="AK25" s="43">
        <f>HLOOKUP(I25,ElecAvoidedCostsWOCC!$A$5:$Q$50,G25+1,FALSE)*J25*L25</f>
        <v>0</v>
      </c>
      <c r="AL25" s="43">
        <f t="shared" ref="AL25:AL78" si="34">AG25+AI25-AK25</f>
        <v>80819.892695153991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80819.892695153991</v>
      </c>
      <c r="AN25" s="47">
        <f t="shared" ref="AN25:AN78" si="35">AM25*1.1+AD25+AE25</f>
        <v>168467.37885937735</v>
      </c>
      <c r="AO25" s="46">
        <f t="shared" ref="AO25:AO78" si="36">IFERROR(AM25/AB25,0)</f>
        <v>0.79942009340887588</v>
      </c>
      <c r="AP25" s="46">
        <f t="shared" ref="AP25:AP78" si="37">AN25/AC25</f>
        <v>1.3294712954144303</v>
      </c>
    </row>
    <row r="26" spans="1:42" ht="13.5" customHeight="1" x14ac:dyDescent="0.25">
      <c r="B26" s="88" t="s">
        <v>71</v>
      </c>
      <c r="C26" s="91">
        <v>18230611</v>
      </c>
      <c r="D26" s="91" t="s">
        <v>72</v>
      </c>
      <c r="E26" s="37" t="s">
        <v>1084</v>
      </c>
      <c r="F26" s="38" t="s">
        <v>1085</v>
      </c>
      <c r="G26" s="38">
        <v>45</v>
      </c>
      <c r="H26" s="38">
        <v>0</v>
      </c>
      <c r="I26" s="39" t="s">
        <v>273</v>
      </c>
      <c r="J26" s="40">
        <v>18000</v>
      </c>
      <c r="K26" s="40">
        <v>0.38</v>
      </c>
      <c r="L26" s="40">
        <v>0</v>
      </c>
      <c r="M26" s="41">
        <v>2.4900000000000002</v>
      </c>
      <c r="N26" s="41">
        <v>2.4900000000000002</v>
      </c>
      <c r="O26" s="42">
        <v>6840</v>
      </c>
      <c r="P26" s="43">
        <v>44820</v>
      </c>
      <c r="Q26" s="43">
        <v>44820.000000000007</v>
      </c>
      <c r="R26" s="44">
        <v>9.5299999999999996E-2</v>
      </c>
      <c r="S26" s="45"/>
      <c r="T26" s="38">
        <f t="shared" si="19"/>
        <v>45</v>
      </c>
      <c r="U26" s="46">
        <f t="shared" si="20"/>
        <v>7.1456572349408054E-2</v>
      </c>
      <c r="V26" s="47">
        <f t="shared" si="21"/>
        <v>0</v>
      </c>
      <c r="W26" s="48">
        <f t="shared" si="22"/>
        <v>1.5879238299868457E-3</v>
      </c>
      <c r="X26" s="43">
        <f t="shared" si="23"/>
        <v>1435.8839342827948</v>
      </c>
      <c r="Y26" s="43">
        <f t="shared" si="24"/>
        <v>0</v>
      </c>
      <c r="Z26" s="43">
        <f t="shared" si="25"/>
        <v>34191.394405595762</v>
      </c>
      <c r="AA26" s="49">
        <f t="shared" si="26"/>
        <v>46255.8839342828</v>
      </c>
      <c r="AB26" s="50">
        <f t="shared" si="27"/>
        <v>32014.414237449215</v>
      </c>
      <c r="AC26" s="43">
        <f t="shared" si="28"/>
        <v>43310.752747455801</v>
      </c>
      <c r="AD26" s="43">
        <f t="shared" si="29"/>
        <v>23919.848120080966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25592.966020132095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25592.966020132095</v>
      </c>
      <c r="AK26" s="43">
        <f>HLOOKUP(I26,ElecAvoidedCostsWOCC!$A$5:$Q$50,G26+1,FALSE)*J26*L26</f>
        <v>0</v>
      </c>
      <c r="AL26" s="43">
        <f t="shared" si="34"/>
        <v>25592.966020132095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25592.966020132095</v>
      </c>
      <c r="AN26" s="47">
        <f t="shared" si="35"/>
        <v>52072.110742226272</v>
      </c>
      <c r="AO26" s="46">
        <f t="shared" si="36"/>
        <v>0.79942009340887576</v>
      </c>
      <c r="AP26" s="46">
        <f t="shared" si="37"/>
        <v>1.2022905961911534</v>
      </c>
    </row>
    <row r="27" spans="1:42" ht="13.5" customHeight="1" x14ac:dyDescent="0.25">
      <c r="B27" s="88" t="s">
        <v>71</v>
      </c>
      <c r="C27" s="91">
        <v>18230611</v>
      </c>
      <c r="D27" s="91" t="s">
        <v>72</v>
      </c>
      <c r="E27" s="37" t="s">
        <v>1086</v>
      </c>
      <c r="F27" s="38" t="s">
        <v>1087</v>
      </c>
      <c r="G27" s="38">
        <v>45</v>
      </c>
      <c r="H27" s="38">
        <v>0</v>
      </c>
      <c r="I27" s="39" t="s">
        <v>273</v>
      </c>
      <c r="J27" s="40">
        <v>28000</v>
      </c>
      <c r="K27" s="40">
        <v>0.17</v>
      </c>
      <c r="L27" s="40">
        <v>0</v>
      </c>
      <c r="M27" s="41">
        <v>1.77</v>
      </c>
      <c r="N27" s="41">
        <v>1.77</v>
      </c>
      <c r="O27" s="42">
        <v>4760</v>
      </c>
      <c r="P27" s="43">
        <v>49560</v>
      </c>
      <c r="Q27" s="43">
        <v>49560</v>
      </c>
      <c r="R27" s="44">
        <v>7.2599999999999998E-2</v>
      </c>
      <c r="S27" s="45"/>
      <c r="T27" s="38">
        <f t="shared" si="19"/>
        <v>45</v>
      </c>
      <c r="U27" s="46">
        <f t="shared" si="20"/>
        <v>4.9727088360114372E-2</v>
      </c>
      <c r="V27" s="47">
        <f t="shared" si="21"/>
        <v>0</v>
      </c>
      <c r="W27" s="48">
        <f t="shared" si="22"/>
        <v>1.1050464080025416E-3</v>
      </c>
      <c r="X27" s="43">
        <f t="shared" si="23"/>
        <v>999.24086654767586</v>
      </c>
      <c r="Y27" s="43">
        <f t="shared" si="24"/>
        <v>0</v>
      </c>
      <c r="Z27" s="43">
        <f t="shared" si="25"/>
        <v>23794.011311496466</v>
      </c>
      <c r="AA27" s="49">
        <f t="shared" si="26"/>
        <v>50559.240866547676</v>
      </c>
      <c r="AB27" s="50">
        <f t="shared" si="27"/>
        <v>22279.036808517289</v>
      </c>
      <c r="AC27" s="43">
        <f t="shared" si="28"/>
        <v>47340.113170924786</v>
      </c>
      <c r="AD27" s="43">
        <f t="shared" si="29"/>
        <v>28345.731175527915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17810.309686524677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17810.309686524677</v>
      </c>
      <c r="AK27" s="43">
        <f>HLOOKUP(I27,ElecAvoidedCostsWOCC!$A$5:$Q$50,G27+1,FALSE)*J27*L27</f>
        <v>0</v>
      </c>
      <c r="AL27" s="43">
        <f t="shared" si="34"/>
        <v>17810.309686524677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17810.309686524677</v>
      </c>
      <c r="AN27" s="47">
        <f t="shared" si="35"/>
        <v>47937.071830705063</v>
      </c>
      <c r="AO27" s="46">
        <f t="shared" si="36"/>
        <v>0.79942009340887599</v>
      </c>
      <c r="AP27" s="46">
        <f t="shared" si="37"/>
        <v>1.0126099964658917</v>
      </c>
    </row>
    <row r="28" spans="1:42" x14ac:dyDescent="0.25">
      <c r="B28" s="88" t="s">
        <v>71</v>
      </c>
      <c r="C28" s="91">
        <v>18230611</v>
      </c>
      <c r="D28" s="91" t="s">
        <v>72</v>
      </c>
      <c r="E28" s="37" t="s">
        <v>1088</v>
      </c>
      <c r="F28" s="38" t="s">
        <v>1089</v>
      </c>
      <c r="G28" s="38">
        <v>45</v>
      </c>
      <c r="H28" s="38">
        <v>0</v>
      </c>
      <c r="I28" s="39" t="s">
        <v>273</v>
      </c>
      <c r="J28" s="40">
        <v>4000</v>
      </c>
      <c r="K28" s="40">
        <v>0.36</v>
      </c>
      <c r="L28" s="40">
        <v>0</v>
      </c>
      <c r="M28" s="41">
        <v>2.5499999999999998</v>
      </c>
      <c r="N28" s="41">
        <v>2.5499999999999998</v>
      </c>
      <c r="O28" s="42">
        <v>1440</v>
      </c>
      <c r="P28" s="43">
        <v>10200</v>
      </c>
      <c r="Q28" s="43">
        <v>10200</v>
      </c>
      <c r="R28" s="44">
        <v>7.2999999999999995E-2</v>
      </c>
      <c r="S28" s="45"/>
      <c r="T28" s="38">
        <f t="shared" si="19"/>
        <v>45</v>
      </c>
      <c r="U28" s="46">
        <f t="shared" si="20"/>
        <v>1.5043488915664854E-2</v>
      </c>
      <c r="V28" s="47">
        <f t="shared" si="21"/>
        <v>0</v>
      </c>
      <c r="W28" s="48">
        <f t="shared" si="22"/>
        <v>3.3429975368144118E-4</v>
      </c>
      <c r="X28" s="43">
        <f t="shared" si="23"/>
        <v>302.29135458585154</v>
      </c>
      <c r="Y28" s="43">
        <f t="shared" si="24"/>
        <v>0</v>
      </c>
      <c r="Z28" s="43">
        <f t="shared" si="25"/>
        <v>7198.1882959148979</v>
      </c>
      <c r="AA28" s="49">
        <f t="shared" si="26"/>
        <v>10502.291354585852</v>
      </c>
      <c r="AB28" s="50">
        <f t="shared" si="27"/>
        <v>6739.8766815682557</v>
      </c>
      <c r="AC28" s="43">
        <f t="shared" si="28"/>
        <v>9833.6061372526692</v>
      </c>
      <c r="AD28" s="43">
        <f t="shared" si="29"/>
        <v>4071.7008575630416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5387.992846343599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5387.992846343599</v>
      </c>
      <c r="AK28" s="43">
        <f>HLOOKUP(I28,ElecAvoidedCostsWOCC!$A$5:$Q$50,G28+1,FALSE)*J28*L28</f>
        <v>0</v>
      </c>
      <c r="AL28" s="43">
        <f t="shared" si="34"/>
        <v>5387.992846343599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5387.992846343599</v>
      </c>
      <c r="AN28" s="47">
        <f t="shared" si="35"/>
        <v>9998.492988541002</v>
      </c>
      <c r="AO28" s="46">
        <f t="shared" si="36"/>
        <v>0.79942009340887588</v>
      </c>
      <c r="AP28" s="46">
        <f t="shared" si="37"/>
        <v>1.0167676891861361</v>
      </c>
    </row>
    <row r="29" spans="1:42" x14ac:dyDescent="0.25">
      <c r="B29" s="88" t="s">
        <v>71</v>
      </c>
      <c r="C29" s="91">
        <v>18230611</v>
      </c>
      <c r="D29" s="91" t="s">
        <v>72</v>
      </c>
      <c r="E29" s="37" t="s">
        <v>1090</v>
      </c>
      <c r="F29" s="38" t="s">
        <v>1091</v>
      </c>
      <c r="G29" s="38">
        <v>25</v>
      </c>
      <c r="H29" s="38">
        <v>0</v>
      </c>
      <c r="I29" s="39" t="s">
        <v>273</v>
      </c>
      <c r="J29" s="40">
        <v>184000</v>
      </c>
      <c r="K29" s="40">
        <v>0.8</v>
      </c>
      <c r="L29" s="40">
        <v>0</v>
      </c>
      <c r="M29" s="41">
        <v>3.25</v>
      </c>
      <c r="N29" s="41">
        <v>3.25</v>
      </c>
      <c r="O29" s="42">
        <v>147200</v>
      </c>
      <c r="P29" s="43">
        <v>598000</v>
      </c>
      <c r="Q29" s="43">
        <v>598000</v>
      </c>
      <c r="R29" s="44">
        <v>0.1837</v>
      </c>
      <c r="S29" s="45"/>
      <c r="T29" s="38">
        <f t="shared" si="19"/>
        <v>25</v>
      </c>
      <c r="U29" s="46">
        <f t="shared" si="20"/>
        <v>0.8543215927414608</v>
      </c>
      <c r="V29" s="47">
        <f t="shared" si="21"/>
        <v>0</v>
      </c>
      <c r="W29" s="48">
        <f t="shared" si="22"/>
        <v>3.4172863709658434E-2</v>
      </c>
      <c r="X29" s="43">
        <f t="shared" si="23"/>
        <v>30900.89402433149</v>
      </c>
      <c r="Y29" s="43">
        <f t="shared" si="24"/>
        <v>0</v>
      </c>
      <c r="Z29" s="43">
        <f t="shared" si="25"/>
        <v>735814.80358241173</v>
      </c>
      <c r="AA29" s="49">
        <f t="shared" si="26"/>
        <v>628900.89402433147</v>
      </c>
      <c r="AB29" s="50">
        <f t="shared" si="27"/>
        <v>688965.17189364391</v>
      </c>
      <c r="AC29" s="43">
        <f t="shared" si="28"/>
        <v>588858.51500405569</v>
      </c>
      <c r="AD29" s="43">
        <f t="shared" si="29"/>
        <v>401100.31101841398</v>
      </c>
      <c r="AE29" s="43">
        <f t="shared" si="30"/>
        <v>0</v>
      </c>
      <c r="AF29" s="51">
        <f>HLOOKUP(I29,ElecAvoidedCostsWOCC!$A$5:$Q$50,G29+1,FALSE)</f>
        <v>2.3312175480570905</v>
      </c>
      <c r="AG29" s="43">
        <f t="shared" si="31"/>
        <v>343155.22307400376</v>
      </c>
      <c r="AH29" s="51">
        <f>HLOOKUP(I29,ElecAvoidedCostsWOCC!$A$5:$Q$50,T29+1,FALSE)</f>
        <v>2.3312175480570905</v>
      </c>
      <c r="AI29" s="43">
        <f t="shared" si="32"/>
        <v>0</v>
      </c>
      <c r="AJ29" s="43">
        <f t="shared" si="33"/>
        <v>343155.22307400376</v>
      </c>
      <c r="AK29" s="43">
        <f>HLOOKUP(I29,ElecAvoidedCostsWOCC!$A$5:$Q$50,G29+1,FALSE)*J29*L29</f>
        <v>0</v>
      </c>
      <c r="AL29" s="43">
        <f t="shared" si="34"/>
        <v>343155.22307400376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343155.22307400376</v>
      </c>
      <c r="AN29" s="47">
        <f t="shared" si="35"/>
        <v>778571.05639981816</v>
      </c>
      <c r="AO29" s="46">
        <f t="shared" si="36"/>
        <v>0.49807339626592462</v>
      </c>
      <c r="AP29" s="46">
        <f t="shared" si="37"/>
        <v>1.3221699891602243</v>
      </c>
    </row>
    <row r="30" spans="1:42" x14ac:dyDescent="0.25">
      <c r="B30" s="88" t="s">
        <v>71</v>
      </c>
      <c r="C30" s="91">
        <v>18230611</v>
      </c>
      <c r="D30" s="91" t="s">
        <v>72</v>
      </c>
      <c r="E30" s="37" t="s">
        <v>1092</v>
      </c>
      <c r="F30" s="38" t="s">
        <v>1093</v>
      </c>
      <c r="G30" s="38">
        <v>25</v>
      </c>
      <c r="H30" s="38">
        <v>0</v>
      </c>
      <c r="I30" s="39" t="s">
        <v>273</v>
      </c>
      <c r="J30" s="40">
        <v>106000</v>
      </c>
      <c r="K30" s="40">
        <v>0.52</v>
      </c>
      <c r="L30" s="40">
        <v>0</v>
      </c>
      <c r="M30" s="41">
        <v>3.7</v>
      </c>
      <c r="N30" s="41">
        <v>3.7</v>
      </c>
      <c r="O30" s="42">
        <v>55120</v>
      </c>
      <c r="P30" s="43">
        <v>392200</v>
      </c>
      <c r="Q30" s="43">
        <v>392200</v>
      </c>
      <c r="R30" s="44">
        <v>0.1177</v>
      </c>
      <c r="S30" s="45"/>
      <c r="T30" s="38">
        <f t="shared" si="19"/>
        <v>25</v>
      </c>
      <c r="U30" s="46">
        <f t="shared" si="20"/>
        <v>0.31990629206460136</v>
      </c>
      <c r="V30" s="47">
        <f t="shared" si="21"/>
        <v>0</v>
      </c>
      <c r="W30" s="48">
        <f t="shared" si="22"/>
        <v>1.2796251682584055E-2</v>
      </c>
      <c r="X30" s="43">
        <f t="shared" si="23"/>
        <v>11571.04129498065</v>
      </c>
      <c r="Y30" s="43">
        <f t="shared" si="24"/>
        <v>0</v>
      </c>
      <c r="Z30" s="43">
        <f t="shared" si="25"/>
        <v>275530.65199363139</v>
      </c>
      <c r="AA30" s="49">
        <f t="shared" si="26"/>
        <v>403771.04129498068</v>
      </c>
      <c r="AB30" s="50">
        <f t="shared" si="27"/>
        <v>257987.50186669605</v>
      </c>
      <c r="AC30" s="43">
        <f t="shared" si="28"/>
        <v>378062.77274810924</v>
      </c>
      <c r="AD30" s="43">
        <f t="shared" si="29"/>
        <v>148049.97811672906</v>
      </c>
      <c r="AE30" s="43">
        <f t="shared" si="30"/>
        <v>0</v>
      </c>
      <c r="AF30" s="51">
        <f>HLOOKUP(I30,ElecAvoidedCostsWOCC!$A$5:$Q$50,G30+1,FALSE)</f>
        <v>2.3312175480570905</v>
      </c>
      <c r="AG30" s="43">
        <f t="shared" si="31"/>
        <v>128496.71124890682</v>
      </c>
      <c r="AH30" s="51">
        <f>HLOOKUP(I30,ElecAvoidedCostsWOCC!$A$5:$Q$50,T30+1,FALSE)</f>
        <v>2.3312175480570905</v>
      </c>
      <c r="AI30" s="43">
        <f t="shared" si="32"/>
        <v>0</v>
      </c>
      <c r="AJ30" s="43">
        <f t="shared" si="33"/>
        <v>128496.71124890682</v>
      </c>
      <c r="AK30" s="43">
        <f>HLOOKUP(I30,ElecAvoidedCostsWOCC!$A$5:$Q$50,G30+1,FALSE)*J30*L30</f>
        <v>0</v>
      </c>
      <c r="AL30" s="43">
        <f t="shared" si="34"/>
        <v>128496.71124890682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128496.71124890684</v>
      </c>
      <c r="AN30" s="47">
        <f t="shared" si="35"/>
        <v>289396.3604905266</v>
      </c>
      <c r="AO30" s="46">
        <f t="shared" si="36"/>
        <v>0.49807339626592451</v>
      </c>
      <c r="AP30" s="46">
        <f t="shared" si="37"/>
        <v>0.76547171885485232</v>
      </c>
    </row>
    <row r="31" spans="1:42" x14ac:dyDescent="0.25">
      <c r="B31" s="88" t="s">
        <v>71</v>
      </c>
      <c r="C31" s="91">
        <v>18230611</v>
      </c>
      <c r="D31" s="91" t="s">
        <v>72</v>
      </c>
      <c r="E31" s="37" t="s">
        <v>1094</v>
      </c>
      <c r="F31" s="38" t="s">
        <v>1095</v>
      </c>
      <c r="G31" s="38">
        <v>45</v>
      </c>
      <c r="H31" s="38">
        <v>0</v>
      </c>
      <c r="I31" s="39" t="s">
        <v>273</v>
      </c>
      <c r="J31" s="40">
        <v>66000</v>
      </c>
      <c r="K31" s="40">
        <v>0.4</v>
      </c>
      <c r="L31" s="40">
        <v>0</v>
      </c>
      <c r="M31" s="41">
        <v>2.93</v>
      </c>
      <c r="N31" s="41">
        <v>2.93</v>
      </c>
      <c r="O31" s="42">
        <v>26400</v>
      </c>
      <c r="P31" s="43">
        <v>193380</v>
      </c>
      <c r="Q31" s="43">
        <v>193380</v>
      </c>
      <c r="R31" s="44">
        <v>7.1099999999999997E-2</v>
      </c>
      <c r="S31" s="45"/>
      <c r="T31" s="38">
        <f t="shared" si="19"/>
        <v>45</v>
      </c>
      <c r="U31" s="46">
        <f t="shared" si="20"/>
        <v>0.27579729678718895</v>
      </c>
      <c r="V31" s="47">
        <f t="shared" si="21"/>
        <v>0</v>
      </c>
      <c r="W31" s="48">
        <f t="shared" si="22"/>
        <v>6.1288288174930882E-3</v>
      </c>
      <c r="X31" s="43">
        <f t="shared" si="23"/>
        <v>5542.0081674072781</v>
      </c>
      <c r="Y31" s="43">
        <f t="shared" si="24"/>
        <v>0</v>
      </c>
      <c r="Z31" s="43">
        <f t="shared" si="25"/>
        <v>131966.78542510644</v>
      </c>
      <c r="AA31" s="49">
        <f t="shared" si="26"/>
        <v>198922.00816740727</v>
      </c>
      <c r="AB31" s="50">
        <f t="shared" si="27"/>
        <v>123564.40582875135</v>
      </c>
      <c r="AC31" s="43">
        <f t="shared" si="28"/>
        <v>186256.56195450117</v>
      </c>
      <c r="AD31" s="43">
        <f t="shared" si="29"/>
        <v>65434.463850001121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98779.868849632665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98779.868849632665</v>
      </c>
      <c r="AK31" s="43">
        <f>HLOOKUP(I31,ElecAvoidedCostsWOCC!$A$5:$Q$50,G31+1,FALSE)*J31*L31</f>
        <v>0</v>
      </c>
      <c r="AL31" s="43">
        <f t="shared" si="34"/>
        <v>98779.868849632665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98779.868849632665</v>
      </c>
      <c r="AN31" s="47">
        <f t="shared" si="35"/>
        <v>174092.31958459708</v>
      </c>
      <c r="AO31" s="46">
        <f t="shared" si="36"/>
        <v>0.79942009340887599</v>
      </c>
      <c r="AP31" s="46">
        <f t="shared" si="37"/>
        <v>0.93469093253812141</v>
      </c>
    </row>
    <row r="32" spans="1:42" x14ac:dyDescent="0.25">
      <c r="B32" s="88" t="s">
        <v>71</v>
      </c>
      <c r="C32" s="91">
        <v>18230611</v>
      </c>
      <c r="D32" s="91" t="s">
        <v>72</v>
      </c>
      <c r="E32" s="37" t="s">
        <v>1096</v>
      </c>
      <c r="F32" s="38" t="s">
        <v>1097</v>
      </c>
      <c r="G32" s="38">
        <v>25</v>
      </c>
      <c r="H32" s="38">
        <v>0</v>
      </c>
      <c r="I32" s="39" t="s">
        <v>273</v>
      </c>
      <c r="J32" s="40">
        <v>36000</v>
      </c>
      <c r="K32" s="40">
        <v>0.37</v>
      </c>
      <c r="L32" s="40">
        <v>0</v>
      </c>
      <c r="M32" s="41">
        <v>2.52</v>
      </c>
      <c r="N32" s="41">
        <v>2.52</v>
      </c>
      <c r="O32" s="42">
        <v>13320</v>
      </c>
      <c r="P32" s="43">
        <v>90720</v>
      </c>
      <c r="Q32" s="43">
        <v>90720</v>
      </c>
      <c r="R32" s="44">
        <v>0.15390000000000001</v>
      </c>
      <c r="S32" s="45"/>
      <c r="T32" s="38">
        <f t="shared" si="19"/>
        <v>25</v>
      </c>
      <c r="U32" s="46">
        <f t="shared" si="20"/>
        <v>7.7306818038833269E-2</v>
      </c>
      <c r="V32" s="47">
        <f t="shared" si="21"/>
        <v>0</v>
      </c>
      <c r="W32" s="48">
        <f t="shared" si="22"/>
        <v>3.092272721553331E-3</v>
      </c>
      <c r="X32" s="43">
        <f t="shared" si="23"/>
        <v>2796.1950299191267</v>
      </c>
      <c r="Y32" s="43">
        <f t="shared" si="24"/>
        <v>0</v>
      </c>
      <c r="Z32" s="43">
        <f t="shared" si="25"/>
        <v>66583.241737212797</v>
      </c>
      <c r="AA32" s="49">
        <f t="shared" si="26"/>
        <v>93516.195029919123</v>
      </c>
      <c r="AB32" s="50">
        <f t="shared" si="27"/>
        <v>62343.859304506361</v>
      </c>
      <c r="AC32" s="43">
        <f t="shared" si="28"/>
        <v>87561.980365092808</v>
      </c>
      <c r="AD32" s="43">
        <f t="shared" si="29"/>
        <v>65745.667651843163</v>
      </c>
      <c r="AE32" s="43">
        <f t="shared" si="30"/>
        <v>0</v>
      </c>
      <c r="AF32" s="51">
        <f>HLOOKUP(I32,ElecAvoidedCostsWOCC!$A$5:$Q$50,G32+1,FALSE)</f>
        <v>2.3312175480570905</v>
      </c>
      <c r="AG32" s="43">
        <f t="shared" si="31"/>
        <v>31051.817740120445</v>
      </c>
      <c r="AH32" s="51">
        <f>HLOOKUP(I32,ElecAvoidedCostsWOCC!$A$5:$Q$50,T32+1,FALSE)</f>
        <v>2.3312175480570905</v>
      </c>
      <c r="AI32" s="43">
        <f t="shared" si="32"/>
        <v>0</v>
      </c>
      <c r="AJ32" s="43">
        <f t="shared" si="33"/>
        <v>31051.817740120445</v>
      </c>
      <c r="AK32" s="43">
        <f>HLOOKUP(I32,ElecAvoidedCostsWOCC!$A$5:$Q$50,G32+1,FALSE)*J32*L32</f>
        <v>0</v>
      </c>
      <c r="AL32" s="43">
        <f t="shared" si="34"/>
        <v>31051.817740120445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31051.817740120445</v>
      </c>
      <c r="AN32" s="47">
        <f t="shared" si="35"/>
        <v>99902.667165975654</v>
      </c>
      <c r="AO32" s="46">
        <f t="shared" si="36"/>
        <v>0.49807339626592456</v>
      </c>
      <c r="AP32" s="46">
        <f t="shared" si="37"/>
        <v>1.1409365885676399</v>
      </c>
    </row>
    <row r="33" spans="2:42" x14ac:dyDescent="0.25">
      <c r="B33" s="88" t="s">
        <v>71</v>
      </c>
      <c r="C33" s="91">
        <v>18230611</v>
      </c>
      <c r="D33" s="91" t="s">
        <v>72</v>
      </c>
      <c r="E33" s="37" t="s">
        <v>1098</v>
      </c>
      <c r="F33" s="38" t="s">
        <v>1099</v>
      </c>
      <c r="G33" s="38">
        <v>20</v>
      </c>
      <c r="H33" s="38">
        <v>0</v>
      </c>
      <c r="I33" s="39" t="s">
        <v>273</v>
      </c>
      <c r="J33" s="40">
        <v>3400</v>
      </c>
      <c r="K33" s="40">
        <v>4.6500000000000004</v>
      </c>
      <c r="L33" s="40">
        <v>0</v>
      </c>
      <c r="M33" s="41">
        <v>8.85</v>
      </c>
      <c r="N33" s="41">
        <v>8.85</v>
      </c>
      <c r="O33" s="42">
        <v>15810.000000000002</v>
      </c>
      <c r="P33" s="43">
        <v>30090</v>
      </c>
      <c r="Q33" s="43">
        <v>30090</v>
      </c>
      <c r="R33" s="44">
        <v>1.3130999999999999</v>
      </c>
      <c r="S33" s="45"/>
      <c r="T33" s="38">
        <f t="shared" si="19"/>
        <v>20</v>
      </c>
      <c r="U33" s="46">
        <f t="shared" si="20"/>
        <v>7.3406654245883135E-2</v>
      </c>
      <c r="V33" s="47">
        <f t="shared" si="21"/>
        <v>0</v>
      </c>
      <c r="W33" s="48">
        <f t="shared" si="22"/>
        <v>3.6703327122941569E-3</v>
      </c>
      <c r="X33" s="43">
        <f t="shared" si="23"/>
        <v>3318.9071638904952</v>
      </c>
      <c r="Y33" s="43">
        <f t="shared" si="24"/>
        <v>0</v>
      </c>
      <c r="Z33" s="43">
        <f t="shared" si="25"/>
        <v>79030.108998898999</v>
      </c>
      <c r="AA33" s="49">
        <f t="shared" si="26"/>
        <v>33408.907163890493</v>
      </c>
      <c r="AB33" s="50">
        <f t="shared" si="27"/>
        <v>73998.229399718155</v>
      </c>
      <c r="AC33" s="43">
        <f t="shared" si="28"/>
        <v>31281.748280796339</v>
      </c>
      <c r="AD33" s="43">
        <f t="shared" si="29"/>
        <v>48041.618096690094</v>
      </c>
      <c r="AE33" s="43">
        <f t="shared" si="30"/>
        <v>0</v>
      </c>
      <c r="AF33" s="51">
        <f>HLOOKUP(I33,ElecAvoidedCostsWOCC!$A$5:$Q$50,G33+1,FALSE)</f>
        <v>2.0629229085847913</v>
      </c>
      <c r="AG33" s="43">
        <f t="shared" si="31"/>
        <v>32614.811184725553</v>
      </c>
      <c r="AH33" s="51">
        <f>HLOOKUP(I33,ElecAvoidedCostsWOCC!$A$5:$Q$50,T33+1,FALSE)</f>
        <v>2.0629229085847913</v>
      </c>
      <c r="AI33" s="43">
        <f t="shared" si="32"/>
        <v>0</v>
      </c>
      <c r="AJ33" s="43">
        <f t="shared" si="33"/>
        <v>32614.811184725553</v>
      </c>
      <c r="AK33" s="43">
        <f>HLOOKUP(I33,ElecAvoidedCostsWOCC!$A$5:$Q$50,G33+1,FALSE)*J33*L33</f>
        <v>0</v>
      </c>
      <c r="AL33" s="43">
        <f t="shared" si="34"/>
        <v>32614.811184725553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32614.811184725553</v>
      </c>
      <c r="AN33" s="47">
        <f t="shared" si="35"/>
        <v>83917.910399888206</v>
      </c>
      <c r="AO33" s="46">
        <f t="shared" si="36"/>
        <v>0.44075123755393231</v>
      </c>
      <c r="AP33" s="46">
        <f t="shared" si="37"/>
        <v>2.682647710307319</v>
      </c>
    </row>
    <row r="34" spans="2:42" x14ac:dyDescent="0.25">
      <c r="B34" s="88" t="s">
        <v>71</v>
      </c>
      <c r="C34" s="91">
        <v>18230611</v>
      </c>
      <c r="D34" s="91" t="s">
        <v>72</v>
      </c>
      <c r="E34" s="37" t="s">
        <v>1100</v>
      </c>
      <c r="F34" s="38" t="s">
        <v>1101</v>
      </c>
      <c r="G34" s="38">
        <v>15</v>
      </c>
      <c r="H34" s="38">
        <v>0</v>
      </c>
      <c r="I34" s="39" t="s">
        <v>269</v>
      </c>
      <c r="J34" s="40">
        <v>180</v>
      </c>
      <c r="K34" s="40">
        <v>20.68</v>
      </c>
      <c r="L34" s="40">
        <v>0</v>
      </c>
      <c r="M34" s="41">
        <v>27.4</v>
      </c>
      <c r="N34" s="41">
        <v>27.4</v>
      </c>
      <c r="O34" s="42">
        <v>3722.4</v>
      </c>
      <c r="P34" s="43">
        <v>4932</v>
      </c>
      <c r="Q34" s="43">
        <v>4932</v>
      </c>
      <c r="R34" s="44">
        <v>17.019200000000001</v>
      </c>
      <c r="S34" s="45"/>
      <c r="T34" s="38">
        <f t="shared" si="19"/>
        <v>15</v>
      </c>
      <c r="U34" s="46">
        <f t="shared" si="20"/>
        <v>1.2962472948997883E-2</v>
      </c>
      <c r="V34" s="47">
        <f t="shared" si="21"/>
        <v>0</v>
      </c>
      <c r="W34" s="48">
        <f t="shared" si="22"/>
        <v>8.6416486326652549E-4</v>
      </c>
      <c r="X34" s="43">
        <f t="shared" si="23"/>
        <v>781.42315160442627</v>
      </c>
      <c r="Y34" s="43">
        <f t="shared" si="24"/>
        <v>0</v>
      </c>
      <c r="Z34" s="43">
        <f t="shared" si="25"/>
        <v>18607.31674494001</v>
      </c>
      <c r="AA34" s="49">
        <f t="shared" si="26"/>
        <v>5713.4231516044265</v>
      </c>
      <c r="AB34" s="50">
        <f t="shared" si="27"/>
        <v>17422.581221853939</v>
      </c>
      <c r="AC34" s="43">
        <f t="shared" si="28"/>
        <v>5349.6471456970285</v>
      </c>
      <c r="AD34" s="43">
        <f t="shared" si="29"/>
        <v>28257.604828610056</v>
      </c>
      <c r="AE34" s="43">
        <f t="shared" si="30"/>
        <v>0</v>
      </c>
      <c r="AF34" s="51">
        <f>HLOOKUP(I34,ElecAvoidedCostsWOCC!$A$5:$Q$50,G34+1,FALSE)</f>
        <v>1.3863847906946944</v>
      </c>
      <c r="AG34" s="43">
        <f t="shared" si="31"/>
        <v>5160.6787448819305</v>
      </c>
      <c r="AH34" s="51">
        <f>HLOOKUP(I34,ElecAvoidedCostsWOCC!$A$5:$Q$50,T34+1,FALSE)</f>
        <v>1.3863847906946944</v>
      </c>
      <c r="AI34" s="43">
        <f t="shared" si="32"/>
        <v>0</v>
      </c>
      <c r="AJ34" s="43">
        <f t="shared" si="33"/>
        <v>5160.6787448819305</v>
      </c>
      <c r="AK34" s="43">
        <f>HLOOKUP(I34,ElecAvoidedCostsWOCC!$A$5:$Q$50,G34+1,FALSE)*J34*L34</f>
        <v>0</v>
      </c>
      <c r="AL34" s="43">
        <f t="shared" si="34"/>
        <v>5160.6787448819305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5160.6787448819305</v>
      </c>
      <c r="AN34" s="47">
        <f t="shared" si="35"/>
        <v>33934.351447980182</v>
      </c>
      <c r="AO34" s="46">
        <f t="shared" si="36"/>
        <v>0.29620632437681826</v>
      </c>
      <c r="AP34" s="46">
        <f t="shared" si="37"/>
        <v>6.3432877952100393</v>
      </c>
    </row>
    <row r="35" spans="2:42" x14ac:dyDescent="0.25">
      <c r="B35" s="88" t="s">
        <v>71</v>
      </c>
      <c r="C35" s="91">
        <v>18230611</v>
      </c>
      <c r="D35" s="91" t="s">
        <v>72</v>
      </c>
      <c r="E35" s="37" t="s">
        <v>1102</v>
      </c>
      <c r="F35" s="38" t="s">
        <v>1103</v>
      </c>
      <c r="G35" s="38">
        <v>15</v>
      </c>
      <c r="H35" s="38">
        <v>0</v>
      </c>
      <c r="I35" s="39" t="s">
        <v>269</v>
      </c>
      <c r="J35" s="40">
        <v>80</v>
      </c>
      <c r="K35" s="40">
        <v>20.68</v>
      </c>
      <c r="L35" s="40">
        <v>0</v>
      </c>
      <c r="M35" s="41">
        <v>27.4</v>
      </c>
      <c r="N35" s="41">
        <v>27.4</v>
      </c>
      <c r="O35" s="42">
        <v>1654.4</v>
      </c>
      <c r="P35" s="43">
        <v>2192</v>
      </c>
      <c r="Q35" s="43">
        <v>2192</v>
      </c>
      <c r="R35" s="44">
        <v>17.0184</v>
      </c>
      <c r="S35" s="45"/>
      <c r="T35" s="38">
        <f t="shared" si="19"/>
        <v>15</v>
      </c>
      <c r="U35" s="46">
        <f t="shared" si="20"/>
        <v>5.7610990884435029E-3</v>
      </c>
      <c r="V35" s="47">
        <f t="shared" si="21"/>
        <v>0</v>
      </c>
      <c r="W35" s="48">
        <f t="shared" si="22"/>
        <v>3.8407327256290022E-4</v>
      </c>
      <c r="X35" s="43">
        <f t="shared" si="23"/>
        <v>347.29917849085609</v>
      </c>
      <c r="Y35" s="43">
        <f t="shared" si="24"/>
        <v>0</v>
      </c>
      <c r="Z35" s="43">
        <f t="shared" si="25"/>
        <v>8269.918553306672</v>
      </c>
      <c r="AA35" s="49">
        <f t="shared" si="26"/>
        <v>2539.2991784908563</v>
      </c>
      <c r="AB35" s="50">
        <f t="shared" si="27"/>
        <v>7743.3694319350861</v>
      </c>
      <c r="AC35" s="43">
        <f t="shared" si="28"/>
        <v>2377.6209536431238</v>
      </c>
      <c r="AD35" s="43">
        <f t="shared" si="29"/>
        <v>12558.345137392989</v>
      </c>
      <c r="AE35" s="43">
        <f t="shared" si="30"/>
        <v>0</v>
      </c>
      <c r="AF35" s="51">
        <f>HLOOKUP(I35,ElecAvoidedCostsWOCC!$A$5:$Q$50,G35+1,FALSE)</f>
        <v>1.3863847906946944</v>
      </c>
      <c r="AG35" s="43">
        <f t="shared" si="31"/>
        <v>2293.6349977253026</v>
      </c>
      <c r="AH35" s="51">
        <f>HLOOKUP(I35,ElecAvoidedCostsWOCC!$A$5:$Q$50,T35+1,FALSE)</f>
        <v>1.3863847906946944</v>
      </c>
      <c r="AI35" s="43">
        <f t="shared" si="32"/>
        <v>0</v>
      </c>
      <c r="AJ35" s="43">
        <f t="shared" si="33"/>
        <v>2293.6349977253026</v>
      </c>
      <c r="AK35" s="43">
        <f>HLOOKUP(I35,ElecAvoidedCostsWOCC!$A$5:$Q$50,G35+1,FALSE)*J35*L35</f>
        <v>0</v>
      </c>
      <c r="AL35" s="43">
        <f t="shared" si="34"/>
        <v>2293.6349977253026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2293.6349977253026</v>
      </c>
      <c r="AN35" s="47">
        <f t="shared" si="35"/>
        <v>15081.343634890822</v>
      </c>
      <c r="AO35" s="46">
        <f t="shared" si="36"/>
        <v>0.29620632437681821</v>
      </c>
      <c r="AP35" s="46">
        <f t="shared" si="37"/>
        <v>6.3430395041658523</v>
      </c>
    </row>
    <row r="36" spans="2:42" x14ac:dyDescent="0.25">
      <c r="B36" s="88" t="s">
        <v>71</v>
      </c>
      <c r="C36" s="91">
        <v>18230611</v>
      </c>
      <c r="D36" s="91" t="s">
        <v>72</v>
      </c>
      <c r="E36" s="37" t="s">
        <v>1104</v>
      </c>
      <c r="F36" s="38" t="s">
        <v>1105</v>
      </c>
      <c r="G36" s="38">
        <v>25</v>
      </c>
      <c r="H36" s="38">
        <v>0</v>
      </c>
      <c r="I36" s="39" t="s">
        <v>273</v>
      </c>
      <c r="J36" s="40">
        <v>700</v>
      </c>
      <c r="K36" s="40">
        <v>4.58</v>
      </c>
      <c r="L36" s="40">
        <v>0</v>
      </c>
      <c r="M36" s="41">
        <v>3.08</v>
      </c>
      <c r="N36" s="41">
        <v>3.08</v>
      </c>
      <c r="O36" s="42">
        <v>3206</v>
      </c>
      <c r="P36" s="43">
        <v>2156</v>
      </c>
      <c r="Q36" s="43">
        <v>2156</v>
      </c>
      <c r="R36" s="44">
        <v>5.0484999999999998</v>
      </c>
      <c r="S36" s="45"/>
      <c r="T36" s="38">
        <f t="shared" si="19"/>
        <v>25</v>
      </c>
      <c r="U36" s="46">
        <f t="shared" si="20"/>
        <v>1.8607031428866327E-2</v>
      </c>
      <c r="V36" s="47">
        <f t="shared" si="21"/>
        <v>0</v>
      </c>
      <c r="W36" s="48">
        <f t="shared" si="22"/>
        <v>7.4428125715465311E-4</v>
      </c>
      <c r="X36" s="43">
        <f t="shared" si="23"/>
        <v>673.01811305711112</v>
      </c>
      <c r="Y36" s="43">
        <f t="shared" si="24"/>
        <v>0</v>
      </c>
      <c r="Z36" s="43">
        <f t="shared" si="25"/>
        <v>16025.966442154973</v>
      </c>
      <c r="AA36" s="49">
        <f t="shared" si="26"/>
        <v>2829.0181130571109</v>
      </c>
      <c r="AB36" s="50">
        <f t="shared" si="27"/>
        <v>15005.586556324881</v>
      </c>
      <c r="AC36" s="43">
        <f t="shared" si="28"/>
        <v>2648.8933642856841</v>
      </c>
      <c r="AD36" s="43">
        <f t="shared" si="29"/>
        <v>41935.943649958695</v>
      </c>
      <c r="AE36" s="43">
        <f t="shared" si="30"/>
        <v>0</v>
      </c>
      <c r="AF36" s="51">
        <f>HLOOKUP(I36,ElecAvoidedCostsWOCC!$A$5:$Q$50,G36+1,FALSE)</f>
        <v>2.3312175480570905</v>
      </c>
      <c r="AG36" s="43">
        <f t="shared" si="31"/>
        <v>7473.8834590710321</v>
      </c>
      <c r="AH36" s="51">
        <f>HLOOKUP(I36,ElecAvoidedCostsWOCC!$A$5:$Q$50,T36+1,FALSE)</f>
        <v>2.3312175480570905</v>
      </c>
      <c r="AI36" s="43">
        <f t="shared" si="32"/>
        <v>0</v>
      </c>
      <c r="AJ36" s="43">
        <f t="shared" si="33"/>
        <v>7473.8834590710321</v>
      </c>
      <c r="AK36" s="43">
        <f>HLOOKUP(I36,ElecAvoidedCostsWOCC!$A$5:$Q$50,G36+1,FALSE)*J36*L36</f>
        <v>0</v>
      </c>
      <c r="AL36" s="43">
        <f t="shared" si="34"/>
        <v>7473.8834590710321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7473.8834590710321</v>
      </c>
      <c r="AN36" s="47">
        <f t="shared" si="35"/>
        <v>50157.215454936828</v>
      </c>
      <c r="AO36" s="46">
        <f t="shared" si="36"/>
        <v>0.49807339626592451</v>
      </c>
      <c r="AP36" s="46">
        <f t="shared" si="37"/>
        <v>18.935158406598415</v>
      </c>
    </row>
    <row r="37" spans="2:42" x14ac:dyDescent="0.25">
      <c r="B37" s="88" t="s">
        <v>71</v>
      </c>
      <c r="C37" s="91">
        <v>18230611</v>
      </c>
      <c r="D37" s="91" t="s">
        <v>72</v>
      </c>
      <c r="E37" s="37" t="s">
        <v>1106</v>
      </c>
      <c r="F37" s="38" t="s">
        <v>1107</v>
      </c>
      <c r="G37" s="38">
        <v>45</v>
      </c>
      <c r="H37" s="38">
        <v>0</v>
      </c>
      <c r="I37" s="39" t="s">
        <v>273</v>
      </c>
      <c r="J37" s="40">
        <v>19000</v>
      </c>
      <c r="K37" s="40">
        <v>0.83</v>
      </c>
      <c r="L37" s="40">
        <v>0</v>
      </c>
      <c r="M37" s="41">
        <v>3.01</v>
      </c>
      <c r="N37" s="41">
        <v>3.01</v>
      </c>
      <c r="O37" s="42">
        <v>15770</v>
      </c>
      <c r="P37" s="43">
        <v>57190</v>
      </c>
      <c r="Q37" s="43">
        <v>57189.999999999993</v>
      </c>
      <c r="R37" s="44">
        <v>0.1348</v>
      </c>
      <c r="S37" s="45"/>
      <c r="T37" s="38">
        <f t="shared" si="19"/>
        <v>45</v>
      </c>
      <c r="U37" s="46">
        <f t="shared" si="20"/>
        <v>0.16474709736113521</v>
      </c>
      <c r="V37" s="47">
        <f t="shared" si="21"/>
        <v>0</v>
      </c>
      <c r="W37" s="48">
        <f t="shared" si="22"/>
        <v>3.6610466080252272E-3</v>
      </c>
      <c r="X37" s="43">
        <f t="shared" si="23"/>
        <v>3310.5101818186654</v>
      </c>
      <c r="Y37" s="43">
        <f t="shared" si="24"/>
        <v>0</v>
      </c>
      <c r="Z37" s="43">
        <f t="shared" si="25"/>
        <v>78830.159324012449</v>
      </c>
      <c r="AA37" s="49">
        <f t="shared" si="26"/>
        <v>60500.510181818659</v>
      </c>
      <c r="AB37" s="50">
        <f t="shared" si="27"/>
        <v>73811.010603007904</v>
      </c>
      <c r="AC37" s="43">
        <f t="shared" si="28"/>
        <v>56648.417773238441</v>
      </c>
      <c r="AD37" s="43">
        <f t="shared" si="29"/>
        <v>35713.836425994734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59006.004990860107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59006.004990860107</v>
      </c>
      <c r="AK37" s="43">
        <f>HLOOKUP(I37,ElecAvoidedCostsWOCC!$A$5:$Q$50,G37+1,FALSE)*J37*L37</f>
        <v>0</v>
      </c>
      <c r="AL37" s="43">
        <f t="shared" si="34"/>
        <v>59006.004990860107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59006.004990860107</v>
      </c>
      <c r="AN37" s="47">
        <f t="shared" si="35"/>
        <v>100620.44191594086</v>
      </c>
      <c r="AO37" s="46">
        <f t="shared" si="36"/>
        <v>0.79942009340887588</v>
      </c>
      <c r="AP37" s="46">
        <f t="shared" si="37"/>
        <v>1.7762268721912204</v>
      </c>
    </row>
    <row r="38" spans="2:42" x14ac:dyDescent="0.25">
      <c r="B38" s="88" t="s">
        <v>71</v>
      </c>
      <c r="C38" s="91">
        <v>18230611</v>
      </c>
      <c r="D38" s="91" t="s">
        <v>72</v>
      </c>
      <c r="E38" s="37" t="s">
        <v>1108</v>
      </c>
      <c r="F38" s="38" t="s">
        <v>1109</v>
      </c>
      <c r="G38" s="38">
        <v>45</v>
      </c>
      <c r="H38" s="38">
        <v>0</v>
      </c>
      <c r="I38" s="39" t="s">
        <v>271</v>
      </c>
      <c r="J38" s="40">
        <v>4600</v>
      </c>
      <c r="K38" s="40">
        <v>0.91</v>
      </c>
      <c r="L38" s="40">
        <v>0</v>
      </c>
      <c r="M38" s="41">
        <v>2.63</v>
      </c>
      <c r="N38" s="41">
        <v>2.63</v>
      </c>
      <c r="O38" s="42">
        <v>4186</v>
      </c>
      <c r="P38" s="43">
        <v>12098</v>
      </c>
      <c r="Q38" s="43">
        <v>12098</v>
      </c>
      <c r="R38" s="44">
        <v>0.12</v>
      </c>
      <c r="S38" s="45"/>
      <c r="T38" s="38">
        <f t="shared" si="19"/>
        <v>45</v>
      </c>
      <c r="U38" s="46">
        <f t="shared" si="20"/>
        <v>4.3730586528453526E-2</v>
      </c>
      <c r="V38" s="47">
        <f t="shared" si="21"/>
        <v>0</v>
      </c>
      <c r="W38" s="48">
        <f t="shared" si="22"/>
        <v>9.7179081174341168E-4</v>
      </c>
      <c r="X38" s="43">
        <f t="shared" si="23"/>
        <v>878.74417381692672</v>
      </c>
      <c r="Y38" s="43">
        <f t="shared" si="24"/>
        <v>0</v>
      </c>
      <c r="Z38" s="43">
        <f t="shared" si="25"/>
        <v>20924.733476874833</v>
      </c>
      <c r="AA38" s="49">
        <f t="shared" si="26"/>
        <v>12976.744173816927</v>
      </c>
      <c r="AB38" s="50">
        <f t="shared" si="27"/>
        <v>19592.447075725497</v>
      </c>
      <c r="AC38" s="43">
        <f t="shared" si="28"/>
        <v>12150.509526045811</v>
      </c>
      <c r="AD38" s="43">
        <f t="shared" si="29"/>
        <v>7697.1879225164348</v>
      </c>
      <c r="AE38" s="43">
        <f t="shared" si="30"/>
        <v>0</v>
      </c>
      <c r="AF38" s="51">
        <f>HLOOKUP(I38,ElecAvoidedCostsWOCC!$A$5:$Q$50,G38+1,FALSE)</f>
        <v>3.5408139669770344</v>
      </c>
      <c r="AG38" s="43">
        <f t="shared" si="31"/>
        <v>14821.847265765868</v>
      </c>
      <c r="AH38" s="51">
        <f>HLOOKUP(I38,ElecAvoidedCostsWOCC!$A$5:$Q$50,T38+1,FALSE)</f>
        <v>3.5408139669770344</v>
      </c>
      <c r="AI38" s="43">
        <f t="shared" si="32"/>
        <v>0</v>
      </c>
      <c r="AJ38" s="43">
        <f t="shared" si="33"/>
        <v>14821.847265765868</v>
      </c>
      <c r="AK38" s="43">
        <f>HLOOKUP(I38,ElecAvoidedCostsWOCC!$A$5:$Q$50,G38+1,FALSE)*J38*L38</f>
        <v>0</v>
      </c>
      <c r="AL38" s="43">
        <f t="shared" si="34"/>
        <v>14821.847265765868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14821.847265765866</v>
      </c>
      <c r="AN38" s="47">
        <f t="shared" si="35"/>
        <v>24001.219914858888</v>
      </c>
      <c r="AO38" s="46">
        <f t="shared" si="36"/>
        <v>0.75650822015641561</v>
      </c>
      <c r="AP38" s="46">
        <f t="shared" si="37"/>
        <v>1.9753262086178291</v>
      </c>
    </row>
    <row r="39" spans="2:42" x14ac:dyDescent="0.25">
      <c r="B39" s="88" t="s">
        <v>71</v>
      </c>
      <c r="C39" s="91">
        <v>18230611</v>
      </c>
      <c r="D39" s="91" t="s">
        <v>72</v>
      </c>
      <c r="E39" s="37" t="s">
        <v>1110</v>
      </c>
      <c r="F39" s="38" t="s">
        <v>1111</v>
      </c>
      <c r="G39" s="38">
        <v>45</v>
      </c>
      <c r="H39" s="38">
        <v>0</v>
      </c>
      <c r="I39" s="39" t="s">
        <v>271</v>
      </c>
      <c r="J39" s="40">
        <v>10000</v>
      </c>
      <c r="K39" s="40">
        <v>0.95</v>
      </c>
      <c r="L39" s="40">
        <v>0</v>
      </c>
      <c r="M39" s="41">
        <v>2.93</v>
      </c>
      <c r="N39" s="41">
        <v>2.93</v>
      </c>
      <c r="O39" s="42">
        <v>9500</v>
      </c>
      <c r="P39" s="43">
        <v>29300</v>
      </c>
      <c r="Q39" s="43">
        <v>29300</v>
      </c>
      <c r="R39" s="44">
        <v>0.1037</v>
      </c>
      <c r="S39" s="45"/>
      <c r="T39" s="38">
        <f t="shared" si="19"/>
        <v>45</v>
      </c>
      <c r="U39" s="46">
        <f t="shared" si="20"/>
        <v>9.9245239374177854E-2</v>
      </c>
      <c r="V39" s="47">
        <f t="shared" si="21"/>
        <v>0</v>
      </c>
      <c r="W39" s="48">
        <f t="shared" si="22"/>
        <v>2.2054497638706191E-3</v>
      </c>
      <c r="X39" s="43">
        <f t="shared" si="23"/>
        <v>1994.2832420594373</v>
      </c>
      <c r="Y39" s="43">
        <f t="shared" si="24"/>
        <v>0</v>
      </c>
      <c r="Z39" s="43">
        <f t="shared" si="25"/>
        <v>47488.047785549672</v>
      </c>
      <c r="AA39" s="49">
        <f t="shared" si="26"/>
        <v>31294.283242059439</v>
      </c>
      <c r="AB39" s="50">
        <f t="shared" si="27"/>
        <v>44464.464218679466</v>
      </c>
      <c r="AC39" s="43">
        <f t="shared" si="28"/>
        <v>29301.763335261647</v>
      </c>
      <c r="AD39" s="43">
        <f t="shared" si="29"/>
        <v>14460.115716756418</v>
      </c>
      <c r="AE39" s="43">
        <f t="shared" si="30"/>
        <v>0</v>
      </c>
      <c r="AF39" s="51">
        <f>HLOOKUP(I39,ElecAvoidedCostsWOCC!$A$5:$Q$50,G39+1,FALSE)</f>
        <v>3.5408139669770344</v>
      </c>
      <c r="AG39" s="43">
        <f t="shared" si="31"/>
        <v>33637.73268628183</v>
      </c>
      <c r="AH39" s="51">
        <f>HLOOKUP(I39,ElecAvoidedCostsWOCC!$A$5:$Q$50,T39+1,FALSE)</f>
        <v>3.5408139669770344</v>
      </c>
      <c r="AI39" s="43">
        <f t="shared" si="32"/>
        <v>0</v>
      </c>
      <c r="AJ39" s="43">
        <f t="shared" si="33"/>
        <v>33637.73268628183</v>
      </c>
      <c r="AK39" s="43">
        <f>HLOOKUP(I39,ElecAvoidedCostsWOCC!$A$5:$Q$50,G39+1,FALSE)*J39*L39</f>
        <v>0</v>
      </c>
      <c r="AL39" s="43">
        <f t="shared" si="34"/>
        <v>33637.73268628183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33637.732686281823</v>
      </c>
      <c r="AN39" s="47">
        <f t="shared" si="35"/>
        <v>51461.621671666428</v>
      </c>
      <c r="AO39" s="46">
        <f t="shared" si="36"/>
        <v>0.75650822015641539</v>
      </c>
      <c r="AP39" s="46">
        <f t="shared" si="37"/>
        <v>1.756263644711705</v>
      </c>
    </row>
    <row r="40" spans="2:42" x14ac:dyDescent="0.25">
      <c r="B40" s="88" t="s">
        <v>71</v>
      </c>
      <c r="C40" s="91">
        <v>18230611</v>
      </c>
      <c r="D40" s="91" t="s">
        <v>72</v>
      </c>
      <c r="E40" s="37" t="s">
        <v>1112</v>
      </c>
      <c r="F40" s="38" t="s">
        <v>1113</v>
      </c>
      <c r="G40" s="38">
        <v>45</v>
      </c>
      <c r="H40" s="38">
        <v>0</v>
      </c>
      <c r="I40" s="39" t="s">
        <v>271</v>
      </c>
      <c r="J40" s="40">
        <v>10000</v>
      </c>
      <c r="K40" s="40">
        <v>0.56000000000000005</v>
      </c>
      <c r="L40" s="40">
        <v>0</v>
      </c>
      <c r="M40" s="41">
        <v>2.1800000000000002</v>
      </c>
      <c r="N40" s="41">
        <v>2.1800000000000002</v>
      </c>
      <c r="O40" s="42">
        <v>5600.0000000000009</v>
      </c>
      <c r="P40" s="43">
        <v>21800</v>
      </c>
      <c r="Q40" s="43">
        <v>21800</v>
      </c>
      <c r="R40" s="44">
        <v>5.3999999999999999E-2</v>
      </c>
      <c r="S40" s="45"/>
      <c r="T40" s="38">
        <f t="shared" si="19"/>
        <v>45</v>
      </c>
      <c r="U40" s="46">
        <f t="shared" si="20"/>
        <v>5.8502456894252215E-2</v>
      </c>
      <c r="V40" s="47">
        <f t="shared" si="21"/>
        <v>0</v>
      </c>
      <c r="W40" s="48">
        <f t="shared" si="22"/>
        <v>1.3000545976500492E-3</v>
      </c>
      <c r="X40" s="43">
        <f t="shared" si="23"/>
        <v>1175.5774900560893</v>
      </c>
      <c r="Y40" s="43">
        <f t="shared" si="24"/>
        <v>0</v>
      </c>
      <c r="Z40" s="43">
        <f t="shared" si="25"/>
        <v>27992.954484113492</v>
      </c>
      <c r="AA40" s="49">
        <f t="shared" si="26"/>
        <v>22975.57749005609</v>
      </c>
      <c r="AB40" s="50">
        <f t="shared" si="27"/>
        <v>26210.631539432106</v>
      </c>
      <c r="AC40" s="43">
        <f t="shared" si="28"/>
        <v>21512.713005670495</v>
      </c>
      <c r="AD40" s="43">
        <f t="shared" si="29"/>
        <v>7529.857750287817</v>
      </c>
      <c r="AE40" s="43">
        <f t="shared" si="30"/>
        <v>0</v>
      </c>
      <c r="AF40" s="51">
        <f>HLOOKUP(I40,ElecAvoidedCostsWOCC!$A$5:$Q$50,G40+1,FALSE)</f>
        <v>3.5408139669770344</v>
      </c>
      <c r="AG40" s="43">
        <f t="shared" si="31"/>
        <v>19828.558215071396</v>
      </c>
      <c r="AH40" s="51">
        <f>HLOOKUP(I40,ElecAvoidedCostsWOCC!$A$5:$Q$50,T40+1,FALSE)</f>
        <v>3.5408139669770344</v>
      </c>
      <c r="AI40" s="43">
        <f t="shared" si="32"/>
        <v>0</v>
      </c>
      <c r="AJ40" s="43">
        <f t="shared" si="33"/>
        <v>19828.558215071396</v>
      </c>
      <c r="AK40" s="43">
        <f>HLOOKUP(I40,ElecAvoidedCostsWOCC!$A$5:$Q$50,G40+1,FALSE)*J40*L40</f>
        <v>0</v>
      </c>
      <c r="AL40" s="43">
        <f t="shared" si="34"/>
        <v>19828.558215071396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19828.558215071396</v>
      </c>
      <c r="AN40" s="47">
        <f t="shared" si="35"/>
        <v>29341.271786866357</v>
      </c>
      <c r="AO40" s="46">
        <f t="shared" si="36"/>
        <v>0.75650822015641572</v>
      </c>
      <c r="AP40" s="46">
        <f t="shared" si="37"/>
        <v>1.3639038357985043</v>
      </c>
    </row>
    <row r="41" spans="2:42" x14ac:dyDescent="0.25">
      <c r="B41" s="88" t="s">
        <v>71</v>
      </c>
      <c r="C41" s="91">
        <v>18230611</v>
      </c>
      <c r="D41" s="91" t="s">
        <v>72</v>
      </c>
      <c r="E41" s="37" t="s">
        <v>1114</v>
      </c>
      <c r="F41" s="38" t="s">
        <v>1115</v>
      </c>
      <c r="G41" s="38">
        <v>45</v>
      </c>
      <c r="H41" s="38">
        <v>0</v>
      </c>
      <c r="I41" s="39" t="s">
        <v>271</v>
      </c>
      <c r="J41" s="40">
        <v>54000</v>
      </c>
      <c r="K41" s="40">
        <v>0.23</v>
      </c>
      <c r="L41" s="40">
        <v>0</v>
      </c>
      <c r="M41" s="41">
        <v>1.77</v>
      </c>
      <c r="N41" s="41">
        <v>1.77</v>
      </c>
      <c r="O41" s="42">
        <v>12420</v>
      </c>
      <c r="P41" s="43">
        <v>95580</v>
      </c>
      <c r="Q41" s="43">
        <v>95580</v>
      </c>
      <c r="R41" s="44">
        <v>2.2200000000000001E-2</v>
      </c>
      <c r="S41" s="45"/>
      <c r="T41" s="38">
        <f t="shared" si="19"/>
        <v>45</v>
      </c>
      <c r="U41" s="46">
        <f t="shared" si="20"/>
        <v>0.12975009189760936</v>
      </c>
      <c r="V41" s="47">
        <f t="shared" si="21"/>
        <v>0</v>
      </c>
      <c r="W41" s="48">
        <f t="shared" si="22"/>
        <v>2.8833353755024303E-3</v>
      </c>
      <c r="X41" s="43">
        <f t="shared" si="23"/>
        <v>2607.2629333029695</v>
      </c>
      <c r="Y41" s="43">
        <f t="shared" si="24"/>
        <v>0</v>
      </c>
      <c r="Z41" s="43">
        <f t="shared" si="25"/>
        <v>62084.374052265994</v>
      </c>
      <c r="AA41" s="49">
        <f t="shared" si="26"/>
        <v>98187.262933302976</v>
      </c>
      <c r="AB41" s="50">
        <f t="shared" si="27"/>
        <v>58131.43637852621</v>
      </c>
      <c r="AC41" s="43">
        <f t="shared" si="28"/>
        <v>91935.639450658215</v>
      </c>
      <c r="AD41" s="43">
        <f t="shared" si="29"/>
        <v>16716.284205638953</v>
      </c>
      <c r="AE41" s="43">
        <f t="shared" si="30"/>
        <v>0</v>
      </c>
      <c r="AF41" s="51">
        <f>HLOOKUP(I41,ElecAvoidedCostsWOCC!$A$5:$Q$50,G41+1,FALSE)</f>
        <v>3.5408139669770344</v>
      </c>
      <c r="AG41" s="43">
        <f t="shared" si="31"/>
        <v>43976.909469854771</v>
      </c>
      <c r="AH41" s="51">
        <f>HLOOKUP(I41,ElecAvoidedCostsWOCC!$A$5:$Q$50,T41+1,FALSE)</f>
        <v>3.5408139669770344</v>
      </c>
      <c r="AI41" s="43">
        <f t="shared" si="32"/>
        <v>0</v>
      </c>
      <c r="AJ41" s="43">
        <f t="shared" si="33"/>
        <v>43976.909469854771</v>
      </c>
      <c r="AK41" s="43">
        <f>HLOOKUP(I41,ElecAvoidedCostsWOCC!$A$5:$Q$50,G41+1,FALSE)*J41*L41</f>
        <v>0</v>
      </c>
      <c r="AL41" s="43">
        <f t="shared" si="34"/>
        <v>43976.909469854771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43976.909469854771</v>
      </c>
      <c r="AN41" s="47">
        <f t="shared" si="35"/>
        <v>65090.884622479207</v>
      </c>
      <c r="AO41" s="46">
        <f t="shared" si="36"/>
        <v>0.75650822015641561</v>
      </c>
      <c r="AP41" s="46">
        <f t="shared" si="37"/>
        <v>0.70800491530179033</v>
      </c>
    </row>
    <row r="42" spans="2:42" x14ac:dyDescent="0.25">
      <c r="B42" s="88" t="s">
        <v>71</v>
      </c>
      <c r="C42" s="91">
        <v>18230611</v>
      </c>
      <c r="D42" s="91" t="s">
        <v>72</v>
      </c>
      <c r="E42" s="37" t="s">
        <v>1116</v>
      </c>
      <c r="F42" s="38" t="s">
        <v>1117</v>
      </c>
      <c r="G42" s="38">
        <v>45</v>
      </c>
      <c r="H42" s="38">
        <v>0</v>
      </c>
      <c r="I42" s="39" t="s">
        <v>271</v>
      </c>
      <c r="J42" s="40">
        <v>182000</v>
      </c>
      <c r="K42" s="40">
        <v>0.28000000000000003</v>
      </c>
      <c r="L42" s="40">
        <v>0</v>
      </c>
      <c r="M42" s="41">
        <v>2.1800000000000002</v>
      </c>
      <c r="N42" s="41">
        <v>2.1800000000000002</v>
      </c>
      <c r="O42" s="42">
        <v>50960.000000000007</v>
      </c>
      <c r="P42" s="43">
        <v>396760</v>
      </c>
      <c r="Q42" s="43">
        <v>396760</v>
      </c>
      <c r="R42" s="44">
        <v>4.6800000000000001E-2</v>
      </c>
      <c r="S42" s="45"/>
      <c r="T42" s="38">
        <f t="shared" si="19"/>
        <v>45</v>
      </c>
      <c r="U42" s="46">
        <f t="shared" si="20"/>
        <v>0.53237235773769509</v>
      </c>
      <c r="V42" s="47">
        <f t="shared" si="21"/>
        <v>0</v>
      </c>
      <c r="W42" s="48">
        <f t="shared" si="22"/>
        <v>1.1830496838615447E-2</v>
      </c>
      <c r="X42" s="43">
        <f t="shared" si="23"/>
        <v>10697.755159510414</v>
      </c>
      <c r="Y42" s="43">
        <f t="shared" si="24"/>
        <v>0</v>
      </c>
      <c r="Z42" s="43">
        <f t="shared" si="25"/>
        <v>254735.88580543277</v>
      </c>
      <c r="AA42" s="49">
        <f t="shared" si="26"/>
        <v>407457.75515951042</v>
      </c>
      <c r="AB42" s="50">
        <f t="shared" si="27"/>
        <v>238516.74700883217</v>
      </c>
      <c r="AC42" s="43">
        <f t="shared" si="28"/>
        <v>381514.75202201348</v>
      </c>
      <c r="AD42" s="43">
        <f t="shared" si="29"/>
        <v>118770.95624787317</v>
      </c>
      <c r="AE42" s="43">
        <f t="shared" si="30"/>
        <v>0</v>
      </c>
      <c r="AF42" s="51">
        <f>HLOOKUP(I42,ElecAvoidedCostsWOCC!$A$5:$Q$50,G42+1,FALSE)</f>
        <v>3.5408139669770344</v>
      </c>
      <c r="AG42" s="43">
        <f t="shared" si="31"/>
        <v>180439.8797571497</v>
      </c>
      <c r="AH42" s="51">
        <f>HLOOKUP(I42,ElecAvoidedCostsWOCC!$A$5:$Q$50,T42+1,FALSE)</f>
        <v>3.5408139669770344</v>
      </c>
      <c r="AI42" s="43">
        <f t="shared" si="32"/>
        <v>0</v>
      </c>
      <c r="AJ42" s="43">
        <f t="shared" si="33"/>
        <v>180439.8797571497</v>
      </c>
      <c r="AK42" s="43">
        <f>HLOOKUP(I42,ElecAvoidedCostsWOCC!$A$5:$Q$50,G42+1,FALSE)*J42*L42</f>
        <v>0</v>
      </c>
      <c r="AL42" s="43">
        <f t="shared" si="34"/>
        <v>180439.8797571497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180439.8797571497</v>
      </c>
      <c r="AN42" s="47">
        <f t="shared" si="35"/>
        <v>317254.82398073783</v>
      </c>
      <c r="AO42" s="46">
        <f t="shared" si="36"/>
        <v>0.75650822015641561</v>
      </c>
      <c r="AP42" s="46">
        <f t="shared" si="37"/>
        <v>0.83156633472047803</v>
      </c>
    </row>
    <row r="43" spans="2:42" x14ac:dyDescent="0.25">
      <c r="B43" s="88" t="s">
        <v>71</v>
      </c>
      <c r="C43" s="91">
        <v>18230611</v>
      </c>
      <c r="D43" s="91" t="s">
        <v>72</v>
      </c>
      <c r="E43" s="37" t="s">
        <v>1118</v>
      </c>
      <c r="F43" s="38" t="s">
        <v>1119</v>
      </c>
      <c r="G43" s="38">
        <v>20</v>
      </c>
      <c r="H43" s="38">
        <v>0</v>
      </c>
      <c r="I43" s="39" t="s">
        <v>271</v>
      </c>
      <c r="J43" s="40">
        <v>1000</v>
      </c>
      <c r="K43" s="40">
        <v>4.6500000000000004</v>
      </c>
      <c r="L43" s="40">
        <v>0</v>
      </c>
      <c r="M43" s="41">
        <v>8.85</v>
      </c>
      <c r="N43" s="41">
        <v>8.85</v>
      </c>
      <c r="O43" s="42">
        <v>4650</v>
      </c>
      <c r="P43" s="43">
        <v>8850</v>
      </c>
      <c r="Q43" s="43">
        <v>8850</v>
      </c>
      <c r="R43" s="44">
        <v>0.44850000000000001</v>
      </c>
      <c r="S43" s="45"/>
      <c r="T43" s="38">
        <f t="shared" si="19"/>
        <v>20</v>
      </c>
      <c r="U43" s="46">
        <f t="shared" si="20"/>
        <v>2.1590192425259745E-2</v>
      </c>
      <c r="V43" s="47">
        <f t="shared" si="21"/>
        <v>0</v>
      </c>
      <c r="W43" s="48">
        <f t="shared" si="22"/>
        <v>1.0795096212629872E-3</v>
      </c>
      <c r="X43" s="43">
        <f t="shared" si="23"/>
        <v>976.14916585014566</v>
      </c>
      <c r="Y43" s="43">
        <f t="shared" si="24"/>
        <v>0</v>
      </c>
      <c r="Z43" s="43">
        <f t="shared" si="25"/>
        <v>23244.149705558524</v>
      </c>
      <c r="AA43" s="49">
        <f t="shared" si="26"/>
        <v>9826.1491658501454</v>
      </c>
      <c r="AB43" s="50">
        <f t="shared" si="27"/>
        <v>21764.18511756416</v>
      </c>
      <c r="AC43" s="43">
        <f t="shared" si="28"/>
        <v>9200.5142002342182</v>
      </c>
      <c r="AD43" s="43">
        <f t="shared" si="29"/>
        <v>4826.1782213543856</v>
      </c>
      <c r="AE43" s="43">
        <f t="shared" si="30"/>
        <v>0</v>
      </c>
      <c r="AF43" s="51">
        <f>HLOOKUP(I43,ElecAvoidedCostsWOCC!$A$5:$Q$50,G43+1,FALSE)</f>
        <v>2.0563136709010243</v>
      </c>
      <c r="AG43" s="43">
        <f t="shared" si="31"/>
        <v>9561.8585696897626</v>
      </c>
      <c r="AH43" s="51">
        <f>HLOOKUP(I43,ElecAvoidedCostsWOCC!$A$5:$Q$50,T43+1,FALSE)</f>
        <v>2.0563136709010243</v>
      </c>
      <c r="AI43" s="43">
        <f t="shared" si="32"/>
        <v>0</v>
      </c>
      <c r="AJ43" s="43">
        <f t="shared" si="33"/>
        <v>9561.8585696897626</v>
      </c>
      <c r="AK43" s="43">
        <f>HLOOKUP(I43,ElecAvoidedCostsWOCC!$A$5:$Q$50,G43+1,FALSE)*J43*L43</f>
        <v>0</v>
      </c>
      <c r="AL43" s="43">
        <f t="shared" si="34"/>
        <v>9561.8585696897626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9561.8585696897644</v>
      </c>
      <c r="AN43" s="47">
        <f t="shared" si="35"/>
        <v>15344.222648013128</v>
      </c>
      <c r="AO43" s="46">
        <f t="shared" si="36"/>
        <v>0.43933914906711308</v>
      </c>
      <c r="AP43" s="46">
        <f t="shared" si="37"/>
        <v>1.6677570746668169</v>
      </c>
    </row>
    <row r="44" spans="2:42" x14ac:dyDescent="0.25">
      <c r="B44" s="88" t="s">
        <v>71</v>
      </c>
      <c r="C44" s="91">
        <v>18230611</v>
      </c>
      <c r="D44" s="91" t="s">
        <v>72</v>
      </c>
      <c r="E44" s="37" t="s">
        <v>1120</v>
      </c>
      <c r="F44" s="38" t="s">
        <v>1121</v>
      </c>
      <c r="G44" s="38">
        <v>45</v>
      </c>
      <c r="H44" s="38">
        <v>0</v>
      </c>
      <c r="I44" s="39" t="s">
        <v>271</v>
      </c>
      <c r="J44" s="40">
        <v>6000</v>
      </c>
      <c r="K44" s="40">
        <v>1.01</v>
      </c>
      <c r="L44" s="40">
        <v>0</v>
      </c>
      <c r="M44" s="41">
        <v>2.46</v>
      </c>
      <c r="N44" s="41">
        <v>2.46</v>
      </c>
      <c r="O44" s="42">
        <v>6060</v>
      </c>
      <c r="P44" s="43">
        <v>14760</v>
      </c>
      <c r="Q44" s="43">
        <v>14760</v>
      </c>
      <c r="R44" s="44">
        <v>0.1176</v>
      </c>
      <c r="S44" s="45"/>
      <c r="T44" s="38">
        <f t="shared" si="19"/>
        <v>45</v>
      </c>
      <c r="U44" s="46">
        <f t="shared" si="20"/>
        <v>6.3308015853422925E-2</v>
      </c>
      <c r="V44" s="47">
        <f t="shared" si="21"/>
        <v>0</v>
      </c>
      <c r="W44" s="48">
        <f t="shared" si="22"/>
        <v>1.4068447967427317E-3</v>
      </c>
      <c r="X44" s="43">
        <f t="shared" si="23"/>
        <v>1272.1427838821253</v>
      </c>
      <c r="Y44" s="43">
        <f t="shared" si="24"/>
        <v>0</v>
      </c>
      <c r="Z44" s="43">
        <f t="shared" si="25"/>
        <v>30292.375745308527</v>
      </c>
      <c r="AA44" s="49">
        <f t="shared" si="26"/>
        <v>16032.142783882126</v>
      </c>
      <c r="AB44" s="50">
        <f t="shared" si="27"/>
        <v>28363.647701599744</v>
      </c>
      <c r="AC44" s="43">
        <f t="shared" si="28"/>
        <v>15011.369647829704</v>
      </c>
      <c r="AD44" s="43">
        <f t="shared" si="29"/>
        <v>9839.0141270427466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21457.332639880831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21457.332639880831</v>
      </c>
      <c r="AK44" s="43">
        <f>HLOOKUP(I44,ElecAvoidedCostsWOCC!$A$5:$Q$50,G44+1,FALSE)*J44*L44</f>
        <v>0</v>
      </c>
      <c r="AL44" s="43">
        <f t="shared" si="34"/>
        <v>21457.332639880831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21457.332639880828</v>
      </c>
      <c r="AN44" s="47">
        <f t="shared" si="35"/>
        <v>33442.08003091166</v>
      </c>
      <c r="AO44" s="46">
        <f t="shared" si="36"/>
        <v>0.7565082201564155</v>
      </c>
      <c r="AP44" s="46">
        <f t="shared" si="37"/>
        <v>2.2277833945516496</v>
      </c>
    </row>
    <row r="45" spans="2:42" x14ac:dyDescent="0.25">
      <c r="B45" s="88" t="s">
        <v>71</v>
      </c>
      <c r="C45" s="91">
        <v>18230611</v>
      </c>
      <c r="D45" s="91" t="s">
        <v>72</v>
      </c>
      <c r="E45" s="37" t="s">
        <v>1122</v>
      </c>
      <c r="F45" s="38" t="s">
        <v>1123</v>
      </c>
      <c r="G45" s="38">
        <v>45</v>
      </c>
      <c r="H45" s="38">
        <v>0</v>
      </c>
      <c r="I45" s="39" t="s">
        <v>271</v>
      </c>
      <c r="J45" s="40">
        <v>25000</v>
      </c>
      <c r="K45" s="40">
        <v>1.35</v>
      </c>
      <c r="L45" s="40">
        <v>0</v>
      </c>
      <c r="M45" s="41">
        <v>2.93</v>
      </c>
      <c r="N45" s="41">
        <v>2.93</v>
      </c>
      <c r="O45" s="42">
        <v>33750</v>
      </c>
      <c r="P45" s="43">
        <v>73250</v>
      </c>
      <c r="Q45" s="43">
        <v>73250</v>
      </c>
      <c r="R45" s="44">
        <v>0.15029999999999999</v>
      </c>
      <c r="S45" s="45"/>
      <c r="T45" s="38">
        <f t="shared" si="19"/>
        <v>45</v>
      </c>
      <c r="U45" s="46">
        <f t="shared" si="20"/>
        <v>0.35258177146089498</v>
      </c>
      <c r="V45" s="47">
        <f t="shared" si="21"/>
        <v>0</v>
      </c>
      <c r="W45" s="48">
        <f t="shared" si="22"/>
        <v>7.8351504769087772E-3</v>
      </c>
      <c r="X45" s="43">
        <f t="shared" si="23"/>
        <v>7084.9536231058946</v>
      </c>
      <c r="Y45" s="43">
        <f t="shared" si="24"/>
        <v>0</v>
      </c>
      <c r="Z45" s="43">
        <f t="shared" si="25"/>
        <v>168707.5381855054</v>
      </c>
      <c r="AA45" s="49">
        <f t="shared" si="26"/>
        <v>80334.953623105888</v>
      </c>
      <c r="AB45" s="50">
        <f t="shared" si="27"/>
        <v>157965.85972425598</v>
      </c>
      <c r="AC45" s="43">
        <f t="shared" si="28"/>
        <v>75219.994029125359</v>
      </c>
      <c r="AD45" s="43">
        <f t="shared" si="29"/>
        <v>52395.260179086057</v>
      </c>
      <c r="AE45" s="43">
        <f t="shared" si="30"/>
        <v>0</v>
      </c>
      <c r="AF45" s="51">
        <f>HLOOKUP(I45,ElecAvoidedCostsWOCC!$A$5:$Q$50,G45+1,FALSE)</f>
        <v>3.5408139669770344</v>
      </c>
      <c r="AG45" s="43">
        <f t="shared" si="31"/>
        <v>119502.47138547493</v>
      </c>
      <c r="AH45" s="51">
        <f>HLOOKUP(I45,ElecAvoidedCostsWOCC!$A$5:$Q$50,T45+1,FALSE)</f>
        <v>3.5408139669770344</v>
      </c>
      <c r="AI45" s="43">
        <f t="shared" si="32"/>
        <v>0</v>
      </c>
      <c r="AJ45" s="43">
        <f t="shared" si="33"/>
        <v>119502.47138547493</v>
      </c>
      <c r="AK45" s="43">
        <f>HLOOKUP(I45,ElecAvoidedCostsWOCC!$A$5:$Q$50,G45+1,FALSE)*J45*L45</f>
        <v>0</v>
      </c>
      <c r="AL45" s="43">
        <f t="shared" si="34"/>
        <v>119502.47138547493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119502.47138547491</v>
      </c>
      <c r="AN45" s="47">
        <f t="shared" si="35"/>
        <v>183847.97870310847</v>
      </c>
      <c r="AO45" s="46">
        <f t="shared" si="36"/>
        <v>0.75650822015641561</v>
      </c>
      <c r="AP45" s="46">
        <f t="shared" si="37"/>
        <v>2.4441371084385102</v>
      </c>
    </row>
    <row r="46" spans="2:42" x14ac:dyDescent="0.25">
      <c r="B46" s="88" t="s">
        <v>71</v>
      </c>
      <c r="C46" s="91">
        <v>18230611</v>
      </c>
      <c r="D46" s="91" t="s">
        <v>72</v>
      </c>
      <c r="E46" s="37" t="s">
        <v>1124</v>
      </c>
      <c r="F46" s="38" t="s">
        <v>1125</v>
      </c>
      <c r="G46" s="38">
        <v>45</v>
      </c>
      <c r="H46" s="38">
        <v>0</v>
      </c>
      <c r="I46" s="39" t="s">
        <v>271</v>
      </c>
      <c r="J46" s="40">
        <v>4400</v>
      </c>
      <c r="K46" s="40">
        <v>0.77</v>
      </c>
      <c r="L46" s="40">
        <v>0</v>
      </c>
      <c r="M46" s="41">
        <v>2.5499999999999998</v>
      </c>
      <c r="N46" s="41">
        <v>2.5499999999999998</v>
      </c>
      <c r="O46" s="42">
        <v>3388</v>
      </c>
      <c r="P46" s="43">
        <v>11220</v>
      </c>
      <c r="Q46" s="43">
        <v>11220</v>
      </c>
      <c r="R46" s="44">
        <v>0.14410000000000001</v>
      </c>
      <c r="S46" s="45"/>
      <c r="T46" s="38">
        <f t="shared" si="19"/>
        <v>45</v>
      </c>
      <c r="U46" s="46">
        <f t="shared" si="20"/>
        <v>3.5393986421022587E-2</v>
      </c>
      <c r="V46" s="47">
        <f t="shared" si="21"/>
        <v>0</v>
      </c>
      <c r="W46" s="48">
        <f t="shared" si="22"/>
        <v>7.8653303157827966E-4</v>
      </c>
      <c r="X46" s="43">
        <f t="shared" si="23"/>
        <v>711.22438148393405</v>
      </c>
      <c r="Y46" s="43">
        <f t="shared" si="24"/>
        <v>0</v>
      </c>
      <c r="Z46" s="43">
        <f t="shared" si="25"/>
        <v>16935.737462888661</v>
      </c>
      <c r="AA46" s="49">
        <f t="shared" si="26"/>
        <v>11931.224381483935</v>
      </c>
      <c r="AB46" s="50">
        <f t="shared" si="27"/>
        <v>15857.432081356423</v>
      </c>
      <c r="AC46" s="43">
        <f t="shared" si="28"/>
        <v>11171.558409629151</v>
      </c>
      <c r="AD46" s="43">
        <f t="shared" si="29"/>
        <v>8841.1685333194237</v>
      </c>
      <c r="AE46" s="43">
        <f t="shared" si="30"/>
        <v>0</v>
      </c>
      <c r="AF46" s="51">
        <f>HLOOKUP(I46,ElecAvoidedCostsWOCC!$A$5:$Q$50,G46+1,FALSE)</f>
        <v>3.5408139669770344</v>
      </c>
      <c r="AG46" s="43">
        <f t="shared" si="31"/>
        <v>11996.277720118193</v>
      </c>
      <c r="AH46" s="51">
        <f>HLOOKUP(I46,ElecAvoidedCostsWOCC!$A$5:$Q$50,T46+1,FALSE)</f>
        <v>3.5408139669770344</v>
      </c>
      <c r="AI46" s="43">
        <f t="shared" si="32"/>
        <v>0</v>
      </c>
      <c r="AJ46" s="43">
        <f t="shared" si="33"/>
        <v>11996.277720118193</v>
      </c>
      <c r="AK46" s="43">
        <f>HLOOKUP(I46,ElecAvoidedCostsWOCC!$A$5:$Q$50,G46+1,FALSE)*J46*L46</f>
        <v>0</v>
      </c>
      <c r="AL46" s="43">
        <f t="shared" si="34"/>
        <v>11996.277720118193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11996.277720118193</v>
      </c>
      <c r="AN46" s="47">
        <f t="shared" si="35"/>
        <v>22037.074025449438</v>
      </c>
      <c r="AO46" s="46">
        <f t="shared" si="36"/>
        <v>0.75650822015641561</v>
      </c>
      <c r="AP46" s="46">
        <f t="shared" si="37"/>
        <v>1.9726051833963401</v>
      </c>
    </row>
    <row r="47" spans="2:42" x14ac:dyDescent="0.25">
      <c r="B47" s="88" t="s">
        <v>71</v>
      </c>
      <c r="C47" s="91">
        <v>18230611</v>
      </c>
      <c r="D47" s="91" t="s">
        <v>72</v>
      </c>
      <c r="E47" s="37" t="s">
        <v>1126</v>
      </c>
      <c r="F47" s="38" t="s">
        <v>1127</v>
      </c>
      <c r="G47" s="38">
        <v>15</v>
      </c>
      <c r="H47" s="38">
        <v>0</v>
      </c>
      <c r="I47" s="39" t="s">
        <v>269</v>
      </c>
      <c r="J47" s="40">
        <v>370</v>
      </c>
      <c r="K47" s="40">
        <v>20.68</v>
      </c>
      <c r="L47" s="40">
        <v>0</v>
      </c>
      <c r="M47" s="41">
        <v>27.4</v>
      </c>
      <c r="N47" s="41">
        <v>27.4</v>
      </c>
      <c r="O47" s="42">
        <v>7651.5999999999995</v>
      </c>
      <c r="P47" s="43">
        <v>10138</v>
      </c>
      <c r="Q47" s="43">
        <v>10138</v>
      </c>
      <c r="R47" s="44">
        <v>16.605499999999999</v>
      </c>
      <c r="S47" s="45"/>
      <c r="T47" s="38">
        <f t="shared" si="19"/>
        <v>15</v>
      </c>
      <c r="U47" s="46">
        <f t="shared" si="20"/>
        <v>2.6645083284051199E-2</v>
      </c>
      <c r="V47" s="47">
        <f t="shared" si="21"/>
        <v>0</v>
      </c>
      <c r="W47" s="48">
        <f t="shared" si="22"/>
        <v>1.7763388856034132E-3</v>
      </c>
      <c r="X47" s="43">
        <f t="shared" si="23"/>
        <v>1606.2587005202092</v>
      </c>
      <c r="Y47" s="43">
        <f t="shared" si="24"/>
        <v>0</v>
      </c>
      <c r="Z47" s="43">
        <f t="shared" si="25"/>
        <v>38248.373309043345</v>
      </c>
      <c r="AA47" s="49">
        <f t="shared" si="26"/>
        <v>11744.258700520209</v>
      </c>
      <c r="AB47" s="50">
        <f t="shared" si="27"/>
        <v>35813.083622699756</v>
      </c>
      <c r="AC47" s="43">
        <f t="shared" si="28"/>
        <v>10996.496910599446</v>
      </c>
      <c r="AD47" s="43">
        <f t="shared" si="29"/>
        <v>56673.153811626195</v>
      </c>
      <c r="AE47" s="43">
        <f t="shared" si="30"/>
        <v>0</v>
      </c>
      <c r="AF47" s="51">
        <f>HLOOKUP(I47,ElecAvoidedCostsWOCC!$A$5:$Q$50,G47+1,FALSE)</f>
        <v>1.3863847906946944</v>
      </c>
      <c r="AG47" s="43">
        <f t="shared" si="31"/>
        <v>10608.061864479523</v>
      </c>
      <c r="AH47" s="51">
        <f>HLOOKUP(I47,ElecAvoidedCostsWOCC!$A$5:$Q$50,T47+1,FALSE)</f>
        <v>1.3863847906946944</v>
      </c>
      <c r="AI47" s="43">
        <f t="shared" si="32"/>
        <v>0</v>
      </c>
      <c r="AJ47" s="43">
        <f t="shared" si="33"/>
        <v>10608.061864479523</v>
      </c>
      <c r="AK47" s="43">
        <f>HLOOKUP(I47,ElecAvoidedCostsWOCC!$A$5:$Q$50,G47+1,FALSE)*J47*L47</f>
        <v>0</v>
      </c>
      <c r="AL47" s="43">
        <f t="shared" si="34"/>
        <v>10608.061864479523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10608.061864479523</v>
      </c>
      <c r="AN47" s="47">
        <f t="shared" si="35"/>
        <v>68342.021862553665</v>
      </c>
      <c r="AO47" s="46">
        <f t="shared" si="36"/>
        <v>0.29620632437681832</v>
      </c>
      <c r="AP47" s="46">
        <f t="shared" si="37"/>
        <v>6.2148902889864202</v>
      </c>
    </row>
    <row r="48" spans="2:42" x14ac:dyDescent="0.25">
      <c r="B48" s="88" t="s">
        <v>71</v>
      </c>
      <c r="C48" s="91">
        <v>18230611</v>
      </c>
      <c r="D48" s="91" t="s">
        <v>72</v>
      </c>
      <c r="E48" s="37" t="s">
        <v>1128</v>
      </c>
      <c r="F48" s="38" t="s">
        <v>1129</v>
      </c>
      <c r="G48" s="38">
        <v>45</v>
      </c>
      <c r="H48" s="38">
        <v>0</v>
      </c>
      <c r="I48" s="39" t="s">
        <v>271</v>
      </c>
      <c r="J48" s="40">
        <v>150000</v>
      </c>
      <c r="K48" s="40">
        <v>2.0499999999999998</v>
      </c>
      <c r="L48" s="40">
        <v>0</v>
      </c>
      <c r="M48" s="41">
        <v>3.01</v>
      </c>
      <c r="N48" s="41">
        <v>3.01</v>
      </c>
      <c r="O48" s="42">
        <v>307500</v>
      </c>
      <c r="P48" s="43">
        <v>451500</v>
      </c>
      <c r="Q48" s="43">
        <v>451499.99999999994</v>
      </c>
      <c r="R48" s="44">
        <v>0.2233</v>
      </c>
      <c r="S48" s="45"/>
      <c r="T48" s="38">
        <f t="shared" si="19"/>
        <v>45</v>
      </c>
      <c r="U48" s="46">
        <f t="shared" si="20"/>
        <v>3.2124116955325985</v>
      </c>
      <c r="V48" s="47">
        <f t="shared" si="21"/>
        <v>0</v>
      </c>
      <c r="W48" s="48">
        <f t="shared" si="22"/>
        <v>7.1386926567391082E-2</v>
      </c>
      <c r="X48" s="43">
        <f t="shared" si="23"/>
        <v>64551.799677187038</v>
      </c>
      <c r="Y48" s="43">
        <f t="shared" si="24"/>
        <v>0</v>
      </c>
      <c r="Z48" s="43">
        <f t="shared" si="25"/>
        <v>1537113.1256901603</v>
      </c>
      <c r="AA48" s="49">
        <f t="shared" si="26"/>
        <v>516051.79967718699</v>
      </c>
      <c r="AB48" s="50">
        <f t="shared" si="27"/>
        <v>1439244.4997098879</v>
      </c>
      <c r="AC48" s="43">
        <f t="shared" si="28"/>
        <v>483194.56898613012</v>
      </c>
      <c r="AD48" s="43">
        <f t="shared" si="29"/>
        <v>467060.34323313046</v>
      </c>
      <c r="AE48" s="43">
        <f t="shared" si="30"/>
        <v>0</v>
      </c>
      <c r="AF48" s="51">
        <f>HLOOKUP(I48,ElecAvoidedCostsWOCC!$A$5:$Q$50,G48+1,FALSE)</f>
        <v>3.5408139669770344</v>
      </c>
      <c r="AG48" s="43">
        <f t="shared" si="31"/>
        <v>1088800.2948454379</v>
      </c>
      <c r="AH48" s="51">
        <f>HLOOKUP(I48,ElecAvoidedCostsWOCC!$A$5:$Q$50,T48+1,FALSE)</f>
        <v>3.5408139669770344</v>
      </c>
      <c r="AI48" s="43">
        <f t="shared" si="32"/>
        <v>0</v>
      </c>
      <c r="AJ48" s="43">
        <f t="shared" si="33"/>
        <v>1088800.2948454379</v>
      </c>
      <c r="AK48" s="43">
        <f>HLOOKUP(I48,ElecAvoidedCostsWOCC!$A$5:$Q$50,G48+1,FALSE)*J48*L48</f>
        <v>0</v>
      </c>
      <c r="AL48" s="43">
        <f t="shared" si="34"/>
        <v>1088800.2948454379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1088800.2948454381</v>
      </c>
      <c r="AN48" s="47">
        <f t="shared" si="35"/>
        <v>1664740.6675631125</v>
      </c>
      <c r="AO48" s="46">
        <f t="shared" si="36"/>
        <v>0.75650822015641561</v>
      </c>
      <c r="AP48" s="46">
        <f t="shared" si="37"/>
        <v>3.4452801716215027</v>
      </c>
    </row>
    <row r="49" spans="2:42" x14ac:dyDescent="0.25">
      <c r="B49" s="88" t="s">
        <v>71</v>
      </c>
      <c r="C49" s="91">
        <v>18230611</v>
      </c>
      <c r="D49" s="91" t="s">
        <v>72</v>
      </c>
      <c r="E49" s="37" t="s">
        <v>1130</v>
      </c>
      <c r="F49" s="38" t="s">
        <v>1131</v>
      </c>
      <c r="G49" s="38">
        <v>45</v>
      </c>
      <c r="H49" s="38">
        <v>0</v>
      </c>
      <c r="I49" s="39" t="s">
        <v>273</v>
      </c>
      <c r="J49" s="40">
        <v>2</v>
      </c>
      <c r="K49" s="40">
        <v>21000</v>
      </c>
      <c r="L49" s="40">
        <v>0</v>
      </c>
      <c r="M49" s="41">
        <v>31000</v>
      </c>
      <c r="N49" s="41">
        <v>31000</v>
      </c>
      <c r="O49" s="42">
        <v>42000</v>
      </c>
      <c r="P49" s="43">
        <v>62000</v>
      </c>
      <c r="Q49" s="43">
        <v>62000</v>
      </c>
      <c r="R49" s="44">
        <v>0</v>
      </c>
      <c r="S49" s="45"/>
      <c r="T49" s="38">
        <f t="shared" si="19"/>
        <v>45</v>
      </c>
      <c r="U49" s="46">
        <f t="shared" si="20"/>
        <v>0.43876842670689159</v>
      </c>
      <c r="V49" s="47">
        <f t="shared" si="21"/>
        <v>0</v>
      </c>
      <c r="W49" s="48">
        <f t="shared" si="22"/>
        <v>9.7504094823753686E-3</v>
      </c>
      <c r="X49" s="43">
        <f t="shared" si="23"/>
        <v>8816.8311754206698</v>
      </c>
      <c r="Y49" s="43">
        <f t="shared" si="24"/>
        <v>0</v>
      </c>
      <c r="Z49" s="43">
        <f t="shared" si="25"/>
        <v>209947.15863085119</v>
      </c>
      <c r="AA49" s="49">
        <f t="shared" si="26"/>
        <v>70816.831175420666</v>
      </c>
      <c r="AB49" s="50">
        <f t="shared" si="27"/>
        <v>196579.7365457408</v>
      </c>
      <c r="AC49" s="43">
        <f t="shared" si="28"/>
        <v>66307.894359008103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3.7416616988497218</v>
      </c>
      <c r="AG49" s="43">
        <f t="shared" si="31"/>
        <v>157149.79135168833</v>
      </c>
      <c r="AH49" s="51">
        <f>HLOOKUP(I49,ElecAvoidedCostsWOCC!$A$5:$Q$50,T49+1,FALSE)</f>
        <v>3.7416616988497218</v>
      </c>
      <c r="AI49" s="43">
        <f t="shared" si="32"/>
        <v>0</v>
      </c>
      <c r="AJ49" s="43">
        <f t="shared" si="33"/>
        <v>157149.79135168833</v>
      </c>
      <c r="AK49" s="43">
        <f>HLOOKUP(I49,ElecAvoidedCostsWOCC!$A$5:$Q$50,G49+1,FALSE)*J49*L49</f>
        <v>0</v>
      </c>
      <c r="AL49" s="43">
        <f t="shared" si="34"/>
        <v>157149.79135168833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157149.79135168833</v>
      </c>
      <c r="AN49" s="47">
        <f t="shared" si="35"/>
        <v>172864.77048685716</v>
      </c>
      <c r="AO49" s="46">
        <f t="shared" si="36"/>
        <v>0.79942009340887588</v>
      </c>
      <c r="AP49" s="46">
        <f t="shared" si="37"/>
        <v>2.6070013556896039</v>
      </c>
    </row>
    <row r="50" spans="2:42" x14ac:dyDescent="0.25">
      <c r="B50" s="88" t="s">
        <v>71</v>
      </c>
      <c r="C50" s="91">
        <v>18230611</v>
      </c>
      <c r="D50" s="91" t="s">
        <v>72</v>
      </c>
      <c r="E50" s="37" t="s">
        <v>1132</v>
      </c>
      <c r="F50" s="38" t="s">
        <v>1133</v>
      </c>
      <c r="G50" s="38">
        <v>15</v>
      </c>
      <c r="H50" s="38">
        <v>0</v>
      </c>
      <c r="I50" s="39" t="s">
        <v>273</v>
      </c>
      <c r="J50" s="40">
        <v>2</v>
      </c>
      <c r="K50" s="40">
        <v>60000</v>
      </c>
      <c r="L50" s="40">
        <v>0</v>
      </c>
      <c r="M50" s="41">
        <v>50000</v>
      </c>
      <c r="N50" s="41">
        <v>50000</v>
      </c>
      <c r="O50" s="42">
        <v>120000</v>
      </c>
      <c r="P50" s="43">
        <v>100000</v>
      </c>
      <c r="Q50" s="43">
        <v>100000</v>
      </c>
      <c r="R50" s="44">
        <v>0</v>
      </c>
      <c r="S50" s="45"/>
      <c r="T50" s="38">
        <f t="shared" si="19"/>
        <v>15</v>
      </c>
      <c r="U50" s="46">
        <f t="shared" si="20"/>
        <v>0.4178746921018015</v>
      </c>
      <c r="V50" s="47">
        <f t="shared" si="21"/>
        <v>0</v>
      </c>
      <c r="W50" s="48">
        <f t="shared" si="22"/>
        <v>2.7858312806786766E-2</v>
      </c>
      <c r="X50" s="43">
        <f t="shared" si="23"/>
        <v>25190.946215487627</v>
      </c>
      <c r="Y50" s="43">
        <f t="shared" si="24"/>
        <v>0</v>
      </c>
      <c r="Z50" s="43">
        <f t="shared" si="25"/>
        <v>599849.02465957485</v>
      </c>
      <c r="AA50" s="49">
        <f t="shared" si="26"/>
        <v>125190.94621548762</v>
      </c>
      <c r="AB50" s="50">
        <f t="shared" si="27"/>
        <v>561656.39013068797</v>
      </c>
      <c r="AC50" s="43">
        <f t="shared" si="28"/>
        <v>117219.98709315321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1.7462566560958237</v>
      </c>
      <c r="AG50" s="43">
        <f t="shared" si="31"/>
        <v>209550.79873149886</v>
      </c>
      <c r="AH50" s="51">
        <f>HLOOKUP(I50,ElecAvoidedCostsWOCC!$A$5:$Q$50,T50+1,FALSE)</f>
        <v>1.7462566560958237</v>
      </c>
      <c r="AI50" s="43">
        <f t="shared" si="32"/>
        <v>0</v>
      </c>
      <c r="AJ50" s="43">
        <f t="shared" si="33"/>
        <v>209550.79873149886</v>
      </c>
      <c r="AK50" s="43">
        <f>HLOOKUP(I50,ElecAvoidedCostsWOCC!$A$5:$Q$50,G50+1,FALSE)*J50*L50</f>
        <v>0</v>
      </c>
      <c r="AL50" s="43">
        <f t="shared" si="34"/>
        <v>209550.79873149886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209550.79873149886</v>
      </c>
      <c r="AN50" s="47">
        <f t="shared" si="35"/>
        <v>230505.87860464875</v>
      </c>
      <c r="AO50" s="46">
        <f t="shared" si="36"/>
        <v>0.37309430180744479</v>
      </c>
      <c r="AP50" s="46">
        <f t="shared" si="37"/>
        <v>1.9664383551029461</v>
      </c>
    </row>
    <row r="51" spans="2:42" x14ac:dyDescent="0.25">
      <c r="B51" s="88" t="s">
        <v>71</v>
      </c>
      <c r="C51" s="91">
        <v>18230611</v>
      </c>
      <c r="D51" s="91" t="s">
        <v>72</v>
      </c>
      <c r="E51" s="37" t="s">
        <v>1134</v>
      </c>
      <c r="F51" s="38" t="s">
        <v>1135</v>
      </c>
      <c r="G51" s="38">
        <v>15</v>
      </c>
      <c r="H51" s="38">
        <v>0</v>
      </c>
      <c r="I51" s="39" t="s">
        <v>272</v>
      </c>
      <c r="J51" s="40">
        <v>350</v>
      </c>
      <c r="K51" s="40">
        <v>2502</v>
      </c>
      <c r="L51" s="40">
        <v>0</v>
      </c>
      <c r="M51" s="41">
        <v>5704</v>
      </c>
      <c r="N51" s="41">
        <v>5704</v>
      </c>
      <c r="O51" s="42">
        <v>875700</v>
      </c>
      <c r="P51" s="43">
        <v>1996400</v>
      </c>
      <c r="Q51" s="43">
        <v>1996400</v>
      </c>
      <c r="R51" s="44">
        <v>299.40699999999998</v>
      </c>
      <c r="S51" s="45"/>
      <c r="T51" s="38">
        <f t="shared" si="19"/>
        <v>15</v>
      </c>
      <c r="U51" s="46">
        <f t="shared" si="20"/>
        <v>3.0494405656128962</v>
      </c>
      <c r="V51" s="47">
        <f t="shared" si="21"/>
        <v>0</v>
      </c>
      <c r="W51" s="48">
        <f t="shared" si="22"/>
        <v>0.20329603770752641</v>
      </c>
      <c r="X51" s="43">
        <f t="shared" si="23"/>
        <v>183830.93000752095</v>
      </c>
      <c r="Y51" s="43">
        <f t="shared" si="24"/>
        <v>0</v>
      </c>
      <c r="Z51" s="43">
        <f t="shared" si="25"/>
        <v>4377398.257453247</v>
      </c>
      <c r="AA51" s="49">
        <f t="shared" si="26"/>
        <v>2180230.9300075211</v>
      </c>
      <c r="AB51" s="50">
        <f t="shared" si="27"/>
        <v>4098687.5069786953</v>
      </c>
      <c r="AC51" s="43">
        <f t="shared" si="28"/>
        <v>2041414.7284714615</v>
      </c>
      <c r="AD51" s="43">
        <f t="shared" si="29"/>
        <v>966615.36549631425</v>
      </c>
      <c r="AE51" s="43">
        <f t="shared" si="30"/>
        <v>0</v>
      </c>
      <c r="AF51" s="51">
        <f>HLOOKUP(I51,ElecAvoidedCostsWOCC!$A$5:$Q$50,G51+1,FALSE)</f>
        <v>1.7654180640246628</v>
      </c>
      <c r="AG51" s="43">
        <f t="shared" si="31"/>
        <v>1545976.5986663974</v>
      </c>
      <c r="AH51" s="51">
        <f>HLOOKUP(I51,ElecAvoidedCostsWOCC!$A$5:$Q$50,T51+1,FALSE)</f>
        <v>1.7654180640246628</v>
      </c>
      <c r="AI51" s="43">
        <f t="shared" si="32"/>
        <v>0</v>
      </c>
      <c r="AJ51" s="43">
        <f t="shared" si="33"/>
        <v>1545976.5986663974</v>
      </c>
      <c r="AK51" s="43">
        <f>HLOOKUP(I51,ElecAvoidedCostsWOCC!$A$5:$Q$50,G51+1,FALSE)*J51*L51</f>
        <v>0</v>
      </c>
      <c r="AL51" s="43">
        <f t="shared" si="34"/>
        <v>1545976.5986663974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1545976.5986663974</v>
      </c>
      <c r="AN51" s="47">
        <f t="shared" si="35"/>
        <v>2667189.6240293514</v>
      </c>
      <c r="AO51" s="46">
        <f t="shared" si="36"/>
        <v>0.3771882086726826</v>
      </c>
      <c r="AP51" s="46">
        <f t="shared" si="37"/>
        <v>1.3065398161531085</v>
      </c>
    </row>
    <row r="52" spans="2:42" x14ac:dyDescent="0.25">
      <c r="B52" s="88" t="s">
        <v>71</v>
      </c>
      <c r="C52" s="91">
        <v>18230611</v>
      </c>
      <c r="D52" s="91" t="s">
        <v>72</v>
      </c>
      <c r="E52" s="37" t="s">
        <v>1136</v>
      </c>
      <c r="F52" s="38" t="s">
        <v>1137</v>
      </c>
      <c r="G52" s="38">
        <v>15</v>
      </c>
      <c r="H52" s="38">
        <v>0</v>
      </c>
      <c r="I52" s="39" t="s">
        <v>272</v>
      </c>
      <c r="J52" s="40">
        <v>320</v>
      </c>
      <c r="K52" s="40">
        <v>1790</v>
      </c>
      <c r="L52" s="40">
        <v>0</v>
      </c>
      <c r="M52" s="41">
        <v>5867</v>
      </c>
      <c r="N52" s="41">
        <v>5867</v>
      </c>
      <c r="O52" s="42">
        <v>572800</v>
      </c>
      <c r="P52" s="43">
        <v>1877440</v>
      </c>
      <c r="Q52" s="43">
        <v>1877440</v>
      </c>
      <c r="R52" s="44">
        <v>208.30529999999999</v>
      </c>
      <c r="S52" s="45"/>
      <c r="T52" s="38">
        <f t="shared" si="19"/>
        <v>15</v>
      </c>
      <c r="U52" s="46">
        <f t="shared" si="20"/>
        <v>1.9946551969659325</v>
      </c>
      <c r="V52" s="47">
        <f t="shared" si="21"/>
        <v>0</v>
      </c>
      <c r="W52" s="48">
        <f t="shared" si="22"/>
        <v>0.13297701313106217</v>
      </c>
      <c r="X52" s="43">
        <f t="shared" si="23"/>
        <v>120244.78326859428</v>
      </c>
      <c r="Y52" s="43">
        <f t="shared" si="24"/>
        <v>0</v>
      </c>
      <c r="Z52" s="43">
        <f t="shared" si="25"/>
        <v>2863279.3443750371</v>
      </c>
      <c r="AA52" s="49">
        <f t="shared" si="26"/>
        <v>1997684.7832685942</v>
      </c>
      <c r="AB52" s="50">
        <f t="shared" si="27"/>
        <v>2680973.1688904841</v>
      </c>
      <c r="AC52" s="43">
        <f t="shared" si="28"/>
        <v>1870491.3701016798</v>
      </c>
      <c r="AD52" s="43">
        <f t="shared" si="29"/>
        <v>614856.82587039634</v>
      </c>
      <c r="AE52" s="43">
        <f t="shared" si="30"/>
        <v>0</v>
      </c>
      <c r="AF52" s="51">
        <f>HLOOKUP(I52,ElecAvoidedCostsWOCC!$A$5:$Q$50,G52+1,FALSE)</f>
        <v>1.7654180640246628</v>
      </c>
      <c r="AG52" s="43">
        <f t="shared" si="31"/>
        <v>1011231.4670733269</v>
      </c>
      <c r="AH52" s="51">
        <f>HLOOKUP(I52,ElecAvoidedCostsWOCC!$A$5:$Q$50,T52+1,FALSE)</f>
        <v>1.7654180640246628</v>
      </c>
      <c r="AI52" s="43">
        <f t="shared" si="32"/>
        <v>0</v>
      </c>
      <c r="AJ52" s="43">
        <f t="shared" si="33"/>
        <v>1011231.4670733269</v>
      </c>
      <c r="AK52" s="43">
        <f>HLOOKUP(I52,ElecAvoidedCostsWOCC!$A$5:$Q$50,G52+1,FALSE)*J52*L52</f>
        <v>0</v>
      </c>
      <c r="AL52" s="43">
        <f t="shared" si="34"/>
        <v>1011231.4670733269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1011231.4670733269</v>
      </c>
      <c r="AN52" s="47">
        <f t="shared" si="35"/>
        <v>1727211.439651056</v>
      </c>
      <c r="AO52" s="46">
        <f t="shared" si="36"/>
        <v>0.37718820867268255</v>
      </c>
      <c r="AP52" s="46">
        <f t="shared" si="37"/>
        <v>0.92339984415815013</v>
      </c>
    </row>
    <row r="53" spans="2:42" x14ac:dyDescent="0.25">
      <c r="B53" s="88" t="s">
        <v>71</v>
      </c>
      <c r="C53" s="91">
        <v>18230611</v>
      </c>
      <c r="D53" s="91" t="s">
        <v>72</v>
      </c>
      <c r="E53" s="37" t="s">
        <v>1138</v>
      </c>
      <c r="F53" s="38" t="s">
        <v>1139</v>
      </c>
      <c r="G53" s="38">
        <v>10</v>
      </c>
      <c r="H53" s="38">
        <v>8</v>
      </c>
      <c r="I53" s="39" t="s">
        <v>272</v>
      </c>
      <c r="J53" s="40">
        <v>24</v>
      </c>
      <c r="K53" s="40">
        <v>4126</v>
      </c>
      <c r="L53" s="40">
        <v>3094.71</v>
      </c>
      <c r="M53" s="41">
        <v>8336</v>
      </c>
      <c r="N53" s="41">
        <v>8336</v>
      </c>
      <c r="O53" s="42">
        <v>99024</v>
      </c>
      <c r="P53" s="43">
        <v>200064</v>
      </c>
      <c r="Q53" s="43">
        <v>200064</v>
      </c>
      <c r="R53" s="44">
        <v>869.30520000000001</v>
      </c>
      <c r="S53" s="45"/>
      <c r="T53" s="38">
        <f t="shared" si="19"/>
        <v>18</v>
      </c>
      <c r="U53" s="46">
        <f t="shared" si="20"/>
        <v>0.4137962351068879</v>
      </c>
      <c r="V53" s="47">
        <f t="shared" si="21"/>
        <v>0</v>
      </c>
      <c r="W53" s="48">
        <f t="shared" si="22"/>
        <v>2.298867972816044E-2</v>
      </c>
      <c r="X53" s="43">
        <f t="shared" si="23"/>
        <v>20787.56881702039</v>
      </c>
      <c r="Y53" s="43">
        <f t="shared" si="24"/>
        <v>0</v>
      </c>
      <c r="Z53" s="43">
        <f t="shared" si="25"/>
        <v>494995.41514908115</v>
      </c>
      <c r="AA53" s="49">
        <f t="shared" si="26"/>
        <v>220851.56881702039</v>
      </c>
      <c r="AB53" s="50">
        <f t="shared" si="27"/>
        <v>463478.85313584376</v>
      </c>
      <c r="AC53" s="43">
        <f t="shared" si="28"/>
        <v>206789.85844290297</v>
      </c>
      <c r="AD53" s="43">
        <f t="shared" si="29"/>
        <v>212929.49769266514</v>
      </c>
      <c r="AE53" s="43">
        <f t="shared" si="30"/>
        <v>0</v>
      </c>
      <c r="AF53" s="51">
        <f>HLOOKUP(I53,ElecAvoidedCostsWOCC!$A$5:$Q$50,G53+1,FALSE)</f>
        <v>1.3287628949071131</v>
      </c>
      <c r="AG53" s="43">
        <f t="shared" si="31"/>
        <v>131579.41690528198</v>
      </c>
      <c r="AH53" s="51">
        <f>HLOOKUP(I53,ElecAvoidedCostsWOCC!$A$5:$Q$50,T53+1,FALSE)</f>
        <v>1.9675158436529916</v>
      </c>
      <c r="AI53" s="43">
        <f t="shared" si="32"/>
        <v>146133.3829562724</v>
      </c>
      <c r="AJ53" s="43">
        <f t="shared" si="33"/>
        <v>277712.79986155441</v>
      </c>
      <c r="AK53" s="43">
        <f>HLOOKUP(I53,ElecAvoidedCostsWOCC!$A$5:$Q$50,G53+1,FALSE)*J53*L53</f>
        <v>98691.259643951809</v>
      </c>
      <c r="AL53" s="43">
        <f t="shared" si="34"/>
        <v>179021.5402176026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179021.54021760254</v>
      </c>
      <c r="AN53" s="47">
        <f t="shared" si="35"/>
        <v>409853.19193202793</v>
      </c>
      <c r="AO53" s="46">
        <f t="shared" si="36"/>
        <v>0.38625611288705775</v>
      </c>
      <c r="AP53" s="46">
        <f t="shared" si="37"/>
        <v>1.9819791696660649</v>
      </c>
    </row>
    <row r="54" spans="2:42" x14ac:dyDescent="0.25">
      <c r="B54" s="88" t="s">
        <v>71</v>
      </c>
      <c r="C54" s="91">
        <v>18230611</v>
      </c>
      <c r="D54" s="91" t="s">
        <v>72</v>
      </c>
      <c r="E54" s="37" t="s">
        <v>1140</v>
      </c>
      <c r="F54" s="38" t="s">
        <v>1141</v>
      </c>
      <c r="G54" s="38">
        <v>10</v>
      </c>
      <c r="H54" s="38">
        <v>8</v>
      </c>
      <c r="I54" s="39" t="s">
        <v>272</v>
      </c>
      <c r="J54" s="40">
        <v>24</v>
      </c>
      <c r="K54" s="40">
        <v>4482</v>
      </c>
      <c r="L54" s="40">
        <v>3361.81</v>
      </c>
      <c r="M54" s="41">
        <v>9229</v>
      </c>
      <c r="N54" s="41">
        <v>9229</v>
      </c>
      <c r="O54" s="42">
        <v>107568</v>
      </c>
      <c r="P54" s="43">
        <v>221496</v>
      </c>
      <c r="Q54" s="43">
        <v>221496</v>
      </c>
      <c r="R54" s="44">
        <v>742.05859999999996</v>
      </c>
      <c r="S54" s="45"/>
      <c r="T54" s="38">
        <f t="shared" si="19"/>
        <v>18</v>
      </c>
      <c r="U54" s="46">
        <f t="shared" si="20"/>
        <v>0.44949944880006582</v>
      </c>
      <c r="V54" s="47">
        <f t="shared" si="21"/>
        <v>0</v>
      </c>
      <c r="W54" s="48">
        <f t="shared" si="22"/>
        <v>2.4972191600003656E-2</v>
      </c>
      <c r="X54" s="43">
        <f t="shared" si="23"/>
        <v>22581.164187563107</v>
      </c>
      <c r="Y54" s="43">
        <f t="shared" si="24"/>
        <v>0</v>
      </c>
      <c r="Z54" s="43">
        <f t="shared" si="25"/>
        <v>537704.66570484277</v>
      </c>
      <c r="AA54" s="49">
        <f t="shared" si="26"/>
        <v>244077.16418756312</v>
      </c>
      <c r="AB54" s="50">
        <f t="shared" si="27"/>
        <v>503468.78811314865</v>
      </c>
      <c r="AC54" s="43">
        <f t="shared" si="28"/>
        <v>228536.67058760591</v>
      </c>
      <c r="AD54" s="43">
        <f t="shared" si="29"/>
        <v>181761.44000579117</v>
      </c>
      <c r="AE54" s="43">
        <f t="shared" si="30"/>
        <v>0</v>
      </c>
      <c r="AF54" s="51">
        <f>HLOOKUP(I54,ElecAvoidedCostsWOCC!$A$5:$Q$50,G54+1,FALSE)</f>
        <v>1.3287628949071131</v>
      </c>
      <c r="AG54" s="43">
        <f t="shared" si="31"/>
        <v>142932.36707936833</v>
      </c>
      <c r="AH54" s="51">
        <f>HLOOKUP(I54,ElecAvoidedCostsWOCC!$A$5:$Q$50,T54+1,FALSE)</f>
        <v>1.9675158436529916</v>
      </c>
      <c r="AI54" s="43">
        <f t="shared" si="32"/>
        <v>158745.94652042552</v>
      </c>
      <c r="AJ54" s="43">
        <f t="shared" si="33"/>
        <v>301678.31359979382</v>
      </c>
      <c r="AK54" s="43">
        <f>HLOOKUP(I54,ElecAvoidedCostsWOCC!$A$5:$Q$50,G54+1,FALSE)*J54*L54</f>
        <v>107209.16130546437</v>
      </c>
      <c r="AL54" s="43">
        <f t="shared" si="34"/>
        <v>194469.15229432945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194469.15229432951</v>
      </c>
      <c r="AN54" s="47">
        <f t="shared" si="35"/>
        <v>395677.50752955361</v>
      </c>
      <c r="AO54" s="46">
        <f t="shared" si="36"/>
        <v>0.3862586060660127</v>
      </c>
      <c r="AP54" s="46">
        <f t="shared" si="37"/>
        <v>1.7313523755824425</v>
      </c>
    </row>
    <row r="55" spans="2:42" x14ac:dyDescent="0.25">
      <c r="B55" s="88" t="s">
        <v>71</v>
      </c>
      <c r="C55" s="91">
        <v>18230611</v>
      </c>
      <c r="D55" s="91" t="s">
        <v>72</v>
      </c>
      <c r="E55" s="37" t="s">
        <v>1142</v>
      </c>
      <c r="F55" s="38" t="s">
        <v>1143</v>
      </c>
      <c r="G55" s="38">
        <v>15</v>
      </c>
      <c r="H55" s="38">
        <v>0</v>
      </c>
      <c r="I55" s="39" t="s">
        <v>271</v>
      </c>
      <c r="J55" s="40">
        <v>2</v>
      </c>
      <c r="K55" s="40">
        <v>70000</v>
      </c>
      <c r="L55" s="40">
        <v>0</v>
      </c>
      <c r="M55" s="41">
        <v>50000</v>
      </c>
      <c r="N55" s="41">
        <v>50000</v>
      </c>
      <c r="O55" s="42">
        <v>140000</v>
      </c>
      <c r="P55" s="43">
        <v>100000</v>
      </c>
      <c r="Q55" s="43">
        <v>100000</v>
      </c>
      <c r="R55" s="44">
        <v>0</v>
      </c>
      <c r="S55" s="45"/>
      <c r="T55" s="38">
        <f t="shared" si="19"/>
        <v>15</v>
      </c>
      <c r="U55" s="46">
        <f t="shared" si="20"/>
        <v>0.48752047411876842</v>
      </c>
      <c r="V55" s="47">
        <f t="shared" si="21"/>
        <v>0</v>
      </c>
      <c r="W55" s="48">
        <f t="shared" si="22"/>
        <v>3.2501364941251228E-2</v>
      </c>
      <c r="X55" s="43">
        <f t="shared" si="23"/>
        <v>29389.437251402233</v>
      </c>
      <c r="Y55" s="43">
        <f t="shared" si="24"/>
        <v>0</v>
      </c>
      <c r="Z55" s="43">
        <f t="shared" si="25"/>
        <v>699823.86210283719</v>
      </c>
      <c r="AA55" s="49">
        <f t="shared" si="26"/>
        <v>129389.43725140224</v>
      </c>
      <c r="AB55" s="50">
        <f t="shared" si="27"/>
        <v>655265.78848580259</v>
      </c>
      <c r="AC55" s="43">
        <f t="shared" si="28"/>
        <v>121151.15847509573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1.7462566560958237</v>
      </c>
      <c r="AG55" s="43">
        <f t="shared" si="31"/>
        <v>244475.93185341533</v>
      </c>
      <c r="AH55" s="51">
        <f>HLOOKUP(I55,ElecAvoidedCostsWOCC!$A$5:$Q$50,T55+1,FALSE)</f>
        <v>1.7462566560958237</v>
      </c>
      <c r="AI55" s="43">
        <f t="shared" si="32"/>
        <v>0</v>
      </c>
      <c r="AJ55" s="43">
        <f t="shared" si="33"/>
        <v>244475.93185341533</v>
      </c>
      <c r="AK55" s="43">
        <f>HLOOKUP(I55,ElecAvoidedCostsWOCC!$A$5:$Q$50,G55+1,FALSE)*J55*L55</f>
        <v>0</v>
      </c>
      <c r="AL55" s="43">
        <f t="shared" si="34"/>
        <v>244475.93185341533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244475.93185341533</v>
      </c>
      <c r="AN55" s="47">
        <f t="shared" si="35"/>
        <v>268923.5250387569</v>
      </c>
      <c r="AO55" s="46">
        <f t="shared" si="36"/>
        <v>0.37309430180744479</v>
      </c>
      <c r="AP55" s="46">
        <f t="shared" si="37"/>
        <v>2.2197354810605283</v>
      </c>
    </row>
    <row r="56" spans="2:42" x14ac:dyDescent="0.25">
      <c r="B56" s="88" t="s">
        <v>71</v>
      </c>
      <c r="C56" s="91">
        <v>18230611</v>
      </c>
      <c r="D56" s="91" t="s">
        <v>72</v>
      </c>
      <c r="E56" s="37" t="s">
        <v>1144</v>
      </c>
      <c r="F56" s="38" t="s">
        <v>1145</v>
      </c>
      <c r="G56" s="38">
        <v>5</v>
      </c>
      <c r="H56" s="38">
        <v>10</v>
      </c>
      <c r="I56" s="39" t="s">
        <v>271</v>
      </c>
      <c r="J56" s="40">
        <v>40</v>
      </c>
      <c r="K56" s="40">
        <v>59</v>
      </c>
      <c r="L56" s="40">
        <v>53</v>
      </c>
      <c r="M56" s="41">
        <v>95</v>
      </c>
      <c r="N56" s="41">
        <v>95</v>
      </c>
      <c r="O56" s="42">
        <v>2360</v>
      </c>
      <c r="P56" s="43">
        <v>3800</v>
      </c>
      <c r="Q56" s="43">
        <v>3800</v>
      </c>
      <c r="R56" s="44">
        <v>13.2018</v>
      </c>
      <c r="S56" s="45"/>
      <c r="T56" s="38">
        <f t="shared" si="19"/>
        <v>15</v>
      </c>
      <c r="U56" s="46">
        <f t="shared" si="20"/>
        <v>8.2182022780020961E-3</v>
      </c>
      <c r="V56" s="47">
        <f t="shared" si="21"/>
        <v>0</v>
      </c>
      <c r="W56" s="48">
        <f t="shared" si="22"/>
        <v>5.478801518668064E-4</v>
      </c>
      <c r="X56" s="43">
        <f t="shared" si="23"/>
        <v>495.42194223792336</v>
      </c>
      <c r="Y56" s="43">
        <f t="shared" si="24"/>
        <v>0</v>
      </c>
      <c r="Z56" s="43">
        <f t="shared" si="25"/>
        <v>11797.030818304971</v>
      </c>
      <c r="AA56" s="49">
        <f t="shared" si="26"/>
        <v>4295.4219422379238</v>
      </c>
      <c r="AB56" s="50">
        <f t="shared" si="27"/>
        <v>11045.90900590353</v>
      </c>
      <c r="AC56" s="43">
        <f t="shared" si="28"/>
        <v>4021.9306575261458</v>
      </c>
      <c r="AD56" s="43">
        <f t="shared" si="29"/>
        <v>4870.9855460805593</v>
      </c>
      <c r="AE56" s="43">
        <f t="shared" si="30"/>
        <v>0</v>
      </c>
      <c r="AF56" s="51">
        <f>HLOOKUP(I56,ElecAvoidedCostsWOCC!$A$5:$Q$50,G56+1,FALSE)</f>
        <v>0.74608136726953223</v>
      </c>
      <c r="AG56" s="43">
        <f t="shared" si="31"/>
        <v>1760.752026756096</v>
      </c>
      <c r="AH56" s="51">
        <f>HLOOKUP(I56,ElecAvoidedCostsWOCC!$A$5:$Q$50,T56+1,FALSE)</f>
        <v>1.7462566560958237</v>
      </c>
      <c r="AI56" s="43">
        <f t="shared" si="32"/>
        <v>3702.0641109231465</v>
      </c>
      <c r="AJ56" s="43">
        <f t="shared" si="33"/>
        <v>5462.8161376792423</v>
      </c>
      <c r="AK56" s="43">
        <f>HLOOKUP(I56,ElecAvoidedCostsWOCC!$A$5:$Q$50,G56+1,FALSE)*J56*L56</f>
        <v>1581.6924986114084</v>
      </c>
      <c r="AL56" s="43">
        <f t="shared" si="34"/>
        <v>3881.1236390678341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3881.1236390678341</v>
      </c>
      <c r="AN56" s="47">
        <f t="shared" si="35"/>
        <v>9140.2215490551771</v>
      </c>
      <c r="AO56" s="46">
        <f t="shared" si="36"/>
        <v>0.35136299212618466</v>
      </c>
      <c r="AP56" s="46">
        <f t="shared" si="37"/>
        <v>2.2725955088139802</v>
      </c>
    </row>
    <row r="57" spans="2:42" x14ac:dyDescent="0.25">
      <c r="B57" s="88" t="s">
        <v>71</v>
      </c>
      <c r="C57" s="91">
        <v>18230611</v>
      </c>
      <c r="D57" s="91" t="s">
        <v>72</v>
      </c>
      <c r="E57" s="37" t="s">
        <v>1146</v>
      </c>
      <c r="F57" s="38" t="s">
        <v>1147</v>
      </c>
      <c r="G57" s="38">
        <v>5</v>
      </c>
      <c r="H57" s="38">
        <v>10</v>
      </c>
      <c r="I57" s="39" t="s">
        <v>273</v>
      </c>
      <c r="J57" s="40">
        <v>10</v>
      </c>
      <c r="K57" s="40">
        <v>72</v>
      </c>
      <c r="L57" s="40">
        <v>65</v>
      </c>
      <c r="M57" s="41">
        <v>95</v>
      </c>
      <c r="N57" s="41">
        <v>95</v>
      </c>
      <c r="O57" s="42">
        <v>720</v>
      </c>
      <c r="P57" s="43">
        <v>950</v>
      </c>
      <c r="Q57" s="43">
        <v>950</v>
      </c>
      <c r="R57" s="44">
        <v>29.128299999999999</v>
      </c>
      <c r="S57" s="45"/>
      <c r="T57" s="38">
        <f t="shared" si="19"/>
        <v>15</v>
      </c>
      <c r="U57" s="46">
        <f t="shared" si="20"/>
        <v>2.5072481526108087E-3</v>
      </c>
      <c r="V57" s="47">
        <f t="shared" si="21"/>
        <v>0</v>
      </c>
      <c r="W57" s="48">
        <f t="shared" si="22"/>
        <v>1.6714987684072059E-4</v>
      </c>
      <c r="X57" s="43">
        <f t="shared" si="23"/>
        <v>151.14567729292577</v>
      </c>
      <c r="Y57" s="43">
        <f t="shared" si="24"/>
        <v>0</v>
      </c>
      <c r="Z57" s="43">
        <f t="shared" si="25"/>
        <v>3599.094147957449</v>
      </c>
      <c r="AA57" s="49">
        <f t="shared" si="26"/>
        <v>1101.1456772929257</v>
      </c>
      <c r="AB57" s="50">
        <f t="shared" si="27"/>
        <v>3369.9383407841278</v>
      </c>
      <c r="AC57" s="43">
        <f t="shared" si="28"/>
        <v>1031.0352783641627</v>
      </c>
      <c r="AD57" s="43">
        <f t="shared" si="29"/>
        <v>2686.8216508714409</v>
      </c>
      <c r="AE57" s="43">
        <f t="shared" si="30"/>
        <v>0</v>
      </c>
      <c r="AF57" s="51">
        <f>HLOOKUP(I57,ElecAvoidedCostsWOCC!$A$5:$Q$50,G57+1,FALSE)</f>
        <v>0.74608136726953223</v>
      </c>
      <c r="AG57" s="43">
        <f t="shared" si="31"/>
        <v>537.17858443406317</v>
      </c>
      <c r="AH57" s="51">
        <f>HLOOKUP(I57,ElecAvoidedCostsWOCC!$A$5:$Q$50,T57+1,FALSE)</f>
        <v>1.7462566560958237</v>
      </c>
      <c r="AI57" s="43">
        <f t="shared" si="32"/>
        <v>1135.0668264622855</v>
      </c>
      <c r="AJ57" s="43">
        <f t="shared" si="33"/>
        <v>1672.2454108963486</v>
      </c>
      <c r="AK57" s="43">
        <f>HLOOKUP(I57,ElecAvoidedCostsWOCC!$A$5:$Q$50,G57+1,FALSE)*J57*L57</f>
        <v>484.95288872519598</v>
      </c>
      <c r="AL57" s="43">
        <f t="shared" si="34"/>
        <v>1187.2925221711525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1187.2925221711525</v>
      </c>
      <c r="AN57" s="47">
        <f t="shared" si="35"/>
        <v>3992.843425259709</v>
      </c>
      <c r="AO57" s="46">
        <f t="shared" si="36"/>
        <v>0.35231876732049927</v>
      </c>
      <c r="AP57" s="46">
        <f t="shared" si="37"/>
        <v>3.872654514397162</v>
      </c>
    </row>
    <row r="58" spans="2:42" x14ac:dyDescent="0.25">
      <c r="B58" s="88" t="s">
        <v>71</v>
      </c>
      <c r="C58" s="91">
        <v>18230611</v>
      </c>
      <c r="D58" s="91" t="s">
        <v>72</v>
      </c>
      <c r="E58" s="37" t="s">
        <v>1148</v>
      </c>
      <c r="F58" s="38" t="s">
        <v>1149</v>
      </c>
      <c r="G58" s="38">
        <v>7</v>
      </c>
      <c r="H58" s="38">
        <v>0</v>
      </c>
      <c r="I58" s="39" t="s">
        <v>271</v>
      </c>
      <c r="J58" s="40">
        <v>140</v>
      </c>
      <c r="K58" s="40">
        <v>95</v>
      </c>
      <c r="L58" s="40">
        <v>0</v>
      </c>
      <c r="M58" s="41">
        <v>484</v>
      </c>
      <c r="N58" s="41">
        <v>484</v>
      </c>
      <c r="O58" s="42">
        <v>13300</v>
      </c>
      <c r="P58" s="43">
        <v>67760</v>
      </c>
      <c r="Q58" s="43">
        <v>67760</v>
      </c>
      <c r="R58" s="44">
        <v>7.5915999999999997</v>
      </c>
      <c r="S58" s="45"/>
      <c r="T58" s="38">
        <f t="shared" si="19"/>
        <v>7</v>
      </c>
      <c r="U58" s="46">
        <f t="shared" si="20"/>
        <v>2.1613407685932066E-2</v>
      </c>
      <c r="V58" s="47">
        <f t="shared" si="21"/>
        <v>0</v>
      </c>
      <c r="W58" s="48">
        <f t="shared" si="22"/>
        <v>3.0876296694188664E-3</v>
      </c>
      <c r="X58" s="43">
        <f t="shared" si="23"/>
        <v>2791.996538883212</v>
      </c>
      <c r="Y58" s="43">
        <f t="shared" si="24"/>
        <v>0</v>
      </c>
      <c r="Z58" s="43">
        <f t="shared" si="25"/>
        <v>66483.266899769529</v>
      </c>
      <c r="AA58" s="49">
        <f t="shared" si="26"/>
        <v>70551.996538883206</v>
      </c>
      <c r="AB58" s="50">
        <f t="shared" si="27"/>
        <v>62250.249906151243</v>
      </c>
      <c r="AC58" s="43">
        <f t="shared" si="28"/>
        <v>66059.921852886895</v>
      </c>
      <c r="AD58" s="43">
        <f t="shared" si="29"/>
        <v>5768.0219158563996</v>
      </c>
      <c r="AE58" s="43">
        <f t="shared" si="30"/>
        <v>0</v>
      </c>
      <c r="AF58" s="51">
        <f>HLOOKUP(I58,ElecAvoidedCostsWOCC!$A$5:$Q$50,G58+1,FALSE)</f>
        <v>0.98146455242736486</v>
      </c>
      <c r="AG58" s="43">
        <f t="shared" si="31"/>
        <v>13053.478547283952</v>
      </c>
      <c r="AH58" s="51">
        <f>HLOOKUP(I58,ElecAvoidedCostsWOCC!$A$5:$Q$50,T58+1,FALSE)</f>
        <v>0.98146455242736486</v>
      </c>
      <c r="AI58" s="43">
        <f t="shared" si="32"/>
        <v>0</v>
      </c>
      <c r="AJ58" s="43">
        <f t="shared" si="33"/>
        <v>13053.478547283952</v>
      </c>
      <c r="AK58" s="43">
        <f>HLOOKUP(I58,ElecAvoidedCostsWOCC!$A$5:$Q$50,G58+1,FALSE)*J58*L58</f>
        <v>0</v>
      </c>
      <c r="AL58" s="43">
        <f t="shared" si="34"/>
        <v>13053.478547283952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13053.478547283954</v>
      </c>
      <c r="AN58" s="47">
        <f t="shared" si="35"/>
        <v>20126.848317868749</v>
      </c>
      <c r="AO58" s="46">
        <f t="shared" si="36"/>
        <v>0.20969359266771517</v>
      </c>
      <c r="AP58" s="46">
        <f t="shared" si="37"/>
        <v>0.30467563014516619</v>
      </c>
    </row>
    <row r="59" spans="2:42" x14ac:dyDescent="0.25">
      <c r="B59" s="88" t="s">
        <v>71</v>
      </c>
      <c r="C59" s="91">
        <v>18230611</v>
      </c>
      <c r="D59" s="91" t="s">
        <v>72</v>
      </c>
      <c r="E59" s="37" t="s">
        <v>1150</v>
      </c>
      <c r="F59" s="38" t="s">
        <v>1151</v>
      </c>
      <c r="G59" s="38">
        <v>7</v>
      </c>
      <c r="H59" s="38">
        <v>0</v>
      </c>
      <c r="I59" s="39" t="s">
        <v>273</v>
      </c>
      <c r="J59" s="40">
        <v>40</v>
      </c>
      <c r="K59" s="40">
        <v>245</v>
      </c>
      <c r="L59" s="40">
        <v>0</v>
      </c>
      <c r="M59" s="41">
        <v>484</v>
      </c>
      <c r="N59" s="41">
        <v>484</v>
      </c>
      <c r="O59" s="42">
        <v>9800</v>
      </c>
      <c r="P59" s="43">
        <v>19360</v>
      </c>
      <c r="Q59" s="43">
        <v>19360</v>
      </c>
      <c r="R59" s="44">
        <v>29.473800000000001</v>
      </c>
      <c r="S59" s="45"/>
      <c r="T59" s="38">
        <f t="shared" si="19"/>
        <v>7</v>
      </c>
      <c r="U59" s="46">
        <f t="shared" si="20"/>
        <v>1.5925668821213101E-2</v>
      </c>
      <c r="V59" s="47">
        <f t="shared" si="21"/>
        <v>0</v>
      </c>
      <c r="W59" s="48">
        <f t="shared" si="22"/>
        <v>2.275095545887586E-3</v>
      </c>
      <c r="X59" s="43">
        <f t="shared" si="23"/>
        <v>2057.2606075981562</v>
      </c>
      <c r="Y59" s="43">
        <f t="shared" si="24"/>
        <v>0</v>
      </c>
      <c r="Z59" s="43">
        <f t="shared" si="25"/>
        <v>48987.670347198604</v>
      </c>
      <c r="AA59" s="49">
        <f t="shared" si="26"/>
        <v>21417.260607598157</v>
      </c>
      <c r="AB59" s="50">
        <f t="shared" si="27"/>
        <v>45868.605194006181</v>
      </c>
      <c r="AC59" s="43">
        <f t="shared" si="28"/>
        <v>20053.614801121868</v>
      </c>
      <c r="AD59" s="43">
        <f t="shared" si="29"/>
        <v>6398.2568833059231</v>
      </c>
      <c r="AE59" s="43">
        <f t="shared" si="30"/>
        <v>0</v>
      </c>
      <c r="AF59" s="51">
        <f>HLOOKUP(I59,ElecAvoidedCostsWOCC!$A$5:$Q$50,G59+1,FALSE)</f>
        <v>0.98146455242736486</v>
      </c>
      <c r="AG59" s="43">
        <f t="shared" si="31"/>
        <v>9618.3526137881763</v>
      </c>
      <c r="AH59" s="51">
        <f>HLOOKUP(I59,ElecAvoidedCostsWOCC!$A$5:$Q$50,T59+1,FALSE)</f>
        <v>0.98146455242736486</v>
      </c>
      <c r="AI59" s="43">
        <f t="shared" si="32"/>
        <v>0</v>
      </c>
      <c r="AJ59" s="43">
        <f t="shared" si="33"/>
        <v>9618.3526137881763</v>
      </c>
      <c r="AK59" s="43">
        <f>HLOOKUP(I59,ElecAvoidedCostsWOCC!$A$5:$Q$50,G59+1,FALSE)*J59*L59</f>
        <v>0</v>
      </c>
      <c r="AL59" s="43">
        <f t="shared" si="34"/>
        <v>9618.3526137881763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9618.3526137881763</v>
      </c>
      <c r="AN59" s="47">
        <f t="shared" si="35"/>
        <v>16978.444758472921</v>
      </c>
      <c r="AO59" s="46">
        <f t="shared" si="36"/>
        <v>0.20969359266771517</v>
      </c>
      <c r="AP59" s="46">
        <f t="shared" si="37"/>
        <v>0.84665258243232477</v>
      </c>
    </row>
    <row r="60" spans="2:42" x14ac:dyDescent="0.25">
      <c r="B60" s="88" t="s">
        <v>71</v>
      </c>
      <c r="C60" s="91">
        <v>18230611</v>
      </c>
      <c r="D60" s="91" t="s">
        <v>72</v>
      </c>
      <c r="E60" s="37" t="s">
        <v>1152</v>
      </c>
      <c r="F60" s="38" t="s">
        <v>1153</v>
      </c>
      <c r="G60" s="38">
        <v>7</v>
      </c>
      <c r="H60" s="38">
        <v>0</v>
      </c>
      <c r="I60" s="39" t="s">
        <v>273</v>
      </c>
      <c r="J60" s="40">
        <v>40</v>
      </c>
      <c r="K60" s="40">
        <v>245</v>
      </c>
      <c r="L60" s="40">
        <v>0</v>
      </c>
      <c r="M60" s="41">
        <v>484</v>
      </c>
      <c r="N60" s="41">
        <v>484</v>
      </c>
      <c r="O60" s="42">
        <v>9800</v>
      </c>
      <c r="P60" s="43">
        <v>19360</v>
      </c>
      <c r="Q60" s="43">
        <v>19360</v>
      </c>
      <c r="R60" s="44">
        <v>29.47</v>
      </c>
      <c r="S60" s="45"/>
      <c r="T60" s="38">
        <f t="shared" si="19"/>
        <v>7</v>
      </c>
      <c r="U60" s="46">
        <f t="shared" si="20"/>
        <v>1.5925668821213101E-2</v>
      </c>
      <c r="V60" s="47">
        <f t="shared" si="21"/>
        <v>0</v>
      </c>
      <c r="W60" s="48">
        <f t="shared" si="22"/>
        <v>2.275095545887586E-3</v>
      </c>
      <c r="X60" s="43">
        <f t="shared" si="23"/>
        <v>2057.2606075981562</v>
      </c>
      <c r="Y60" s="43">
        <f t="shared" si="24"/>
        <v>0</v>
      </c>
      <c r="Z60" s="43">
        <f t="shared" si="25"/>
        <v>48987.670347198604</v>
      </c>
      <c r="AA60" s="49">
        <f t="shared" si="26"/>
        <v>21417.260607598157</v>
      </c>
      <c r="AB60" s="50">
        <f t="shared" si="27"/>
        <v>45868.605194006181</v>
      </c>
      <c r="AC60" s="43">
        <f t="shared" si="28"/>
        <v>20053.614801121868</v>
      </c>
      <c r="AD60" s="43">
        <f t="shared" si="29"/>
        <v>6397.4319684270631</v>
      </c>
      <c r="AE60" s="43">
        <f t="shared" si="30"/>
        <v>0</v>
      </c>
      <c r="AF60" s="51">
        <f>HLOOKUP(I60,ElecAvoidedCostsWOCC!$A$5:$Q$50,G60+1,FALSE)</f>
        <v>0.98146455242736486</v>
      </c>
      <c r="AG60" s="43">
        <f t="shared" si="31"/>
        <v>9618.3526137881763</v>
      </c>
      <c r="AH60" s="51">
        <f>HLOOKUP(I60,ElecAvoidedCostsWOCC!$A$5:$Q$50,T60+1,FALSE)</f>
        <v>0.98146455242736486</v>
      </c>
      <c r="AI60" s="43">
        <f t="shared" si="32"/>
        <v>0</v>
      </c>
      <c r="AJ60" s="43">
        <f t="shared" si="33"/>
        <v>9618.3526137881763</v>
      </c>
      <c r="AK60" s="43">
        <f>HLOOKUP(I60,ElecAvoidedCostsWOCC!$A$5:$Q$50,G60+1,FALSE)*J60*L60</f>
        <v>0</v>
      </c>
      <c r="AL60" s="43">
        <f t="shared" si="34"/>
        <v>9618.3526137881763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9618.3526137881763</v>
      </c>
      <c r="AN60" s="47">
        <f t="shared" si="35"/>
        <v>16977.619843594061</v>
      </c>
      <c r="AO60" s="46">
        <f t="shared" si="36"/>
        <v>0.20969359266771517</v>
      </c>
      <c r="AP60" s="46">
        <f t="shared" si="37"/>
        <v>0.84661144696188506</v>
      </c>
    </row>
    <row r="61" spans="2:42" x14ac:dyDescent="0.25">
      <c r="B61" s="88" t="s">
        <v>71</v>
      </c>
      <c r="C61" s="91">
        <v>18230611</v>
      </c>
      <c r="D61" s="91" t="s">
        <v>72</v>
      </c>
      <c r="E61" s="37" t="s">
        <v>1154</v>
      </c>
      <c r="F61" s="38" t="s">
        <v>1155</v>
      </c>
      <c r="G61" s="38">
        <v>25</v>
      </c>
      <c r="H61" s="38">
        <v>0</v>
      </c>
      <c r="I61" s="39" t="s">
        <v>273</v>
      </c>
      <c r="J61" s="40">
        <v>60</v>
      </c>
      <c r="K61" s="40">
        <v>6.71</v>
      </c>
      <c r="L61" s="40">
        <v>0</v>
      </c>
      <c r="M61" s="41">
        <v>26.53</v>
      </c>
      <c r="N61" s="41">
        <v>26.53</v>
      </c>
      <c r="O61" s="42">
        <v>402.6</v>
      </c>
      <c r="P61" s="43">
        <v>1591.8</v>
      </c>
      <c r="Q61" s="43">
        <v>1591.8000000000002</v>
      </c>
      <c r="R61" s="44">
        <v>4.6707000000000001</v>
      </c>
      <c r="S61" s="45"/>
      <c r="T61" s="38">
        <f t="shared" si="19"/>
        <v>25</v>
      </c>
      <c r="U61" s="46">
        <f t="shared" si="20"/>
        <v>2.33661598666924E-3</v>
      </c>
      <c r="V61" s="47">
        <f t="shared" si="21"/>
        <v>0</v>
      </c>
      <c r="W61" s="48">
        <f t="shared" si="22"/>
        <v>9.3464639466769601E-5</v>
      </c>
      <c r="X61" s="43">
        <f t="shared" si="23"/>
        <v>84.515624552960986</v>
      </c>
      <c r="Y61" s="43">
        <f t="shared" si="24"/>
        <v>0</v>
      </c>
      <c r="Z61" s="43">
        <f t="shared" si="25"/>
        <v>2012.4934777328735</v>
      </c>
      <c r="AA61" s="49">
        <f t="shared" si="26"/>
        <v>1676.3156245529613</v>
      </c>
      <c r="AB61" s="50">
        <f t="shared" si="27"/>
        <v>1884.3571888884583</v>
      </c>
      <c r="AC61" s="43">
        <f t="shared" si="28"/>
        <v>1569.5839181207502</v>
      </c>
      <c r="AD61" s="43">
        <f t="shared" si="29"/>
        <v>3325.5175427925478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938.54818484778468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938.54818484778468</v>
      </c>
      <c r="AK61" s="43">
        <f>HLOOKUP(I61,ElecAvoidedCostsWOCC!$A$5:$Q$50,G61+1,FALSE)*J61*L61</f>
        <v>0</v>
      </c>
      <c r="AL61" s="43">
        <f t="shared" si="34"/>
        <v>938.54818484778468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938.54818484778457</v>
      </c>
      <c r="AN61" s="47">
        <f t="shared" si="35"/>
        <v>4357.9205461251113</v>
      </c>
      <c r="AO61" s="46">
        <f t="shared" si="36"/>
        <v>0.49807339626592445</v>
      </c>
      <c r="AP61" s="46">
        <f t="shared" si="37"/>
        <v>2.7764813947270901</v>
      </c>
    </row>
    <row r="62" spans="2:42" x14ac:dyDescent="0.25">
      <c r="B62" s="88" t="s">
        <v>71</v>
      </c>
      <c r="C62" s="91">
        <v>18230611</v>
      </c>
      <c r="D62" s="91" t="s">
        <v>72</v>
      </c>
      <c r="E62" s="37" t="s">
        <v>1156</v>
      </c>
      <c r="F62" s="38" t="s">
        <v>1157</v>
      </c>
      <c r="G62" s="38">
        <v>45</v>
      </c>
      <c r="H62" s="38">
        <v>0</v>
      </c>
      <c r="I62" s="39" t="s">
        <v>273</v>
      </c>
      <c r="J62" s="40">
        <v>220</v>
      </c>
      <c r="K62" s="40">
        <v>2.6</v>
      </c>
      <c r="L62" s="40">
        <v>0</v>
      </c>
      <c r="M62" s="41">
        <v>32.31</v>
      </c>
      <c r="N62" s="41">
        <v>32.31</v>
      </c>
      <c r="O62" s="42">
        <v>572</v>
      </c>
      <c r="P62" s="43">
        <v>7108.2</v>
      </c>
      <c r="Q62" s="43">
        <v>7108.2000000000007</v>
      </c>
      <c r="R62" s="44">
        <v>0.16320000000000001</v>
      </c>
      <c r="S62" s="45"/>
      <c r="T62" s="38">
        <f t="shared" si="19"/>
        <v>45</v>
      </c>
      <c r="U62" s="46">
        <f t="shared" si="20"/>
        <v>5.9756080970557613E-3</v>
      </c>
      <c r="V62" s="47">
        <f t="shared" si="21"/>
        <v>0</v>
      </c>
      <c r="W62" s="48">
        <f t="shared" si="22"/>
        <v>1.3279129104568359E-4</v>
      </c>
      <c r="X62" s="43">
        <f t="shared" si="23"/>
        <v>120.0768436271577</v>
      </c>
      <c r="Y62" s="43">
        <f t="shared" si="24"/>
        <v>0</v>
      </c>
      <c r="Z62" s="43">
        <f t="shared" si="25"/>
        <v>2859.2803508773068</v>
      </c>
      <c r="AA62" s="49">
        <f t="shared" si="26"/>
        <v>7228.2768436271581</v>
      </c>
      <c r="AB62" s="50">
        <f t="shared" si="27"/>
        <v>2677.2287929562794</v>
      </c>
      <c r="AC62" s="43">
        <f t="shared" si="28"/>
        <v>6768.0494790516459</v>
      </c>
      <c r="AD62" s="43">
        <f t="shared" si="29"/>
        <v>500.65187530802547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2140.2304917420411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2140.2304917420411</v>
      </c>
      <c r="AK62" s="43">
        <f>HLOOKUP(I62,ElecAvoidedCostsWOCC!$A$5:$Q$50,G62+1,FALSE)*J62*L62</f>
        <v>0</v>
      </c>
      <c r="AL62" s="43">
        <f t="shared" si="34"/>
        <v>2140.2304917420411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2140.2304917420411</v>
      </c>
      <c r="AN62" s="47">
        <f t="shared" si="35"/>
        <v>2854.905416224271</v>
      </c>
      <c r="AO62" s="46">
        <f t="shared" si="36"/>
        <v>0.79942009340887588</v>
      </c>
      <c r="AP62" s="46">
        <f t="shared" si="37"/>
        <v>0.42182100250016297</v>
      </c>
    </row>
    <row r="63" spans="2:42" x14ac:dyDescent="0.25">
      <c r="B63" s="88" t="s">
        <v>71</v>
      </c>
      <c r="C63" s="91">
        <v>18230611</v>
      </c>
      <c r="D63" s="91" t="s">
        <v>72</v>
      </c>
      <c r="E63" s="37" t="s">
        <v>1158</v>
      </c>
      <c r="F63" s="38" t="s">
        <v>1159</v>
      </c>
      <c r="G63" s="38">
        <v>25</v>
      </c>
      <c r="H63" s="38">
        <v>0</v>
      </c>
      <c r="I63" s="39" t="s">
        <v>273</v>
      </c>
      <c r="J63" s="40">
        <v>4400</v>
      </c>
      <c r="K63" s="40">
        <v>16.54</v>
      </c>
      <c r="L63" s="40">
        <v>0</v>
      </c>
      <c r="M63" s="41">
        <v>26.53</v>
      </c>
      <c r="N63" s="41">
        <v>26.53</v>
      </c>
      <c r="O63" s="42">
        <v>72776</v>
      </c>
      <c r="P63" s="43">
        <v>116732</v>
      </c>
      <c r="Q63" s="43">
        <v>116732</v>
      </c>
      <c r="R63" s="44">
        <v>2.6362000000000001</v>
      </c>
      <c r="S63" s="45"/>
      <c r="T63" s="38">
        <f t="shared" si="19"/>
        <v>25</v>
      </c>
      <c r="U63" s="46">
        <f t="shared" si="20"/>
        <v>0.42237845267223195</v>
      </c>
      <c r="V63" s="47">
        <f t="shared" si="21"/>
        <v>0</v>
      </c>
      <c r="W63" s="48">
        <f t="shared" si="22"/>
        <v>1.6895138106889279E-2</v>
      </c>
      <c r="X63" s="43">
        <f t="shared" si="23"/>
        <v>15277.469181486062</v>
      </c>
      <c r="Y63" s="43">
        <f t="shared" si="24"/>
        <v>0</v>
      </c>
      <c r="Z63" s="43">
        <f t="shared" si="25"/>
        <v>363788.43848854344</v>
      </c>
      <c r="AA63" s="49">
        <f t="shared" si="26"/>
        <v>132009.46918148606</v>
      </c>
      <c r="AB63" s="50">
        <f t="shared" si="27"/>
        <v>340625.87873459124</v>
      </c>
      <c r="AC63" s="43">
        <f t="shared" si="28"/>
        <v>123604.3718927772</v>
      </c>
      <c r="AD63" s="43">
        <f t="shared" si="29"/>
        <v>137643.92604878193</v>
      </c>
      <c r="AE63" s="43">
        <f t="shared" si="30"/>
        <v>0</v>
      </c>
      <c r="AF63" s="51">
        <f>HLOOKUP(I63,ElecAvoidedCostsWOCC!$A$5:$Q$50,G63+1,FALSE)</f>
        <v>2.3312175480570905</v>
      </c>
      <c r="AG63" s="43">
        <f t="shared" si="31"/>
        <v>169656.68827740283</v>
      </c>
      <c r="AH63" s="51">
        <f>HLOOKUP(I63,ElecAvoidedCostsWOCC!$A$5:$Q$50,T63+1,FALSE)</f>
        <v>2.3312175480570905</v>
      </c>
      <c r="AI63" s="43">
        <f t="shared" si="32"/>
        <v>0</v>
      </c>
      <c r="AJ63" s="43">
        <f t="shared" si="33"/>
        <v>169656.68827740283</v>
      </c>
      <c r="AK63" s="43">
        <f>HLOOKUP(I63,ElecAvoidedCostsWOCC!$A$5:$Q$50,G63+1,FALSE)*J63*L63</f>
        <v>0</v>
      </c>
      <c r="AL63" s="43">
        <f t="shared" si="34"/>
        <v>169656.68827740283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169656.68827740281</v>
      </c>
      <c r="AN63" s="47">
        <f t="shared" si="35"/>
        <v>324266.28315392503</v>
      </c>
      <c r="AO63" s="46">
        <f t="shared" si="36"/>
        <v>0.49807339626592451</v>
      </c>
      <c r="AP63" s="46">
        <f t="shared" si="37"/>
        <v>2.6234208239431496</v>
      </c>
    </row>
    <row r="64" spans="2:42" x14ac:dyDescent="0.25">
      <c r="B64" s="88" t="s">
        <v>71</v>
      </c>
      <c r="C64" s="91">
        <v>18230611</v>
      </c>
      <c r="D64" s="91" t="s">
        <v>72</v>
      </c>
      <c r="E64" s="37" t="s">
        <v>1160</v>
      </c>
      <c r="F64" s="38" t="s">
        <v>1161</v>
      </c>
      <c r="G64" s="38">
        <v>45</v>
      </c>
      <c r="H64" s="38">
        <v>0</v>
      </c>
      <c r="I64" s="39" t="s">
        <v>273</v>
      </c>
      <c r="J64" s="40">
        <v>1800</v>
      </c>
      <c r="K64" s="40">
        <v>3.98</v>
      </c>
      <c r="L64" s="40">
        <v>0</v>
      </c>
      <c r="M64" s="41">
        <v>32.31</v>
      </c>
      <c r="N64" s="41">
        <v>32.31</v>
      </c>
      <c r="O64" s="42">
        <v>7164</v>
      </c>
      <c r="P64" s="43">
        <v>58158</v>
      </c>
      <c r="Q64" s="43">
        <v>58158.000000000007</v>
      </c>
      <c r="R64" s="44">
        <v>0.50070000000000003</v>
      </c>
      <c r="S64" s="45"/>
      <c r="T64" s="38">
        <f t="shared" si="19"/>
        <v>45</v>
      </c>
      <c r="U64" s="46">
        <f t="shared" si="20"/>
        <v>7.4841357355432653E-2</v>
      </c>
      <c r="V64" s="47">
        <f t="shared" si="21"/>
        <v>0</v>
      </c>
      <c r="W64" s="48">
        <f t="shared" si="22"/>
        <v>1.66314127456517E-3</v>
      </c>
      <c r="X64" s="43">
        <f t="shared" si="23"/>
        <v>1503.8994890646115</v>
      </c>
      <c r="Y64" s="43">
        <f t="shared" si="24"/>
        <v>0</v>
      </c>
      <c r="Z64" s="43">
        <f t="shared" si="25"/>
        <v>35810.98677217662</v>
      </c>
      <c r="AA64" s="49">
        <f t="shared" si="26"/>
        <v>59661.899489064621</v>
      </c>
      <c r="AB64" s="50">
        <f t="shared" si="27"/>
        <v>33530.886490802077</v>
      </c>
      <c r="AC64" s="43">
        <f t="shared" si="28"/>
        <v>55863.201768787098</v>
      </c>
      <c r="AD64" s="43">
        <f t="shared" si="29"/>
        <v>12567.332585230368</v>
      </c>
      <c r="AE64" s="43">
        <f t="shared" si="30"/>
        <v>0</v>
      </c>
      <c r="AF64" s="51">
        <f>HLOOKUP(I64,ElecAvoidedCostsWOCC!$A$5:$Q$50,G64+1,FALSE)</f>
        <v>3.7416616988497218</v>
      </c>
      <c r="AG64" s="43">
        <f t="shared" si="31"/>
        <v>26805.264410559408</v>
      </c>
      <c r="AH64" s="51">
        <f>HLOOKUP(I64,ElecAvoidedCostsWOCC!$A$5:$Q$50,T64+1,FALSE)</f>
        <v>3.7416616988497218</v>
      </c>
      <c r="AI64" s="43">
        <f t="shared" si="32"/>
        <v>0</v>
      </c>
      <c r="AJ64" s="43">
        <f t="shared" si="33"/>
        <v>26805.264410559408</v>
      </c>
      <c r="AK64" s="43">
        <f>HLOOKUP(I64,ElecAvoidedCostsWOCC!$A$5:$Q$50,G64+1,FALSE)*J64*L64</f>
        <v>0</v>
      </c>
      <c r="AL64" s="43">
        <f t="shared" si="34"/>
        <v>26805.264410559408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26805.264410559408</v>
      </c>
      <c r="AN64" s="47">
        <f t="shared" si="35"/>
        <v>42053.123436845723</v>
      </c>
      <c r="AO64" s="46">
        <f t="shared" si="36"/>
        <v>0.79942009340887576</v>
      </c>
      <c r="AP64" s="46">
        <f t="shared" si="37"/>
        <v>0.7527875614953099</v>
      </c>
    </row>
    <row r="65" spans="2:42" x14ac:dyDescent="0.25">
      <c r="B65" s="88" t="s">
        <v>71</v>
      </c>
      <c r="C65" s="91">
        <v>18230611</v>
      </c>
      <c r="D65" s="91" t="s">
        <v>72</v>
      </c>
      <c r="E65" s="37" t="s">
        <v>1162</v>
      </c>
      <c r="F65" s="38" t="s">
        <v>1163</v>
      </c>
      <c r="G65" s="38">
        <v>45</v>
      </c>
      <c r="H65" s="38">
        <v>0</v>
      </c>
      <c r="I65" s="39" t="s">
        <v>271</v>
      </c>
      <c r="J65" s="40">
        <v>100</v>
      </c>
      <c r="K65" s="40">
        <v>12.86</v>
      </c>
      <c r="L65" s="40">
        <v>0</v>
      </c>
      <c r="M65" s="41">
        <v>33.1</v>
      </c>
      <c r="N65" s="41">
        <v>33.1</v>
      </c>
      <c r="O65" s="42">
        <v>1286</v>
      </c>
      <c r="P65" s="43">
        <v>3310</v>
      </c>
      <c r="Q65" s="43">
        <v>3310</v>
      </c>
      <c r="R65" s="44">
        <v>0.89770000000000005</v>
      </c>
      <c r="S65" s="45"/>
      <c r="T65" s="38">
        <f t="shared" si="19"/>
        <v>45</v>
      </c>
      <c r="U65" s="46">
        <f t="shared" si="20"/>
        <v>1.3434671351072918E-2</v>
      </c>
      <c r="V65" s="47">
        <f t="shared" si="21"/>
        <v>0</v>
      </c>
      <c r="W65" s="48">
        <f t="shared" si="22"/>
        <v>2.9854825224606484E-4</v>
      </c>
      <c r="X65" s="43">
        <f t="shared" si="23"/>
        <v>269.96297360930907</v>
      </c>
      <c r="Y65" s="43">
        <f t="shared" si="24"/>
        <v>0</v>
      </c>
      <c r="Z65" s="43">
        <f t="shared" si="25"/>
        <v>6428.3820476017772</v>
      </c>
      <c r="AA65" s="49">
        <f t="shared" si="26"/>
        <v>3579.9629736093093</v>
      </c>
      <c r="AB65" s="50">
        <f t="shared" si="27"/>
        <v>6019.0843142338736</v>
      </c>
      <c r="AC65" s="43">
        <f t="shared" si="28"/>
        <v>3352.0252561884918</v>
      </c>
      <c r="AD65" s="43">
        <f t="shared" si="29"/>
        <v>1251.7691300802544</v>
      </c>
      <c r="AE65" s="43">
        <f t="shared" si="30"/>
        <v>0</v>
      </c>
      <c r="AF65" s="51">
        <f>HLOOKUP(I65,ElecAvoidedCostsWOCC!$A$5:$Q$50,G65+1,FALSE)</f>
        <v>3.5408139669770344</v>
      </c>
      <c r="AG65" s="43">
        <f t="shared" si="31"/>
        <v>4553.4867615324656</v>
      </c>
      <c r="AH65" s="51">
        <f>HLOOKUP(I65,ElecAvoidedCostsWOCC!$A$5:$Q$50,T65+1,FALSE)</f>
        <v>3.5408139669770344</v>
      </c>
      <c r="AI65" s="43">
        <f t="shared" si="32"/>
        <v>0</v>
      </c>
      <c r="AJ65" s="43">
        <f t="shared" si="33"/>
        <v>4553.4867615324656</v>
      </c>
      <c r="AK65" s="43">
        <f>HLOOKUP(I65,ElecAvoidedCostsWOCC!$A$5:$Q$50,G65+1,FALSE)*J65*L65</f>
        <v>0</v>
      </c>
      <c r="AL65" s="43">
        <f t="shared" si="34"/>
        <v>4553.4867615324656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4553.4867615324665</v>
      </c>
      <c r="AN65" s="47">
        <f t="shared" si="35"/>
        <v>6260.6045677659677</v>
      </c>
      <c r="AO65" s="46">
        <f t="shared" si="36"/>
        <v>0.7565082201564155</v>
      </c>
      <c r="AP65" s="46">
        <f t="shared" si="37"/>
        <v>1.8677080538721096</v>
      </c>
    </row>
    <row r="66" spans="2:42" x14ac:dyDescent="0.25">
      <c r="B66" s="88" t="s">
        <v>71</v>
      </c>
      <c r="C66" s="91">
        <v>18230611</v>
      </c>
      <c r="D66" s="91" t="s">
        <v>72</v>
      </c>
      <c r="E66" s="37" t="s">
        <v>1164</v>
      </c>
      <c r="F66" s="38" t="s">
        <v>1165</v>
      </c>
      <c r="G66" s="38">
        <v>45</v>
      </c>
      <c r="H66" s="38">
        <v>0</v>
      </c>
      <c r="I66" s="39" t="s">
        <v>271</v>
      </c>
      <c r="J66" s="40">
        <v>20</v>
      </c>
      <c r="K66" s="40">
        <v>23.87</v>
      </c>
      <c r="L66" s="40">
        <v>0</v>
      </c>
      <c r="M66" s="41">
        <v>33.1</v>
      </c>
      <c r="N66" s="41">
        <v>33.1</v>
      </c>
      <c r="O66" s="42">
        <v>477.40000000000003</v>
      </c>
      <c r="P66" s="43">
        <v>662</v>
      </c>
      <c r="Q66" s="43">
        <v>662</v>
      </c>
      <c r="R66" s="44">
        <v>1.4984999999999999</v>
      </c>
      <c r="S66" s="45"/>
      <c r="T66" s="38">
        <f t="shared" si="19"/>
        <v>45</v>
      </c>
      <c r="U66" s="46">
        <f t="shared" si="20"/>
        <v>4.9873344502350016E-3</v>
      </c>
      <c r="V66" s="47">
        <f t="shared" si="21"/>
        <v>0</v>
      </c>
      <c r="W66" s="48">
        <f t="shared" si="22"/>
        <v>1.1082965444966669E-4</v>
      </c>
      <c r="X66" s="43">
        <f t="shared" si="23"/>
        <v>100.21798102728162</v>
      </c>
      <c r="Y66" s="43">
        <f t="shared" si="24"/>
        <v>0</v>
      </c>
      <c r="Z66" s="43">
        <f t="shared" si="25"/>
        <v>2386.3993697706751</v>
      </c>
      <c r="AA66" s="49">
        <f t="shared" si="26"/>
        <v>762.21798102728167</v>
      </c>
      <c r="AB66" s="50">
        <f t="shared" si="27"/>
        <v>2234.456338736587</v>
      </c>
      <c r="AC66" s="43">
        <f t="shared" si="28"/>
        <v>713.68724815288545</v>
      </c>
      <c r="AD66" s="43">
        <f t="shared" si="29"/>
        <v>417.90710514097384</v>
      </c>
      <c r="AE66" s="43">
        <f t="shared" si="30"/>
        <v>0</v>
      </c>
      <c r="AF66" s="51">
        <f>HLOOKUP(I66,ElecAvoidedCostsWOCC!$A$5:$Q$50,G66+1,FALSE)</f>
        <v>3.5408139669770344</v>
      </c>
      <c r="AG66" s="43">
        <f t="shared" si="31"/>
        <v>1690.3845878348361</v>
      </c>
      <c r="AH66" s="51">
        <f>HLOOKUP(I66,ElecAvoidedCostsWOCC!$A$5:$Q$50,T66+1,FALSE)</f>
        <v>3.5408139669770344</v>
      </c>
      <c r="AI66" s="43">
        <f t="shared" si="32"/>
        <v>0</v>
      </c>
      <c r="AJ66" s="43">
        <f t="shared" si="33"/>
        <v>1690.3845878348361</v>
      </c>
      <c r="AK66" s="43">
        <f>HLOOKUP(I66,ElecAvoidedCostsWOCC!$A$5:$Q$50,G66+1,FALSE)*J66*L66</f>
        <v>0</v>
      </c>
      <c r="AL66" s="43">
        <f t="shared" si="34"/>
        <v>1690.3845878348361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1690.3845878348363</v>
      </c>
      <c r="AN66" s="47">
        <f t="shared" si="35"/>
        <v>2277.330151759294</v>
      </c>
      <c r="AO66" s="46">
        <f t="shared" si="36"/>
        <v>0.75650822015641561</v>
      </c>
      <c r="AP66" s="46">
        <f t="shared" si="37"/>
        <v>3.1909357462296235</v>
      </c>
    </row>
    <row r="67" spans="2:42" x14ac:dyDescent="0.25">
      <c r="B67" s="88" t="s">
        <v>71</v>
      </c>
      <c r="C67" s="91">
        <v>18230611</v>
      </c>
      <c r="D67" s="91" t="s">
        <v>72</v>
      </c>
      <c r="E67" s="37" t="s">
        <v>1166</v>
      </c>
      <c r="F67" s="38" t="s">
        <v>1167</v>
      </c>
      <c r="G67" s="38">
        <v>45</v>
      </c>
      <c r="H67" s="38">
        <v>0</v>
      </c>
      <c r="I67" s="39" t="s">
        <v>267</v>
      </c>
      <c r="J67" s="40">
        <v>400</v>
      </c>
      <c r="K67" s="40">
        <v>127</v>
      </c>
      <c r="L67" s="40">
        <v>0</v>
      </c>
      <c r="M67" s="41">
        <v>970</v>
      </c>
      <c r="N67" s="41">
        <v>970</v>
      </c>
      <c r="O67" s="42">
        <v>50800</v>
      </c>
      <c r="P67" s="43">
        <v>388000</v>
      </c>
      <c r="Q67" s="43">
        <v>388000</v>
      </c>
      <c r="R67" s="44">
        <v>13.854900000000001</v>
      </c>
      <c r="S67" s="45"/>
      <c r="T67" s="38">
        <f t="shared" si="19"/>
        <v>45</v>
      </c>
      <c r="U67" s="46">
        <f t="shared" si="20"/>
        <v>0.53070085896928787</v>
      </c>
      <c r="V67" s="47">
        <f t="shared" si="21"/>
        <v>0</v>
      </c>
      <c r="W67" s="48">
        <f t="shared" si="22"/>
        <v>1.179335242153973E-2</v>
      </c>
      <c r="X67" s="43">
        <f t="shared" si="23"/>
        <v>10664.167231223095</v>
      </c>
      <c r="Y67" s="43">
        <f t="shared" si="24"/>
        <v>0</v>
      </c>
      <c r="Z67" s="43">
        <f t="shared" si="25"/>
        <v>253936.08710588666</v>
      </c>
      <c r="AA67" s="49">
        <f t="shared" si="26"/>
        <v>398664.16723122308</v>
      </c>
      <c r="AB67" s="50">
        <f t="shared" si="27"/>
        <v>237767.87182199126</v>
      </c>
      <c r="AC67" s="43">
        <f t="shared" si="28"/>
        <v>373281.05545994669</v>
      </c>
      <c r="AD67" s="43">
        <f t="shared" si="29"/>
        <v>77278.093440342724</v>
      </c>
      <c r="AE67" s="43">
        <f t="shared" si="30"/>
        <v>0</v>
      </c>
      <c r="AF67" s="51">
        <f>HLOOKUP(I67,ElecAvoidedCostsWOCC!$A$5:$Q$50,G67+1,FALSE)</f>
        <v>2.7895654473154869</v>
      </c>
      <c r="AG67" s="43">
        <f t="shared" si="31"/>
        <v>141709.92472362675</v>
      </c>
      <c r="AH67" s="51">
        <f>HLOOKUP(I67,ElecAvoidedCostsWOCC!$A$5:$Q$50,T67+1,FALSE)</f>
        <v>2.7895654473154869</v>
      </c>
      <c r="AI67" s="43">
        <f t="shared" si="32"/>
        <v>0</v>
      </c>
      <c r="AJ67" s="43">
        <f t="shared" si="33"/>
        <v>141709.92472362675</v>
      </c>
      <c r="AK67" s="43">
        <f>HLOOKUP(I67,ElecAvoidedCostsWOCC!$A$5:$Q$50,G67+1,FALSE)*J67*L67</f>
        <v>0</v>
      </c>
      <c r="AL67" s="43">
        <f t="shared" si="34"/>
        <v>141709.92472362675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141709.92472362673</v>
      </c>
      <c r="AN67" s="47">
        <f t="shared" si="35"/>
        <v>233159.01063633212</v>
      </c>
      <c r="AO67" s="46">
        <f t="shared" si="36"/>
        <v>0.5960011486737794</v>
      </c>
      <c r="AP67" s="46">
        <f t="shared" si="37"/>
        <v>0.62462052982849603</v>
      </c>
    </row>
    <row r="68" spans="2:42" x14ac:dyDescent="0.25">
      <c r="B68" s="88" t="s">
        <v>71</v>
      </c>
      <c r="C68" s="91">
        <v>18230611</v>
      </c>
      <c r="D68" s="91" t="s">
        <v>72</v>
      </c>
      <c r="E68" s="37" t="s">
        <v>1168</v>
      </c>
      <c r="F68" s="38" t="s">
        <v>1169</v>
      </c>
      <c r="G68" s="38">
        <v>45</v>
      </c>
      <c r="H68" s="38">
        <v>0</v>
      </c>
      <c r="I68" s="39" t="s">
        <v>267</v>
      </c>
      <c r="J68" s="40">
        <v>280</v>
      </c>
      <c r="K68" s="40">
        <v>127</v>
      </c>
      <c r="L68" s="40">
        <v>0</v>
      </c>
      <c r="M68" s="41">
        <v>1000</v>
      </c>
      <c r="N68" s="41">
        <v>1000</v>
      </c>
      <c r="O68" s="42">
        <v>35560</v>
      </c>
      <c r="P68" s="43">
        <v>280000</v>
      </c>
      <c r="Q68" s="43">
        <v>280000</v>
      </c>
      <c r="R68" s="44">
        <v>50.137900000000002</v>
      </c>
      <c r="S68" s="45"/>
      <c r="T68" s="38">
        <f t="shared" si="19"/>
        <v>45</v>
      </c>
      <c r="U68" s="46">
        <f t="shared" si="20"/>
        <v>0.37149060127850153</v>
      </c>
      <c r="V68" s="47">
        <f t="shared" si="21"/>
        <v>0</v>
      </c>
      <c r="W68" s="48">
        <f t="shared" si="22"/>
        <v>8.2553466950778115E-3</v>
      </c>
      <c r="X68" s="43">
        <f t="shared" si="23"/>
        <v>7464.9170618561666</v>
      </c>
      <c r="Y68" s="43">
        <f t="shared" si="24"/>
        <v>0</v>
      </c>
      <c r="Z68" s="43">
        <f t="shared" si="25"/>
        <v>177755.26097412067</v>
      </c>
      <c r="AA68" s="49">
        <f t="shared" si="26"/>
        <v>287464.91706185619</v>
      </c>
      <c r="AB68" s="50">
        <f t="shared" si="27"/>
        <v>166437.51027539387</v>
      </c>
      <c r="AC68" s="43">
        <f t="shared" si="28"/>
        <v>269161.90736128855</v>
      </c>
      <c r="AD68" s="43">
        <f t="shared" si="29"/>
        <v>195756.94698422879</v>
      </c>
      <c r="AE68" s="43">
        <f t="shared" si="30"/>
        <v>0</v>
      </c>
      <c r="AF68" s="51">
        <f>HLOOKUP(I68,ElecAvoidedCostsWOCC!$A$5:$Q$50,G68+1,FALSE)</f>
        <v>2.7895654473154869</v>
      </c>
      <c r="AG68" s="43">
        <f t="shared" si="31"/>
        <v>99196.947306538714</v>
      </c>
      <c r="AH68" s="51">
        <f>HLOOKUP(I68,ElecAvoidedCostsWOCC!$A$5:$Q$50,T68+1,FALSE)</f>
        <v>2.7895654473154869</v>
      </c>
      <c r="AI68" s="43">
        <f t="shared" si="32"/>
        <v>0</v>
      </c>
      <c r="AJ68" s="43">
        <f t="shared" si="33"/>
        <v>99196.947306538714</v>
      </c>
      <c r="AK68" s="43">
        <f>HLOOKUP(I68,ElecAvoidedCostsWOCC!$A$5:$Q$50,G68+1,FALSE)*J68*L68</f>
        <v>0</v>
      </c>
      <c r="AL68" s="43">
        <f t="shared" si="34"/>
        <v>99196.947306538714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99196.947306538714</v>
      </c>
      <c r="AN68" s="47">
        <f t="shared" si="35"/>
        <v>304873.58902142139</v>
      </c>
      <c r="AO68" s="46">
        <f t="shared" si="36"/>
        <v>0.5960011486737794</v>
      </c>
      <c r="AP68" s="46">
        <f t="shared" si="37"/>
        <v>1.132677324255241</v>
      </c>
    </row>
    <row r="69" spans="2:42" x14ac:dyDescent="0.25">
      <c r="B69" s="88" t="s">
        <v>71</v>
      </c>
      <c r="C69" s="91">
        <v>18230611</v>
      </c>
      <c r="D69" s="91" t="s">
        <v>72</v>
      </c>
      <c r="E69" s="37" t="s">
        <v>1170</v>
      </c>
      <c r="F69" s="38" t="s">
        <v>1171</v>
      </c>
      <c r="G69" s="38">
        <v>45</v>
      </c>
      <c r="H69" s="38">
        <v>0</v>
      </c>
      <c r="I69" s="39" t="s">
        <v>267</v>
      </c>
      <c r="J69" s="40">
        <v>200</v>
      </c>
      <c r="K69" s="40">
        <v>127</v>
      </c>
      <c r="L69" s="40">
        <v>0</v>
      </c>
      <c r="M69" s="41">
        <v>970</v>
      </c>
      <c r="N69" s="41">
        <v>970</v>
      </c>
      <c r="O69" s="42">
        <v>25400</v>
      </c>
      <c r="P69" s="43">
        <v>194000</v>
      </c>
      <c r="Q69" s="43">
        <v>194000</v>
      </c>
      <c r="R69" s="44">
        <v>40.901200000000003</v>
      </c>
      <c r="S69" s="45"/>
      <c r="T69" s="38">
        <f t="shared" si="19"/>
        <v>45</v>
      </c>
      <c r="U69" s="46">
        <f t="shared" si="20"/>
        <v>0.26535042948464393</v>
      </c>
      <c r="V69" s="47">
        <f t="shared" si="21"/>
        <v>0</v>
      </c>
      <c r="W69" s="48">
        <f t="shared" si="22"/>
        <v>5.8966762107698651E-3</v>
      </c>
      <c r="X69" s="43">
        <f t="shared" si="23"/>
        <v>5332.0836156115474</v>
      </c>
      <c r="Y69" s="43">
        <f t="shared" si="24"/>
        <v>0</v>
      </c>
      <c r="Z69" s="43">
        <f t="shared" si="25"/>
        <v>126968.04355294333</v>
      </c>
      <c r="AA69" s="49">
        <f t="shared" si="26"/>
        <v>199332.08361561154</v>
      </c>
      <c r="AB69" s="50">
        <f t="shared" si="27"/>
        <v>118883.93591099563</v>
      </c>
      <c r="AC69" s="43">
        <f t="shared" si="28"/>
        <v>186640.52772997334</v>
      </c>
      <c r="AD69" s="43">
        <f t="shared" si="29"/>
        <v>114066.74733928597</v>
      </c>
      <c r="AE69" s="43">
        <f t="shared" si="30"/>
        <v>0</v>
      </c>
      <c r="AF69" s="51">
        <f>HLOOKUP(I69,ElecAvoidedCostsWOCC!$A$5:$Q$50,G69+1,FALSE)</f>
        <v>2.7895654473154869</v>
      </c>
      <c r="AG69" s="43">
        <f t="shared" si="31"/>
        <v>70854.962361813377</v>
      </c>
      <c r="AH69" s="51">
        <f>HLOOKUP(I69,ElecAvoidedCostsWOCC!$A$5:$Q$50,T69+1,FALSE)</f>
        <v>2.7895654473154869</v>
      </c>
      <c r="AI69" s="43">
        <f t="shared" si="32"/>
        <v>0</v>
      </c>
      <c r="AJ69" s="43">
        <f t="shared" si="33"/>
        <v>70854.962361813377</v>
      </c>
      <c r="AK69" s="43">
        <f>HLOOKUP(I69,ElecAvoidedCostsWOCC!$A$5:$Q$50,G69+1,FALSE)*J69*L69</f>
        <v>0</v>
      </c>
      <c r="AL69" s="43">
        <f t="shared" si="34"/>
        <v>70854.962361813377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70854.962361813363</v>
      </c>
      <c r="AN69" s="47">
        <f t="shared" si="35"/>
        <v>192007.20593728067</v>
      </c>
      <c r="AO69" s="46">
        <f t="shared" si="36"/>
        <v>0.5960011486737794</v>
      </c>
      <c r="AP69" s="46">
        <f t="shared" si="37"/>
        <v>1.0287540882603574</v>
      </c>
    </row>
    <row r="70" spans="2:42" x14ac:dyDescent="0.25">
      <c r="B70" s="88" t="s">
        <v>71</v>
      </c>
      <c r="C70" s="91">
        <v>18230611</v>
      </c>
      <c r="D70" s="91" t="s">
        <v>72</v>
      </c>
      <c r="E70" s="37" t="s">
        <v>1172</v>
      </c>
      <c r="F70" s="38" t="s">
        <v>1173</v>
      </c>
      <c r="G70" s="38">
        <v>15</v>
      </c>
      <c r="H70" s="38">
        <v>0</v>
      </c>
      <c r="I70" s="39" t="s">
        <v>270</v>
      </c>
      <c r="J70" s="40">
        <v>460</v>
      </c>
      <c r="K70" s="40">
        <v>1300</v>
      </c>
      <c r="L70" s="40">
        <v>0</v>
      </c>
      <c r="M70" s="41">
        <v>5360</v>
      </c>
      <c r="N70" s="41">
        <v>5360</v>
      </c>
      <c r="O70" s="42">
        <v>598000</v>
      </c>
      <c r="P70" s="43">
        <v>2465600</v>
      </c>
      <c r="Q70" s="43">
        <v>2465600</v>
      </c>
      <c r="R70" s="44">
        <v>125.13160000000001</v>
      </c>
      <c r="S70" s="45"/>
      <c r="T70" s="38">
        <f t="shared" si="19"/>
        <v>15</v>
      </c>
      <c r="U70" s="46">
        <f t="shared" si="20"/>
        <v>2.0824088823073108</v>
      </c>
      <c r="V70" s="47">
        <f t="shared" si="21"/>
        <v>0</v>
      </c>
      <c r="W70" s="48">
        <f t="shared" si="22"/>
        <v>0.13882725882048738</v>
      </c>
      <c r="X70" s="43">
        <f t="shared" si="23"/>
        <v>125534.88197384667</v>
      </c>
      <c r="Y70" s="43">
        <f t="shared" si="24"/>
        <v>0</v>
      </c>
      <c r="Z70" s="43">
        <f t="shared" si="25"/>
        <v>2989247.6395535478</v>
      </c>
      <c r="AA70" s="49">
        <f t="shared" si="26"/>
        <v>2591134.8819738468</v>
      </c>
      <c r="AB70" s="50">
        <f t="shared" si="27"/>
        <v>2798921.0108179287</v>
      </c>
      <c r="AC70" s="43">
        <f t="shared" si="28"/>
        <v>2426156.2565298188</v>
      </c>
      <c r="AD70" s="43">
        <f t="shared" si="29"/>
        <v>530943.77069916553</v>
      </c>
      <c r="AE70" s="43">
        <f t="shared" si="30"/>
        <v>0</v>
      </c>
      <c r="AF70" s="51">
        <f>HLOOKUP(I70,ElecAvoidedCostsWOCC!$A$5:$Q$50,G70+1,FALSE)</f>
        <v>1.7654180640246628</v>
      </c>
      <c r="AG70" s="43">
        <f t="shared" si="31"/>
        <v>1055720.0022867485</v>
      </c>
      <c r="AH70" s="51">
        <f>HLOOKUP(I70,ElecAvoidedCostsWOCC!$A$5:$Q$50,T70+1,FALSE)</f>
        <v>1.7654180640246628</v>
      </c>
      <c r="AI70" s="43">
        <f t="shared" si="32"/>
        <v>0</v>
      </c>
      <c r="AJ70" s="43">
        <f t="shared" si="33"/>
        <v>1055720.0022867485</v>
      </c>
      <c r="AK70" s="43">
        <f>HLOOKUP(I70,ElecAvoidedCostsWOCC!$A$5:$Q$50,G70+1,FALSE)*J70*L70</f>
        <v>0</v>
      </c>
      <c r="AL70" s="43">
        <f t="shared" si="34"/>
        <v>1055720.0022867485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1055720.0022867483</v>
      </c>
      <c r="AN70" s="47">
        <f t="shared" si="35"/>
        <v>1692235.7732145886</v>
      </c>
      <c r="AO70" s="46">
        <f t="shared" si="36"/>
        <v>0.37718820867268249</v>
      </c>
      <c r="AP70" s="46">
        <f t="shared" si="37"/>
        <v>0.69749661369092042</v>
      </c>
    </row>
    <row r="71" spans="2:42" x14ac:dyDescent="0.25">
      <c r="B71" s="88" t="s">
        <v>71</v>
      </c>
      <c r="C71" s="91">
        <v>18230611</v>
      </c>
      <c r="D71" s="91" t="s">
        <v>72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71</v>
      </c>
      <c r="C72" s="91">
        <v>18230611</v>
      </c>
      <c r="D72" s="91" t="s">
        <v>72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71</v>
      </c>
      <c r="C73" s="91">
        <v>18230611</v>
      </c>
      <c r="D73" s="91" t="s">
        <v>72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71</v>
      </c>
      <c r="C74" s="91">
        <v>18230611</v>
      </c>
      <c r="D74" s="91" t="s">
        <v>72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71</v>
      </c>
      <c r="C75" s="91">
        <v>18230611</v>
      </c>
      <c r="D75" s="91" t="s">
        <v>72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71</v>
      </c>
      <c r="C76" s="91">
        <v>18230611</v>
      </c>
      <c r="D76" s="91" t="s">
        <v>72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71</v>
      </c>
      <c r="C77" s="91">
        <v>18230611</v>
      </c>
      <c r="D77" s="91" t="s">
        <v>72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71</v>
      </c>
      <c r="C78" s="91">
        <v>18230611</v>
      </c>
      <c r="D78" s="91" t="s">
        <v>72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71</v>
      </c>
      <c r="C79" s="91">
        <v>18230611</v>
      </c>
      <c r="D79" s="91" t="s">
        <v>72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ref="T79:T136" si="38">G79+H79</f>
        <v>0</v>
      </c>
      <c r="U79" s="46">
        <f t="shared" ref="U79:U136" si="39">(O79/$A$10)*T79</f>
        <v>0</v>
      </c>
      <c r="V79" s="47">
        <f t="shared" ref="V79:V136" si="40">N79-M79</f>
        <v>0</v>
      </c>
      <c r="W79" s="48">
        <f t="shared" ref="W79:W136" si="41">(O79/A$10)</f>
        <v>0</v>
      </c>
      <c r="X79" s="43">
        <f t="shared" ref="X79:X136" si="42">W79*A$8</f>
        <v>0</v>
      </c>
      <c r="Y79" s="43">
        <f t="shared" ref="Y79:Y136" si="43">Q79-P79</f>
        <v>0</v>
      </c>
      <c r="Z79" s="43">
        <f t="shared" ref="Z79:Z136" si="44">X79+(A$6*W79)</f>
        <v>0</v>
      </c>
      <c r="AA79" s="49">
        <f t="shared" ref="AA79:AA136" si="45">Q79+X79</f>
        <v>0</v>
      </c>
      <c r="AB79" s="50">
        <f t="shared" ref="AB79:AB136" si="46">Z79/(1+ElecDiscountRate)^1</f>
        <v>0</v>
      </c>
      <c r="AC79" s="43">
        <f t="shared" ref="AC79:AC136" si="47">AA79/(1+ElecDiscountRate)^1</f>
        <v>0</v>
      </c>
      <c r="AD79" s="43">
        <f t="shared" ref="AD79:AD136" si="48">-PV(ElecDiscountRate,T79,R79)*J79</f>
        <v>0</v>
      </c>
      <c r="AE79" s="43">
        <f t="shared" ref="AE79:AE136" si="49">-PV(ElecDiscountRate,T79,S79)*J79</f>
        <v>0</v>
      </c>
      <c r="AF79" s="51" t="e">
        <f>HLOOKUP(I79,ElecAvoidedCostsWOCC!$A$5:$Q$50,G79+1,FALSE)</f>
        <v>#N/A</v>
      </c>
      <c r="AG79" s="43" t="e">
        <f t="shared" ref="AG79:AG136" si="50">AF79*J79*K79</f>
        <v>#N/A</v>
      </c>
      <c r="AH79" s="51" t="e">
        <f>HLOOKUP(I79,ElecAvoidedCostsWOCC!$A$5:$Q$50,T79+1,FALSE)</f>
        <v>#N/A</v>
      </c>
      <c r="AI79" s="43" t="e">
        <f t="shared" ref="AI79:AI136" si="51">AH79*J79*L79</f>
        <v>#N/A</v>
      </c>
      <c r="AJ79" s="43" t="e">
        <f t="shared" ref="AJ79:AJ136" si="52">AG79+AI79</f>
        <v>#N/A</v>
      </c>
      <c r="AK79" s="43" t="e">
        <f>HLOOKUP(I79,ElecAvoidedCostsWOCC!$A$5:$Q$50,G79+1,FALSE)*J79*L79</f>
        <v>#N/A</v>
      </c>
      <c r="AL79" s="43" t="e">
        <f t="shared" ref="AL79:AL136" si="53">AG79+AI79-AK79</f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ref="AN79:AN136" si="54">AM79*1.1+AD79+AE79</f>
        <v>0</v>
      </c>
      <c r="AO79" s="46">
        <f t="shared" ref="AO79:AO136" si="55">IFERROR(AM79/AB79,0)</f>
        <v>0</v>
      </c>
      <c r="AP79" s="46" t="e">
        <f t="shared" ref="AP79:AP136" si="56">AN79/AC79</f>
        <v>#DIV/0!</v>
      </c>
    </row>
    <row r="80" spans="2:42" x14ac:dyDescent="0.25">
      <c r="B80" s="88" t="s">
        <v>71</v>
      </c>
      <c r="C80" s="91">
        <v>18230611</v>
      </c>
      <c r="D80" s="91" t="s">
        <v>72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HLOOKUP(I80,ElecAvoidedCostsWOCC!$A$5:$Q$50,G80+1,FALSE)</f>
        <v>#N/A</v>
      </c>
      <c r="AG80" s="43" t="e">
        <f t="shared" si="50"/>
        <v>#N/A</v>
      </c>
      <c r="AH80" s="51" t="e">
        <f>HLOOKUP(I80,ElecAvoidedCostsWOCC!$A$5:$Q$50,T80+1,FALSE)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HLOOKUP(I80,ElecAvoidedCostsWOCC!$A$5:$Q$50,G80+1,FALSE)*J80*L80</f>
        <v>#N/A</v>
      </c>
      <c r="AL80" s="43" t="e">
        <f t="shared" si="53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88" t="s">
        <v>71</v>
      </c>
      <c r="C81" s="91">
        <v>18230611</v>
      </c>
      <c r="D81" s="91" t="s">
        <v>72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HLOOKUP(I81,ElecAvoidedCostsWOCC!$A$5:$Q$50,G81+1,FALSE)</f>
        <v>#N/A</v>
      </c>
      <c r="AG81" s="43" t="e">
        <f t="shared" si="50"/>
        <v>#N/A</v>
      </c>
      <c r="AH81" s="51" t="e">
        <f>HLOOKUP(I81,ElecAvoidedCostsWOCC!$A$5:$Q$50,T81+1,FALSE)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HLOOKUP(I81,ElecAvoidedCostsWOCC!$A$5:$Q$50,G81+1,FALSE)*J81*L81</f>
        <v>#N/A</v>
      </c>
      <c r="AL81" s="43" t="e">
        <f t="shared" si="53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88" t="s">
        <v>71</v>
      </c>
      <c r="C82" s="91">
        <v>18230611</v>
      </c>
      <c r="D82" s="91" t="s">
        <v>72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HLOOKUP(I82,ElecAvoidedCostsWOCC!$A$5:$Q$50,G82+1,FALSE)</f>
        <v>#N/A</v>
      </c>
      <c r="AG82" s="43" t="e">
        <f t="shared" si="50"/>
        <v>#N/A</v>
      </c>
      <c r="AH82" s="51" t="e">
        <f>HLOOKUP(I82,ElecAvoidedCostsWOCC!$A$5:$Q$50,T82+1,FALSE)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HLOOKUP(I82,ElecAvoidedCostsWOCC!$A$5:$Q$50,G82+1,FALSE)*J82*L82</f>
        <v>#N/A</v>
      </c>
      <c r="AL82" s="43" t="e">
        <f t="shared" si="53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88" t="s">
        <v>71</v>
      </c>
      <c r="C83" s="91">
        <v>18230611</v>
      </c>
      <c r="D83" s="91" t="s">
        <v>72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HLOOKUP(I83,ElecAvoidedCostsWOCC!$A$5:$Q$50,G83+1,FALSE)</f>
        <v>#N/A</v>
      </c>
      <c r="AG83" s="43" t="e">
        <f t="shared" si="50"/>
        <v>#N/A</v>
      </c>
      <c r="AH83" s="51" t="e">
        <f>HLOOKUP(I83,ElecAvoidedCostsWOCC!$A$5:$Q$50,T83+1,FALSE)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HLOOKUP(I83,ElecAvoidedCostsWOCC!$A$5:$Q$50,G83+1,FALSE)*J83*L83</f>
        <v>#N/A</v>
      </c>
      <c r="AL83" s="43" t="e">
        <f t="shared" si="53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88" t="s">
        <v>71</v>
      </c>
      <c r="C84" s="91">
        <v>18230611</v>
      </c>
      <c r="D84" s="91" t="s">
        <v>72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HLOOKUP(I84,ElecAvoidedCostsWOCC!$A$5:$Q$50,G84+1,FALSE)</f>
        <v>#N/A</v>
      </c>
      <c r="AG84" s="43" t="e">
        <f t="shared" si="50"/>
        <v>#N/A</v>
      </c>
      <c r="AH84" s="51" t="e">
        <f>HLOOKUP(I84,ElecAvoidedCostsWOCC!$A$5:$Q$50,T84+1,FALSE)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HLOOKUP(I84,ElecAvoidedCostsWOCC!$A$5:$Q$50,G84+1,FALSE)*J84*L84</f>
        <v>#N/A</v>
      </c>
      <c r="AL84" s="43" t="e">
        <f t="shared" si="53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88" t="s">
        <v>71</v>
      </c>
      <c r="C85" s="91">
        <v>18230611</v>
      </c>
      <c r="D85" s="91" t="s">
        <v>72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HLOOKUP(I85,ElecAvoidedCostsWOCC!$A$5:$Q$50,G85+1,FALSE)</f>
        <v>#N/A</v>
      </c>
      <c r="AG85" s="43" t="e">
        <f t="shared" si="50"/>
        <v>#N/A</v>
      </c>
      <c r="AH85" s="51" t="e">
        <f>HLOOKUP(I85,ElecAvoidedCostsWOCC!$A$5:$Q$50,T85+1,FALSE)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HLOOKUP(I85,ElecAvoidedCostsWOCC!$A$5:$Q$50,G85+1,FALSE)*J85*L85</f>
        <v>#N/A</v>
      </c>
      <c r="AL85" s="43" t="e">
        <f t="shared" si="53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88" t="s">
        <v>71</v>
      </c>
      <c r="C86" s="91">
        <v>18230611</v>
      </c>
      <c r="D86" s="91" t="s">
        <v>72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88" t="s">
        <v>71</v>
      </c>
      <c r="C87" s="91">
        <v>18230611</v>
      </c>
      <c r="D87" s="91" t="s">
        <v>72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88" t="s">
        <v>71</v>
      </c>
      <c r="C88" s="91">
        <v>18230611</v>
      </c>
      <c r="D88" s="91" t="s">
        <v>72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88" t="s">
        <v>71</v>
      </c>
      <c r="C89" s="91">
        <v>18230611</v>
      </c>
      <c r="D89" s="91" t="s">
        <v>72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88" t="s">
        <v>71</v>
      </c>
      <c r="C90" s="91">
        <v>18230611</v>
      </c>
      <c r="D90" s="91" t="s">
        <v>72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71</v>
      </c>
      <c r="C91" s="91">
        <v>18230611</v>
      </c>
      <c r="D91" s="91" t="s">
        <v>72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71</v>
      </c>
      <c r="C92" s="91">
        <v>18230611</v>
      </c>
      <c r="D92" s="91" t="s">
        <v>72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71</v>
      </c>
      <c r="C93" s="91">
        <v>18230611</v>
      </c>
      <c r="D93" s="91" t="s">
        <v>72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71</v>
      </c>
      <c r="C94" s="91">
        <v>18230611</v>
      </c>
      <c r="D94" s="91" t="s">
        <v>72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71</v>
      </c>
      <c r="C95" s="91">
        <v>18230611</v>
      </c>
      <c r="D95" s="91" t="s">
        <v>72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71</v>
      </c>
      <c r="C96" s="91">
        <v>18230611</v>
      </c>
      <c r="D96" s="91" t="s">
        <v>72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71</v>
      </c>
      <c r="C97" s="91">
        <v>18230611</v>
      </c>
      <c r="D97" s="91" t="s">
        <v>72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71</v>
      </c>
      <c r="C98" s="91">
        <v>18230611</v>
      </c>
      <c r="D98" s="91" t="s">
        <v>72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71</v>
      </c>
      <c r="C99" s="91">
        <v>18230611</v>
      </c>
      <c r="D99" s="91" t="s">
        <v>72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71</v>
      </c>
      <c r="C100" s="91">
        <v>18230611</v>
      </c>
      <c r="D100" s="91" t="s">
        <v>72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71</v>
      </c>
      <c r="C101" s="91">
        <v>18230611</v>
      </c>
      <c r="D101" s="91" t="s">
        <v>72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71</v>
      </c>
      <c r="C102" s="91">
        <v>18230611</v>
      </c>
      <c r="D102" s="91" t="s">
        <v>72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71</v>
      </c>
      <c r="C103" s="91">
        <v>18230611</v>
      </c>
      <c r="D103" s="91" t="s">
        <v>72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88" t="s">
        <v>71</v>
      </c>
      <c r="C104" s="91">
        <v>18230611</v>
      </c>
      <c r="D104" s="91" t="s">
        <v>72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88" t="s">
        <v>71</v>
      </c>
      <c r="C105" s="91">
        <v>18230611</v>
      </c>
      <c r="D105" s="91" t="s">
        <v>72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88" t="s">
        <v>71</v>
      </c>
      <c r="C106" s="91">
        <v>18230611</v>
      </c>
      <c r="D106" s="91" t="s">
        <v>72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88" t="s">
        <v>71</v>
      </c>
      <c r="C107" s="91">
        <v>18230611</v>
      </c>
      <c r="D107" s="91" t="s">
        <v>72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88" t="s">
        <v>71</v>
      </c>
      <c r="C108" s="91">
        <v>18230611</v>
      </c>
      <c r="D108" s="91" t="s">
        <v>72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88" t="s">
        <v>71</v>
      </c>
      <c r="C109" s="91">
        <v>18230611</v>
      </c>
      <c r="D109" s="91" t="s">
        <v>72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88" t="s">
        <v>71</v>
      </c>
      <c r="C110" s="91">
        <v>18230611</v>
      </c>
      <c r="D110" s="91" t="s">
        <v>72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88" t="s">
        <v>71</v>
      </c>
      <c r="C111" s="91">
        <v>18230611</v>
      </c>
      <c r="D111" s="91" t="s">
        <v>72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88" t="s">
        <v>71</v>
      </c>
      <c r="C112" s="91">
        <v>18230611</v>
      </c>
      <c r="D112" s="91" t="s">
        <v>72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88" t="s">
        <v>71</v>
      </c>
      <c r="C113" s="91">
        <v>18230611</v>
      </c>
      <c r="D113" s="91" t="s">
        <v>72</v>
      </c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88" t="s">
        <v>71</v>
      </c>
      <c r="C114" s="91">
        <v>18230611</v>
      </c>
      <c r="D114" s="91" t="s">
        <v>72</v>
      </c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88" t="s">
        <v>71</v>
      </c>
      <c r="C115" s="91">
        <v>18230611</v>
      </c>
      <c r="D115" s="91" t="s">
        <v>72</v>
      </c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88" t="s">
        <v>71</v>
      </c>
      <c r="C116" s="91">
        <v>18230611</v>
      </c>
      <c r="D116" s="91" t="s">
        <v>72</v>
      </c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88" t="s">
        <v>71</v>
      </c>
      <c r="C117" s="91">
        <v>18230611</v>
      </c>
      <c r="D117" s="91" t="s">
        <v>72</v>
      </c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88" t="s">
        <v>71</v>
      </c>
      <c r="C118" s="91">
        <v>18230611</v>
      </c>
      <c r="D118" s="91" t="s">
        <v>72</v>
      </c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88" t="s">
        <v>71</v>
      </c>
      <c r="C119" s="91">
        <v>18230611</v>
      </c>
      <c r="D119" s="91" t="s">
        <v>72</v>
      </c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88" t="s">
        <v>71</v>
      </c>
      <c r="C120" s="91">
        <v>18230611</v>
      </c>
      <c r="D120" s="91" t="s">
        <v>72</v>
      </c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88" t="s">
        <v>71</v>
      </c>
      <c r="C121" s="91">
        <v>18230611</v>
      </c>
      <c r="D121" s="91" t="s">
        <v>72</v>
      </c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88" t="s">
        <v>71</v>
      </c>
      <c r="C122" s="91">
        <v>18230611</v>
      </c>
      <c r="D122" s="91" t="s">
        <v>72</v>
      </c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88" t="s">
        <v>71</v>
      </c>
      <c r="C123" s="91">
        <v>18230611</v>
      </c>
      <c r="D123" s="91" t="s">
        <v>72</v>
      </c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88" t="s">
        <v>71</v>
      </c>
      <c r="C124" s="91">
        <v>18230611</v>
      </c>
      <c r="D124" s="91" t="s">
        <v>72</v>
      </c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88" t="s">
        <v>71</v>
      </c>
      <c r="C125" s="91">
        <v>18230611</v>
      </c>
      <c r="D125" s="91" t="s">
        <v>72</v>
      </c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88" t="s">
        <v>71</v>
      </c>
      <c r="C126" s="91">
        <v>18230611</v>
      </c>
      <c r="D126" s="91" t="s">
        <v>72</v>
      </c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88" t="s">
        <v>71</v>
      </c>
      <c r="C127" s="91">
        <v>18230611</v>
      </c>
      <c r="D127" s="91" t="s">
        <v>72</v>
      </c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88" t="s">
        <v>71</v>
      </c>
      <c r="C128" s="91">
        <v>18230611</v>
      </c>
      <c r="D128" s="91" t="s">
        <v>72</v>
      </c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1:42" x14ac:dyDescent="0.25">
      <c r="B129" s="88" t="s">
        <v>71</v>
      </c>
      <c r="C129" s="91">
        <v>18230611</v>
      </c>
      <c r="D129" s="91" t="s">
        <v>72</v>
      </c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1:42" x14ac:dyDescent="0.25">
      <c r="B130" s="88" t="s">
        <v>71</v>
      </c>
      <c r="C130" s="91">
        <v>18230611</v>
      </c>
      <c r="D130" s="91" t="s">
        <v>72</v>
      </c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1:42" x14ac:dyDescent="0.25">
      <c r="B131" s="88" t="s">
        <v>71</v>
      </c>
      <c r="C131" s="91">
        <v>18230611</v>
      </c>
      <c r="D131" s="91" t="s">
        <v>72</v>
      </c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1:42" x14ac:dyDescent="0.25">
      <c r="B132" s="88" t="s">
        <v>71</v>
      </c>
      <c r="C132" s="91">
        <v>18230611</v>
      </c>
      <c r="D132" s="91" t="s">
        <v>72</v>
      </c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HLOOKUP(I132,ElecAvoidedCostsWOCC!$A$5:$Q$50,G132+1,FALSE)</f>
        <v>#N/A</v>
      </c>
      <c r="AG132" s="43" t="e">
        <f t="shared" si="50"/>
        <v>#N/A</v>
      </c>
      <c r="AH132" s="51" t="e">
        <f>HLOOKUP(I132,ElecAvoidedCostsWOCC!$A$5:$Q$50,T132+1,FALSE)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HLOOKUP(I132,ElecAvoidedCostsWOCC!$A$5:$Q$50,G132+1,FALSE)*J132*L132</f>
        <v>#N/A</v>
      </c>
      <c r="AL132" s="43" t="e">
        <f t="shared" si="53"/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1:42" x14ac:dyDescent="0.25">
      <c r="B133" s="88" t="s">
        <v>71</v>
      </c>
      <c r="C133" s="91">
        <v>18230611</v>
      </c>
      <c r="D133" s="91" t="s">
        <v>72</v>
      </c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HLOOKUP(I133,ElecAvoidedCostsWOCC!$A$5:$Q$50,G133+1,FALSE)</f>
        <v>#N/A</v>
      </c>
      <c r="AG133" s="43" t="e">
        <f t="shared" si="50"/>
        <v>#N/A</v>
      </c>
      <c r="AH133" s="51" t="e">
        <f>HLOOKUP(I133,ElecAvoidedCostsWOCC!$A$5:$Q$50,T133+1,FALSE)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HLOOKUP(I133,ElecAvoidedCostsWOCC!$A$5:$Q$50,G133+1,FALSE)*J133*L133</f>
        <v>#N/A</v>
      </c>
      <c r="AL133" s="43" t="e">
        <f t="shared" si="53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1:42" x14ac:dyDescent="0.25">
      <c r="B134" s="88" t="s">
        <v>71</v>
      </c>
      <c r="C134" s="91">
        <v>18230611</v>
      </c>
      <c r="D134" s="91" t="s">
        <v>72</v>
      </c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HLOOKUP(I134,ElecAvoidedCostsWOCC!$A$5:$Q$50,G134+1,FALSE)</f>
        <v>#N/A</v>
      </c>
      <c r="AG134" s="43" t="e">
        <f t="shared" si="50"/>
        <v>#N/A</v>
      </c>
      <c r="AH134" s="51" t="e">
        <f>HLOOKUP(I134,ElecAvoidedCostsWOCC!$A$5:$Q$50,T134+1,FALSE)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HLOOKUP(I134,ElecAvoidedCostsWOCC!$A$5:$Q$50,G134+1,FALSE)*J134*L134</f>
        <v>#N/A</v>
      </c>
      <c r="AL134" s="43" t="e">
        <f t="shared" si="53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1:42" x14ac:dyDescent="0.25">
      <c r="B135" s="88" t="s">
        <v>71</v>
      </c>
      <c r="C135" s="91">
        <v>18230611</v>
      </c>
      <c r="D135" s="91" t="s">
        <v>72</v>
      </c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HLOOKUP(I135,ElecAvoidedCostsWOCC!$A$5:$Q$50,G135+1,FALSE)</f>
        <v>#N/A</v>
      </c>
      <c r="AG135" s="43" t="e">
        <f t="shared" si="50"/>
        <v>#N/A</v>
      </c>
      <c r="AH135" s="51" t="e">
        <f>HLOOKUP(I135,ElecAvoidedCostsWOCC!$A$5:$Q$50,T135+1,FALSE)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HLOOKUP(I135,ElecAvoidedCostsWOCC!$A$5:$Q$50,G135+1,FALSE)*J135*L135</f>
        <v>#N/A</v>
      </c>
      <c r="AL135" s="43" t="e">
        <f t="shared" si="53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1:42" x14ac:dyDescent="0.25">
      <c r="B136" s="88" t="s">
        <v>71</v>
      </c>
      <c r="C136" s="91">
        <v>18230611</v>
      </c>
      <c r="D136" s="91" t="s">
        <v>72</v>
      </c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HLOOKUP(I136,ElecAvoidedCostsWOCC!$A$5:$Q$50,G136+1,FALSE)</f>
        <v>#N/A</v>
      </c>
      <c r="AG136" s="43" t="e">
        <f t="shared" si="50"/>
        <v>#N/A</v>
      </c>
      <c r="AH136" s="51" t="e">
        <f>HLOOKUP(I136,ElecAvoidedCostsWOCC!$A$5:$Q$50,T136+1,FALSE)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HLOOKUP(I136,ElecAvoidedCostsWOCC!$A$5:$Q$50,G136+1,FALSE)*J136*L136</f>
        <v>#N/A</v>
      </c>
      <c r="AL136" s="43" t="e">
        <f t="shared" si="53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1:42" x14ac:dyDescent="0.25">
      <c r="B137" s="88" t="s">
        <v>71</v>
      </c>
      <c r="C137" s="91">
        <v>18230611</v>
      </c>
      <c r="D137" s="91" t="s">
        <v>72</v>
      </c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ref="T137:T177" si="57">G137+H137</f>
        <v>0</v>
      </c>
      <c r="U137" s="46">
        <f t="shared" ref="U137:U177" si="58">(O137/$A$10)*T137</f>
        <v>0</v>
      </c>
      <c r="V137" s="47">
        <f t="shared" ref="V137:V177" si="59">N137-M137</f>
        <v>0</v>
      </c>
      <c r="W137" s="48">
        <f t="shared" ref="W137:W177" si="60">(O137/A$10)</f>
        <v>0</v>
      </c>
      <c r="X137" s="43">
        <f t="shared" ref="X137:X177" si="61">W137*A$8</f>
        <v>0</v>
      </c>
      <c r="Y137" s="43">
        <f t="shared" ref="Y137:Y177" si="62">Q137-P137</f>
        <v>0</v>
      </c>
      <c r="Z137" s="43">
        <f t="shared" ref="Z137:Z177" si="63">X137+(A$6*W137)</f>
        <v>0</v>
      </c>
      <c r="AA137" s="49">
        <f t="shared" ref="AA137:AA177" si="64">Q137+X137</f>
        <v>0</v>
      </c>
      <c r="AB137" s="50">
        <f t="shared" ref="AB137:AB177" si="65">Z137/(1+ElecDiscountRate)^1</f>
        <v>0</v>
      </c>
      <c r="AC137" s="43">
        <f t="shared" ref="AC137:AC177" si="66">AA137/(1+ElecDiscountRate)^1</f>
        <v>0</v>
      </c>
      <c r="AD137" s="43">
        <f t="shared" ref="AD137:AD177" si="67">-PV(ElecDiscountRate,T137,R137)*J137</f>
        <v>0</v>
      </c>
      <c r="AE137" s="43">
        <f t="shared" ref="AE137:AE177" si="68">-PV(ElecDiscountRate,T137,S137)*J137</f>
        <v>0</v>
      </c>
      <c r="AF137" s="51" t="e">
        <f>HLOOKUP(I137,ElecAvoidedCostsWOCC!$A$5:$Q$50,G137+1,FALSE)</f>
        <v>#N/A</v>
      </c>
      <c r="AG137" s="43" t="e">
        <f t="shared" ref="AG137:AG177" si="69">AF137*J137*K137</f>
        <v>#N/A</v>
      </c>
      <c r="AH137" s="51" t="e">
        <f>HLOOKUP(I137,ElecAvoidedCostsWOCC!$A$5:$Q$50,T137+1,FALSE)</f>
        <v>#N/A</v>
      </c>
      <c r="AI137" s="43" t="e">
        <f t="shared" ref="AI137:AI177" si="70">AH137*J137*L137</f>
        <v>#N/A</v>
      </c>
      <c r="AJ137" s="43" t="e">
        <f t="shared" ref="AJ137:AJ177" si="71">AG137+AI137</f>
        <v>#N/A</v>
      </c>
      <c r="AK137" s="43" t="e">
        <f>HLOOKUP(I137,ElecAvoidedCostsWOCC!$A$5:$Q$50,G137+1,FALSE)*J137*L137</f>
        <v>#N/A</v>
      </c>
      <c r="AL137" s="43" t="e">
        <f t="shared" ref="AL137:AL177" si="72">AG137+AI137-AK137</f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ref="AN137:AN177" si="73">AM137*1.1+AD137+AE137</f>
        <v>0</v>
      </c>
      <c r="AO137" s="46">
        <f t="shared" ref="AO137:AO177" si="74">IFERROR(AM137/AB137,0)</f>
        <v>0</v>
      </c>
      <c r="AP137" s="46" t="e">
        <f t="shared" ref="AP137:AP177" si="75">AN137/AC137</f>
        <v>#DIV/0!</v>
      </c>
    </row>
    <row r="138" spans="1:42" x14ac:dyDescent="0.25">
      <c r="B138" s="88" t="s">
        <v>71</v>
      </c>
      <c r="C138" s="91">
        <v>18230611</v>
      </c>
      <c r="D138" s="91" t="s">
        <v>72</v>
      </c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1:42" x14ac:dyDescent="0.25">
      <c r="B139" s="88" t="s">
        <v>71</v>
      </c>
      <c r="C139" s="91">
        <v>18230611</v>
      </c>
      <c r="D139" s="91" t="s">
        <v>72</v>
      </c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1:42" x14ac:dyDescent="0.25">
      <c r="B140" s="88" t="s">
        <v>71</v>
      </c>
      <c r="C140" s="91">
        <v>18230611</v>
      </c>
      <c r="D140" s="91" t="s">
        <v>72</v>
      </c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1:42" x14ac:dyDescent="0.25">
      <c r="A141" s="506"/>
      <c r="B141" s="88" t="s">
        <v>71</v>
      </c>
      <c r="C141" s="91">
        <v>18230611</v>
      </c>
      <c r="D141" s="91" t="s">
        <v>72</v>
      </c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1:42" x14ac:dyDescent="0.25">
      <c r="B142" s="88" t="s">
        <v>71</v>
      </c>
      <c r="C142" s="91">
        <v>18230611</v>
      </c>
      <c r="D142" s="91" t="s">
        <v>72</v>
      </c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1:42" x14ac:dyDescent="0.25">
      <c r="B143" s="88" t="s">
        <v>71</v>
      </c>
      <c r="C143" s="91">
        <v>18230611</v>
      </c>
      <c r="D143" s="91" t="s">
        <v>72</v>
      </c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1:42" x14ac:dyDescent="0.25">
      <c r="B144" s="88" t="s">
        <v>71</v>
      </c>
      <c r="C144" s="91">
        <v>18230611</v>
      </c>
      <c r="D144" s="91" t="s">
        <v>72</v>
      </c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88" t="s">
        <v>71</v>
      </c>
      <c r="C145" s="91">
        <v>18230611</v>
      </c>
      <c r="D145" s="91" t="s">
        <v>72</v>
      </c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88" t="s">
        <v>71</v>
      </c>
      <c r="C146" s="91">
        <v>18230611</v>
      </c>
      <c r="D146" s="91" t="s">
        <v>72</v>
      </c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88" t="s">
        <v>71</v>
      </c>
      <c r="C147" s="91">
        <v>18230611</v>
      </c>
      <c r="D147" s="91" t="s">
        <v>72</v>
      </c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88" t="s">
        <v>71</v>
      </c>
      <c r="C148" s="91">
        <v>18230611</v>
      </c>
      <c r="D148" s="91" t="s">
        <v>72</v>
      </c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88" t="s">
        <v>71</v>
      </c>
      <c r="C149" s="91">
        <v>18230611</v>
      </c>
      <c r="D149" s="91" t="s">
        <v>72</v>
      </c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88" t="s">
        <v>71</v>
      </c>
      <c r="C150" s="91">
        <v>18230611</v>
      </c>
      <c r="D150" s="91" t="s">
        <v>72</v>
      </c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88" t="s">
        <v>71</v>
      </c>
      <c r="C151" s="91">
        <v>18230611</v>
      </c>
      <c r="D151" s="91" t="s">
        <v>72</v>
      </c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88" t="s">
        <v>71</v>
      </c>
      <c r="C152" s="91">
        <v>18230611</v>
      </c>
      <c r="D152" s="91" t="s">
        <v>72</v>
      </c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88" t="s">
        <v>71</v>
      </c>
      <c r="C153" s="91">
        <v>18230611</v>
      </c>
      <c r="D153" s="91" t="s">
        <v>72</v>
      </c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88" t="s">
        <v>71</v>
      </c>
      <c r="C154" s="91">
        <v>18230611</v>
      </c>
      <c r="D154" s="91" t="s">
        <v>72</v>
      </c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88" t="s">
        <v>71</v>
      </c>
      <c r="C155" s="91">
        <v>18230611</v>
      </c>
      <c r="D155" s="91" t="s">
        <v>72</v>
      </c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88" t="s">
        <v>71</v>
      </c>
      <c r="C156" s="91">
        <v>18230611</v>
      </c>
      <c r="D156" s="91" t="s">
        <v>72</v>
      </c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88" t="s">
        <v>71</v>
      </c>
      <c r="C157" s="91">
        <v>18230611</v>
      </c>
      <c r="D157" s="91" t="s">
        <v>72</v>
      </c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88" t="s">
        <v>71</v>
      </c>
      <c r="C158" s="91">
        <v>18230611</v>
      </c>
      <c r="D158" s="91" t="s">
        <v>72</v>
      </c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88" t="s">
        <v>71</v>
      </c>
      <c r="C159" s="91">
        <v>18230611</v>
      </c>
      <c r="D159" s="91" t="s">
        <v>72</v>
      </c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88" t="s">
        <v>71</v>
      </c>
      <c r="C160" s="91">
        <v>18230611</v>
      </c>
      <c r="D160" s="91" t="s">
        <v>72</v>
      </c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88" t="s">
        <v>71</v>
      </c>
      <c r="C161" s="91">
        <v>18230611</v>
      </c>
      <c r="D161" s="91" t="s">
        <v>72</v>
      </c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88" t="s">
        <v>71</v>
      </c>
      <c r="C162" s="91">
        <v>18230611</v>
      </c>
      <c r="D162" s="91" t="s">
        <v>72</v>
      </c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88" t="s">
        <v>71</v>
      </c>
      <c r="C163" s="91">
        <v>18230611</v>
      </c>
      <c r="D163" s="91" t="s">
        <v>72</v>
      </c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88" t="s">
        <v>71</v>
      </c>
      <c r="C164" s="91">
        <v>18230611</v>
      </c>
      <c r="D164" s="91" t="s">
        <v>72</v>
      </c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88" t="s">
        <v>71</v>
      </c>
      <c r="C165" s="91">
        <v>18230611</v>
      </c>
      <c r="D165" s="91" t="s">
        <v>72</v>
      </c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88" t="s">
        <v>71</v>
      </c>
      <c r="C166" s="91">
        <v>18230611</v>
      </c>
      <c r="D166" s="91" t="s">
        <v>72</v>
      </c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88" t="s">
        <v>71</v>
      </c>
      <c r="C167" s="91">
        <v>18230611</v>
      </c>
      <c r="D167" s="91" t="s">
        <v>72</v>
      </c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ref="T178:T194" si="76">G178+H178</f>
        <v>0</v>
      </c>
      <c r="U178" s="46">
        <f t="shared" ref="U178:U194" si="77">(O178/$A$10)*T178</f>
        <v>0</v>
      </c>
      <c r="V178" s="47">
        <f t="shared" ref="V178:V194" si="78">N178-M178</f>
        <v>0</v>
      </c>
      <c r="W178" s="48">
        <f t="shared" ref="W178:W194" si="79">(O178/A$10)</f>
        <v>0</v>
      </c>
      <c r="X178" s="43">
        <f t="shared" ref="X178:X194" si="80">W178*A$8</f>
        <v>0</v>
      </c>
      <c r="Y178" s="43">
        <f t="shared" ref="Y178:Y194" si="81">Q178-P178</f>
        <v>0</v>
      </c>
      <c r="Z178" s="43">
        <f t="shared" ref="Z178:Z194" si="82">X178+(A$6*W178)</f>
        <v>0</v>
      </c>
      <c r="AA178" s="49">
        <f t="shared" ref="AA178:AA194" si="83">Q178+X178</f>
        <v>0</v>
      </c>
      <c r="AB178" s="50">
        <f t="shared" ref="AB178:AB194" si="84">Z178/(1+ElecDiscountRate)^1</f>
        <v>0</v>
      </c>
      <c r="AC178" s="43">
        <f t="shared" ref="AC178:AC194" si="85">AA178/(1+ElecDiscountRate)^1</f>
        <v>0</v>
      </c>
      <c r="AD178" s="43">
        <f t="shared" ref="AD178:AD194" si="86">-PV(ElecDiscountRate,T178,R178)*J178</f>
        <v>0</v>
      </c>
      <c r="AE178" s="43">
        <f t="shared" ref="AE178:AE194" si="87">-PV(ElecDiscountRate,T178,S178)*J178</f>
        <v>0</v>
      </c>
      <c r="AF178" s="51" t="e">
        <f>HLOOKUP(I178,ElecAvoidedCostsWOCC!$A$5:$Q$50,G178+1,FALSE)</f>
        <v>#N/A</v>
      </c>
      <c r="AG178" s="43" t="e">
        <f t="shared" ref="AG178:AG194" si="88">AF178*J178*K178</f>
        <v>#N/A</v>
      </c>
      <c r="AH178" s="51" t="e">
        <f>HLOOKUP(I178,ElecAvoidedCostsWOCC!$A$5:$Q$50,T178+1,FALSE)</f>
        <v>#N/A</v>
      </c>
      <c r="AI178" s="43" t="e">
        <f t="shared" ref="AI178:AI194" si="89">AH178*J178*L178</f>
        <v>#N/A</v>
      </c>
      <c r="AJ178" s="43" t="e">
        <f t="shared" ref="AJ178:AJ194" si="90">AG178+AI178</f>
        <v>#N/A</v>
      </c>
      <c r="AK178" s="43" t="e">
        <f>HLOOKUP(I178,ElecAvoidedCostsWOCC!$A$5:$Q$50,G178+1,FALSE)*J178*L178</f>
        <v>#N/A</v>
      </c>
      <c r="AL178" s="43" t="e">
        <f t="shared" ref="AL178:AL194" si="91">AG178+AI178-AK178</f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ref="AN178:AN194" si="92">AM178*1.1+AD178+AE178</f>
        <v>0</v>
      </c>
      <c r="AO178" s="46">
        <f t="shared" ref="AO178:AO194" si="93">IFERROR(AM178/AB178,0)</f>
        <v>0</v>
      </c>
      <c r="AP178" s="46" t="e">
        <f t="shared" ref="AP178:AP194" si="94">AN178/AC178</f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HLOOKUP(I179,ElecAvoidedCostsWOCC!$A$5:$Q$50,G179+1,FALSE)</f>
        <v>#N/A</v>
      </c>
      <c r="AG179" s="43" t="e">
        <f t="shared" si="88"/>
        <v>#N/A</v>
      </c>
      <c r="AH179" s="51" t="e">
        <f>HLOOKUP(I179,ElecAvoidedCostsWOCC!$A$5:$Q$50,T179+1,FALSE)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HLOOKUP(I179,ElecAvoidedCostsWOCC!$A$5:$Q$50,G179+1,FALSE)*J179*L179</f>
        <v>#N/A</v>
      </c>
      <c r="AL179" s="43" t="e">
        <f t="shared" si="91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HLOOKUP(I180,ElecAvoidedCostsWOCC!$A$5:$Q$50,G180+1,FALSE)</f>
        <v>#N/A</v>
      </c>
      <c r="AG180" s="43" t="e">
        <f t="shared" si="88"/>
        <v>#N/A</v>
      </c>
      <c r="AH180" s="51" t="e">
        <f>HLOOKUP(I180,ElecAvoidedCostsWOCC!$A$5:$Q$50,T180+1,FALSE)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HLOOKUP(I180,ElecAvoidedCostsWOCC!$A$5:$Q$50,G180+1,FALSE)*J180*L180</f>
        <v>#N/A</v>
      </c>
      <c r="AL180" s="43" t="e">
        <f t="shared" si="91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HLOOKUP(I181,ElecAvoidedCostsWOCC!$A$5:$Q$50,G181+1,FALSE)</f>
        <v>#N/A</v>
      </c>
      <c r="AG181" s="43" t="e">
        <f t="shared" si="88"/>
        <v>#N/A</v>
      </c>
      <c r="AH181" s="51" t="e">
        <f>HLOOKUP(I181,ElecAvoidedCostsWOCC!$A$5:$Q$50,T181+1,FALSE)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HLOOKUP(I181,ElecAvoidedCostsWOCC!$A$5:$Q$50,G181+1,FALSE)*J181*L181</f>
        <v>#N/A</v>
      </c>
      <c r="AL181" s="43" t="e">
        <f t="shared" si="91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HLOOKUP(I182,ElecAvoidedCostsWOCC!$A$5:$Q$50,G182+1,FALSE)</f>
        <v>#N/A</v>
      </c>
      <c r="AG182" s="43" t="e">
        <f t="shared" si="88"/>
        <v>#N/A</v>
      </c>
      <c r="AH182" s="51" t="e">
        <f>HLOOKUP(I182,ElecAvoidedCostsWOCC!$A$5:$Q$50,T182+1,FALSE)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HLOOKUP(I182,ElecAvoidedCostsWOCC!$A$5:$Q$50,G182+1,FALSE)*J182*L182</f>
        <v>#N/A</v>
      </c>
      <c r="AL182" s="43" t="e">
        <f t="shared" si="91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HLOOKUP(I183,ElecAvoidedCostsWOCC!$A$5:$Q$50,G183+1,FALSE)</f>
        <v>#N/A</v>
      </c>
      <c r="AG183" s="43" t="e">
        <f t="shared" si="88"/>
        <v>#N/A</v>
      </c>
      <c r="AH183" s="51" t="e">
        <f>HLOOKUP(I183,ElecAvoidedCostsWOCC!$A$5:$Q$50,T183+1,FALSE)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HLOOKUP(I183,ElecAvoidedCostsWOCC!$A$5:$Q$50,G183+1,FALSE)*J183*L183</f>
        <v>#N/A</v>
      </c>
      <c r="AL183" s="43" t="e">
        <f t="shared" si="91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HLOOKUP(I184,ElecAvoidedCostsWOCC!$A$5:$Q$50,G184+1,FALSE)</f>
        <v>#N/A</v>
      </c>
      <c r="AG184" s="43" t="e">
        <f t="shared" si="88"/>
        <v>#N/A</v>
      </c>
      <c r="AH184" s="51" t="e">
        <f>HLOOKUP(I184,ElecAvoidedCostsWOCC!$A$5:$Q$50,T184+1,FALSE)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HLOOKUP(I184,ElecAvoidedCostsWOCC!$A$5:$Q$50,G184+1,FALSE)*J184*L184</f>
        <v>#N/A</v>
      </c>
      <c r="AL184" s="43" t="e">
        <f t="shared" si="91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HLOOKUP(I185,ElecAvoidedCostsWOCC!$A$5:$Q$50,G185+1,FALSE)</f>
        <v>#N/A</v>
      </c>
      <c r="AG185" s="43" t="e">
        <f t="shared" si="88"/>
        <v>#N/A</v>
      </c>
      <c r="AH185" s="51" t="e">
        <f>HLOOKUP(I185,ElecAvoidedCostsWOCC!$A$5:$Q$50,T185+1,FALSE)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HLOOKUP(I185,ElecAvoidedCostsWOCC!$A$5:$Q$50,G185+1,FALSE)*J185*L185</f>
        <v>#N/A</v>
      </c>
      <c r="AL185" s="43" t="e">
        <f t="shared" si="91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HLOOKUP(I186,ElecAvoidedCostsWOCC!$A$5:$Q$50,G186+1,FALSE)</f>
        <v>#N/A</v>
      </c>
      <c r="AG186" s="43" t="e">
        <f t="shared" si="88"/>
        <v>#N/A</v>
      </c>
      <c r="AH186" s="51" t="e">
        <f>HLOOKUP(I186,ElecAvoidedCostsWOCC!$A$5:$Q$50,T186+1,FALSE)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HLOOKUP(I186,ElecAvoidedCostsWOCC!$A$5:$Q$50,G186+1,FALSE)*J186*L186</f>
        <v>#N/A</v>
      </c>
      <c r="AL186" s="43" t="e">
        <f t="shared" si="91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HLOOKUP(I187,ElecAvoidedCostsWOCC!$A$5:$Q$50,G187+1,FALSE)</f>
        <v>#N/A</v>
      </c>
      <c r="AG187" s="43" t="e">
        <f t="shared" si="88"/>
        <v>#N/A</v>
      </c>
      <c r="AH187" s="51" t="e">
        <f>HLOOKUP(I187,ElecAvoidedCostsWOCC!$A$5:$Q$50,T187+1,FALSE)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HLOOKUP(I187,ElecAvoidedCostsWOCC!$A$5:$Q$50,G187+1,FALSE)*J187*L187</f>
        <v>#N/A</v>
      </c>
      <c r="AL187" s="43" t="e">
        <f t="shared" si="91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HLOOKUP(I188,ElecAvoidedCostsWOCC!$A$5:$Q$50,G188+1,FALSE)</f>
        <v>#N/A</v>
      </c>
      <c r="AG188" s="43" t="e">
        <f t="shared" si="88"/>
        <v>#N/A</v>
      </c>
      <c r="AH188" s="51" t="e">
        <f>HLOOKUP(I188,ElecAvoidedCostsWOCC!$A$5:$Q$50,T188+1,FALSE)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HLOOKUP(I188,ElecAvoidedCostsWOCC!$A$5:$Q$50,G188+1,FALSE)*J188*L188</f>
        <v>#N/A</v>
      </c>
      <c r="AL188" s="43" t="e">
        <f t="shared" si="91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HLOOKUP(I189,ElecAvoidedCostsWOCC!$A$5:$Q$50,G189+1,FALSE)</f>
        <v>#N/A</v>
      </c>
      <c r="AG189" s="43" t="e">
        <f t="shared" si="88"/>
        <v>#N/A</v>
      </c>
      <c r="AH189" s="51" t="e">
        <f>HLOOKUP(I189,ElecAvoidedCostsWOCC!$A$5:$Q$50,T189+1,FALSE)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HLOOKUP(I189,ElecAvoidedCostsWOCC!$A$5:$Q$50,G189+1,FALSE)*J189*L189</f>
        <v>#N/A</v>
      </c>
      <c r="AL189" s="43" t="e">
        <f t="shared" si="91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HLOOKUP(I190,ElecAvoidedCostsWOCC!$A$5:$Q$50,G190+1,FALSE)</f>
        <v>#N/A</v>
      </c>
      <c r="AG190" s="43" t="e">
        <f t="shared" si="88"/>
        <v>#N/A</v>
      </c>
      <c r="AH190" s="51" t="e">
        <f>HLOOKUP(I190,ElecAvoidedCostsWOCC!$A$5:$Q$50,T190+1,FALSE)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HLOOKUP(I190,ElecAvoidedCostsWOCC!$A$5:$Q$50,G190+1,FALSE)*J190*L190</f>
        <v>#N/A</v>
      </c>
      <c r="AL190" s="43" t="e">
        <f t="shared" si="91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HLOOKUP(I191,ElecAvoidedCostsWOCC!$A$5:$Q$50,G191+1,FALSE)</f>
        <v>#N/A</v>
      </c>
      <c r="AG191" s="43" t="e">
        <f t="shared" si="88"/>
        <v>#N/A</v>
      </c>
      <c r="AH191" s="51" t="e">
        <f>HLOOKUP(I191,ElecAvoidedCostsWOCC!$A$5:$Q$50,T191+1,FALSE)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HLOOKUP(I191,ElecAvoidedCostsWOCC!$A$5:$Q$50,G191+1,FALSE)*J191*L191</f>
        <v>#N/A</v>
      </c>
      <c r="AL191" s="43" t="e">
        <f t="shared" si="91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HLOOKUP(I192,ElecAvoidedCostsWOCC!$A$5:$Q$50,G192+1,FALSE)</f>
        <v>#N/A</v>
      </c>
      <c r="AG192" s="43" t="e">
        <f t="shared" si="88"/>
        <v>#N/A</v>
      </c>
      <c r="AH192" s="51" t="e">
        <f>HLOOKUP(I192,ElecAvoidedCostsWOCC!$A$5:$Q$50,T192+1,FALSE)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HLOOKUP(I192,ElecAvoidedCostsWOCC!$A$5:$Q$50,G192+1,FALSE)*J192*L192</f>
        <v>#N/A</v>
      </c>
      <c r="AL192" s="43" t="e">
        <f t="shared" si="91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HLOOKUP(I193,ElecAvoidedCostsWOCC!$A$5:$Q$50,G193+1,FALSE)</f>
        <v>#N/A</v>
      </c>
      <c r="AG193" s="43" t="e">
        <f t="shared" si="88"/>
        <v>#N/A</v>
      </c>
      <c r="AH193" s="51" t="e">
        <f>HLOOKUP(I193,ElecAvoidedCostsWOCC!$A$5:$Q$50,T193+1,FALSE)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HLOOKUP(I193,ElecAvoidedCostsWOCC!$A$5:$Q$50,G193+1,FALSE)*J193*L193</f>
        <v>#N/A</v>
      </c>
      <c r="AL193" s="43" t="e">
        <f t="shared" si="91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76"/>
        <v>0</v>
      </c>
      <c r="U194" s="46">
        <f t="shared" si="77"/>
        <v>0</v>
      </c>
      <c r="V194" s="47">
        <f t="shared" si="78"/>
        <v>0</v>
      </c>
      <c r="W194" s="48">
        <f t="shared" si="79"/>
        <v>0</v>
      </c>
      <c r="X194" s="43">
        <f t="shared" si="80"/>
        <v>0</v>
      </c>
      <c r="Y194" s="43">
        <f t="shared" si="81"/>
        <v>0</v>
      </c>
      <c r="Z194" s="43">
        <f t="shared" si="82"/>
        <v>0</v>
      </c>
      <c r="AA194" s="49">
        <f t="shared" si="83"/>
        <v>0</v>
      </c>
      <c r="AB194" s="50">
        <f t="shared" si="84"/>
        <v>0</v>
      </c>
      <c r="AC194" s="43">
        <f t="shared" si="85"/>
        <v>0</v>
      </c>
      <c r="AD194" s="43">
        <f t="shared" si="86"/>
        <v>0</v>
      </c>
      <c r="AE194" s="43">
        <f t="shared" si="87"/>
        <v>0</v>
      </c>
      <c r="AF194" s="51" t="e">
        <f>HLOOKUP(I194,ElecAvoidedCostsWOCC!$A$5:$Q$50,G194+1,FALSE)</f>
        <v>#N/A</v>
      </c>
      <c r="AG194" s="43" t="e">
        <f t="shared" si="88"/>
        <v>#N/A</v>
      </c>
      <c r="AH194" s="51" t="e">
        <f>HLOOKUP(I194,ElecAvoidedCostsWOCC!$A$5:$Q$50,T194+1,FALSE)</f>
        <v>#N/A</v>
      </c>
      <c r="AI194" s="43" t="e">
        <f t="shared" si="89"/>
        <v>#N/A</v>
      </c>
      <c r="AJ194" s="43" t="e">
        <f t="shared" si="90"/>
        <v>#N/A</v>
      </c>
      <c r="AK194" s="43" t="e">
        <f>HLOOKUP(I194,ElecAvoidedCostsWOCC!$A$5:$Q$50,G194+1,FALSE)*J194*L194</f>
        <v>#N/A</v>
      </c>
      <c r="AL194" s="43" t="e">
        <f t="shared" si="91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92"/>
        <v>0</v>
      </c>
      <c r="AO194" s="46">
        <f t="shared" si="93"/>
        <v>0</v>
      </c>
      <c r="AP194" s="46" t="e">
        <f t="shared" si="94"/>
        <v>#DIV/0!</v>
      </c>
    </row>
  </sheetData>
  <autoFilter ref="B4:AP194"/>
  <conditionalFormatting sqref="R5:S194">
    <cfRule type="expression" dxfId="344" priority="1">
      <formula>"istext($AB17)"</formula>
    </cfRule>
  </conditionalFormatting>
  <conditionalFormatting sqref="J5:L194">
    <cfRule type="expression" dxfId="343" priority="4">
      <formula>ISTEXT(J5)</formula>
    </cfRule>
    <cfRule type="notContainsBlanks" dxfId="342" priority="5">
      <formula>LEN(TRIM(J5))&gt;0</formula>
    </cfRule>
  </conditionalFormatting>
  <conditionalFormatting sqref="M5:N194 R5:S194">
    <cfRule type="expression" dxfId="341" priority="2">
      <formula>ISTEXT(M5)</formula>
    </cfRule>
  </conditionalFormatting>
  <conditionalFormatting sqref="M5:N194 R5:S194">
    <cfRule type="notContainsBlanks" dxfId="34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38" sqref="G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18230687</v>
      </c>
      <c r="D2" s="19" t="s">
        <v>318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18230687</v>
      </c>
      <c r="D5" s="60" t="s">
        <v>318</v>
      </c>
      <c r="E5" s="37" t="s">
        <v>1534</v>
      </c>
      <c r="F5" s="38" t="s">
        <v>589</v>
      </c>
      <c r="G5" s="38">
        <v>7</v>
      </c>
      <c r="H5" s="38">
        <v>0</v>
      </c>
      <c r="I5" s="39" t="s">
        <v>273</v>
      </c>
      <c r="J5" s="40">
        <v>7585</v>
      </c>
      <c r="K5" s="40">
        <v>26.7</v>
      </c>
      <c r="L5" s="40">
        <v>0</v>
      </c>
      <c r="M5" s="41">
        <v>75</v>
      </c>
      <c r="N5" s="41">
        <v>165.03</v>
      </c>
      <c r="O5" s="42">
        <v>202519.5</v>
      </c>
      <c r="P5" s="43">
        <v>568875</v>
      </c>
      <c r="Q5" s="43">
        <v>1251752.55</v>
      </c>
      <c r="R5" s="44">
        <v>5.1630000000000003</v>
      </c>
      <c r="S5" s="45"/>
      <c r="T5" s="38">
        <f t="shared" ref="T5:T24" si="0">G5+H5</f>
        <v>7</v>
      </c>
      <c r="U5" s="46">
        <f t="shared" ref="U5:U24" si="1">(O5/$A$10)*T5</f>
        <v>2.5607697501688045</v>
      </c>
      <c r="V5" s="47">
        <f t="shared" ref="V5:V24" si="2">N5-M5</f>
        <v>90.03</v>
      </c>
      <c r="W5" s="48">
        <f t="shared" ref="W5:W24" si="3">(O5/A$10)</f>
        <v>0.36582425002411495</v>
      </c>
      <c r="X5" s="43">
        <f t="shared" ref="X5:X24" si="4">W5*A$8</f>
        <v>654989.9552908265</v>
      </c>
      <c r="Y5" s="43">
        <f t="shared" ref="Y5:Y24" si="5">Q5-P5</f>
        <v>682877.55</v>
      </c>
      <c r="Z5" s="43">
        <f t="shared" ref="Z5:Z24" si="6">X5+(A$6*W5)</f>
        <v>1593548.6511526958</v>
      </c>
      <c r="AA5" s="49">
        <f t="shared" ref="AA5:AA24" si="7">Q5+X5</f>
        <v>1906742.5052908265</v>
      </c>
      <c r="AB5" s="50">
        <f t="shared" ref="AB5:AB24" si="8">Z5/(1+GasDiscountRate)^1</f>
        <v>1492086.7520156326</v>
      </c>
      <c r="AC5" s="43">
        <f t="shared" ref="AC5:AC24" si="9">AA5/(1+GasDiscountRate)^1</f>
        <v>1785339.4244296127</v>
      </c>
      <c r="AD5" s="43">
        <f t="shared" ref="AD5:AD24" si="10">-PV(GasDiscountRate,T5,R5)*J5</f>
        <v>212531.47642002121</v>
      </c>
      <c r="AE5" s="43">
        <v>0</v>
      </c>
      <c r="AF5" s="51">
        <f>HLOOKUP(I5,GasAvoidedCostsWOCC!$A$5:$G$50,G5+1,FALSE)</f>
        <v>8.2965739434760017</v>
      </c>
      <c r="AG5" s="43">
        <f t="shared" ref="AG5:AG24" si="11">AF5*J5*K5</f>
        <v>1680218.006745788</v>
      </c>
      <c r="AH5" s="51">
        <f>HLOOKUP(I5,GasAvoidedCostsWOCC!$A$5:$Q$50,T5+1,FALSE)</f>
        <v>8.2965739434760017</v>
      </c>
      <c r="AI5" s="43">
        <f t="shared" ref="AI5:AI24" si="12">AH5*J5*L5</f>
        <v>0</v>
      </c>
      <c r="AJ5" s="43">
        <f>AG5+AI5</f>
        <v>1680218.006745788</v>
      </c>
      <c r="AK5" s="43">
        <f>HLOOKUP(I5,GasAvoidedCostsWOCC!$A$5:$Q$50,G5+1,FALSE)*J5*L5</f>
        <v>0</v>
      </c>
      <c r="AL5" s="43">
        <f>AG5+AI5-AK5</f>
        <v>1680218.006745788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1680218.006745788</v>
      </c>
      <c r="AN5" s="47">
        <f>AM5*1.1+AD5+AE5</f>
        <v>2060771.2838403881</v>
      </c>
      <c r="AO5" s="46">
        <f>IFERROR(AM5/AB5,0)</f>
        <v>1.1260860030263069</v>
      </c>
      <c r="AP5" s="46">
        <f>AN5/AC5</f>
        <v>1.1542742268735657</v>
      </c>
    </row>
    <row r="6" spans="1:42" ht="13.5" customHeight="1" x14ac:dyDescent="0.25">
      <c r="A6" s="52">
        <f>SUMIF('Program Costs'!D:D,C2,'Program Costs'!L:L)</f>
        <v>2565600</v>
      </c>
      <c r="B6" s="88" t="s">
        <v>33</v>
      </c>
      <c r="C6" s="89">
        <v>18230687</v>
      </c>
      <c r="D6" s="60" t="s">
        <v>318</v>
      </c>
      <c r="E6" s="37" t="s">
        <v>1535</v>
      </c>
      <c r="F6" s="38" t="s">
        <v>590</v>
      </c>
      <c r="G6" s="38">
        <v>7</v>
      </c>
      <c r="H6" s="38">
        <v>0</v>
      </c>
      <c r="I6" s="39" t="s">
        <v>273</v>
      </c>
      <c r="J6" s="40">
        <v>1931</v>
      </c>
      <c r="K6" s="40">
        <v>26.7</v>
      </c>
      <c r="L6" s="40">
        <v>0</v>
      </c>
      <c r="M6" s="41">
        <v>175</v>
      </c>
      <c r="N6" s="41">
        <v>165.03</v>
      </c>
      <c r="O6" s="42">
        <v>51557.7</v>
      </c>
      <c r="P6" s="43">
        <v>337925</v>
      </c>
      <c r="Q6" s="43">
        <v>318672.93</v>
      </c>
      <c r="R6" s="44">
        <v>5.1630000000000003</v>
      </c>
      <c r="S6" s="45"/>
      <c r="T6" s="38">
        <f t="shared" si="0"/>
        <v>7</v>
      </c>
      <c r="U6" s="46">
        <f t="shared" si="1"/>
        <v>0.65192437542201209</v>
      </c>
      <c r="V6" s="47">
        <f t="shared" si="2"/>
        <v>-9.9699999999999989</v>
      </c>
      <c r="W6" s="48">
        <f t="shared" si="3"/>
        <v>9.3132053631716005E-2</v>
      </c>
      <c r="X6" s="43">
        <f t="shared" si="4"/>
        <v>166748.26679849517</v>
      </c>
      <c r="Y6" s="43">
        <f t="shared" si="5"/>
        <v>-19252.070000000007</v>
      </c>
      <c r="Z6" s="43">
        <f t="shared" si="6"/>
        <v>405687.86359602574</v>
      </c>
      <c r="AA6" s="49">
        <f t="shared" si="7"/>
        <v>485421.19679849513</v>
      </c>
      <c r="AB6" s="50">
        <f t="shared" si="8"/>
        <v>379857.55018354469</v>
      </c>
      <c r="AC6" s="43">
        <f t="shared" si="9"/>
        <v>454514.22921207407</v>
      </c>
      <c r="AD6" s="43">
        <f t="shared" si="10"/>
        <v>54106.563080693602</v>
      </c>
      <c r="AE6" s="43">
        <v>0</v>
      </c>
      <c r="AF6" s="51">
        <f>HLOOKUP(I6,GasAvoidedCostsWOCC!$A$5:$G$50,G6+1,FALSE)</f>
        <v>8.2965739434760017</v>
      </c>
      <c r="AG6" s="43">
        <f t="shared" si="11"/>
        <v>427752.27040555264</v>
      </c>
      <c r="AH6" s="51">
        <f>HLOOKUP(I6,GasAvoidedCostsWOCC!$A$5:$Q$50,T6+1,FALSE)</f>
        <v>8.2965739434760017</v>
      </c>
      <c r="AI6" s="43">
        <f t="shared" si="12"/>
        <v>0</v>
      </c>
      <c r="AJ6" s="43">
        <f t="shared" ref="AJ6:AJ24" si="13">AG6+AI6</f>
        <v>427752.27040555264</v>
      </c>
      <c r="AK6" s="43">
        <f>HLOOKUP(I6,GasAvoidedCostsWOCC!$A$5:$Q$50,G6+1,FALSE)*J6*L6</f>
        <v>0</v>
      </c>
      <c r="AL6" s="43">
        <f t="shared" ref="AL6:AL24" si="14">AG6+AI6-AK6</f>
        <v>427752.27040555264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427752.27040555264</v>
      </c>
      <c r="AN6" s="47">
        <f t="shared" ref="AN6:AN24" si="15">AM6*1.1+AD6+AE6</f>
        <v>524634.06052680162</v>
      </c>
      <c r="AO6" s="46">
        <f t="shared" ref="AO6:AO24" si="16">IFERROR(AM6/AB6,0)</f>
        <v>1.1260860030263069</v>
      </c>
      <c r="AP6" s="46">
        <f t="shared" ref="AP6:AP24" si="17">AN6/AC6</f>
        <v>1.1542742268735662</v>
      </c>
    </row>
    <row r="7" spans="1:42" ht="13.5" customHeight="1" x14ac:dyDescent="0.25">
      <c r="A7" s="35" t="s">
        <v>239</v>
      </c>
      <c r="B7" s="88" t="s">
        <v>33</v>
      </c>
      <c r="C7" s="89">
        <v>18230687</v>
      </c>
      <c r="D7" s="60" t="s">
        <v>318</v>
      </c>
      <c r="E7" s="37" t="s">
        <v>2003</v>
      </c>
      <c r="F7" s="38" t="s">
        <v>1537</v>
      </c>
      <c r="G7" s="38">
        <v>7</v>
      </c>
      <c r="H7" s="38">
        <v>0</v>
      </c>
      <c r="I7" s="39" t="s">
        <v>273</v>
      </c>
      <c r="J7" s="40">
        <v>0</v>
      </c>
      <c r="K7" s="40">
        <v>26.7</v>
      </c>
      <c r="L7" s="40">
        <v>0</v>
      </c>
      <c r="M7" s="41">
        <v>100</v>
      </c>
      <c r="N7" s="41">
        <v>165.03</v>
      </c>
      <c r="O7" s="42">
        <v>0</v>
      </c>
      <c r="P7" s="43">
        <v>0</v>
      </c>
      <c r="Q7" s="43">
        <v>0</v>
      </c>
      <c r="R7" s="44">
        <v>5.1630000000000003</v>
      </c>
      <c r="S7" s="45"/>
      <c r="T7" s="38">
        <f t="shared" si="0"/>
        <v>7</v>
      </c>
      <c r="U7" s="46">
        <f t="shared" si="1"/>
        <v>0</v>
      </c>
      <c r="V7" s="47">
        <f t="shared" si="2"/>
        <v>65.03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8.2965739434760017</v>
      </c>
      <c r="AG7" s="43">
        <f t="shared" si="11"/>
        <v>0</v>
      </c>
      <c r="AH7" s="51">
        <f>HLOOKUP(I7,GasAvoidedCostsWOCC!$A$5:$Q$50,T7+1,FALSE)</f>
        <v>8.2965739434760017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1790449.7999999998</v>
      </c>
      <c r="B8" s="88" t="s">
        <v>33</v>
      </c>
      <c r="C8" s="89">
        <v>18230687</v>
      </c>
      <c r="D8" s="60" t="s">
        <v>318</v>
      </c>
      <c r="E8" s="37" t="s">
        <v>2004</v>
      </c>
      <c r="F8" s="38" t="s">
        <v>1539</v>
      </c>
      <c r="G8" s="38">
        <v>7</v>
      </c>
      <c r="H8" s="38">
        <v>0</v>
      </c>
      <c r="I8" s="39" t="s">
        <v>273</v>
      </c>
      <c r="J8" s="40">
        <v>0</v>
      </c>
      <c r="K8" s="40">
        <v>26.7</v>
      </c>
      <c r="L8" s="40">
        <v>0</v>
      </c>
      <c r="M8" s="41">
        <v>150</v>
      </c>
      <c r="N8" s="41">
        <v>165.03</v>
      </c>
      <c r="O8" s="42">
        <v>0</v>
      </c>
      <c r="P8" s="43">
        <v>0</v>
      </c>
      <c r="Q8" s="43">
        <v>0</v>
      </c>
      <c r="R8" s="44">
        <v>5.1630000000000003</v>
      </c>
      <c r="S8" s="45"/>
      <c r="T8" s="38">
        <f t="shared" si="0"/>
        <v>7</v>
      </c>
      <c r="U8" s="46">
        <f t="shared" si="1"/>
        <v>0</v>
      </c>
      <c r="V8" s="47">
        <f t="shared" si="2"/>
        <v>15.030000000000001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8.2965739434760017</v>
      </c>
      <c r="AG8" s="43">
        <f t="shared" si="11"/>
        <v>0</v>
      </c>
      <c r="AH8" s="51">
        <f>HLOOKUP(I8,GasAvoidedCostsWOCC!$A$5:$Q$50,T8+1,FALSE)</f>
        <v>8.2965739434760017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18230687</v>
      </c>
      <c r="D9" s="60" t="s">
        <v>318</v>
      </c>
      <c r="E9" s="37" t="s">
        <v>2005</v>
      </c>
      <c r="F9" s="38" t="s">
        <v>599</v>
      </c>
      <c r="G9" s="38">
        <v>7</v>
      </c>
      <c r="H9" s="38">
        <v>0</v>
      </c>
      <c r="I9" s="39" t="s">
        <v>273</v>
      </c>
      <c r="J9" s="40">
        <v>0</v>
      </c>
      <c r="K9" s="40">
        <v>26.7</v>
      </c>
      <c r="L9" s="40">
        <v>0</v>
      </c>
      <c r="M9" s="41">
        <v>100</v>
      </c>
      <c r="N9" s="41">
        <v>165.03</v>
      </c>
      <c r="O9" s="42">
        <v>0</v>
      </c>
      <c r="P9" s="43">
        <v>0</v>
      </c>
      <c r="Q9" s="43">
        <v>0</v>
      </c>
      <c r="R9" s="44">
        <v>5.1630000000000003</v>
      </c>
      <c r="S9" s="45"/>
      <c r="T9" s="38">
        <f t="shared" si="0"/>
        <v>7</v>
      </c>
      <c r="U9" s="46">
        <f t="shared" si="1"/>
        <v>0</v>
      </c>
      <c r="V9" s="47">
        <f t="shared" si="2"/>
        <v>65.03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8.2965739434760017</v>
      </c>
      <c r="AG9" s="43">
        <f t="shared" si="11"/>
        <v>0</v>
      </c>
      <c r="AH9" s="51">
        <f>HLOOKUP(I9,GasAvoidedCostsWOCC!$A$5:$Q$50,T9+1,FALSE)</f>
        <v>8.2965739434760017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553597.80000000005</v>
      </c>
      <c r="B10" s="88" t="s">
        <v>33</v>
      </c>
      <c r="C10" s="89">
        <v>18230687</v>
      </c>
      <c r="D10" s="60" t="s">
        <v>318</v>
      </c>
      <c r="E10" s="37" t="s">
        <v>2006</v>
      </c>
      <c r="F10" s="38" t="s">
        <v>600</v>
      </c>
      <c r="G10" s="38">
        <v>7</v>
      </c>
      <c r="H10" s="38">
        <v>0</v>
      </c>
      <c r="I10" s="39" t="s">
        <v>273</v>
      </c>
      <c r="J10" s="40">
        <v>0</v>
      </c>
      <c r="K10" s="40">
        <v>26.7</v>
      </c>
      <c r="L10" s="40">
        <v>0</v>
      </c>
      <c r="M10" s="41">
        <v>150</v>
      </c>
      <c r="N10" s="41">
        <v>165.03</v>
      </c>
      <c r="O10" s="42">
        <v>0</v>
      </c>
      <c r="P10" s="43">
        <v>0</v>
      </c>
      <c r="Q10" s="43">
        <v>0</v>
      </c>
      <c r="R10" s="44">
        <v>5.1630000000000003</v>
      </c>
      <c r="S10" s="45"/>
      <c r="T10" s="38">
        <f t="shared" si="0"/>
        <v>7</v>
      </c>
      <c r="U10" s="46">
        <f t="shared" si="1"/>
        <v>0</v>
      </c>
      <c r="V10" s="47">
        <f t="shared" si="2"/>
        <v>15.030000000000001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8.2965739434760017</v>
      </c>
      <c r="AG10" s="43">
        <f t="shared" si="11"/>
        <v>0</v>
      </c>
      <c r="AH10" s="51">
        <f>HLOOKUP(I10,GasAvoidedCostsWOCC!$A$5:$Q$50,T10+1,FALSE)</f>
        <v>8.2965739434760017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18230687</v>
      </c>
      <c r="D11" s="60" t="s">
        <v>318</v>
      </c>
      <c r="E11" s="37" t="s">
        <v>2007</v>
      </c>
      <c r="F11" s="38" t="s">
        <v>601</v>
      </c>
      <c r="G11" s="38">
        <v>7</v>
      </c>
      <c r="H11" s="38">
        <v>0</v>
      </c>
      <c r="I11" s="39" t="s">
        <v>273</v>
      </c>
      <c r="J11" s="40">
        <v>0</v>
      </c>
      <c r="K11" s="40">
        <v>26.7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5.1630000000000003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0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2565600</v>
      </c>
      <c r="B12" s="88" t="s">
        <v>33</v>
      </c>
      <c r="C12" s="89">
        <v>18230687</v>
      </c>
      <c r="D12" s="60" t="s">
        <v>318</v>
      </c>
      <c r="E12" s="37" t="s">
        <v>2008</v>
      </c>
      <c r="F12" s="38" t="s">
        <v>602</v>
      </c>
      <c r="G12" s="38">
        <v>7</v>
      </c>
      <c r="H12" s="38">
        <v>0</v>
      </c>
      <c r="I12" s="39" t="s">
        <v>273</v>
      </c>
      <c r="J12" s="40">
        <v>0</v>
      </c>
      <c r="K12" s="40">
        <v>26.7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5.1630000000000003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0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18230687</v>
      </c>
      <c r="D13" s="60" t="s">
        <v>318</v>
      </c>
      <c r="E13" s="37" t="s">
        <v>2009</v>
      </c>
      <c r="F13" s="38" t="s">
        <v>603</v>
      </c>
      <c r="G13" s="38">
        <v>7</v>
      </c>
      <c r="H13" s="38">
        <v>0</v>
      </c>
      <c r="I13" s="39" t="s">
        <v>273</v>
      </c>
      <c r="J13" s="40">
        <v>0</v>
      </c>
      <c r="K13" s="40">
        <v>26.7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5.1630000000000003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0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856132.0199999999</v>
      </c>
      <c r="B14" s="36"/>
      <c r="E14" s="37" t="s">
        <v>2010</v>
      </c>
      <c r="F14" s="38" t="s">
        <v>604</v>
      </c>
      <c r="G14" s="38">
        <v>7</v>
      </c>
      <c r="H14" s="38">
        <v>0</v>
      </c>
      <c r="I14" s="39" t="s">
        <v>273</v>
      </c>
      <c r="J14" s="40">
        <v>0</v>
      </c>
      <c r="K14" s="40">
        <v>26.7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5.1630000000000003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0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2011</v>
      </c>
      <c r="F15" s="38" t="s">
        <v>2012</v>
      </c>
      <c r="G15" s="38">
        <v>7</v>
      </c>
      <c r="H15" s="38">
        <v>0</v>
      </c>
      <c r="I15" s="39" t="s">
        <v>273</v>
      </c>
      <c r="J15" s="40">
        <v>0</v>
      </c>
      <c r="K15" s="40">
        <v>26.7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5.1630000000000003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8.2965739434760017</v>
      </c>
      <c r="AG15" s="43">
        <f t="shared" si="11"/>
        <v>0</v>
      </c>
      <c r="AH15" s="51">
        <f>HLOOKUP(I15,GasAvoidedCostsWOCC!$A$5:$Q$50,T15+1,FALSE)</f>
        <v>8.2965739434760017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7</v>
      </c>
      <c r="B16" s="36"/>
      <c r="E16" s="37" t="s">
        <v>2013</v>
      </c>
      <c r="F16" s="38" t="s">
        <v>2014</v>
      </c>
      <c r="G16" s="38">
        <v>7</v>
      </c>
      <c r="H16" s="38">
        <v>0</v>
      </c>
      <c r="I16" s="39" t="s">
        <v>273</v>
      </c>
      <c r="J16" s="40">
        <v>0</v>
      </c>
      <c r="K16" s="40">
        <v>26.7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5.1630000000000003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8.2965739434760017</v>
      </c>
      <c r="AG16" s="43">
        <f t="shared" si="11"/>
        <v>0</v>
      </c>
      <c r="AH16" s="51">
        <f>HLOOKUP(I16,GasAvoidedCostsWOCC!$A$5:$Q$50,T16+1,FALSE)</f>
        <v>8.2965739434760017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1536</v>
      </c>
      <c r="F17" s="38" t="s">
        <v>1537</v>
      </c>
      <c r="G17" s="38">
        <v>7</v>
      </c>
      <c r="H17" s="38">
        <v>0</v>
      </c>
      <c r="I17" s="39" t="s">
        <v>273</v>
      </c>
      <c r="J17" s="40">
        <v>558</v>
      </c>
      <c r="K17" s="40">
        <v>26.7</v>
      </c>
      <c r="L17" s="40">
        <v>0</v>
      </c>
      <c r="M17" s="41">
        <v>100</v>
      </c>
      <c r="N17" s="41">
        <v>165.03</v>
      </c>
      <c r="O17" s="42">
        <v>14898.6</v>
      </c>
      <c r="P17" s="43">
        <v>55800</v>
      </c>
      <c r="Q17" s="43">
        <v>92086.74</v>
      </c>
      <c r="R17" s="44">
        <v>5.1630000000000003</v>
      </c>
      <c r="S17" s="45"/>
      <c r="T17" s="38">
        <f t="shared" si="0"/>
        <v>7</v>
      </c>
      <c r="U17" s="46">
        <f t="shared" si="1"/>
        <v>0.18838622552329506</v>
      </c>
      <c r="V17" s="47">
        <f t="shared" si="2"/>
        <v>65.03</v>
      </c>
      <c r="W17" s="48">
        <f t="shared" si="3"/>
        <v>2.6912317931899295E-2</v>
      </c>
      <c r="X17" s="43">
        <f t="shared" si="4"/>
        <v>48185.154258705501</v>
      </c>
      <c r="Y17" s="43">
        <f t="shared" si="5"/>
        <v>36286.740000000005</v>
      </c>
      <c r="Z17" s="43">
        <f t="shared" si="6"/>
        <v>117231.39714478633</v>
      </c>
      <c r="AA17" s="49">
        <f t="shared" si="7"/>
        <v>140271.89425870549</v>
      </c>
      <c r="AB17" s="50">
        <f t="shared" si="8"/>
        <v>109767.22579099843</v>
      </c>
      <c r="AC17" s="43">
        <f t="shared" si="9"/>
        <v>131340.72496133472</v>
      </c>
      <c r="AD17" s="43">
        <f t="shared" si="10"/>
        <v>15635.14355205957</v>
      </c>
      <c r="AE17" s="43">
        <f t="shared" si="18"/>
        <v>0</v>
      </c>
      <c r="AF17" s="51">
        <f>HLOOKUP(I17,GasAvoidedCostsWOCC!$A$5:$G$50,G17+1,FALSE)</f>
        <v>8.2965739434760017</v>
      </c>
      <c r="AG17" s="43">
        <f t="shared" si="11"/>
        <v>123607.33655427155</v>
      </c>
      <c r="AH17" s="51">
        <f>HLOOKUP(I17,GasAvoidedCostsWOCC!$A$5:$Q$50,T17+1,FALSE)</f>
        <v>8.2965739434760017</v>
      </c>
      <c r="AI17" s="43">
        <f t="shared" si="12"/>
        <v>0</v>
      </c>
      <c r="AJ17" s="43">
        <f t="shared" si="13"/>
        <v>123607.33655427155</v>
      </c>
      <c r="AK17" s="43">
        <f>HLOOKUP(I17,GasAvoidedCostsWOCC!$A$5:$Q$50,G17+1,FALSE)*J17*L17</f>
        <v>0</v>
      </c>
      <c r="AL17" s="43">
        <f t="shared" si="14"/>
        <v>123607.33655427155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123607.33655427156</v>
      </c>
      <c r="AN17" s="47">
        <f t="shared" si="15"/>
        <v>151603.21376175829</v>
      </c>
      <c r="AO17" s="46">
        <f t="shared" si="16"/>
        <v>1.1260860030263067</v>
      </c>
      <c r="AP17" s="46">
        <f t="shared" si="17"/>
        <v>1.154274226873566</v>
      </c>
    </row>
    <row r="18" spans="1:42" ht="13.5" customHeight="1" x14ac:dyDescent="0.25">
      <c r="A18" s="58">
        <f>A6+A8</f>
        <v>4356049.8</v>
      </c>
      <c r="B18" s="36"/>
      <c r="E18" s="37" t="s">
        <v>1538</v>
      </c>
      <c r="F18" s="38" t="s">
        <v>1539</v>
      </c>
      <c r="G18" s="38">
        <v>7</v>
      </c>
      <c r="H18" s="38">
        <v>0</v>
      </c>
      <c r="I18" s="39" t="s">
        <v>273</v>
      </c>
      <c r="J18" s="40">
        <v>10640</v>
      </c>
      <c r="K18" s="40">
        <v>26.7</v>
      </c>
      <c r="L18" s="40">
        <v>0</v>
      </c>
      <c r="M18" s="41">
        <v>150</v>
      </c>
      <c r="N18" s="41">
        <v>165.03</v>
      </c>
      <c r="O18" s="42">
        <v>284088</v>
      </c>
      <c r="P18" s="43">
        <v>1596000</v>
      </c>
      <c r="Q18" s="43">
        <v>1755919.2</v>
      </c>
      <c r="R18" s="44">
        <v>5.1630000000000003</v>
      </c>
      <c r="S18" s="45"/>
      <c r="T18" s="38">
        <f t="shared" si="0"/>
        <v>7</v>
      </c>
      <c r="U18" s="46">
        <f t="shared" si="1"/>
        <v>3.5921674544226874</v>
      </c>
      <c r="V18" s="47">
        <f t="shared" si="2"/>
        <v>15.030000000000001</v>
      </c>
      <c r="W18" s="48">
        <f t="shared" si="3"/>
        <v>0.51316677920324105</v>
      </c>
      <c r="X18" s="43">
        <f t="shared" si="4"/>
        <v>918799.35719108698</v>
      </c>
      <c r="Y18" s="43">
        <f t="shared" si="5"/>
        <v>159919.19999999995</v>
      </c>
      <c r="Z18" s="43">
        <f t="shared" si="6"/>
        <v>2235380.0459149219</v>
      </c>
      <c r="AA18" s="49">
        <f t="shared" si="7"/>
        <v>2674718.5571910869</v>
      </c>
      <c r="AB18" s="50">
        <f t="shared" si="8"/>
        <v>2093052.4774484287</v>
      </c>
      <c r="AC18" s="43">
        <f t="shared" si="9"/>
        <v>2504418.1247107554</v>
      </c>
      <c r="AD18" s="43">
        <f t="shared" si="10"/>
        <v>298132.48636902118</v>
      </c>
      <c r="AE18" s="43">
        <f t="shared" si="18"/>
        <v>0</v>
      </c>
      <c r="AF18" s="51">
        <f>HLOOKUP(I18,GasAvoidedCostsWOCC!$A$5:$G$50,G18+1,FALSE)</f>
        <v>8.2965739434760017</v>
      </c>
      <c r="AG18" s="43">
        <f t="shared" si="11"/>
        <v>2356957.0984542104</v>
      </c>
      <c r="AH18" s="51">
        <f>HLOOKUP(I18,GasAvoidedCostsWOCC!$A$5:$Q$50,T18+1,FALSE)</f>
        <v>8.2965739434760017</v>
      </c>
      <c r="AI18" s="43">
        <f t="shared" si="12"/>
        <v>0</v>
      </c>
      <c r="AJ18" s="43">
        <f t="shared" si="13"/>
        <v>2356957.0984542104</v>
      </c>
      <c r="AK18" s="43">
        <f>HLOOKUP(I18,GasAvoidedCostsWOCC!$A$5:$Q$50,G18+1,FALSE)*J18*L18</f>
        <v>0</v>
      </c>
      <c r="AL18" s="43">
        <f t="shared" si="14"/>
        <v>2356957.0984542104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2356957.0984542104</v>
      </c>
      <c r="AN18" s="47">
        <f t="shared" si="15"/>
        <v>2890785.294668653</v>
      </c>
      <c r="AO18" s="46">
        <f t="shared" si="16"/>
        <v>1.1260860030263069</v>
      </c>
      <c r="AP18" s="46">
        <f t="shared" si="17"/>
        <v>1.154274226873566</v>
      </c>
    </row>
    <row r="19" spans="1:42" ht="13.5" customHeight="1" x14ac:dyDescent="0.25">
      <c r="A19" s="57" t="s">
        <v>221</v>
      </c>
      <c r="B19" s="36"/>
      <c r="E19" s="37" t="s">
        <v>2015</v>
      </c>
      <c r="F19" s="38" t="s">
        <v>2016</v>
      </c>
      <c r="G19" s="38">
        <v>7</v>
      </c>
      <c r="H19" s="38">
        <v>0</v>
      </c>
      <c r="I19" s="39" t="s">
        <v>273</v>
      </c>
      <c r="J19" s="40">
        <v>20</v>
      </c>
      <c r="K19" s="40">
        <v>26.7</v>
      </c>
      <c r="L19" s="40">
        <v>0</v>
      </c>
      <c r="M19" s="41">
        <v>350</v>
      </c>
      <c r="N19" s="41">
        <v>165.03</v>
      </c>
      <c r="O19" s="42">
        <v>534</v>
      </c>
      <c r="P19" s="43">
        <v>7000</v>
      </c>
      <c r="Q19" s="43">
        <v>3300.6</v>
      </c>
      <c r="R19" s="44">
        <v>5.1630000000000003</v>
      </c>
      <c r="S19" s="45"/>
      <c r="T19" s="38">
        <f t="shared" si="0"/>
        <v>7</v>
      </c>
      <c r="U19" s="46">
        <f t="shared" si="1"/>
        <v>6.75219446320054E-3</v>
      </c>
      <c r="V19" s="47">
        <f t="shared" si="2"/>
        <v>-184.97</v>
      </c>
      <c r="W19" s="48">
        <f t="shared" si="3"/>
        <v>9.6459920902864857E-4</v>
      </c>
      <c r="X19" s="43">
        <f t="shared" si="4"/>
        <v>1727.0664608855018</v>
      </c>
      <c r="Y19" s="43">
        <f t="shared" si="5"/>
        <v>-3699.4</v>
      </c>
      <c r="Z19" s="43">
        <f t="shared" si="6"/>
        <v>4201.8421915694025</v>
      </c>
      <c r="AA19" s="49">
        <f t="shared" si="7"/>
        <v>5027.6664608855017</v>
      </c>
      <c r="AB19" s="50">
        <f t="shared" si="8"/>
        <v>3934.3091681361443</v>
      </c>
      <c r="AC19" s="43">
        <f t="shared" si="9"/>
        <v>4707.5528659976608</v>
      </c>
      <c r="AD19" s="43">
        <f t="shared" si="10"/>
        <v>560.39941046808497</v>
      </c>
      <c r="AE19" s="43">
        <f t="shared" si="18"/>
        <v>0</v>
      </c>
      <c r="AF19" s="51">
        <f>HLOOKUP(I19,GasAvoidedCostsWOCC!$A$5:$G$50,G19+1,FALSE)</f>
        <v>8.2965739434760017</v>
      </c>
      <c r="AG19" s="43">
        <f t="shared" si="11"/>
        <v>4430.3704858161855</v>
      </c>
      <c r="AH19" s="51">
        <f>HLOOKUP(I19,GasAvoidedCostsWOCC!$A$5:$Q$50,T19+1,FALSE)</f>
        <v>8.2965739434760017</v>
      </c>
      <c r="AI19" s="43">
        <f t="shared" si="12"/>
        <v>0</v>
      </c>
      <c r="AJ19" s="43">
        <f t="shared" si="13"/>
        <v>4430.3704858161855</v>
      </c>
      <c r="AK19" s="43">
        <f>HLOOKUP(I19,GasAvoidedCostsWOCC!$A$5:$Q$50,G19+1,FALSE)*J19*L19</f>
        <v>0</v>
      </c>
      <c r="AL19" s="43">
        <f t="shared" si="14"/>
        <v>4430.3704858161855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4430.3704858161846</v>
      </c>
      <c r="AN19" s="47">
        <f t="shared" si="15"/>
        <v>5433.8069448658889</v>
      </c>
      <c r="AO19" s="46">
        <f t="shared" si="16"/>
        <v>1.1260860030263067</v>
      </c>
      <c r="AP19" s="46">
        <f t="shared" si="17"/>
        <v>1.1542742268735657</v>
      </c>
    </row>
    <row r="20" spans="1:42" ht="13.5" customHeight="1" x14ac:dyDescent="0.25">
      <c r="A20" s="58">
        <f>A8+SUM(Q5:Q906)</f>
        <v>5212181.82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1.1260860030263069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1.1542742268735657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:S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18230700</v>
      </c>
      <c r="D2" s="19" t="s">
        <v>112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18230700</v>
      </c>
      <c r="D5" s="60" t="s">
        <v>112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33</v>
      </c>
      <c r="C6" s="89">
        <v>18230700</v>
      </c>
      <c r="D6" s="60" t="s">
        <v>112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18230700</v>
      </c>
      <c r="D7" s="60" t="s">
        <v>112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33</v>
      </c>
      <c r="C8" s="89">
        <v>18230700</v>
      </c>
      <c r="D8" s="60" t="s">
        <v>112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18230700</v>
      </c>
      <c r="D9" s="60" t="s">
        <v>112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88" t="s">
        <v>33</v>
      </c>
      <c r="C10" s="89">
        <v>18230700</v>
      </c>
      <c r="D10" s="60" t="s">
        <v>112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18230700</v>
      </c>
      <c r="D11" s="60" t="s">
        <v>112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18230700</v>
      </c>
      <c r="D12" s="60" t="s">
        <v>112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18230700</v>
      </c>
      <c r="D13" s="60" t="s">
        <v>112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18230700</v>
      </c>
      <c r="D14" s="60" t="s">
        <v>112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18230700</v>
      </c>
      <c r="D15" s="60" t="s">
        <v>112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88" t="s">
        <v>33</v>
      </c>
      <c r="C16" s="89">
        <v>18230700</v>
      </c>
      <c r="D16" s="60" t="s">
        <v>112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18230700</v>
      </c>
      <c r="D17" s="60" t="s">
        <v>112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18230700</v>
      </c>
      <c r="D18" s="60" t="s">
        <v>112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G18" sqref="G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18230637</v>
      </c>
      <c r="D2" s="19" t="s">
        <v>78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18230637</v>
      </c>
      <c r="D5" s="60" t="s">
        <v>78</v>
      </c>
      <c r="E5" s="37" t="s">
        <v>1693</v>
      </c>
      <c r="F5" s="38" t="s">
        <v>629</v>
      </c>
      <c r="G5" s="38">
        <v>20</v>
      </c>
      <c r="H5" s="38">
        <v>0</v>
      </c>
      <c r="I5" s="39" t="s">
        <v>273</v>
      </c>
      <c r="J5" s="40">
        <v>54</v>
      </c>
      <c r="K5" s="40">
        <v>75.319999999999993</v>
      </c>
      <c r="L5" s="40">
        <v>0</v>
      </c>
      <c r="M5" s="41">
        <v>1000</v>
      </c>
      <c r="N5" s="41">
        <v>1000</v>
      </c>
      <c r="O5" s="42">
        <v>4067.2799999999997</v>
      </c>
      <c r="P5" s="43">
        <v>54000</v>
      </c>
      <c r="Q5" s="539">
        <v>54000</v>
      </c>
      <c r="R5" s="44">
        <v>37.793300000000002</v>
      </c>
      <c r="S5" s="45"/>
      <c r="T5" s="38">
        <f t="shared" ref="T5:T24" si="0">G5+H5</f>
        <v>20</v>
      </c>
      <c r="U5" s="46">
        <f t="shared" ref="U5:U24" si="1">(O5/$A$10)*T5</f>
        <v>0.12145733961316464</v>
      </c>
      <c r="V5" s="47">
        <f t="shared" ref="V5:V24" si="2">N5-M5</f>
        <v>0</v>
      </c>
      <c r="W5" s="48">
        <f t="shared" ref="W5:W24" si="3">(O5/A$10)</f>
        <v>6.0728669806582323E-3</v>
      </c>
      <c r="X5" s="43">
        <f t="shared" ref="X5:X24" si="4">W5*A$8</f>
        <v>6734.3285104851157</v>
      </c>
      <c r="Y5" s="43">
        <f t="shared" ref="Y5:Y24" si="5">Q5-P5</f>
        <v>0</v>
      </c>
      <c r="Z5" s="43">
        <f t="shared" ref="Z5:Z24" si="6">X5+(A$6*W5)</f>
        <v>86577.757664497112</v>
      </c>
      <c r="AA5" s="49">
        <f t="shared" ref="AA5:AA24" si="7">Q5+X5</f>
        <v>60734.328510485117</v>
      </c>
      <c r="AB5" s="50">
        <f t="shared" ref="AB5:AB24" si="8">Z5/(1+GasDiscountRate)^1</f>
        <v>81065.316165259457</v>
      </c>
      <c r="AC5" s="43">
        <f t="shared" ref="AC5:AC24" si="9">AA5/(1+GasDiscountRate)^1</f>
        <v>56867.348792589059</v>
      </c>
      <c r="AD5" s="43">
        <f t="shared" ref="AD5:AD24" si="10">-PV(GasDiscountRate,T5,R5)*J5</f>
        <v>21960.867054956714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78887.098243815519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78887.098243815519</v>
      </c>
      <c r="AK5" s="43">
        <f>HLOOKUP(I5,GasAvoidedCostsWOCC!$A$5:$Q$50,G5+1,FALSE)*J5*L5</f>
        <v>0</v>
      </c>
      <c r="AL5" s="43">
        <f>AG5+AI5-AK5</f>
        <v>78887.098243815519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78887.098243815504</v>
      </c>
      <c r="AN5" s="47">
        <f>AM5*1.1+AD5+AE5</f>
        <v>108736.67512315378</v>
      </c>
      <c r="AO5" s="46">
        <f>IFERROR(AM5/AB5,0)</f>
        <v>0.97313008787872424</v>
      </c>
      <c r="AP5" s="46">
        <f>AN5/AC5</f>
        <v>1.9121108585481361</v>
      </c>
    </row>
    <row r="6" spans="1:42" ht="13.5" customHeight="1" x14ac:dyDescent="0.25">
      <c r="A6" s="52">
        <f>SUMIF('Program Costs'!D:D,C2,'Program Costs'!L:L)</f>
        <v>13147567.600000001</v>
      </c>
      <c r="B6" s="88" t="s">
        <v>33</v>
      </c>
      <c r="C6" s="89">
        <v>18230637</v>
      </c>
      <c r="D6" s="60" t="s">
        <v>78</v>
      </c>
      <c r="E6" s="37" t="s">
        <v>1694</v>
      </c>
      <c r="F6" s="38" t="s">
        <v>632</v>
      </c>
      <c r="G6" s="38">
        <v>45</v>
      </c>
      <c r="H6" s="38">
        <v>0</v>
      </c>
      <c r="I6" s="39" t="s">
        <v>273</v>
      </c>
      <c r="J6" s="40">
        <v>1890000</v>
      </c>
      <c r="K6" s="40">
        <v>0.01</v>
      </c>
      <c r="L6" s="40">
        <v>0</v>
      </c>
      <c r="M6" s="41">
        <v>0.2</v>
      </c>
      <c r="N6" s="41">
        <v>0.2</v>
      </c>
      <c r="O6" s="42">
        <v>18900</v>
      </c>
      <c r="P6" s="43">
        <v>378000</v>
      </c>
      <c r="Q6" s="43">
        <v>378000</v>
      </c>
      <c r="R6" s="44">
        <v>0</v>
      </c>
      <c r="S6" s="45"/>
      <c r="T6" s="38">
        <f t="shared" si="0"/>
        <v>45</v>
      </c>
      <c r="U6" s="46">
        <f t="shared" si="1"/>
        <v>1.2698838946543702</v>
      </c>
      <c r="V6" s="47">
        <f t="shared" si="2"/>
        <v>0</v>
      </c>
      <c r="W6" s="48">
        <f t="shared" si="3"/>
        <v>2.8219642103430448E-2</v>
      </c>
      <c r="X6" s="43">
        <f t="shared" si="4"/>
        <v>31293.348097049795</v>
      </c>
      <c r="Y6" s="43">
        <f t="shared" si="5"/>
        <v>0</v>
      </c>
      <c r="Z6" s="43">
        <f t="shared" si="6"/>
        <v>402313.00029970787</v>
      </c>
      <c r="AA6" s="49">
        <f t="shared" si="7"/>
        <v>409293.34809704981</v>
      </c>
      <c r="AB6" s="50">
        <f t="shared" si="8"/>
        <v>376697.5658236965</v>
      </c>
      <c r="AC6" s="43">
        <f t="shared" si="9"/>
        <v>383233.47200098296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710071.88643197599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710071.88643197599</v>
      </c>
      <c r="AK6" s="43">
        <f>HLOOKUP(I6,GasAvoidedCostsWOCC!$A$5:$Q$50,G6+1,FALSE)*J6*L6</f>
        <v>0</v>
      </c>
      <c r="AL6" s="43">
        <f t="shared" ref="AL6:AL24" si="14">AG6+AI6-AK6</f>
        <v>710071.88643197599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710071.88643197611</v>
      </c>
      <c r="AN6" s="47">
        <f t="shared" ref="AN6:AN24" si="15">AM6*1.1+AD6+AE6</f>
        <v>781079.07507517375</v>
      </c>
      <c r="AO6" s="46">
        <f t="shared" ref="AO6:AO24" si="16">IFERROR(AM6/AB6,0)</f>
        <v>1.8849919692985402</v>
      </c>
      <c r="AP6" s="46">
        <f t="shared" ref="AP6:AP24" si="17">AN6/AC6</f>
        <v>2.0381285355814911</v>
      </c>
    </row>
    <row r="7" spans="1:42" ht="13.5" customHeight="1" x14ac:dyDescent="0.25">
      <c r="A7" s="35" t="s">
        <v>239</v>
      </c>
      <c r="B7" s="88" t="s">
        <v>33</v>
      </c>
      <c r="C7" s="89">
        <v>18230637</v>
      </c>
      <c r="D7" s="60" t="s">
        <v>78</v>
      </c>
      <c r="E7" s="37" t="s">
        <v>1695</v>
      </c>
      <c r="F7" s="38" t="s">
        <v>633</v>
      </c>
      <c r="G7" s="38">
        <v>45</v>
      </c>
      <c r="H7" s="38">
        <v>0</v>
      </c>
      <c r="I7" s="39" t="s">
        <v>273</v>
      </c>
      <c r="J7" s="40">
        <v>75600</v>
      </c>
      <c r="K7" s="40">
        <v>0.01</v>
      </c>
      <c r="L7" s="40">
        <v>0</v>
      </c>
      <c r="M7" s="41">
        <v>0.2</v>
      </c>
      <c r="N7" s="41">
        <v>0.2</v>
      </c>
      <c r="O7" s="42">
        <v>756</v>
      </c>
      <c r="P7" s="43">
        <v>15120</v>
      </c>
      <c r="Q7" s="43">
        <v>15120</v>
      </c>
      <c r="R7" s="44">
        <v>0</v>
      </c>
      <c r="S7" s="45"/>
      <c r="T7" s="38">
        <f t="shared" si="0"/>
        <v>45</v>
      </c>
      <c r="U7" s="46">
        <f t="shared" si="1"/>
        <v>5.0795355786174813E-2</v>
      </c>
      <c r="V7" s="47">
        <f t="shared" si="2"/>
        <v>0</v>
      </c>
      <c r="W7" s="48">
        <f t="shared" si="3"/>
        <v>1.128785684137218E-3</v>
      </c>
      <c r="X7" s="43">
        <f t="shared" si="4"/>
        <v>1251.733923881992</v>
      </c>
      <c r="Y7" s="43">
        <f t="shared" si="5"/>
        <v>0</v>
      </c>
      <c r="Z7" s="43">
        <f t="shared" si="6"/>
        <v>16092.520011988314</v>
      </c>
      <c r="AA7" s="49">
        <f t="shared" si="7"/>
        <v>16371.733923881991</v>
      </c>
      <c r="AB7" s="50">
        <f t="shared" si="8"/>
        <v>15067.902632947858</v>
      </c>
      <c r="AC7" s="43">
        <f t="shared" si="9"/>
        <v>15329.338880039317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28402.875457279039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28402.875457279039</v>
      </c>
      <c r="AK7" s="43">
        <f>HLOOKUP(I7,GasAvoidedCostsWOCC!$A$5:$Q$50,G7+1,FALSE)*J7*L7</f>
        <v>0</v>
      </c>
      <c r="AL7" s="43">
        <f t="shared" si="14"/>
        <v>28402.875457279039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28402.875457279042</v>
      </c>
      <c r="AN7" s="47">
        <f t="shared" si="15"/>
        <v>31243.16300300695</v>
      </c>
      <c r="AO7" s="46">
        <f t="shared" si="16"/>
        <v>1.8849919692985402</v>
      </c>
      <c r="AP7" s="46">
        <f t="shared" si="17"/>
        <v>2.0381285355814911</v>
      </c>
    </row>
    <row r="8" spans="1:42" ht="13.5" customHeight="1" x14ac:dyDescent="0.25">
      <c r="A8" s="52">
        <f>SUMIF('Program Costs'!D:D,C2,'Program Costs'!O:O)</f>
        <v>1108920.8000000007</v>
      </c>
      <c r="B8" s="88" t="s">
        <v>33</v>
      </c>
      <c r="C8" s="89">
        <v>18230637</v>
      </c>
      <c r="D8" s="60" t="s">
        <v>78</v>
      </c>
      <c r="E8" s="37" t="s">
        <v>1696</v>
      </c>
      <c r="F8" s="38" t="s">
        <v>636</v>
      </c>
      <c r="G8" s="38">
        <v>45</v>
      </c>
      <c r="H8" s="38">
        <v>0</v>
      </c>
      <c r="I8" s="39" t="s">
        <v>273</v>
      </c>
      <c r="J8" s="40">
        <v>2430000</v>
      </c>
      <c r="K8" s="40">
        <v>0.01</v>
      </c>
      <c r="L8" s="40">
        <v>0</v>
      </c>
      <c r="M8" s="41">
        <v>0.2</v>
      </c>
      <c r="N8" s="41">
        <v>0.2</v>
      </c>
      <c r="O8" s="42">
        <v>24300</v>
      </c>
      <c r="P8" s="43">
        <v>486000</v>
      </c>
      <c r="Q8" s="43">
        <v>486000</v>
      </c>
      <c r="R8" s="44">
        <v>0</v>
      </c>
      <c r="S8" s="45"/>
      <c r="T8" s="38">
        <f t="shared" si="0"/>
        <v>45</v>
      </c>
      <c r="U8" s="46">
        <f t="shared" si="1"/>
        <v>1.632707864555619</v>
      </c>
      <c r="V8" s="47">
        <f t="shared" si="2"/>
        <v>0</v>
      </c>
      <c r="W8" s="48">
        <f t="shared" si="3"/>
        <v>3.6282396990124866E-2</v>
      </c>
      <c r="X8" s="43">
        <f t="shared" si="4"/>
        <v>40234.304696206884</v>
      </c>
      <c r="Y8" s="43">
        <f t="shared" si="5"/>
        <v>0</v>
      </c>
      <c r="Z8" s="43">
        <f t="shared" si="6"/>
        <v>517259.57181391015</v>
      </c>
      <c r="AA8" s="49">
        <f t="shared" si="7"/>
        <v>526234.30469620693</v>
      </c>
      <c r="AB8" s="50">
        <f t="shared" si="8"/>
        <v>484325.4417733241</v>
      </c>
      <c r="AC8" s="43">
        <f t="shared" si="9"/>
        <v>492728.74971554952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912949.5682696834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912949.5682696834</v>
      </c>
      <c r="AK8" s="43">
        <f>HLOOKUP(I8,GasAvoidedCostsWOCC!$A$5:$Q$50,G8+1,FALSE)*J8*L8</f>
        <v>0</v>
      </c>
      <c r="AL8" s="43">
        <f t="shared" si="14"/>
        <v>912949.5682696834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912949.56826968351</v>
      </c>
      <c r="AN8" s="47">
        <f t="shared" si="15"/>
        <v>1004244.525096652</v>
      </c>
      <c r="AO8" s="46">
        <f t="shared" si="16"/>
        <v>1.88499196929854</v>
      </c>
      <c r="AP8" s="46">
        <f t="shared" si="17"/>
        <v>2.0381285355814911</v>
      </c>
    </row>
    <row r="9" spans="1:42" ht="13.5" customHeight="1" x14ac:dyDescent="0.25">
      <c r="A9" s="35" t="s">
        <v>303</v>
      </c>
      <c r="B9" s="88" t="s">
        <v>33</v>
      </c>
      <c r="C9" s="89">
        <v>18230637</v>
      </c>
      <c r="D9" s="60" t="s">
        <v>78</v>
      </c>
      <c r="E9" s="37" t="s">
        <v>1697</v>
      </c>
      <c r="F9" s="38" t="s">
        <v>637</v>
      </c>
      <c r="G9" s="38">
        <v>45</v>
      </c>
      <c r="H9" s="38">
        <v>0</v>
      </c>
      <c r="I9" s="39" t="s">
        <v>273</v>
      </c>
      <c r="J9" s="40">
        <v>48600</v>
      </c>
      <c r="K9" s="40">
        <v>0.01</v>
      </c>
      <c r="L9" s="40">
        <v>0</v>
      </c>
      <c r="M9" s="41">
        <v>0.2</v>
      </c>
      <c r="N9" s="41">
        <v>0.2</v>
      </c>
      <c r="O9" s="42">
        <v>486</v>
      </c>
      <c r="P9" s="43">
        <v>9720</v>
      </c>
      <c r="Q9" s="43">
        <v>9720</v>
      </c>
      <c r="R9" s="44">
        <v>0</v>
      </c>
      <c r="S9" s="45"/>
      <c r="T9" s="38">
        <f t="shared" si="0"/>
        <v>45</v>
      </c>
      <c r="U9" s="46">
        <f t="shared" si="1"/>
        <v>3.265415729111238E-2</v>
      </c>
      <c r="V9" s="47">
        <f t="shared" si="2"/>
        <v>0</v>
      </c>
      <c r="W9" s="48">
        <f t="shared" si="3"/>
        <v>7.2564793980249727E-4</v>
      </c>
      <c r="X9" s="43">
        <f t="shared" si="4"/>
        <v>804.68609392413771</v>
      </c>
      <c r="Y9" s="43">
        <f t="shared" si="5"/>
        <v>0</v>
      </c>
      <c r="Z9" s="43">
        <f t="shared" si="6"/>
        <v>10345.191436278203</v>
      </c>
      <c r="AA9" s="49">
        <f t="shared" si="7"/>
        <v>10524.686093924138</v>
      </c>
      <c r="AB9" s="50">
        <f t="shared" si="8"/>
        <v>9686.5088354664822</v>
      </c>
      <c r="AC9" s="43">
        <f t="shared" si="9"/>
        <v>9854.5749943109895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18258.991365393667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18258.991365393667</v>
      </c>
      <c r="AK9" s="43">
        <f>HLOOKUP(I9,GasAvoidedCostsWOCC!$A$5:$Q$50,G9+1,FALSE)*J9*L9</f>
        <v>0</v>
      </c>
      <c r="AL9" s="43">
        <f t="shared" si="14"/>
        <v>18258.991365393667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18258.991365393671</v>
      </c>
      <c r="AN9" s="47">
        <f t="shared" si="15"/>
        <v>20084.890501933041</v>
      </c>
      <c r="AO9" s="46">
        <f t="shared" si="16"/>
        <v>1.88499196929854</v>
      </c>
      <c r="AP9" s="46">
        <f t="shared" si="17"/>
        <v>2.0381285355814915</v>
      </c>
    </row>
    <row r="10" spans="1:42" ht="13.5" customHeight="1" x14ac:dyDescent="0.25">
      <c r="A10" s="53">
        <f>SUM(O5:O999)</f>
        <v>669746.26860000007</v>
      </c>
      <c r="B10" s="88" t="s">
        <v>33</v>
      </c>
      <c r="C10" s="89">
        <v>18230637</v>
      </c>
      <c r="D10" s="60" t="s">
        <v>78</v>
      </c>
      <c r="E10" s="37" t="s">
        <v>1698</v>
      </c>
      <c r="F10" s="38" t="s">
        <v>639</v>
      </c>
      <c r="G10" s="38">
        <v>18</v>
      </c>
      <c r="H10" s="38">
        <v>0</v>
      </c>
      <c r="I10" s="39" t="s">
        <v>273</v>
      </c>
      <c r="J10" s="40">
        <v>8</v>
      </c>
      <c r="K10" s="40">
        <v>18.96</v>
      </c>
      <c r="L10" s="40">
        <v>0</v>
      </c>
      <c r="M10" s="41">
        <v>550</v>
      </c>
      <c r="N10" s="41">
        <v>549</v>
      </c>
      <c r="O10" s="42">
        <v>151.68</v>
      </c>
      <c r="P10" s="43">
        <v>4400</v>
      </c>
      <c r="Q10" s="43">
        <v>4392</v>
      </c>
      <c r="R10" s="44">
        <v>37.798400000000001</v>
      </c>
      <c r="S10" s="45"/>
      <c r="T10" s="38">
        <f t="shared" si="0"/>
        <v>18</v>
      </c>
      <c r="U10" s="46">
        <f t="shared" si="1"/>
        <v>4.0765288707126958E-3</v>
      </c>
      <c r="V10" s="47">
        <f t="shared" si="2"/>
        <v>-1</v>
      </c>
      <c r="W10" s="48">
        <f t="shared" si="3"/>
        <v>2.2647382615070531E-4</v>
      </c>
      <c r="X10" s="43">
        <f t="shared" si="4"/>
        <v>251.14153647410123</v>
      </c>
      <c r="Y10" s="43">
        <f t="shared" si="5"/>
        <v>-8</v>
      </c>
      <c r="Z10" s="43">
        <f t="shared" si="6"/>
        <v>3228.7214754211473</v>
      </c>
      <c r="AA10" s="49">
        <f t="shared" si="7"/>
        <v>4643.1415364741015</v>
      </c>
      <c r="AB10" s="50">
        <f t="shared" si="8"/>
        <v>3023.1474488962053</v>
      </c>
      <c r="AC10" s="43">
        <f t="shared" si="9"/>
        <v>4347.5108019420422</v>
      </c>
      <c r="AD10" s="43">
        <f t="shared" si="10"/>
        <v>3086.1406425830783</v>
      </c>
      <c r="AE10" s="43">
        <f t="shared" si="18"/>
        <v>0</v>
      </c>
      <c r="AF10" s="51">
        <f>HLOOKUP(I10,GasAvoidedCostsWOCC!$A$5:$G$50,G10+1,FALSE)</f>
        <v>17.876078617173665</v>
      </c>
      <c r="AG10" s="43">
        <f t="shared" si="11"/>
        <v>2711.4436046529017</v>
      </c>
      <c r="AH10" s="51">
        <f>HLOOKUP(I10,GasAvoidedCostsWOCC!$A$5:$Q$50,T10+1,FALSE)</f>
        <v>17.876078617173665</v>
      </c>
      <c r="AI10" s="43">
        <f t="shared" si="12"/>
        <v>0</v>
      </c>
      <c r="AJ10" s="43">
        <f t="shared" si="13"/>
        <v>2711.4436046529017</v>
      </c>
      <c r="AK10" s="43">
        <f>HLOOKUP(I10,GasAvoidedCostsWOCC!$A$5:$Q$50,G10+1,FALSE)*J10*L10</f>
        <v>0</v>
      </c>
      <c r="AL10" s="43">
        <f t="shared" si="14"/>
        <v>2711.4436046529017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2711.4436046529017</v>
      </c>
      <c r="AN10" s="47">
        <f t="shared" si="15"/>
        <v>6068.7286077012704</v>
      </c>
      <c r="AO10" s="46">
        <f t="shared" si="16"/>
        <v>0.89689426350768597</v>
      </c>
      <c r="AP10" s="46">
        <f t="shared" si="17"/>
        <v>1.395908804870676</v>
      </c>
    </row>
    <row r="11" spans="1:42" ht="13.5" customHeight="1" x14ac:dyDescent="0.25">
      <c r="A11" s="35" t="s">
        <v>242</v>
      </c>
      <c r="B11" s="88" t="s">
        <v>33</v>
      </c>
      <c r="C11" s="89">
        <v>18230637</v>
      </c>
      <c r="D11" s="60" t="s">
        <v>78</v>
      </c>
      <c r="E11" s="37" t="s">
        <v>1564</v>
      </c>
      <c r="F11" s="38" t="s">
        <v>1565</v>
      </c>
      <c r="G11" s="38">
        <v>20</v>
      </c>
      <c r="H11" s="38">
        <v>0</v>
      </c>
      <c r="I11" s="39" t="s">
        <v>273</v>
      </c>
      <c r="J11" s="40">
        <v>16</v>
      </c>
      <c r="K11" s="40">
        <v>31</v>
      </c>
      <c r="L11" s="40">
        <v>0</v>
      </c>
      <c r="M11" s="41">
        <v>550</v>
      </c>
      <c r="N11" s="41">
        <v>440</v>
      </c>
      <c r="O11" s="42">
        <v>496</v>
      </c>
      <c r="P11" s="43">
        <v>8800</v>
      </c>
      <c r="Q11" s="43">
        <v>7040</v>
      </c>
      <c r="R11" s="44">
        <v>25.883600000000001</v>
      </c>
      <c r="S11" s="45"/>
      <c r="T11" s="38">
        <f t="shared" si="0"/>
        <v>20</v>
      </c>
      <c r="U11" s="46">
        <f t="shared" si="1"/>
        <v>1.4811579347408997E-2</v>
      </c>
      <c r="V11" s="47">
        <f t="shared" si="2"/>
        <v>-110</v>
      </c>
      <c r="W11" s="48">
        <f t="shared" si="3"/>
        <v>7.405789673704499E-4</v>
      </c>
      <c r="X11" s="43">
        <f t="shared" si="4"/>
        <v>821.24342095961379</v>
      </c>
      <c r="Y11" s="43">
        <f t="shared" si="5"/>
        <v>-1760</v>
      </c>
      <c r="Z11" s="43">
        <f t="shared" si="6"/>
        <v>10558.0554576008</v>
      </c>
      <c r="AA11" s="49">
        <f t="shared" si="7"/>
        <v>7861.243420959614</v>
      </c>
      <c r="AB11" s="50">
        <f t="shared" si="8"/>
        <v>9885.8197168546812</v>
      </c>
      <c r="AC11" s="43">
        <f t="shared" si="9"/>
        <v>7360.7148136325968</v>
      </c>
      <c r="AD11" s="43">
        <f t="shared" si="10"/>
        <v>4456.4144164191175</v>
      </c>
      <c r="AE11" s="43">
        <f t="shared" si="18"/>
        <v>0</v>
      </c>
      <c r="AF11" s="51">
        <f>HLOOKUP(I11,GasAvoidedCostsWOCC!$A$5:$G$50,G11+1,FALSE)</f>
        <v>19.395541552048424</v>
      </c>
      <c r="AG11" s="43">
        <f t="shared" si="11"/>
        <v>9620.1886098160194</v>
      </c>
      <c r="AH11" s="51">
        <f>HLOOKUP(I11,GasAvoidedCostsWOCC!$A$5:$Q$50,T11+1,FALSE)</f>
        <v>19.395541552048424</v>
      </c>
      <c r="AI11" s="43">
        <f t="shared" si="12"/>
        <v>0</v>
      </c>
      <c r="AJ11" s="43">
        <f t="shared" si="13"/>
        <v>9620.1886098160194</v>
      </c>
      <c r="AK11" s="43">
        <f>HLOOKUP(I11,GasAvoidedCostsWOCC!$A$5:$Q$50,G11+1,FALSE)*J11*L11</f>
        <v>0</v>
      </c>
      <c r="AL11" s="43">
        <f t="shared" si="14"/>
        <v>9620.1886098160194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9620.1886098160194</v>
      </c>
      <c r="AN11" s="47">
        <f t="shared" si="15"/>
        <v>15038.621887216741</v>
      </c>
      <c r="AO11" s="46">
        <f t="shared" si="16"/>
        <v>0.97313008787872413</v>
      </c>
      <c r="AP11" s="46">
        <f t="shared" si="17"/>
        <v>2.0430925892365894</v>
      </c>
    </row>
    <row r="12" spans="1:42" ht="13.5" customHeight="1" x14ac:dyDescent="0.25">
      <c r="A12" s="54">
        <f>SUM(P5:P1000)</f>
        <v>13147567.600000001</v>
      </c>
      <c r="B12" s="88" t="s">
        <v>33</v>
      </c>
      <c r="C12" s="89">
        <v>18230637</v>
      </c>
      <c r="D12" s="60" t="s">
        <v>78</v>
      </c>
      <c r="E12" s="37" t="s">
        <v>1699</v>
      </c>
      <c r="F12" s="38" t="s">
        <v>1700</v>
      </c>
      <c r="G12" s="38">
        <v>20</v>
      </c>
      <c r="H12" s="38">
        <v>0</v>
      </c>
      <c r="I12" s="39" t="s">
        <v>273</v>
      </c>
      <c r="J12" s="40">
        <v>1890</v>
      </c>
      <c r="K12" s="40">
        <v>75.319999999999993</v>
      </c>
      <c r="L12" s="40">
        <v>0</v>
      </c>
      <c r="M12" s="41">
        <v>1000</v>
      </c>
      <c r="N12" s="41">
        <v>1000</v>
      </c>
      <c r="O12" s="42">
        <v>142354.79999999999</v>
      </c>
      <c r="P12" s="43">
        <v>1890000</v>
      </c>
      <c r="Q12" s="43">
        <v>1890000</v>
      </c>
      <c r="R12" s="44">
        <v>37.901899999999998</v>
      </c>
      <c r="S12" s="45"/>
      <c r="T12" s="38">
        <f t="shared" si="0"/>
        <v>20</v>
      </c>
      <c r="U12" s="46">
        <f t="shared" si="1"/>
        <v>4.2510068864607629</v>
      </c>
      <c r="V12" s="47">
        <f t="shared" si="2"/>
        <v>0</v>
      </c>
      <c r="W12" s="48">
        <f t="shared" si="3"/>
        <v>0.21255034432303813</v>
      </c>
      <c r="X12" s="43">
        <f t="shared" si="4"/>
        <v>235701.49786697904</v>
      </c>
      <c r="Y12" s="43">
        <f t="shared" si="5"/>
        <v>0</v>
      </c>
      <c r="Z12" s="43">
        <f t="shared" si="6"/>
        <v>3030221.5182573991</v>
      </c>
      <c r="AA12" s="49">
        <f t="shared" si="7"/>
        <v>2125701.4978669789</v>
      </c>
      <c r="AB12" s="50">
        <f t="shared" si="8"/>
        <v>2837286.0657840814</v>
      </c>
      <c r="AC12" s="43">
        <f t="shared" si="9"/>
        <v>1990357.2077406168</v>
      </c>
      <c r="AD12" s="43">
        <f t="shared" si="10"/>
        <v>770839.02559605101</v>
      </c>
      <c r="AE12" s="43">
        <f t="shared" si="18"/>
        <v>0</v>
      </c>
      <c r="AF12" s="51">
        <f>HLOOKUP(I12,GasAvoidedCostsWOCC!$A$5:$G$50,G12+1,FALSE)</f>
        <v>19.395541552048424</v>
      </c>
      <c r="AG12" s="43">
        <f t="shared" si="11"/>
        <v>2761048.4385335427</v>
      </c>
      <c r="AH12" s="51">
        <f>HLOOKUP(I12,GasAvoidedCostsWOCC!$A$5:$Q$50,T12+1,FALSE)</f>
        <v>19.395541552048424</v>
      </c>
      <c r="AI12" s="43">
        <f t="shared" si="12"/>
        <v>0</v>
      </c>
      <c r="AJ12" s="43">
        <f t="shared" si="13"/>
        <v>2761048.4385335427</v>
      </c>
      <c r="AK12" s="43">
        <f>HLOOKUP(I12,GasAvoidedCostsWOCC!$A$5:$Q$50,G12+1,FALSE)*J12*L12</f>
        <v>0</v>
      </c>
      <c r="AL12" s="43">
        <f t="shared" si="14"/>
        <v>2761048.4385335427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2761048.4385335427</v>
      </c>
      <c r="AN12" s="47">
        <f t="shared" si="15"/>
        <v>3807992.3079829481</v>
      </c>
      <c r="AO12" s="46">
        <f t="shared" si="16"/>
        <v>0.97313008787872413</v>
      </c>
      <c r="AP12" s="46">
        <f t="shared" si="17"/>
        <v>1.9132205481375109</v>
      </c>
    </row>
    <row r="13" spans="1:42" ht="13.5" customHeight="1" x14ac:dyDescent="0.25">
      <c r="A13" s="55" t="s">
        <v>245</v>
      </c>
      <c r="B13" s="88" t="s">
        <v>33</v>
      </c>
      <c r="C13" s="89">
        <v>18230637</v>
      </c>
      <c r="D13" s="60" t="s">
        <v>78</v>
      </c>
      <c r="E13" s="37" t="s">
        <v>1572</v>
      </c>
      <c r="F13" s="38" t="s">
        <v>1573</v>
      </c>
      <c r="G13" s="38">
        <v>20</v>
      </c>
      <c r="H13" s="38">
        <v>0</v>
      </c>
      <c r="I13" s="39" t="s">
        <v>273</v>
      </c>
      <c r="J13" s="40">
        <v>406</v>
      </c>
      <c r="K13" s="40">
        <v>31</v>
      </c>
      <c r="L13" s="40">
        <v>0</v>
      </c>
      <c r="M13" s="41">
        <v>440</v>
      </c>
      <c r="N13" s="41">
        <v>440</v>
      </c>
      <c r="O13" s="42">
        <v>12586</v>
      </c>
      <c r="P13" s="43">
        <v>178640</v>
      </c>
      <c r="Q13" s="43">
        <v>178640</v>
      </c>
      <c r="R13" s="44">
        <v>25.883600000000001</v>
      </c>
      <c r="S13" s="45"/>
      <c r="T13" s="38">
        <f t="shared" si="0"/>
        <v>20</v>
      </c>
      <c r="U13" s="46">
        <f t="shared" si="1"/>
        <v>0.37584382594050331</v>
      </c>
      <c r="V13" s="47">
        <f t="shared" si="2"/>
        <v>0</v>
      </c>
      <c r="W13" s="48">
        <f t="shared" si="3"/>
        <v>1.8792191297025165E-2</v>
      </c>
      <c r="X13" s="43">
        <f t="shared" si="4"/>
        <v>20839.051806850199</v>
      </c>
      <c r="Y13" s="43">
        <f t="shared" si="5"/>
        <v>0</v>
      </c>
      <c r="Z13" s="43">
        <f t="shared" si="6"/>
        <v>267910.65723662026</v>
      </c>
      <c r="AA13" s="49">
        <f t="shared" si="7"/>
        <v>199479.05180685018</v>
      </c>
      <c r="AB13" s="50">
        <f t="shared" si="8"/>
        <v>250852.67531518749</v>
      </c>
      <c r="AC13" s="43">
        <f t="shared" si="9"/>
        <v>186778.13839592712</v>
      </c>
      <c r="AD13" s="43">
        <f t="shared" si="10"/>
        <v>113081.5158166351</v>
      </c>
      <c r="AE13" s="43">
        <f t="shared" si="18"/>
        <v>0</v>
      </c>
      <c r="AF13" s="51">
        <f>HLOOKUP(I13,GasAvoidedCostsWOCC!$A$5:$G$50,G13+1,FALSE)</f>
        <v>19.395541552048424</v>
      </c>
      <c r="AG13" s="43">
        <f t="shared" si="11"/>
        <v>244112.28597408146</v>
      </c>
      <c r="AH13" s="51">
        <f>HLOOKUP(I13,GasAvoidedCostsWOCC!$A$5:$Q$50,T13+1,FALSE)</f>
        <v>19.395541552048424</v>
      </c>
      <c r="AI13" s="43">
        <f t="shared" si="12"/>
        <v>0</v>
      </c>
      <c r="AJ13" s="43">
        <f t="shared" si="13"/>
        <v>244112.28597408146</v>
      </c>
      <c r="AK13" s="43">
        <f>HLOOKUP(I13,GasAvoidedCostsWOCC!$A$5:$Q$50,G13+1,FALSE)*J13*L13</f>
        <v>0</v>
      </c>
      <c r="AL13" s="43">
        <f t="shared" si="14"/>
        <v>244112.28597408146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244112.28597408149</v>
      </c>
      <c r="AN13" s="47">
        <f t="shared" si="15"/>
        <v>381605.03038812475</v>
      </c>
      <c r="AO13" s="46">
        <f t="shared" si="16"/>
        <v>0.97313008787872424</v>
      </c>
      <c r="AP13" s="46">
        <f t="shared" si="17"/>
        <v>2.0430925892365894</v>
      </c>
    </row>
    <row r="14" spans="1:42" ht="13.5" customHeight="1" x14ac:dyDescent="0.25">
      <c r="A14" s="54">
        <f>SUM(Y5:Y1000)</f>
        <v>7660010.8399999999</v>
      </c>
      <c r="B14" s="88" t="s">
        <v>33</v>
      </c>
      <c r="C14" s="89">
        <v>18230637</v>
      </c>
      <c r="D14" s="60" t="s">
        <v>78</v>
      </c>
      <c r="E14" s="37" t="s">
        <v>1578</v>
      </c>
      <c r="F14" s="38" t="s">
        <v>1579</v>
      </c>
      <c r="G14" s="38">
        <v>25</v>
      </c>
      <c r="H14" s="38">
        <v>0</v>
      </c>
      <c r="I14" s="39" t="s">
        <v>273</v>
      </c>
      <c r="J14" s="40">
        <v>2026</v>
      </c>
      <c r="K14" s="40">
        <v>3.1099999999999999E-2</v>
      </c>
      <c r="L14" s="40">
        <v>0</v>
      </c>
      <c r="M14" s="41">
        <v>1.3</v>
      </c>
      <c r="N14" s="41">
        <v>1.1399999999999999</v>
      </c>
      <c r="O14" s="42">
        <v>63.008600000000001</v>
      </c>
      <c r="P14" s="43">
        <v>2633.8</v>
      </c>
      <c r="Q14" s="43">
        <v>2309.64</v>
      </c>
      <c r="R14" s="44">
        <v>4.7600000000000003E-2</v>
      </c>
      <c r="S14" s="45"/>
      <c r="T14" s="38">
        <f t="shared" si="0"/>
        <v>25</v>
      </c>
      <c r="U14" s="46">
        <f t="shared" si="1"/>
        <v>2.3519578590452486E-3</v>
      </c>
      <c r="V14" s="47">
        <f t="shared" si="2"/>
        <v>-0.16000000000000014</v>
      </c>
      <c r="W14" s="48">
        <f t="shared" si="3"/>
        <v>9.4078314361809942E-5</v>
      </c>
      <c r="X14" s="43">
        <f t="shared" si="4"/>
        <v>104.32539962474983</v>
      </c>
      <c r="Y14" s="43">
        <f t="shared" si="5"/>
        <v>-324.16000000000031</v>
      </c>
      <c r="Z14" s="43">
        <f t="shared" si="6"/>
        <v>1341.2263973906972</v>
      </c>
      <c r="AA14" s="49">
        <f t="shared" si="7"/>
        <v>2413.9653996247498</v>
      </c>
      <c r="AB14" s="50">
        <f t="shared" si="8"/>
        <v>1255.829960103649</v>
      </c>
      <c r="AC14" s="43">
        <f t="shared" si="9"/>
        <v>2260.2672281130613</v>
      </c>
      <c r="AD14" s="43">
        <f t="shared" si="10"/>
        <v>1144.3856758972981</v>
      </c>
      <c r="AE14" s="43">
        <f t="shared" si="18"/>
        <v>0</v>
      </c>
      <c r="AF14" s="51">
        <f>HLOOKUP(I14,GasAvoidedCostsWOCC!$A$5:$G$50,G14+1,FALSE)</f>
        <v>22.891286501587491</v>
      </c>
      <c r="AG14" s="43">
        <f t="shared" si="11"/>
        <v>1442.3479146639254</v>
      </c>
      <c r="AH14" s="51">
        <f>HLOOKUP(I14,GasAvoidedCostsWOCC!$A$5:$Q$50,T14+1,FALSE)</f>
        <v>22.891286501587491</v>
      </c>
      <c r="AI14" s="43">
        <f t="shared" si="12"/>
        <v>0</v>
      </c>
      <c r="AJ14" s="43">
        <f t="shared" si="13"/>
        <v>1442.3479146639254</v>
      </c>
      <c r="AK14" s="43">
        <f>HLOOKUP(I14,GasAvoidedCostsWOCC!$A$5:$Q$50,G14+1,FALSE)*J14*L14</f>
        <v>0</v>
      </c>
      <c r="AL14" s="43">
        <f t="shared" si="14"/>
        <v>1442.3479146639254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1442.3479146639256</v>
      </c>
      <c r="AN14" s="47">
        <f t="shared" si="15"/>
        <v>2730.9683820276164</v>
      </c>
      <c r="AO14" s="46">
        <f t="shared" si="16"/>
        <v>1.1485216633507314</v>
      </c>
      <c r="AP14" s="46">
        <f t="shared" si="17"/>
        <v>1.2082502228320633</v>
      </c>
    </row>
    <row r="15" spans="1:42" ht="13.5" customHeight="1" x14ac:dyDescent="0.25">
      <c r="A15" s="56" t="s">
        <v>248</v>
      </c>
      <c r="B15" s="88" t="s">
        <v>33</v>
      </c>
      <c r="C15" s="89">
        <v>18230637</v>
      </c>
      <c r="D15" s="60" t="s">
        <v>78</v>
      </c>
      <c r="E15" s="37" t="s">
        <v>1584</v>
      </c>
      <c r="F15" s="38" t="s">
        <v>1585</v>
      </c>
      <c r="G15" s="38">
        <v>25</v>
      </c>
      <c r="H15" s="38">
        <v>0</v>
      </c>
      <c r="I15" s="39" t="s">
        <v>273</v>
      </c>
      <c r="J15" s="40">
        <v>2700</v>
      </c>
      <c r="K15" s="40">
        <v>4.19E-2</v>
      </c>
      <c r="L15" s="40">
        <v>0</v>
      </c>
      <c r="M15" s="41">
        <v>1.3</v>
      </c>
      <c r="N15" s="41">
        <v>1.54</v>
      </c>
      <c r="O15" s="42">
        <v>113.13</v>
      </c>
      <c r="P15" s="43">
        <v>3510</v>
      </c>
      <c r="Q15" s="43">
        <v>4158</v>
      </c>
      <c r="R15" s="44">
        <v>0</v>
      </c>
      <c r="S15" s="45"/>
      <c r="T15" s="38">
        <f t="shared" si="0"/>
        <v>25</v>
      </c>
      <c r="U15" s="46">
        <f t="shared" si="1"/>
        <v>4.2228678719061991E-3</v>
      </c>
      <c r="V15" s="47">
        <f t="shared" si="2"/>
        <v>0.24</v>
      </c>
      <c r="W15" s="48">
        <f t="shared" si="3"/>
        <v>1.6891471487624795E-4</v>
      </c>
      <c r="X15" s="43">
        <f t="shared" si="4"/>
        <v>187.3130407523409</v>
      </c>
      <c r="Y15" s="43">
        <f t="shared" si="5"/>
        <v>648</v>
      </c>
      <c r="Z15" s="43">
        <f t="shared" si="6"/>
        <v>2408.1306732225366</v>
      </c>
      <c r="AA15" s="49">
        <f t="shared" si="7"/>
        <v>4345.3130407523413</v>
      </c>
      <c r="AB15" s="50">
        <f t="shared" si="8"/>
        <v>2254.8040011446969</v>
      </c>
      <c r="AC15" s="43">
        <f t="shared" si="9"/>
        <v>4068.6451692437649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22.891286501587491</v>
      </c>
      <c r="AG15" s="43">
        <f t="shared" si="11"/>
        <v>2589.6912419245928</v>
      </c>
      <c r="AH15" s="51">
        <f>HLOOKUP(I15,GasAvoidedCostsWOCC!$A$5:$Q$50,T15+1,FALSE)</f>
        <v>22.891286501587491</v>
      </c>
      <c r="AI15" s="43">
        <f t="shared" si="12"/>
        <v>0</v>
      </c>
      <c r="AJ15" s="43">
        <f t="shared" si="13"/>
        <v>2589.6912419245928</v>
      </c>
      <c r="AK15" s="43">
        <f>HLOOKUP(I15,GasAvoidedCostsWOCC!$A$5:$Q$50,G15+1,FALSE)*J15*L15</f>
        <v>0</v>
      </c>
      <c r="AL15" s="43">
        <f t="shared" si="14"/>
        <v>2589.6912419245928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2589.6912419245928</v>
      </c>
      <c r="AN15" s="47">
        <f t="shared" si="15"/>
        <v>2848.6603661170525</v>
      </c>
      <c r="AO15" s="46">
        <f t="shared" si="16"/>
        <v>1.1485216633507318</v>
      </c>
      <c r="AP15" s="46">
        <f t="shared" si="17"/>
        <v>0.70014961925188723</v>
      </c>
    </row>
    <row r="16" spans="1:42" ht="13.5" customHeight="1" x14ac:dyDescent="0.25">
      <c r="A16" s="53">
        <f>SUM(U5:U999)</f>
        <v>38.990375279860125</v>
      </c>
      <c r="B16" s="88" t="s">
        <v>33</v>
      </c>
      <c r="C16" s="89">
        <v>18230637</v>
      </c>
      <c r="D16" s="60" t="s">
        <v>78</v>
      </c>
      <c r="E16" s="37" t="s">
        <v>1588</v>
      </c>
      <c r="F16" s="38" t="s">
        <v>615</v>
      </c>
      <c r="G16" s="38">
        <v>45</v>
      </c>
      <c r="H16" s="38">
        <v>0</v>
      </c>
      <c r="I16" s="39" t="s">
        <v>273</v>
      </c>
      <c r="J16" s="40">
        <v>27000</v>
      </c>
      <c r="K16" s="40">
        <v>0.2291</v>
      </c>
      <c r="L16" s="40">
        <v>0</v>
      </c>
      <c r="M16" s="41">
        <v>1.7</v>
      </c>
      <c r="N16" s="41">
        <v>1.68</v>
      </c>
      <c r="O16" s="42">
        <v>6185.7</v>
      </c>
      <c r="P16" s="43">
        <v>45900</v>
      </c>
      <c r="Q16" s="43">
        <v>45360</v>
      </c>
      <c r="R16" s="44">
        <v>0</v>
      </c>
      <c r="S16" s="45"/>
      <c r="T16" s="38">
        <f t="shared" si="0"/>
        <v>45</v>
      </c>
      <c r="U16" s="46">
        <f t="shared" si="1"/>
        <v>0.41561485752188032</v>
      </c>
      <c r="V16" s="47">
        <f t="shared" si="2"/>
        <v>-2.0000000000000018E-2</v>
      </c>
      <c r="W16" s="48">
        <f t="shared" si="3"/>
        <v>9.2358857227084513E-3</v>
      </c>
      <c r="X16" s="43">
        <f t="shared" si="4"/>
        <v>10241.865784334441</v>
      </c>
      <c r="Y16" s="43">
        <f t="shared" si="5"/>
        <v>-540</v>
      </c>
      <c r="Z16" s="43">
        <f t="shared" si="6"/>
        <v>131671.29766951868</v>
      </c>
      <c r="AA16" s="49">
        <f t="shared" si="7"/>
        <v>55601.865784334441</v>
      </c>
      <c r="AB16" s="50">
        <f t="shared" si="8"/>
        <v>123287.73190029839</v>
      </c>
      <c r="AC16" s="43">
        <f t="shared" si="9"/>
        <v>52061.672082710145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232396.38454509387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232396.38454509387</v>
      </c>
      <c r="AK16" s="43">
        <f>HLOOKUP(I16,GasAvoidedCostsWOCC!$A$5:$Q$50,G16+1,FALSE)*J16*L16</f>
        <v>0</v>
      </c>
      <c r="AL16" s="43">
        <f t="shared" si="14"/>
        <v>232396.38454509387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232396.38454509387</v>
      </c>
      <c r="AN16" s="47">
        <f t="shared" si="15"/>
        <v>255636.02299960327</v>
      </c>
      <c r="AO16" s="46">
        <f t="shared" si="16"/>
        <v>1.88499196929854</v>
      </c>
      <c r="AP16" s="46">
        <f t="shared" si="17"/>
        <v>4.9102537965641107</v>
      </c>
    </row>
    <row r="17" spans="1:42" ht="13.5" customHeight="1" x14ac:dyDescent="0.25">
      <c r="A17" s="57" t="s">
        <v>251</v>
      </c>
      <c r="B17" s="88" t="s">
        <v>33</v>
      </c>
      <c r="C17" s="89">
        <v>18230637</v>
      </c>
      <c r="D17" s="60" t="s">
        <v>78</v>
      </c>
      <c r="E17" s="37" t="s">
        <v>1594</v>
      </c>
      <c r="F17" s="38" t="s">
        <v>617</v>
      </c>
      <c r="G17" s="38">
        <v>45</v>
      </c>
      <c r="H17" s="38">
        <v>0</v>
      </c>
      <c r="I17" s="39" t="s">
        <v>273</v>
      </c>
      <c r="J17" s="40">
        <v>40500</v>
      </c>
      <c r="K17" s="40">
        <v>7.9600000000000004E-2</v>
      </c>
      <c r="L17" s="40">
        <v>0</v>
      </c>
      <c r="M17" s="41">
        <v>1.4</v>
      </c>
      <c r="N17" s="41">
        <v>1.38</v>
      </c>
      <c r="O17" s="42">
        <v>3223.8</v>
      </c>
      <c r="P17" s="43">
        <v>56700</v>
      </c>
      <c r="Q17" s="43">
        <v>55889.999999999993</v>
      </c>
      <c r="R17" s="44">
        <v>9.0499999999999997E-2</v>
      </c>
      <c r="S17" s="45"/>
      <c r="T17" s="38">
        <f t="shared" si="0"/>
        <v>45</v>
      </c>
      <c r="U17" s="46">
        <f t="shared" si="1"/>
        <v>0.21660591003104543</v>
      </c>
      <c r="V17" s="47">
        <f t="shared" si="2"/>
        <v>-2.0000000000000018E-2</v>
      </c>
      <c r="W17" s="48">
        <f t="shared" si="3"/>
        <v>4.8134646673565649E-3</v>
      </c>
      <c r="X17" s="43">
        <f t="shared" si="4"/>
        <v>5337.7510896967797</v>
      </c>
      <c r="Y17" s="43">
        <f t="shared" si="5"/>
        <v>-810.00000000000728</v>
      </c>
      <c r="Z17" s="43">
        <f t="shared" si="6"/>
        <v>68623.103193978735</v>
      </c>
      <c r="AA17" s="49">
        <f t="shared" si="7"/>
        <v>61227.751089696772</v>
      </c>
      <c r="AB17" s="50">
        <f t="shared" si="8"/>
        <v>64253.841941927654</v>
      </c>
      <c r="AC17" s="43">
        <f t="shared" si="9"/>
        <v>57329.354952899594</v>
      </c>
      <c r="AD17" s="43">
        <f t="shared" si="10"/>
        <v>51108.909480078561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121117.97605711136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121117.97605711136</v>
      </c>
      <c r="AK17" s="43">
        <f>HLOOKUP(I17,GasAvoidedCostsWOCC!$A$5:$Q$50,G17+1,FALSE)*J17*L17</f>
        <v>0</v>
      </c>
      <c r="AL17" s="43">
        <f t="shared" si="14"/>
        <v>121117.97605711136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121117.97605711134</v>
      </c>
      <c r="AN17" s="47">
        <f t="shared" si="15"/>
        <v>184338.68314290105</v>
      </c>
      <c r="AO17" s="46">
        <f t="shared" si="16"/>
        <v>1.8849919692985402</v>
      </c>
      <c r="AP17" s="46">
        <f t="shared" si="17"/>
        <v>3.2154327097234781</v>
      </c>
    </row>
    <row r="18" spans="1:42" ht="13.5" customHeight="1" x14ac:dyDescent="0.25">
      <c r="A18" s="58">
        <f>A6+A8</f>
        <v>14256488.400000002</v>
      </c>
      <c r="B18" s="88" t="s">
        <v>33</v>
      </c>
      <c r="C18" s="89">
        <v>18230637</v>
      </c>
      <c r="D18" s="60" t="s">
        <v>78</v>
      </c>
      <c r="E18" s="37" t="s">
        <v>1599</v>
      </c>
      <c r="F18" s="38" t="s">
        <v>620</v>
      </c>
      <c r="G18" s="38">
        <v>45</v>
      </c>
      <c r="H18" s="38">
        <v>0</v>
      </c>
      <c r="I18" s="39" t="s">
        <v>273</v>
      </c>
      <c r="J18" s="40">
        <v>43200</v>
      </c>
      <c r="K18" s="40">
        <v>5.5399999999999998E-2</v>
      </c>
      <c r="L18" s="40">
        <v>0</v>
      </c>
      <c r="M18" s="41">
        <v>2.7</v>
      </c>
      <c r="N18" s="41">
        <v>2.67</v>
      </c>
      <c r="O18" s="42">
        <v>2393.2799999999997</v>
      </c>
      <c r="P18" s="43">
        <v>116640</v>
      </c>
      <c r="Q18" s="43">
        <v>115344</v>
      </c>
      <c r="R18" s="44">
        <v>6.7900000000000002E-2</v>
      </c>
      <c r="S18" s="45"/>
      <c r="T18" s="38">
        <f t="shared" si="0"/>
        <v>45</v>
      </c>
      <c r="U18" s="46">
        <f t="shared" si="1"/>
        <v>0.16080358346023338</v>
      </c>
      <c r="V18" s="47">
        <f t="shared" si="2"/>
        <v>-3.0000000000000249E-2</v>
      </c>
      <c r="W18" s="48">
        <f t="shared" si="3"/>
        <v>3.5734129657829638E-3</v>
      </c>
      <c r="X18" s="43">
        <f t="shared" si="4"/>
        <v>3962.6319647464193</v>
      </c>
      <c r="Y18" s="43">
        <f t="shared" si="5"/>
        <v>-1296</v>
      </c>
      <c r="Z18" s="43">
        <f t="shared" si="6"/>
        <v>50944.320495094427</v>
      </c>
      <c r="AA18" s="49">
        <f t="shared" si="7"/>
        <v>119306.63196474643</v>
      </c>
      <c r="AB18" s="50">
        <f t="shared" si="8"/>
        <v>47700.674620874932</v>
      </c>
      <c r="AC18" s="43">
        <f t="shared" si="9"/>
        <v>111710.32955500601</v>
      </c>
      <c r="AD18" s="43">
        <f t="shared" si="10"/>
        <v>40902.187299563426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89915.388590471935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89915.388590471935</v>
      </c>
      <c r="AK18" s="43">
        <f>HLOOKUP(I18,GasAvoidedCostsWOCC!$A$5:$Q$50,G18+1,FALSE)*J18*L18</f>
        <v>0</v>
      </c>
      <c r="AL18" s="43">
        <f t="shared" si="14"/>
        <v>89915.388590471935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89915.388590471935</v>
      </c>
      <c r="AN18" s="47">
        <f t="shared" si="15"/>
        <v>139809.11474908257</v>
      </c>
      <c r="AO18" s="46">
        <f t="shared" si="16"/>
        <v>1.8849919692985402</v>
      </c>
      <c r="AP18" s="46">
        <f t="shared" si="17"/>
        <v>1.251532560202866</v>
      </c>
    </row>
    <row r="19" spans="1:42" ht="13.5" customHeight="1" x14ac:dyDescent="0.25">
      <c r="A19" s="57" t="s">
        <v>221</v>
      </c>
      <c r="B19" s="88" t="s">
        <v>33</v>
      </c>
      <c r="C19" s="89">
        <v>18230637</v>
      </c>
      <c r="D19" s="60" t="s">
        <v>78</v>
      </c>
      <c r="E19" s="37" t="s">
        <v>1603</v>
      </c>
      <c r="F19" s="38" t="s">
        <v>624</v>
      </c>
      <c r="G19" s="38">
        <v>45</v>
      </c>
      <c r="H19" s="38">
        <v>0</v>
      </c>
      <c r="I19" s="39" t="s">
        <v>273</v>
      </c>
      <c r="J19" s="40">
        <v>8100</v>
      </c>
      <c r="K19" s="40">
        <v>4.5100000000000001E-2</v>
      </c>
      <c r="L19" s="40">
        <v>0</v>
      </c>
      <c r="M19" s="41">
        <v>2.5</v>
      </c>
      <c r="N19" s="41">
        <v>2.46</v>
      </c>
      <c r="O19" s="42">
        <v>365.31</v>
      </c>
      <c r="P19" s="43">
        <v>20250</v>
      </c>
      <c r="Q19" s="43">
        <v>19926</v>
      </c>
      <c r="R19" s="44">
        <v>3.4799999999999998E-2</v>
      </c>
      <c r="S19" s="45"/>
      <c r="T19" s="38">
        <f t="shared" si="0"/>
        <v>45</v>
      </c>
      <c r="U19" s="46">
        <f t="shared" si="1"/>
        <v>2.454504156381947E-2</v>
      </c>
      <c r="V19" s="47">
        <f t="shared" si="2"/>
        <v>-4.0000000000000036E-2</v>
      </c>
      <c r="W19" s="48">
        <f t="shared" si="3"/>
        <v>5.4544536808487712E-4</v>
      </c>
      <c r="X19" s="43">
        <f t="shared" si="4"/>
        <v>604.85571393297676</v>
      </c>
      <c r="Y19" s="43">
        <f t="shared" si="5"/>
        <v>-324</v>
      </c>
      <c r="Z19" s="43">
        <f t="shared" si="6"/>
        <v>7776.1355629357822</v>
      </c>
      <c r="AA19" s="49">
        <f t="shared" si="7"/>
        <v>20530.855713932975</v>
      </c>
      <c r="AB19" s="50">
        <f t="shared" si="8"/>
        <v>7281.0258079923051</v>
      </c>
      <c r="AC19" s="43">
        <f t="shared" si="9"/>
        <v>19223.647672221887</v>
      </c>
      <c r="AD19" s="43">
        <f t="shared" si="10"/>
        <v>3930.5857456502404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13724.675176320909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13724.675176320909</v>
      </c>
      <c r="AK19" s="43">
        <f>HLOOKUP(I19,GasAvoidedCostsWOCC!$A$5:$Q$50,G19+1,FALSE)*J19*L19</f>
        <v>0</v>
      </c>
      <c r="AL19" s="43">
        <f t="shared" si="14"/>
        <v>13724.675176320909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13724.675176320909</v>
      </c>
      <c r="AN19" s="47">
        <f t="shared" si="15"/>
        <v>19027.728439603241</v>
      </c>
      <c r="AO19" s="46">
        <f t="shared" si="16"/>
        <v>1.88499196929854</v>
      </c>
      <c r="AP19" s="46">
        <f t="shared" si="17"/>
        <v>0.98980842574940919</v>
      </c>
    </row>
    <row r="20" spans="1:42" ht="13.5" customHeight="1" x14ac:dyDescent="0.25">
      <c r="A20" s="58">
        <f>A8+SUM(Q5:Q906)</f>
        <v>21916499.240000002</v>
      </c>
      <c r="B20" s="88" t="s">
        <v>33</v>
      </c>
      <c r="C20" s="89">
        <v>18230637</v>
      </c>
      <c r="D20" s="60" t="s">
        <v>78</v>
      </c>
      <c r="E20" s="37" t="s">
        <v>1610</v>
      </c>
      <c r="F20" s="38" t="s">
        <v>1611</v>
      </c>
      <c r="G20" s="38">
        <v>45</v>
      </c>
      <c r="H20" s="38">
        <v>0</v>
      </c>
      <c r="I20" s="39" t="s">
        <v>273</v>
      </c>
      <c r="J20" s="40">
        <v>702000</v>
      </c>
      <c r="K20" s="40">
        <v>0.2291</v>
      </c>
      <c r="L20" s="40">
        <v>0</v>
      </c>
      <c r="M20" s="41">
        <v>1.7</v>
      </c>
      <c r="N20" s="41">
        <v>1.68</v>
      </c>
      <c r="O20" s="42">
        <v>160828.20000000001</v>
      </c>
      <c r="P20" s="43">
        <v>1193400</v>
      </c>
      <c r="Q20" s="43">
        <v>1179360</v>
      </c>
      <c r="R20" s="44">
        <v>3.85E-2</v>
      </c>
      <c r="S20" s="45"/>
      <c r="T20" s="38">
        <f t="shared" si="0"/>
        <v>45</v>
      </c>
      <c r="U20" s="46">
        <f t="shared" si="1"/>
        <v>10.805986295568889</v>
      </c>
      <c r="V20" s="47">
        <f t="shared" si="2"/>
        <v>-2.0000000000000018E-2</v>
      </c>
      <c r="W20" s="48">
        <f t="shared" si="3"/>
        <v>0.24013302879041976</v>
      </c>
      <c r="X20" s="43">
        <f t="shared" si="4"/>
        <v>266288.51039269549</v>
      </c>
      <c r="Y20" s="43">
        <f t="shared" si="5"/>
        <v>-14040</v>
      </c>
      <c r="Z20" s="43">
        <f t="shared" si="6"/>
        <v>3423453.7394074858</v>
      </c>
      <c r="AA20" s="49">
        <f t="shared" si="7"/>
        <v>1445648.5103926954</v>
      </c>
      <c r="AB20" s="50">
        <f t="shared" si="8"/>
        <v>3205481.0294077583</v>
      </c>
      <c r="AC20" s="43">
        <f t="shared" si="9"/>
        <v>1353603.4741504637</v>
      </c>
      <c r="AD20" s="43">
        <f t="shared" si="10"/>
        <v>376869.38040190522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6042305.9981724406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6042305.9981724406</v>
      </c>
      <c r="AK20" s="43">
        <f>HLOOKUP(I20,GasAvoidedCostsWOCC!$A$5:$Q$50,G20+1,FALSE)*J20*L20</f>
        <v>0</v>
      </c>
      <c r="AL20" s="43">
        <f t="shared" si="14"/>
        <v>6042305.9981724406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6042305.9981724406</v>
      </c>
      <c r="AN20" s="47">
        <f t="shared" si="15"/>
        <v>7023405.9783915905</v>
      </c>
      <c r="AO20" s="46">
        <f t="shared" si="16"/>
        <v>1.8849919692985397</v>
      </c>
      <c r="AP20" s="46">
        <f t="shared" si="17"/>
        <v>5.1886731325062216</v>
      </c>
    </row>
    <row r="21" spans="1:42" ht="13.5" customHeight="1" x14ac:dyDescent="0.25">
      <c r="A21" s="57" t="s">
        <v>235</v>
      </c>
      <c r="B21" s="88" t="s">
        <v>33</v>
      </c>
      <c r="C21" s="89">
        <v>18230637</v>
      </c>
      <c r="D21" s="60" t="s">
        <v>78</v>
      </c>
      <c r="E21" s="37" t="s">
        <v>1618</v>
      </c>
      <c r="F21" s="38" t="s">
        <v>1619</v>
      </c>
      <c r="G21" s="38">
        <v>45</v>
      </c>
      <c r="H21" s="38">
        <v>0</v>
      </c>
      <c r="I21" s="39" t="s">
        <v>273</v>
      </c>
      <c r="J21" s="40">
        <v>810000</v>
      </c>
      <c r="K21" s="40">
        <v>7.9600000000000004E-2</v>
      </c>
      <c r="L21" s="40">
        <v>0</v>
      </c>
      <c r="M21" s="41">
        <v>1.4</v>
      </c>
      <c r="N21" s="41">
        <v>1.38</v>
      </c>
      <c r="O21" s="42">
        <v>64476</v>
      </c>
      <c r="P21" s="43">
        <v>1134000</v>
      </c>
      <c r="Q21" s="43">
        <v>1117800</v>
      </c>
      <c r="R21" s="44">
        <v>4.2799999999999998E-2</v>
      </c>
      <c r="S21" s="45"/>
      <c r="T21" s="38">
        <f t="shared" si="0"/>
        <v>45</v>
      </c>
      <c r="U21" s="46">
        <f t="shared" si="1"/>
        <v>4.3321182006209087</v>
      </c>
      <c r="V21" s="47">
        <f t="shared" si="2"/>
        <v>-2.0000000000000018E-2</v>
      </c>
      <c r="W21" s="48">
        <f t="shared" si="3"/>
        <v>9.6269293347131302E-2</v>
      </c>
      <c r="X21" s="43">
        <f t="shared" si="4"/>
        <v>106755.02179393559</v>
      </c>
      <c r="Y21" s="43">
        <f t="shared" si="5"/>
        <v>-16200</v>
      </c>
      <c r="Z21" s="43">
        <f t="shared" si="6"/>
        <v>1372462.0638795749</v>
      </c>
      <c r="AA21" s="49">
        <f t="shared" si="7"/>
        <v>1224555.0217939357</v>
      </c>
      <c r="AB21" s="50">
        <f t="shared" si="8"/>
        <v>1285076.8388385533</v>
      </c>
      <c r="AC21" s="43">
        <f t="shared" si="9"/>
        <v>1146587.0990579922</v>
      </c>
      <c r="AD21" s="43">
        <f t="shared" si="10"/>
        <v>483416.86756847787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2422359.5211422271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2422359.5211422271</v>
      </c>
      <c r="AK21" s="43">
        <f>HLOOKUP(I21,GasAvoidedCostsWOCC!$A$5:$Q$50,G21+1,FALSE)*J21*L21</f>
        <v>0</v>
      </c>
      <c r="AL21" s="43">
        <f t="shared" si="14"/>
        <v>2422359.5211422271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2422359.5211422266</v>
      </c>
      <c r="AN21" s="47">
        <f t="shared" si="15"/>
        <v>3148012.3408249277</v>
      </c>
      <c r="AO21" s="46">
        <f t="shared" si="16"/>
        <v>1.8849919692985397</v>
      </c>
      <c r="AP21" s="46">
        <f t="shared" si="17"/>
        <v>2.7455501142575711</v>
      </c>
    </row>
    <row r="22" spans="1:42" ht="13.5" customHeight="1" x14ac:dyDescent="0.25">
      <c r="A22" s="59">
        <f>(SUM(AM5:AM1000)/(SUM(AB5:AB1000)))</f>
        <v>1.6657760007385767</v>
      </c>
      <c r="B22" s="88" t="s">
        <v>33</v>
      </c>
      <c r="C22" s="89">
        <v>18230637</v>
      </c>
      <c r="D22" s="60" t="s">
        <v>78</v>
      </c>
      <c r="E22" s="37" t="s">
        <v>1624</v>
      </c>
      <c r="F22" s="38" t="s">
        <v>1625</v>
      </c>
      <c r="G22" s="38">
        <v>25</v>
      </c>
      <c r="H22" s="38">
        <v>0</v>
      </c>
      <c r="I22" s="39" t="s">
        <v>273</v>
      </c>
      <c r="J22" s="40">
        <v>4050</v>
      </c>
      <c r="K22" s="40">
        <v>4.2799999999999998E-2</v>
      </c>
      <c r="L22" s="40">
        <v>0</v>
      </c>
      <c r="M22" s="41">
        <v>1.8</v>
      </c>
      <c r="N22" s="41">
        <v>1.86</v>
      </c>
      <c r="O22" s="42">
        <v>173.34</v>
      </c>
      <c r="P22" s="43">
        <v>7290</v>
      </c>
      <c r="Q22" s="43">
        <v>7533</v>
      </c>
      <c r="R22" s="44">
        <v>8.1600000000000006E-2</v>
      </c>
      <c r="S22" s="45"/>
      <c r="T22" s="38">
        <f t="shared" si="0"/>
        <v>25</v>
      </c>
      <c r="U22" s="46">
        <f t="shared" si="1"/>
        <v>6.470360796572267E-3</v>
      </c>
      <c r="V22" s="47">
        <f t="shared" si="2"/>
        <v>6.0000000000000053E-2</v>
      </c>
      <c r="W22" s="48">
        <f t="shared" si="3"/>
        <v>2.5881443186289067E-4</v>
      </c>
      <c r="X22" s="43">
        <f t="shared" si="4"/>
        <v>287.00470683294242</v>
      </c>
      <c r="Y22" s="43">
        <f t="shared" si="5"/>
        <v>243</v>
      </c>
      <c r="Z22" s="43">
        <f t="shared" si="6"/>
        <v>3689.7849456058916</v>
      </c>
      <c r="AA22" s="49">
        <f t="shared" si="7"/>
        <v>7820.0047068329422</v>
      </c>
      <c r="AB22" s="50">
        <f t="shared" si="8"/>
        <v>3454.8548179830445</v>
      </c>
      <c r="AC22" s="43">
        <f t="shared" si="9"/>
        <v>7322.1017854241027</v>
      </c>
      <c r="AD22" s="43">
        <f t="shared" si="10"/>
        <v>3921.6714037941547</v>
      </c>
      <c r="AE22" s="43">
        <f t="shared" si="18"/>
        <v>0</v>
      </c>
      <c r="AF22" s="51">
        <f>HLOOKUP(I22,GasAvoidedCostsWOCC!$A$5:$G$50,G22+1,FALSE)</f>
        <v>22.891286501587491</v>
      </c>
      <c r="AG22" s="43">
        <f t="shared" si="11"/>
        <v>3967.9756021851754</v>
      </c>
      <c r="AH22" s="51">
        <f>HLOOKUP(I22,GasAvoidedCostsWOCC!$A$5:$Q$50,T22+1,FALSE)</f>
        <v>22.891286501587491</v>
      </c>
      <c r="AI22" s="43">
        <f t="shared" si="12"/>
        <v>0</v>
      </c>
      <c r="AJ22" s="43">
        <f t="shared" si="13"/>
        <v>3967.9756021851754</v>
      </c>
      <c r="AK22" s="43">
        <f>HLOOKUP(I22,GasAvoidedCostsWOCC!$A$5:$Q$50,G22+1,FALSE)*J22*L22</f>
        <v>0</v>
      </c>
      <c r="AL22" s="43">
        <f t="shared" si="14"/>
        <v>3967.9756021851754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3967.9756021851754</v>
      </c>
      <c r="AN22" s="47">
        <f t="shared" si="15"/>
        <v>8286.444566197848</v>
      </c>
      <c r="AO22" s="46">
        <f t="shared" si="16"/>
        <v>1.1485216633507316</v>
      </c>
      <c r="AP22" s="46">
        <f t="shared" si="17"/>
        <v>1.131703001273956</v>
      </c>
    </row>
    <row r="23" spans="1:42" ht="13.5" customHeight="1" x14ac:dyDescent="0.25">
      <c r="A23" s="57" t="s">
        <v>236</v>
      </c>
      <c r="B23" s="88" t="s">
        <v>33</v>
      </c>
      <c r="C23" s="89">
        <v>18230637</v>
      </c>
      <c r="D23" s="60" t="s">
        <v>78</v>
      </c>
      <c r="E23" s="37" t="s">
        <v>1632</v>
      </c>
      <c r="F23" s="38" t="s">
        <v>1633</v>
      </c>
      <c r="G23" s="38">
        <v>45</v>
      </c>
      <c r="H23" s="38">
        <v>0</v>
      </c>
      <c r="I23" s="39" t="s">
        <v>273</v>
      </c>
      <c r="J23" s="40">
        <v>1890000</v>
      </c>
      <c r="K23" s="40">
        <v>5.5399999999999998E-2</v>
      </c>
      <c r="L23" s="40">
        <v>0</v>
      </c>
      <c r="M23" s="41">
        <v>2.7</v>
      </c>
      <c r="N23" s="41">
        <v>2.67</v>
      </c>
      <c r="O23" s="42">
        <v>104706</v>
      </c>
      <c r="P23" s="43">
        <v>5103000</v>
      </c>
      <c r="Q23" s="43">
        <v>5046300</v>
      </c>
      <c r="R23" s="44">
        <v>3.5900000000000001E-2</v>
      </c>
      <c r="S23" s="45"/>
      <c r="T23" s="38">
        <f t="shared" si="0"/>
        <v>45</v>
      </c>
      <c r="U23" s="46">
        <f t="shared" si="1"/>
        <v>7.035156776385211</v>
      </c>
      <c r="V23" s="47">
        <f t="shared" si="2"/>
        <v>-3.0000000000000249E-2</v>
      </c>
      <c r="W23" s="48">
        <f t="shared" si="3"/>
        <v>0.15633681725300469</v>
      </c>
      <c r="X23" s="43">
        <f t="shared" si="4"/>
        <v>173365.14845765589</v>
      </c>
      <c r="Y23" s="43">
        <f t="shared" si="5"/>
        <v>-56700</v>
      </c>
      <c r="Z23" s="43">
        <f t="shared" si="6"/>
        <v>2228814.0216603815</v>
      </c>
      <c r="AA23" s="49">
        <f t="shared" si="7"/>
        <v>5219665.1484576557</v>
      </c>
      <c r="AB23" s="50">
        <f t="shared" si="8"/>
        <v>2086904.5146632784</v>
      </c>
      <c r="AC23" s="43">
        <f t="shared" si="9"/>
        <v>4887326.9180315128</v>
      </c>
      <c r="AD23" s="43">
        <f t="shared" si="10"/>
        <v>946126.62632366433</v>
      </c>
      <c r="AE23" s="43">
        <f t="shared" si="18"/>
        <v>0</v>
      </c>
      <c r="AF23" s="51">
        <f>HLOOKUP(I23,GasAvoidedCostsWOCC!$A$5:$G$50,G23+1,FALSE)</f>
        <v>37.569941081056932</v>
      </c>
      <c r="AG23" s="43">
        <f t="shared" si="11"/>
        <v>3933798.2508331467</v>
      </c>
      <c r="AH23" s="51">
        <f>HLOOKUP(I23,GasAvoidedCostsWOCC!$A$5:$Q$50,T23+1,FALSE)</f>
        <v>37.569941081056932</v>
      </c>
      <c r="AI23" s="43">
        <f t="shared" si="12"/>
        <v>0</v>
      </c>
      <c r="AJ23" s="43">
        <f t="shared" si="13"/>
        <v>3933798.2508331467</v>
      </c>
      <c r="AK23" s="43">
        <f>HLOOKUP(I23,GasAvoidedCostsWOCC!$A$5:$Q$50,G23+1,FALSE)*J23*L23</f>
        <v>0</v>
      </c>
      <c r="AL23" s="43">
        <f t="shared" si="14"/>
        <v>3933798.2508331467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3933798.2508331472</v>
      </c>
      <c r="AN23" s="47">
        <f t="shared" si="15"/>
        <v>5273304.7022401271</v>
      </c>
      <c r="AO23" s="46">
        <f t="shared" si="16"/>
        <v>1.8849919692985402</v>
      </c>
      <c r="AP23" s="46">
        <f t="shared" si="17"/>
        <v>1.0789752334317091</v>
      </c>
    </row>
    <row r="24" spans="1:42" ht="13.5" customHeight="1" x14ac:dyDescent="0.25">
      <c r="A24" s="59">
        <f>(SUM(AN5:AN1000)/SUM(AC5:AC1000))</f>
        <v>1.348134576673343</v>
      </c>
      <c r="B24" s="88" t="s">
        <v>33</v>
      </c>
      <c r="C24" s="89">
        <v>18230637</v>
      </c>
      <c r="D24" s="60" t="s">
        <v>78</v>
      </c>
      <c r="E24" s="37" t="s">
        <v>1640</v>
      </c>
      <c r="F24" s="38" t="s">
        <v>1641</v>
      </c>
      <c r="G24" s="38">
        <v>45</v>
      </c>
      <c r="H24" s="38">
        <v>0</v>
      </c>
      <c r="I24" s="39" t="s">
        <v>273</v>
      </c>
      <c r="J24" s="40">
        <v>283500</v>
      </c>
      <c r="K24" s="40">
        <v>4.5100000000000001E-2</v>
      </c>
      <c r="L24" s="40">
        <v>0</v>
      </c>
      <c r="M24" s="41">
        <v>2.5</v>
      </c>
      <c r="N24" s="41">
        <v>2.46</v>
      </c>
      <c r="O24" s="42">
        <v>12785.85</v>
      </c>
      <c r="P24" s="43">
        <v>708750</v>
      </c>
      <c r="Q24" s="43">
        <v>697410</v>
      </c>
      <c r="R24" s="44">
        <v>3.7100000000000001E-2</v>
      </c>
      <c r="S24" s="45"/>
      <c r="T24" s="38">
        <f t="shared" si="0"/>
        <v>45</v>
      </c>
      <c r="U24" s="46">
        <f t="shared" si="1"/>
        <v>0.85907645473368144</v>
      </c>
      <c r="V24" s="47">
        <f t="shared" si="2"/>
        <v>-4.0000000000000036E-2</v>
      </c>
      <c r="W24" s="48">
        <f t="shared" si="3"/>
        <v>1.9090587882970699E-2</v>
      </c>
      <c r="X24" s="43">
        <f t="shared" si="4"/>
        <v>21169.949987654189</v>
      </c>
      <c r="Y24" s="43">
        <f t="shared" si="5"/>
        <v>-11340</v>
      </c>
      <c r="Z24" s="43">
        <f t="shared" si="6"/>
        <v>272164.74470275239</v>
      </c>
      <c r="AA24" s="49">
        <f t="shared" si="7"/>
        <v>718579.94998765422</v>
      </c>
      <c r="AB24" s="50">
        <f t="shared" si="8"/>
        <v>254835.9032797307</v>
      </c>
      <c r="AC24" s="43">
        <f t="shared" si="9"/>
        <v>672827.66852776613</v>
      </c>
      <c r="AD24" s="43">
        <f t="shared" si="10"/>
        <v>146662.80433123096</v>
      </c>
      <c r="AE24" s="43">
        <f t="shared" si="18"/>
        <v>0</v>
      </c>
      <c r="AF24" s="51">
        <f>HLOOKUP(I24,GasAvoidedCostsWOCC!$A$5:$G$50,G24+1,FALSE)</f>
        <v>37.569941081056932</v>
      </c>
      <c r="AG24" s="43">
        <f t="shared" si="11"/>
        <v>480363.6311712318</v>
      </c>
      <c r="AH24" s="51">
        <f>HLOOKUP(I24,GasAvoidedCostsWOCC!$A$5:$Q$50,T24+1,FALSE)</f>
        <v>37.569941081056932</v>
      </c>
      <c r="AI24" s="43">
        <f t="shared" si="12"/>
        <v>0</v>
      </c>
      <c r="AJ24" s="43">
        <f t="shared" si="13"/>
        <v>480363.6311712318</v>
      </c>
      <c r="AK24" s="43">
        <f>HLOOKUP(I24,GasAvoidedCostsWOCC!$A$5:$Q$50,G24+1,FALSE)*J24*L24</f>
        <v>0</v>
      </c>
      <c r="AL24" s="43">
        <f t="shared" si="14"/>
        <v>480363.6311712318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480363.6311712318</v>
      </c>
      <c r="AN24" s="47">
        <f t="shared" si="15"/>
        <v>675062.79861958593</v>
      </c>
      <c r="AO24" s="46">
        <f t="shared" si="16"/>
        <v>1.8849919692985397</v>
      </c>
      <c r="AP24" s="46">
        <f t="shared" si="17"/>
        <v>1.0033219949124723</v>
      </c>
    </row>
    <row r="25" spans="1:42" ht="13.5" customHeight="1" x14ac:dyDescent="0.25">
      <c r="B25" s="88" t="s">
        <v>33</v>
      </c>
      <c r="C25" s="89">
        <v>18230637</v>
      </c>
      <c r="D25" s="60" t="s">
        <v>78</v>
      </c>
      <c r="E25" s="37" t="s">
        <v>1648</v>
      </c>
      <c r="F25" s="38" t="s">
        <v>609</v>
      </c>
      <c r="G25" s="38">
        <v>25</v>
      </c>
      <c r="H25" s="38">
        <v>0</v>
      </c>
      <c r="I25" s="39" t="s">
        <v>273</v>
      </c>
      <c r="J25" s="40">
        <v>1200</v>
      </c>
      <c r="K25" s="40">
        <v>0.32950000000000002</v>
      </c>
      <c r="L25" s="40">
        <v>0</v>
      </c>
      <c r="M25" s="41">
        <v>200</v>
      </c>
      <c r="N25" s="41">
        <v>26.07</v>
      </c>
      <c r="O25" s="42">
        <v>395.40000000000003</v>
      </c>
      <c r="P25" s="43">
        <v>13600</v>
      </c>
      <c r="Q25" s="43">
        <v>31284</v>
      </c>
      <c r="R25" s="44">
        <v>0</v>
      </c>
      <c r="S25" s="45"/>
      <c r="T25" s="38">
        <f t="shared" ref="T25:T82" si="19">G25+H25</f>
        <v>25</v>
      </c>
      <c r="U25" s="46">
        <f t="shared" ref="U25:U82" si="20">(O25/$A$10)*T25</f>
        <v>1.4759320750921165E-2</v>
      </c>
      <c r="V25" s="47">
        <f t="shared" ref="V25:V82" si="21">N25-M25</f>
        <v>-173.93</v>
      </c>
      <c r="W25" s="48">
        <f t="shared" ref="W25:W82" si="22">(O25/A$10)</f>
        <v>5.9037283003684658E-4</v>
      </c>
      <c r="X25" s="43">
        <f t="shared" ref="X25:X82" si="23">W25*A$8</f>
        <v>654.67671098272433</v>
      </c>
      <c r="Y25" s="43">
        <f t="shared" ref="Y25:Y82" si="24">Q25-P25</f>
        <v>17684</v>
      </c>
      <c r="Z25" s="43">
        <f t="shared" ref="Z25:Z82" si="25">X25+(A$6*W25)</f>
        <v>8416.643403095477</v>
      </c>
      <c r="AA25" s="49">
        <f t="shared" ref="AA25:AA82" si="26">Q25+X25</f>
        <v>31938.676710982723</v>
      </c>
      <c r="AB25" s="50">
        <f t="shared" ref="AB25:AB82" si="27">Z25/(1+GasDiscountRate)^1</f>
        <v>7880.7522500893974</v>
      </c>
      <c r="AC25" s="43">
        <f t="shared" ref="AC25:AC82" si="28">AA25/(1+GasDiscountRate)^1</f>
        <v>29905.128006538129</v>
      </c>
      <c r="AD25" s="43">
        <f t="shared" ref="AD25:AD82" si="29">-PV(GasDiscountRate,T25,R25)*J25</f>
        <v>0</v>
      </c>
      <c r="AE25" s="43">
        <f t="shared" ref="AE25:AE82" si="30">-PV(GasDiscountRate,T25,S25)*J25</f>
        <v>0</v>
      </c>
      <c r="AF25" s="51">
        <f>HLOOKUP(I25,GasAvoidedCostsWOCC!$A$5:$G$50,G25+1,FALSE)</f>
        <v>22.891286501587491</v>
      </c>
      <c r="AG25" s="43">
        <f t="shared" ref="AG25:AG82" si="31">AF25*J25*K25</f>
        <v>9051.2146827276938</v>
      </c>
      <c r="AH25" s="51">
        <f>HLOOKUP(I25,GasAvoidedCostsWOCC!$A$5:$Q$50,T25+1,FALSE)</f>
        <v>22.891286501587491</v>
      </c>
      <c r="AI25" s="43">
        <f t="shared" ref="AI25:AI82" si="32">AH25*J25*L25</f>
        <v>0</v>
      </c>
      <c r="AJ25" s="43">
        <f t="shared" ref="AJ25:AJ82" si="33">AG25+AI25</f>
        <v>9051.2146827276938</v>
      </c>
      <c r="AK25" s="43">
        <f>HLOOKUP(I25,GasAvoidedCostsWOCC!$A$5:$Q$50,G25+1,FALSE)*J25*L25</f>
        <v>0</v>
      </c>
      <c r="AL25" s="43">
        <f t="shared" ref="AL25:AL82" si="34">AG25+AI25-AK25</f>
        <v>9051.2146827276938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9051.2146827276938</v>
      </c>
      <c r="AN25" s="47">
        <f t="shared" ref="AN25:AN82" si="35">AM25*1.1+AD25+AE25</f>
        <v>9956.3361510004634</v>
      </c>
      <c r="AO25" s="46">
        <f t="shared" ref="AO25:AO82" si="36">IFERROR(AM25/AB25,0)</f>
        <v>1.1485216633507314</v>
      </c>
      <c r="AP25" s="46">
        <f t="shared" ref="AP25:AP82" si="37">AN25/AC25</f>
        <v>0.3329307317736182</v>
      </c>
    </row>
    <row r="26" spans="1:42" ht="13.5" customHeight="1" x14ac:dyDescent="0.25">
      <c r="B26" s="88" t="s">
        <v>33</v>
      </c>
      <c r="C26" s="89">
        <v>18230637</v>
      </c>
      <c r="D26" s="60" t="s">
        <v>78</v>
      </c>
      <c r="E26" s="37" t="s">
        <v>1651</v>
      </c>
      <c r="F26" s="38" t="s">
        <v>625</v>
      </c>
      <c r="G26" s="38">
        <v>45</v>
      </c>
      <c r="H26" s="38">
        <v>0</v>
      </c>
      <c r="I26" s="39" t="s">
        <v>273</v>
      </c>
      <c r="J26" s="40">
        <v>4000</v>
      </c>
      <c r="K26" s="40">
        <v>0.38109999999999999</v>
      </c>
      <c r="L26" s="40">
        <v>0</v>
      </c>
      <c r="M26" s="41">
        <v>200</v>
      </c>
      <c r="N26" s="41">
        <v>31.8</v>
      </c>
      <c r="O26" s="42">
        <v>1524.4</v>
      </c>
      <c r="P26" s="43">
        <v>44800</v>
      </c>
      <c r="Q26" s="43">
        <v>127200</v>
      </c>
      <c r="R26" s="44">
        <v>0</v>
      </c>
      <c r="S26" s="45"/>
      <c r="T26" s="38">
        <f t="shared" si="19"/>
        <v>45</v>
      </c>
      <c r="U26" s="46">
        <f t="shared" si="20"/>
        <v>0.10242386291064137</v>
      </c>
      <c r="V26" s="47">
        <f t="shared" si="21"/>
        <v>-168.2</v>
      </c>
      <c r="W26" s="48">
        <f t="shared" si="22"/>
        <v>2.2760858424586972E-3</v>
      </c>
      <c r="X26" s="43">
        <f t="shared" si="23"/>
        <v>2523.9989332879741</v>
      </c>
      <c r="Y26" s="43">
        <f t="shared" si="24"/>
        <v>82400</v>
      </c>
      <c r="Z26" s="43">
        <f t="shared" si="25"/>
        <v>32448.991410416649</v>
      </c>
      <c r="AA26" s="49">
        <f t="shared" si="26"/>
        <v>129723.99893328798</v>
      </c>
      <c r="AB26" s="50">
        <f t="shared" si="27"/>
        <v>30382.950758817085</v>
      </c>
      <c r="AC26" s="43">
        <f t="shared" si="28"/>
        <v>121464.41847686139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37.569941081056932</v>
      </c>
      <c r="AG26" s="43">
        <f t="shared" si="31"/>
        <v>57271.618183963183</v>
      </c>
      <c r="AH26" s="51">
        <f>HLOOKUP(I26,GasAvoidedCostsWOCC!$A$5:$Q$50,T26+1,FALSE)</f>
        <v>37.569941081056932</v>
      </c>
      <c r="AI26" s="43">
        <f t="shared" si="32"/>
        <v>0</v>
      </c>
      <c r="AJ26" s="43">
        <f t="shared" si="33"/>
        <v>57271.618183963183</v>
      </c>
      <c r="AK26" s="43">
        <f>HLOOKUP(I26,GasAvoidedCostsWOCC!$A$5:$Q$50,G26+1,FALSE)*J26*L26</f>
        <v>0</v>
      </c>
      <c r="AL26" s="43">
        <f t="shared" si="34"/>
        <v>57271.618183963183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57271.618183963183</v>
      </c>
      <c r="AN26" s="47">
        <f t="shared" si="35"/>
        <v>62998.780002359505</v>
      </c>
      <c r="AO26" s="46">
        <f t="shared" si="36"/>
        <v>1.8849919692985397</v>
      </c>
      <c r="AP26" s="46">
        <f t="shared" si="37"/>
        <v>0.51866036813373939</v>
      </c>
    </row>
    <row r="27" spans="1:42" ht="13.5" customHeight="1" x14ac:dyDescent="0.25">
      <c r="B27" s="88" t="s">
        <v>33</v>
      </c>
      <c r="C27" s="89">
        <v>18230637</v>
      </c>
      <c r="D27" s="60" t="s">
        <v>78</v>
      </c>
      <c r="E27" s="37" t="s">
        <v>1659</v>
      </c>
      <c r="F27" s="38" t="s">
        <v>641</v>
      </c>
      <c r="G27" s="38">
        <v>45</v>
      </c>
      <c r="H27" s="38">
        <v>0</v>
      </c>
      <c r="I27" s="39" t="s">
        <v>273</v>
      </c>
      <c r="J27" s="40">
        <v>16000</v>
      </c>
      <c r="K27" s="40">
        <v>0.26350000000000001</v>
      </c>
      <c r="L27" s="40">
        <v>0</v>
      </c>
      <c r="M27" s="41">
        <v>100</v>
      </c>
      <c r="N27" s="41">
        <v>36.94</v>
      </c>
      <c r="O27" s="42">
        <v>4216</v>
      </c>
      <c r="P27" s="43">
        <v>48600</v>
      </c>
      <c r="Q27" s="43">
        <v>591040</v>
      </c>
      <c r="R27" s="44">
        <v>0</v>
      </c>
      <c r="S27" s="45"/>
      <c r="T27" s="38">
        <f t="shared" si="19"/>
        <v>45</v>
      </c>
      <c r="U27" s="46">
        <f t="shared" si="20"/>
        <v>0.28327145501919709</v>
      </c>
      <c r="V27" s="47">
        <f t="shared" si="21"/>
        <v>-63.06</v>
      </c>
      <c r="W27" s="48">
        <f t="shared" si="22"/>
        <v>6.2949212226488241E-3</v>
      </c>
      <c r="X27" s="43">
        <f t="shared" si="23"/>
        <v>6980.5690781567164</v>
      </c>
      <c r="Y27" s="43">
        <f t="shared" si="24"/>
        <v>542440</v>
      </c>
      <c r="Z27" s="43">
        <f t="shared" si="25"/>
        <v>89743.471389606784</v>
      </c>
      <c r="AA27" s="49">
        <f t="shared" si="26"/>
        <v>598020.56907815672</v>
      </c>
      <c r="AB27" s="50">
        <f t="shared" si="27"/>
        <v>84029.467593264781</v>
      </c>
      <c r="AC27" s="43">
        <f t="shared" si="28"/>
        <v>559944.35306943511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37.569941081056932</v>
      </c>
      <c r="AG27" s="43">
        <f t="shared" si="31"/>
        <v>158394.87159773603</v>
      </c>
      <c r="AH27" s="51">
        <f>HLOOKUP(I27,GasAvoidedCostsWOCC!$A$5:$Q$50,T27+1,FALSE)</f>
        <v>37.569941081056932</v>
      </c>
      <c r="AI27" s="43">
        <f t="shared" si="32"/>
        <v>0</v>
      </c>
      <c r="AJ27" s="43">
        <f t="shared" si="33"/>
        <v>158394.87159773603</v>
      </c>
      <c r="AK27" s="43">
        <f>HLOOKUP(I27,GasAvoidedCostsWOCC!$A$5:$Q$50,G27+1,FALSE)*J27*L27</f>
        <v>0</v>
      </c>
      <c r="AL27" s="43">
        <f t="shared" si="34"/>
        <v>158394.87159773603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158394.87159773603</v>
      </c>
      <c r="AN27" s="47">
        <f t="shared" si="35"/>
        <v>174234.35875750965</v>
      </c>
      <c r="AO27" s="46">
        <f t="shared" si="36"/>
        <v>1.88499196929854</v>
      </c>
      <c r="AP27" s="46">
        <f t="shared" si="37"/>
        <v>0.31116370368307644</v>
      </c>
    </row>
    <row r="28" spans="1:42" ht="13.5" customHeight="1" x14ac:dyDescent="0.25">
      <c r="B28" s="88" t="s">
        <v>33</v>
      </c>
      <c r="C28" s="89">
        <v>18230637</v>
      </c>
      <c r="D28" s="60" t="s">
        <v>78</v>
      </c>
      <c r="E28" s="37" t="s">
        <v>1660</v>
      </c>
      <c r="F28" s="38" t="s">
        <v>1661</v>
      </c>
      <c r="G28" s="38">
        <v>45</v>
      </c>
      <c r="H28" s="38">
        <v>0</v>
      </c>
      <c r="I28" s="39" t="s">
        <v>273</v>
      </c>
      <c r="J28" s="40">
        <v>600</v>
      </c>
      <c r="K28" s="40">
        <v>0.26350000000000001</v>
      </c>
      <c r="L28" s="40">
        <v>0</v>
      </c>
      <c r="M28" s="41">
        <v>200</v>
      </c>
      <c r="N28" s="41">
        <v>36.94</v>
      </c>
      <c r="O28" s="42">
        <v>158.1</v>
      </c>
      <c r="P28" s="43">
        <v>4000</v>
      </c>
      <c r="Q28" s="43">
        <v>22164</v>
      </c>
      <c r="R28" s="44">
        <v>0</v>
      </c>
      <c r="S28" s="45"/>
      <c r="T28" s="38">
        <f t="shared" si="19"/>
        <v>45</v>
      </c>
      <c r="U28" s="46">
        <f t="shared" si="20"/>
        <v>1.0622679563219889E-2</v>
      </c>
      <c r="V28" s="47">
        <f t="shared" si="21"/>
        <v>-163.06</v>
      </c>
      <c r="W28" s="48">
        <f t="shared" si="22"/>
        <v>2.3605954584933087E-4</v>
      </c>
      <c r="X28" s="43">
        <f t="shared" si="23"/>
        <v>261.77134043087688</v>
      </c>
      <c r="Y28" s="43">
        <f t="shared" si="24"/>
        <v>18164</v>
      </c>
      <c r="Z28" s="43">
        <f t="shared" si="25"/>
        <v>3365.3801771102544</v>
      </c>
      <c r="AA28" s="49">
        <f t="shared" si="26"/>
        <v>22425.771340430878</v>
      </c>
      <c r="AB28" s="50">
        <f t="shared" si="27"/>
        <v>3151.1050347474288</v>
      </c>
      <c r="AC28" s="43">
        <f t="shared" si="28"/>
        <v>20997.913240103819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37.569941081056932</v>
      </c>
      <c r="AG28" s="43">
        <f t="shared" si="31"/>
        <v>5939.8076849151012</v>
      </c>
      <c r="AH28" s="51">
        <f>HLOOKUP(I28,GasAvoidedCostsWOCC!$A$5:$Q$50,T28+1,FALSE)</f>
        <v>37.569941081056932</v>
      </c>
      <c r="AI28" s="43">
        <f t="shared" si="32"/>
        <v>0</v>
      </c>
      <c r="AJ28" s="43">
        <f t="shared" si="33"/>
        <v>5939.8076849151012</v>
      </c>
      <c r="AK28" s="43">
        <f>HLOOKUP(I28,GasAvoidedCostsWOCC!$A$5:$Q$50,G28+1,FALSE)*J28*L28</f>
        <v>0</v>
      </c>
      <c r="AL28" s="43">
        <f t="shared" si="34"/>
        <v>5939.8076849151012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5939.8076849151012</v>
      </c>
      <c r="AN28" s="47">
        <f t="shared" si="35"/>
        <v>6533.7884534066116</v>
      </c>
      <c r="AO28" s="46">
        <f t="shared" si="36"/>
        <v>1.8849919692985404</v>
      </c>
      <c r="AP28" s="46">
        <f t="shared" si="37"/>
        <v>0.31116370368307639</v>
      </c>
    </row>
    <row r="29" spans="1:42" x14ac:dyDescent="0.25">
      <c r="B29" s="88" t="s">
        <v>33</v>
      </c>
      <c r="C29" s="89">
        <v>18230637</v>
      </c>
      <c r="D29" s="60" t="s">
        <v>78</v>
      </c>
      <c r="E29" s="37" t="s">
        <v>1671</v>
      </c>
      <c r="F29" s="38" t="s">
        <v>645</v>
      </c>
      <c r="G29" s="38">
        <v>45</v>
      </c>
      <c r="H29" s="38">
        <v>0</v>
      </c>
      <c r="I29" s="39" t="s">
        <v>273</v>
      </c>
      <c r="J29" s="40">
        <v>18000</v>
      </c>
      <c r="K29" s="40">
        <v>0.42430000000000001</v>
      </c>
      <c r="L29" s="40">
        <v>0</v>
      </c>
      <c r="M29" s="41">
        <v>100</v>
      </c>
      <c r="N29" s="41">
        <v>36.94</v>
      </c>
      <c r="O29" s="42">
        <v>7637.4000000000005</v>
      </c>
      <c r="P29" s="43">
        <v>54600</v>
      </c>
      <c r="Q29" s="43">
        <v>664920</v>
      </c>
      <c r="R29" s="44">
        <v>0</v>
      </c>
      <c r="S29" s="45"/>
      <c r="T29" s="38">
        <f t="shared" si="19"/>
        <v>45</v>
      </c>
      <c r="U29" s="46">
        <f t="shared" si="20"/>
        <v>0.51315403476366594</v>
      </c>
      <c r="V29" s="47">
        <f t="shared" si="21"/>
        <v>-63.06</v>
      </c>
      <c r="W29" s="48">
        <f t="shared" si="22"/>
        <v>1.1403422994748133E-2</v>
      </c>
      <c r="X29" s="43">
        <f t="shared" si="23"/>
        <v>12645.492950074504</v>
      </c>
      <c r="Y29" s="43">
        <f t="shared" si="24"/>
        <v>610320</v>
      </c>
      <c r="Z29" s="43">
        <f t="shared" si="25"/>
        <v>162572.76764492004</v>
      </c>
      <c r="AA29" s="49">
        <f t="shared" si="26"/>
        <v>677565.49295007449</v>
      </c>
      <c r="AB29" s="50">
        <f t="shared" si="27"/>
        <v>152221.69255142324</v>
      </c>
      <c r="AC29" s="43">
        <f t="shared" si="28"/>
        <v>634424.61886711093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37.569941081056932</v>
      </c>
      <c r="AG29" s="43">
        <f t="shared" si="31"/>
        <v>286936.66801246424</v>
      </c>
      <c r="AH29" s="51">
        <f>HLOOKUP(I29,GasAvoidedCostsWOCC!$A$5:$Q$50,T29+1,FALSE)</f>
        <v>37.569941081056932</v>
      </c>
      <c r="AI29" s="43">
        <f t="shared" si="32"/>
        <v>0</v>
      </c>
      <c r="AJ29" s="43">
        <f t="shared" si="33"/>
        <v>286936.66801246424</v>
      </c>
      <c r="AK29" s="43">
        <f>HLOOKUP(I29,GasAvoidedCostsWOCC!$A$5:$Q$50,G29+1,FALSE)*J29*L29</f>
        <v>0</v>
      </c>
      <c r="AL29" s="43">
        <f t="shared" si="34"/>
        <v>286936.66801246424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286936.66801246424</v>
      </c>
      <c r="AN29" s="47">
        <f t="shared" si="35"/>
        <v>315630.33481371071</v>
      </c>
      <c r="AO29" s="46">
        <f t="shared" si="36"/>
        <v>1.8849919692985404</v>
      </c>
      <c r="AP29" s="46">
        <f t="shared" si="37"/>
        <v>0.49750644194314264</v>
      </c>
    </row>
    <row r="30" spans="1:42" x14ac:dyDescent="0.25">
      <c r="B30" s="88" t="s">
        <v>33</v>
      </c>
      <c r="C30" s="89">
        <v>18230637</v>
      </c>
      <c r="D30" s="60" t="s">
        <v>78</v>
      </c>
      <c r="E30" s="37" t="s">
        <v>1672</v>
      </c>
      <c r="F30" s="38" t="s">
        <v>1673</v>
      </c>
      <c r="G30" s="38">
        <v>45</v>
      </c>
      <c r="H30" s="38">
        <v>0</v>
      </c>
      <c r="I30" s="39" t="s">
        <v>273</v>
      </c>
      <c r="J30" s="40">
        <v>500</v>
      </c>
      <c r="K30" s="40">
        <v>0.42430000000000001</v>
      </c>
      <c r="L30" s="40">
        <v>0</v>
      </c>
      <c r="M30" s="41">
        <v>200</v>
      </c>
      <c r="N30" s="41">
        <v>36.94</v>
      </c>
      <c r="O30" s="42">
        <v>212.15</v>
      </c>
      <c r="P30" s="43">
        <v>3200</v>
      </c>
      <c r="Q30" s="43">
        <v>18470</v>
      </c>
      <c r="R30" s="44">
        <v>0</v>
      </c>
      <c r="S30" s="45"/>
      <c r="T30" s="38">
        <f t="shared" si="19"/>
        <v>45</v>
      </c>
      <c r="U30" s="46">
        <f t="shared" si="20"/>
        <v>1.4254278743435166E-2</v>
      </c>
      <c r="V30" s="47">
        <f t="shared" si="21"/>
        <v>-163.06</v>
      </c>
      <c r="W30" s="48">
        <f t="shared" si="22"/>
        <v>3.1676174985411482E-4</v>
      </c>
      <c r="X30" s="43">
        <f t="shared" si="23"/>
        <v>351.26369305762512</v>
      </c>
      <c r="Y30" s="43">
        <f t="shared" si="24"/>
        <v>15270</v>
      </c>
      <c r="Z30" s="43">
        <f t="shared" si="25"/>
        <v>4515.9102123588909</v>
      </c>
      <c r="AA30" s="49">
        <f t="shared" si="26"/>
        <v>18821.263693057626</v>
      </c>
      <c r="AB30" s="50">
        <f t="shared" si="27"/>
        <v>4228.3803486506467</v>
      </c>
      <c r="AC30" s="43">
        <f t="shared" si="28"/>
        <v>17622.906079641973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37.569941081056932</v>
      </c>
      <c r="AG30" s="43">
        <f t="shared" si="31"/>
        <v>7970.463000346228</v>
      </c>
      <c r="AH30" s="51">
        <f>HLOOKUP(I30,GasAvoidedCostsWOCC!$A$5:$Q$50,T30+1,FALSE)</f>
        <v>37.569941081056932</v>
      </c>
      <c r="AI30" s="43">
        <f t="shared" si="32"/>
        <v>0</v>
      </c>
      <c r="AJ30" s="43">
        <f t="shared" si="33"/>
        <v>7970.463000346228</v>
      </c>
      <c r="AK30" s="43">
        <f>HLOOKUP(I30,GasAvoidedCostsWOCC!$A$5:$Q$50,G30+1,FALSE)*J30*L30</f>
        <v>0</v>
      </c>
      <c r="AL30" s="43">
        <f t="shared" si="34"/>
        <v>7970.463000346228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7970.463000346228</v>
      </c>
      <c r="AN30" s="47">
        <f t="shared" si="35"/>
        <v>8767.5093003808506</v>
      </c>
      <c r="AO30" s="46">
        <f t="shared" si="36"/>
        <v>1.8849919692985395</v>
      </c>
      <c r="AP30" s="46">
        <f t="shared" si="37"/>
        <v>0.49750644194314242</v>
      </c>
    </row>
    <row r="31" spans="1:42" x14ac:dyDescent="0.25">
      <c r="B31" s="88" t="s">
        <v>33</v>
      </c>
      <c r="C31" s="89">
        <v>18230637</v>
      </c>
      <c r="D31" s="60" t="s">
        <v>78</v>
      </c>
      <c r="E31" s="37" t="s">
        <v>1683</v>
      </c>
      <c r="F31" s="38" t="s">
        <v>1684</v>
      </c>
      <c r="G31" s="38">
        <v>25</v>
      </c>
      <c r="H31" s="38">
        <v>0</v>
      </c>
      <c r="I31" s="39" t="s">
        <v>273</v>
      </c>
      <c r="J31" s="40">
        <v>1200</v>
      </c>
      <c r="K31" s="40">
        <v>0.76370000000000005</v>
      </c>
      <c r="L31" s="40">
        <v>0</v>
      </c>
      <c r="M31" s="41">
        <v>200</v>
      </c>
      <c r="N31" s="41">
        <v>26.07</v>
      </c>
      <c r="O31" s="42">
        <v>916.44</v>
      </c>
      <c r="P31" s="43">
        <v>13600</v>
      </c>
      <c r="Q31" s="43">
        <v>31284</v>
      </c>
      <c r="R31" s="44">
        <v>0</v>
      </c>
      <c r="S31" s="45"/>
      <c r="T31" s="38">
        <f t="shared" si="19"/>
        <v>25</v>
      </c>
      <c r="U31" s="46">
        <f t="shared" si="20"/>
        <v>3.4208477260936246E-2</v>
      </c>
      <c r="V31" s="47">
        <f t="shared" si="21"/>
        <v>-173.93</v>
      </c>
      <c r="W31" s="48">
        <f t="shared" si="22"/>
        <v>1.3683390904374497E-3</v>
      </c>
      <c r="X31" s="43">
        <f t="shared" si="23"/>
        <v>1517.3796788391701</v>
      </c>
      <c r="Y31" s="43">
        <f t="shared" si="24"/>
        <v>17684</v>
      </c>
      <c r="Z31" s="43">
        <f t="shared" si="25"/>
        <v>19507.710370088054</v>
      </c>
      <c r="AA31" s="49">
        <f t="shared" si="26"/>
        <v>32801.37967883917</v>
      </c>
      <c r="AB31" s="50">
        <f t="shared" si="27"/>
        <v>18265.646413940125</v>
      </c>
      <c r="AC31" s="43">
        <f t="shared" si="28"/>
        <v>30712.902321010457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22.891286501587491</v>
      </c>
      <c r="AG31" s="43">
        <f t="shared" si="31"/>
        <v>20978.490601514841</v>
      </c>
      <c r="AH31" s="51">
        <f>HLOOKUP(I31,GasAvoidedCostsWOCC!$A$5:$Q$50,T31+1,FALSE)</f>
        <v>22.891286501587491</v>
      </c>
      <c r="AI31" s="43">
        <f t="shared" si="32"/>
        <v>0</v>
      </c>
      <c r="AJ31" s="43">
        <f t="shared" si="33"/>
        <v>20978.490601514841</v>
      </c>
      <c r="AK31" s="43">
        <f>HLOOKUP(I31,GasAvoidedCostsWOCC!$A$5:$Q$50,G31+1,FALSE)*J31*L31</f>
        <v>0</v>
      </c>
      <c r="AL31" s="43">
        <f t="shared" si="34"/>
        <v>20978.490601514841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20978.490601514841</v>
      </c>
      <c r="AN31" s="47">
        <f t="shared" si="35"/>
        <v>23076.339661666327</v>
      </c>
      <c r="AO31" s="46">
        <f t="shared" si="36"/>
        <v>1.1485216633507318</v>
      </c>
      <c r="AP31" s="46">
        <f t="shared" si="37"/>
        <v>0.75135652829136834</v>
      </c>
    </row>
    <row r="32" spans="1:42" x14ac:dyDescent="0.25">
      <c r="B32" s="88" t="s">
        <v>33</v>
      </c>
      <c r="C32" s="89">
        <v>18230637</v>
      </c>
      <c r="D32" s="60" t="s">
        <v>78</v>
      </c>
      <c r="E32" s="37" t="s">
        <v>1685</v>
      </c>
      <c r="F32" s="38" t="s">
        <v>1686</v>
      </c>
      <c r="G32" s="38">
        <v>45</v>
      </c>
      <c r="H32" s="38">
        <v>0</v>
      </c>
      <c r="I32" s="39" t="s">
        <v>273</v>
      </c>
      <c r="J32" s="40">
        <v>250000</v>
      </c>
      <c r="K32" s="40">
        <v>0.38109999999999999</v>
      </c>
      <c r="L32" s="40">
        <v>0</v>
      </c>
      <c r="M32" s="41">
        <v>50</v>
      </c>
      <c r="N32" s="41">
        <v>31.8</v>
      </c>
      <c r="O32" s="42">
        <v>95275</v>
      </c>
      <c r="P32" s="43">
        <v>694500</v>
      </c>
      <c r="Q32" s="43">
        <v>7950000</v>
      </c>
      <c r="R32" s="44">
        <v>0</v>
      </c>
      <c r="S32" s="45"/>
      <c r="T32" s="38">
        <f t="shared" si="19"/>
        <v>45</v>
      </c>
      <c r="U32" s="46">
        <f t="shared" si="20"/>
        <v>6.401491431915086</v>
      </c>
      <c r="V32" s="47">
        <f t="shared" si="21"/>
        <v>-18.2</v>
      </c>
      <c r="W32" s="48">
        <f t="shared" si="22"/>
        <v>0.14225536515366857</v>
      </c>
      <c r="X32" s="43">
        <f t="shared" si="23"/>
        <v>157749.93333049837</v>
      </c>
      <c r="Y32" s="43">
        <f t="shared" si="24"/>
        <v>7255500</v>
      </c>
      <c r="Z32" s="43">
        <f t="shared" si="25"/>
        <v>2028061.9631510405</v>
      </c>
      <c r="AA32" s="49">
        <f t="shared" si="26"/>
        <v>8107749.9333304986</v>
      </c>
      <c r="AB32" s="50">
        <f t="shared" si="27"/>
        <v>1898934.4224260678</v>
      </c>
      <c r="AC32" s="43">
        <f t="shared" si="28"/>
        <v>7591526.1548038376</v>
      </c>
      <c r="AD32" s="43">
        <f t="shared" si="29"/>
        <v>0</v>
      </c>
      <c r="AE32" s="43">
        <f t="shared" si="30"/>
        <v>0</v>
      </c>
      <c r="AF32" s="51">
        <f>HLOOKUP(I32,GasAvoidedCostsWOCC!$A$5:$G$50,G32+1,FALSE)</f>
        <v>37.569941081056932</v>
      </c>
      <c r="AG32" s="43">
        <f t="shared" si="31"/>
        <v>3579476.1364976992</v>
      </c>
      <c r="AH32" s="51">
        <f>HLOOKUP(I32,GasAvoidedCostsWOCC!$A$5:$Q$50,T32+1,FALSE)</f>
        <v>37.569941081056932</v>
      </c>
      <c r="AI32" s="43">
        <f t="shared" si="32"/>
        <v>0</v>
      </c>
      <c r="AJ32" s="43">
        <f t="shared" si="33"/>
        <v>3579476.1364976992</v>
      </c>
      <c r="AK32" s="43">
        <f>HLOOKUP(I32,GasAvoidedCostsWOCC!$A$5:$Q$50,G32+1,FALSE)*J32*L32</f>
        <v>0</v>
      </c>
      <c r="AL32" s="43">
        <f t="shared" si="34"/>
        <v>3579476.1364976992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3579476.1364976992</v>
      </c>
      <c r="AN32" s="47">
        <f t="shared" si="35"/>
        <v>3937423.7501474693</v>
      </c>
      <c r="AO32" s="46">
        <f t="shared" si="36"/>
        <v>1.88499196929854</v>
      </c>
      <c r="AP32" s="46">
        <f t="shared" si="37"/>
        <v>0.51866036813373939</v>
      </c>
    </row>
    <row r="33" spans="2:42" x14ac:dyDescent="0.25">
      <c r="B33" s="88" t="s">
        <v>33</v>
      </c>
      <c r="C33" s="89">
        <v>18230637</v>
      </c>
      <c r="D33" s="60" t="s">
        <v>78</v>
      </c>
      <c r="E33" s="37" t="s">
        <v>1701</v>
      </c>
      <c r="F33" s="38" t="s">
        <v>611</v>
      </c>
      <c r="G33" s="38">
        <v>0</v>
      </c>
      <c r="H33" s="38">
        <v>0</v>
      </c>
      <c r="I33" s="39" t="s">
        <v>273</v>
      </c>
      <c r="J33" s="40">
        <v>1620</v>
      </c>
      <c r="K33" s="40">
        <v>0</v>
      </c>
      <c r="L33" s="40">
        <v>0</v>
      </c>
      <c r="M33" s="41">
        <v>350</v>
      </c>
      <c r="N33" s="41">
        <v>0</v>
      </c>
      <c r="O33" s="42">
        <v>0</v>
      </c>
      <c r="P33" s="43">
        <v>567000</v>
      </c>
      <c r="Q33" s="43">
        <v>0</v>
      </c>
      <c r="R33" s="44">
        <v>0</v>
      </c>
      <c r="S33" s="45"/>
      <c r="T33" s="38">
        <f t="shared" si="19"/>
        <v>0</v>
      </c>
      <c r="U33" s="46">
        <f t="shared" si="20"/>
        <v>0</v>
      </c>
      <c r="V33" s="47">
        <f t="shared" si="21"/>
        <v>-350</v>
      </c>
      <c r="W33" s="48">
        <f t="shared" si="22"/>
        <v>0</v>
      </c>
      <c r="X33" s="43">
        <f t="shared" si="23"/>
        <v>0</v>
      </c>
      <c r="Y33" s="43">
        <f t="shared" si="24"/>
        <v>-567000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str">
        <f>HLOOKUP(I33,GasAvoidedCostsWOCC!$A$5:$G$50,G33+1,FALSE)</f>
        <v>SF Space Heat</v>
      </c>
      <c r="AG33" s="43" t="e">
        <f t="shared" si="31"/>
        <v>#VALUE!</v>
      </c>
      <c r="AH33" s="51" t="str">
        <f>HLOOKUP(I33,GasAvoidedCostsWOCC!$A$5:$Q$50,T33+1,FALSE)</f>
        <v>SF Space Heat</v>
      </c>
      <c r="AI33" s="43" t="e">
        <f t="shared" si="32"/>
        <v>#VALUE!</v>
      </c>
      <c r="AJ33" s="43" t="e">
        <f t="shared" si="33"/>
        <v>#VALUE!</v>
      </c>
      <c r="AK33" s="43" t="e">
        <f>HLOOKUP(I33,GasAvoidedCostsWOCC!$A$5:$Q$50,G33+1,FALSE)*J33*L33</f>
        <v>#VALUE!</v>
      </c>
      <c r="AL33" s="43" t="e">
        <f t="shared" si="34"/>
        <v>#VALUE!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33</v>
      </c>
      <c r="C34" s="89">
        <v>18230637</v>
      </c>
      <c r="D34" s="60" t="s">
        <v>78</v>
      </c>
      <c r="E34" s="37" t="s">
        <v>1702</v>
      </c>
      <c r="F34" s="38" t="s">
        <v>613</v>
      </c>
      <c r="G34" s="38">
        <v>0</v>
      </c>
      <c r="H34" s="38">
        <v>0</v>
      </c>
      <c r="I34" s="39" t="s">
        <v>273</v>
      </c>
      <c r="J34" s="40">
        <v>460</v>
      </c>
      <c r="K34" s="40">
        <v>0</v>
      </c>
      <c r="L34" s="40">
        <v>0</v>
      </c>
      <c r="M34" s="41">
        <v>500</v>
      </c>
      <c r="N34" s="41">
        <v>0</v>
      </c>
      <c r="O34" s="42">
        <v>0</v>
      </c>
      <c r="P34" s="43">
        <v>230000</v>
      </c>
      <c r="Q34" s="43">
        <v>0</v>
      </c>
      <c r="R34" s="44">
        <v>0</v>
      </c>
      <c r="S34" s="45"/>
      <c r="T34" s="38">
        <f t="shared" si="19"/>
        <v>0</v>
      </c>
      <c r="U34" s="46">
        <f t="shared" si="20"/>
        <v>0</v>
      </c>
      <c r="V34" s="47">
        <f t="shared" si="21"/>
        <v>-500</v>
      </c>
      <c r="W34" s="48">
        <f t="shared" si="22"/>
        <v>0</v>
      </c>
      <c r="X34" s="43">
        <f t="shared" si="23"/>
        <v>0</v>
      </c>
      <c r="Y34" s="43">
        <f t="shared" si="24"/>
        <v>-230000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str">
        <f>HLOOKUP(I34,GasAvoidedCostsWOCC!$A$5:$G$50,G34+1,FALSE)</f>
        <v>SF Space Heat</v>
      </c>
      <c r="AG34" s="43" t="e">
        <f t="shared" si="31"/>
        <v>#VALUE!</v>
      </c>
      <c r="AH34" s="51" t="str">
        <f>HLOOKUP(I34,GasAvoidedCostsWOCC!$A$5:$Q$50,T34+1,FALSE)</f>
        <v>SF Space Heat</v>
      </c>
      <c r="AI34" s="43" t="e">
        <f t="shared" si="32"/>
        <v>#VALUE!</v>
      </c>
      <c r="AJ34" s="43" t="e">
        <f t="shared" si="33"/>
        <v>#VALUE!</v>
      </c>
      <c r="AK34" s="43" t="e">
        <f>HLOOKUP(I34,GasAvoidedCostsWOCC!$A$5:$Q$50,G34+1,FALSE)*J34*L34</f>
        <v>#VALUE!</v>
      </c>
      <c r="AL34" s="43" t="e">
        <f t="shared" si="34"/>
        <v>#VALUE!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33</v>
      </c>
      <c r="C35" s="89">
        <v>18230637</v>
      </c>
      <c r="D35" s="60" t="s">
        <v>78</v>
      </c>
      <c r="E35" s="37" t="s">
        <v>1703</v>
      </c>
      <c r="F35" s="38" t="s">
        <v>1704</v>
      </c>
      <c r="G35" s="38">
        <v>5</v>
      </c>
      <c r="H35" s="38">
        <v>0</v>
      </c>
      <c r="I35" s="39" t="s">
        <v>273</v>
      </c>
      <c r="J35" s="40">
        <v>1486</v>
      </c>
      <c r="K35" s="40">
        <v>0</v>
      </c>
      <c r="L35" s="40">
        <v>0</v>
      </c>
      <c r="M35" s="41">
        <v>38.299999999999997</v>
      </c>
      <c r="N35" s="41">
        <v>38.299999999999997</v>
      </c>
      <c r="O35" s="42">
        <v>0</v>
      </c>
      <c r="P35" s="43">
        <v>56913.8</v>
      </c>
      <c r="Q35" s="43">
        <v>56913.799999999996</v>
      </c>
      <c r="R35" s="44">
        <v>38.85</v>
      </c>
      <c r="S35" s="45"/>
      <c r="T35" s="38">
        <f t="shared" si="19"/>
        <v>5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56913.799999999996</v>
      </c>
      <c r="AB35" s="50">
        <f t="shared" si="27"/>
        <v>0</v>
      </c>
      <c r="AC35" s="43">
        <f t="shared" si="28"/>
        <v>53290.074906367037</v>
      </c>
      <c r="AD35" s="43">
        <f t="shared" si="29"/>
        <v>237981.91636887047</v>
      </c>
      <c r="AE35" s="43">
        <f t="shared" si="30"/>
        <v>0</v>
      </c>
      <c r="AF35" s="51">
        <f>HLOOKUP(I35,GasAvoidedCostsWOCC!$A$5:$G$50,G35+1,FALSE)</f>
        <v>6.2376926190591853</v>
      </c>
      <c r="AG35" s="43">
        <f t="shared" si="31"/>
        <v>0</v>
      </c>
      <c r="AH35" s="51">
        <f>HLOOKUP(I35,GasAvoidedCostsWOCC!$A$5:$Q$50,T35+1,FALSE)</f>
        <v>6.2376926190591853</v>
      </c>
      <c r="AI35" s="43">
        <f t="shared" si="32"/>
        <v>0</v>
      </c>
      <c r="AJ35" s="43">
        <f t="shared" si="33"/>
        <v>0</v>
      </c>
      <c r="AK35" s="43">
        <f>HLOOKUP(I35,GasAvoidedCostsWOCC!$A$5:$Q$50,G35+1,FALSE)*J35*L35</f>
        <v>0</v>
      </c>
      <c r="AL35" s="43">
        <f t="shared" si="34"/>
        <v>0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237981.91636887047</v>
      </c>
      <c r="AO35" s="46">
        <f t="shared" si="36"/>
        <v>0</v>
      </c>
      <c r="AP35" s="46">
        <f t="shared" si="37"/>
        <v>4.4657831085247111</v>
      </c>
    </row>
    <row r="36" spans="2:42" x14ac:dyDescent="0.25">
      <c r="B36" s="88" t="s">
        <v>33</v>
      </c>
      <c r="C36" s="89">
        <v>18230637</v>
      </c>
      <c r="D36" s="60" t="s">
        <v>78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33</v>
      </c>
      <c r="C37" s="89">
        <v>18230637</v>
      </c>
      <c r="D37" s="60" t="s">
        <v>78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33</v>
      </c>
      <c r="C38" s="89">
        <v>18230637</v>
      </c>
      <c r="D38" s="60" t="s">
        <v>78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33</v>
      </c>
      <c r="C39" s="89">
        <v>18230637</v>
      </c>
      <c r="D39" s="60" t="s">
        <v>78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33</v>
      </c>
      <c r="C40" s="89">
        <v>18230637</v>
      </c>
      <c r="D40" s="60" t="s">
        <v>78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33</v>
      </c>
      <c r="C41" s="89">
        <v>18230637</v>
      </c>
      <c r="D41" s="60" t="s">
        <v>78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33</v>
      </c>
      <c r="C42" s="89">
        <v>18230637</v>
      </c>
      <c r="D42" s="60" t="s">
        <v>78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33</v>
      </c>
      <c r="C43" s="89">
        <v>18230637</v>
      </c>
      <c r="D43" s="60" t="s">
        <v>78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33</v>
      </c>
      <c r="C44" s="89">
        <v>18230637</v>
      </c>
      <c r="D44" s="60" t="s">
        <v>78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</sheetData>
  <conditionalFormatting sqref="J5:L82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82 R5:S82">
    <cfRule type="expression" dxfId="107" priority="2">
      <formula>ISTEXT(M5)</formula>
    </cfRule>
  </conditionalFormatting>
  <conditionalFormatting sqref="M5:N82 R5:S82">
    <cfRule type="notContainsBlanks" dxfId="106" priority="3">
      <formula>LEN(TRIM(M5))&gt;0</formula>
    </cfRule>
  </conditionalFormatting>
  <conditionalFormatting sqref="R5:S82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topLeftCell="B1"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18230738</v>
      </c>
      <c r="D2" s="19" t="s">
        <v>142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18230738</v>
      </c>
      <c r="D5" s="60" t="s">
        <v>142</v>
      </c>
      <c r="E5" s="37" t="s">
        <v>1012</v>
      </c>
      <c r="F5" s="38" t="s">
        <v>1013</v>
      </c>
      <c r="G5" s="38">
        <v>1</v>
      </c>
      <c r="H5" s="38">
        <v>0</v>
      </c>
      <c r="I5" s="39" t="s">
        <v>273</v>
      </c>
      <c r="J5" s="40">
        <v>567098</v>
      </c>
      <c r="K5" s="40">
        <v>4.3899999999999997</v>
      </c>
      <c r="L5" s="40">
        <v>0</v>
      </c>
      <c r="M5" s="41">
        <v>3.21</v>
      </c>
      <c r="N5" s="41">
        <v>3.21</v>
      </c>
      <c r="O5" s="42">
        <v>2489560.2199999997</v>
      </c>
      <c r="P5" s="43">
        <v>1820384.58</v>
      </c>
      <c r="Q5" s="43">
        <v>1820384.58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2051276.6</v>
      </c>
      <c r="Y5" s="43">
        <f t="shared" ref="Y5:Y24" si="5">Q5-P5</f>
        <v>0</v>
      </c>
      <c r="Z5" s="43">
        <f t="shared" ref="Z5:Z24" si="6">X5+(A$6*W5)</f>
        <v>3871661.18</v>
      </c>
      <c r="AA5" s="49">
        <f t="shared" ref="AA5:AA24" si="7">Q5+X5</f>
        <v>3871661.18</v>
      </c>
      <c r="AB5" s="50">
        <f t="shared" ref="AB5:AB24" si="8">Z5/(1+GasDiscountRate)^1</f>
        <v>3625150.9176029963</v>
      </c>
      <c r="AC5" s="43">
        <f t="shared" ref="AC5:AC24" si="9">AA5/(1+GasDiscountRate)^1</f>
        <v>3625150.9176029963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1.3548293266216893</v>
      </c>
      <c r="AG5" s="43">
        <f t="shared" ref="AG5:AG24" si="11">AF5*J5*K5</f>
        <v>3372929.1964467443</v>
      </c>
      <c r="AH5" s="51">
        <f>HLOOKUP(I5,GasAvoidedCostsWOCC!$A$5:$Q$50,T5+1,FALSE)</f>
        <v>1.3548293266216893</v>
      </c>
      <c r="AI5" s="43">
        <f t="shared" ref="AI5:AI24" si="12">AH5*J5*L5</f>
        <v>0</v>
      </c>
      <c r="AJ5" s="43">
        <f>AG5+AI5</f>
        <v>3372929.1964467443</v>
      </c>
      <c r="AK5" s="43">
        <f>HLOOKUP(I5,GasAvoidedCostsWOCC!$A$5:$Q$50,G5+1,FALSE)*J5*L5</f>
        <v>0</v>
      </c>
      <c r="AL5" s="43">
        <f>AG5+AI5-AK5</f>
        <v>3372929.1964467443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3372929.1964467443</v>
      </c>
      <c r="AN5" s="47">
        <f>AM5*1.1+AD5+AE5</f>
        <v>3710222.116091419</v>
      </c>
      <c r="AO5" s="46">
        <f>IFERROR(AM5/AB5,0)</f>
        <v>0.93042449076215983</v>
      </c>
      <c r="AP5" s="46">
        <f>AN5/AC5</f>
        <v>1.023466939838376</v>
      </c>
    </row>
    <row r="6" spans="1:42" ht="13.5" customHeight="1" x14ac:dyDescent="0.25">
      <c r="A6" s="52">
        <f>SUMIF('Program Costs'!D:D,C2,'Program Costs'!L:L)</f>
        <v>1820384.58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>
        <v>0</v>
      </c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2051276.6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2489560.2199999997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1820384.58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3871661.18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3871661.18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0.93042449076215983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1.023466939838376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Z25/(1+GasDiscountRate)^1</f>
        <v>0</v>
      </c>
      <c r="AC25" s="43">
        <f t="shared" ref="AC25:AC67" si="28">AA25/(1+GasDiscountRate)^1</f>
        <v>0</v>
      </c>
      <c r="AD25" s="43">
        <f t="shared" ref="AD25:AD67" si="29">-PV(GasDiscountRate,T25,R25)*J25</f>
        <v>0</v>
      </c>
      <c r="AE25" s="43">
        <f t="shared" ref="AE25:AE67" si="30">-PV(GasDiscountRate,T25,S25)*J25</f>
        <v>0</v>
      </c>
      <c r="AF25" s="51" t="e">
        <f>HLOOKUP(I25,GasAvoidedCostsWOCC!$A$5:$G$50,G25+1,FALSE)</f>
        <v>#N/A</v>
      </c>
      <c r="AG25" s="43" t="e">
        <f t="shared" ref="AG25:AG67" si="31">AF25*J25*K25</f>
        <v>#N/A</v>
      </c>
      <c r="AH25" s="51" t="e">
        <f>HLOOKUP(I25,GasAvoidedCostsWOCC!$A$5:$Q$50,T25+1,FALSE)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HLOOKUP(I25,GasAvoidedCostsWOCC!$A$5:$Q$50,G25+1,FALSE)*J25*L25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18230254</v>
      </c>
      <c r="D2" s="19" t="s">
        <v>544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18230254</v>
      </c>
      <c r="D5" s="60" t="s">
        <v>544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67" si="0">G5+H5</f>
        <v>0</v>
      </c>
      <c r="U5" s="46" t="e">
        <f t="shared" ref="U5:U67" si="1">(O5/$A$10)*T5</f>
        <v>#DIV/0!</v>
      </c>
      <c r="V5" s="47">
        <f t="shared" ref="V5:V67" si="2">N5-M5</f>
        <v>0</v>
      </c>
      <c r="W5" s="48" t="e">
        <f t="shared" ref="W5:W67" si="3">(O5/A$10)</f>
        <v>#DIV/0!</v>
      </c>
      <c r="X5" s="43" t="e">
        <f t="shared" ref="X5:X67" si="4">W5*A$8</f>
        <v>#DIV/0!</v>
      </c>
      <c r="Y5" s="43">
        <f t="shared" ref="Y5:Y67" si="5">Q5-P5</f>
        <v>0</v>
      </c>
      <c r="Z5" s="43" t="e">
        <f t="shared" ref="Z5:Z67" si="6">X5+(A$6*W5)</f>
        <v>#DIV/0!</v>
      </c>
      <c r="AA5" s="49" t="e">
        <f t="shared" ref="AA5:AA67" si="7">Q5+X5</f>
        <v>#DIV/0!</v>
      </c>
      <c r="AB5" s="50" t="e">
        <f t="shared" ref="AB5:AC24" si="8">Z5/(1+GasDiscountRate)^1</f>
        <v>#DIV/0!</v>
      </c>
      <c r="AC5" s="43" t="e">
        <f t="shared" si="8"/>
        <v>#DIV/0!</v>
      </c>
      <c r="AD5" s="43">
        <f t="shared" ref="AD5:AD67" si="9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67" si="10">AF5*J5*K5</f>
        <v>#N/A</v>
      </c>
      <c r="AH5" s="51" t="e">
        <f>HLOOKUP(I5,GasAvoidedCostsWOCC!$A$5:$Q$50,T5+1,FALSE)</f>
        <v>#N/A</v>
      </c>
      <c r="AI5" s="43" t="e">
        <f t="shared" ref="AI5:AI67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67" si="12">AG6+AI6</f>
        <v>#N/A</v>
      </c>
      <c r="AK6" s="43" t="e">
        <f>HLOOKUP(I6,GasAvoidedCostsWOCC!$A$5:$Q$50,G6+1,FALSE)*J6*L6</f>
        <v>#N/A</v>
      </c>
      <c r="AL6" s="43" t="e">
        <f t="shared" ref="AL6:AL67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67" si="14">AM6*1.1+AD6+AE6</f>
        <v>0</v>
      </c>
      <c r="AO6" s="46">
        <f t="shared" ref="AO6:AO67" si="15">IFERROR(AM6/AB6,0)</f>
        <v>0</v>
      </c>
      <c r="AP6" s="46" t="e">
        <f t="shared" ref="AP6:AP67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153100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153100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153100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8"/>
        <v>#DIV/0!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8"/>
        <v>#DIV/0!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8"/>
        <v>#DIV/0!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8"/>
        <v>#DIV/0!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 t="e">
        <f t="shared" si="1"/>
        <v>#DIV/0!</v>
      </c>
      <c r="V25" s="47">
        <f t="shared" si="2"/>
        <v>0</v>
      </c>
      <c r="W25" s="48" t="e">
        <f t="shared" si="3"/>
        <v>#DIV/0!</v>
      </c>
      <c r="X25" s="43" t="e">
        <f t="shared" si="4"/>
        <v>#DIV/0!</v>
      </c>
      <c r="Y25" s="43">
        <f t="shared" si="5"/>
        <v>0</v>
      </c>
      <c r="Z25" s="43" t="e">
        <f t="shared" si="6"/>
        <v>#DIV/0!</v>
      </c>
      <c r="AA25" s="49" t="e">
        <f t="shared" si="7"/>
        <v>#DIV/0!</v>
      </c>
      <c r="AB25" s="50" t="e">
        <f t="shared" ref="AB25:AC67" si="18">Z25/(1+GasDiscountRate)^1</f>
        <v>#DIV/0!</v>
      </c>
      <c r="AC25" s="43" t="e">
        <f t="shared" si="18"/>
        <v>#DIV/0!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 t="e">
        <f t="shared" si="1"/>
        <v>#DIV/0!</v>
      </c>
      <c r="V26" s="47">
        <f t="shared" si="2"/>
        <v>0</v>
      </c>
      <c r="W26" s="48" t="e">
        <f t="shared" si="3"/>
        <v>#DIV/0!</v>
      </c>
      <c r="X26" s="43" t="e">
        <f t="shared" si="4"/>
        <v>#DIV/0!</v>
      </c>
      <c r="Y26" s="43">
        <f t="shared" si="5"/>
        <v>0</v>
      </c>
      <c r="Z26" s="43" t="e">
        <f t="shared" si="6"/>
        <v>#DIV/0!</v>
      </c>
      <c r="AA26" s="49" t="e">
        <f t="shared" si="7"/>
        <v>#DIV/0!</v>
      </c>
      <c r="AB26" s="50" t="e">
        <f t="shared" si="18"/>
        <v>#DIV/0!</v>
      </c>
      <c r="AC26" s="43" t="e">
        <f t="shared" si="18"/>
        <v>#DIV/0!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 t="e">
        <f t="shared" si="1"/>
        <v>#DIV/0!</v>
      </c>
      <c r="V27" s="47">
        <f t="shared" si="2"/>
        <v>0</v>
      </c>
      <c r="W27" s="48" t="e">
        <f t="shared" si="3"/>
        <v>#DIV/0!</v>
      </c>
      <c r="X27" s="43" t="e">
        <f t="shared" si="4"/>
        <v>#DIV/0!</v>
      </c>
      <c r="Y27" s="43">
        <f t="shared" si="5"/>
        <v>0</v>
      </c>
      <c r="Z27" s="43" t="e">
        <f t="shared" si="6"/>
        <v>#DIV/0!</v>
      </c>
      <c r="AA27" s="49" t="e">
        <f t="shared" si="7"/>
        <v>#DIV/0!</v>
      </c>
      <c r="AB27" s="50" t="e">
        <f t="shared" si="18"/>
        <v>#DIV/0!</v>
      </c>
      <c r="AC27" s="43" t="e">
        <f t="shared" si="18"/>
        <v>#DIV/0!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 t="e">
        <f t="shared" si="1"/>
        <v>#DIV/0!</v>
      </c>
      <c r="V28" s="47">
        <f t="shared" si="2"/>
        <v>0</v>
      </c>
      <c r="W28" s="48" t="e">
        <f t="shared" si="3"/>
        <v>#DIV/0!</v>
      </c>
      <c r="X28" s="43" t="e">
        <f t="shared" si="4"/>
        <v>#DIV/0!</v>
      </c>
      <c r="Y28" s="43">
        <f t="shared" si="5"/>
        <v>0</v>
      </c>
      <c r="Z28" s="43" t="e">
        <f t="shared" si="6"/>
        <v>#DIV/0!</v>
      </c>
      <c r="AA28" s="49" t="e">
        <f t="shared" si="7"/>
        <v>#DIV/0!</v>
      </c>
      <c r="AB28" s="50" t="e">
        <f t="shared" si="18"/>
        <v>#DIV/0!</v>
      </c>
      <c r="AC28" s="43" t="e">
        <f t="shared" si="18"/>
        <v>#DIV/0!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 t="e">
        <f t="shared" si="1"/>
        <v>#DIV/0!</v>
      </c>
      <c r="V29" s="47">
        <f t="shared" si="2"/>
        <v>0</v>
      </c>
      <c r="W29" s="48" t="e">
        <f t="shared" si="3"/>
        <v>#DIV/0!</v>
      </c>
      <c r="X29" s="43" t="e">
        <f t="shared" si="4"/>
        <v>#DIV/0!</v>
      </c>
      <c r="Y29" s="43">
        <f t="shared" si="5"/>
        <v>0</v>
      </c>
      <c r="Z29" s="43" t="e">
        <f t="shared" si="6"/>
        <v>#DIV/0!</v>
      </c>
      <c r="AA29" s="49" t="e">
        <f t="shared" si="7"/>
        <v>#DIV/0!</v>
      </c>
      <c r="AB29" s="50" t="e">
        <f t="shared" si="18"/>
        <v>#DIV/0!</v>
      </c>
      <c r="AC29" s="43" t="e">
        <f t="shared" si="18"/>
        <v>#DIV/0!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 t="e">
        <f t="shared" si="1"/>
        <v>#DIV/0!</v>
      </c>
      <c r="V30" s="47">
        <f t="shared" si="2"/>
        <v>0</v>
      </c>
      <c r="W30" s="48" t="e">
        <f t="shared" si="3"/>
        <v>#DIV/0!</v>
      </c>
      <c r="X30" s="43" t="e">
        <f t="shared" si="4"/>
        <v>#DIV/0!</v>
      </c>
      <c r="Y30" s="43">
        <f t="shared" si="5"/>
        <v>0</v>
      </c>
      <c r="Z30" s="43" t="e">
        <f t="shared" si="6"/>
        <v>#DIV/0!</v>
      </c>
      <c r="AA30" s="49" t="e">
        <f t="shared" si="7"/>
        <v>#DIV/0!</v>
      </c>
      <c r="AB30" s="50" t="e">
        <f t="shared" si="18"/>
        <v>#DIV/0!</v>
      </c>
      <c r="AC30" s="43" t="e">
        <f t="shared" si="18"/>
        <v>#DIV/0!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 t="e">
        <f t="shared" si="1"/>
        <v>#DIV/0!</v>
      </c>
      <c r="V31" s="47">
        <f t="shared" si="2"/>
        <v>0</v>
      </c>
      <c r="W31" s="48" t="e">
        <f t="shared" si="3"/>
        <v>#DIV/0!</v>
      </c>
      <c r="X31" s="43" t="e">
        <f t="shared" si="4"/>
        <v>#DIV/0!</v>
      </c>
      <c r="Y31" s="43">
        <f t="shared" si="5"/>
        <v>0</v>
      </c>
      <c r="Z31" s="43" t="e">
        <f t="shared" si="6"/>
        <v>#DIV/0!</v>
      </c>
      <c r="AA31" s="49" t="e">
        <f t="shared" si="7"/>
        <v>#DIV/0!</v>
      </c>
      <c r="AB31" s="50" t="e">
        <f t="shared" si="18"/>
        <v>#DIV/0!</v>
      </c>
      <c r="AC31" s="43" t="e">
        <f t="shared" si="18"/>
        <v>#DIV/0!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 t="e">
        <f t="shared" si="1"/>
        <v>#DIV/0!</v>
      </c>
      <c r="V32" s="47">
        <f t="shared" si="2"/>
        <v>0</v>
      </c>
      <c r="W32" s="48" t="e">
        <f t="shared" si="3"/>
        <v>#DIV/0!</v>
      </c>
      <c r="X32" s="43" t="e">
        <f t="shared" si="4"/>
        <v>#DIV/0!</v>
      </c>
      <c r="Y32" s="43">
        <f t="shared" si="5"/>
        <v>0</v>
      </c>
      <c r="Z32" s="43" t="e">
        <f t="shared" si="6"/>
        <v>#DIV/0!</v>
      </c>
      <c r="AA32" s="49" t="e">
        <f t="shared" si="7"/>
        <v>#DIV/0!</v>
      </c>
      <c r="AB32" s="50" t="e">
        <f t="shared" si="18"/>
        <v>#DIV/0!</v>
      </c>
      <c r="AC32" s="43" t="e">
        <f t="shared" si="18"/>
        <v>#DIV/0!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 t="e">
        <f t="shared" si="1"/>
        <v>#DIV/0!</v>
      </c>
      <c r="V33" s="47">
        <f t="shared" si="2"/>
        <v>0</v>
      </c>
      <c r="W33" s="48" t="e">
        <f t="shared" si="3"/>
        <v>#DIV/0!</v>
      </c>
      <c r="X33" s="43" t="e">
        <f t="shared" si="4"/>
        <v>#DIV/0!</v>
      </c>
      <c r="Y33" s="43">
        <f t="shared" si="5"/>
        <v>0</v>
      </c>
      <c r="Z33" s="43" t="e">
        <f t="shared" si="6"/>
        <v>#DIV/0!</v>
      </c>
      <c r="AA33" s="49" t="e">
        <f t="shared" si="7"/>
        <v>#DIV/0!</v>
      </c>
      <c r="AB33" s="50" t="e">
        <f t="shared" si="18"/>
        <v>#DIV/0!</v>
      </c>
      <c r="AC33" s="43" t="e">
        <f t="shared" si="18"/>
        <v>#DIV/0!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 t="e">
        <f t="shared" si="1"/>
        <v>#DIV/0!</v>
      </c>
      <c r="V34" s="47">
        <f t="shared" si="2"/>
        <v>0</v>
      </c>
      <c r="W34" s="48" t="e">
        <f t="shared" si="3"/>
        <v>#DIV/0!</v>
      </c>
      <c r="X34" s="43" t="e">
        <f t="shared" si="4"/>
        <v>#DIV/0!</v>
      </c>
      <c r="Y34" s="43">
        <f t="shared" si="5"/>
        <v>0</v>
      </c>
      <c r="Z34" s="43" t="e">
        <f t="shared" si="6"/>
        <v>#DIV/0!</v>
      </c>
      <c r="AA34" s="49" t="e">
        <f t="shared" si="7"/>
        <v>#DIV/0!</v>
      </c>
      <c r="AB34" s="50" t="e">
        <f t="shared" si="18"/>
        <v>#DIV/0!</v>
      </c>
      <c r="AC34" s="43" t="e">
        <f t="shared" si="18"/>
        <v>#DIV/0!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 t="e">
        <f t="shared" si="1"/>
        <v>#DIV/0!</v>
      </c>
      <c r="V35" s="47">
        <f t="shared" si="2"/>
        <v>0</v>
      </c>
      <c r="W35" s="48" t="e">
        <f t="shared" si="3"/>
        <v>#DIV/0!</v>
      </c>
      <c r="X35" s="43" t="e">
        <f t="shared" si="4"/>
        <v>#DIV/0!</v>
      </c>
      <c r="Y35" s="43">
        <f t="shared" si="5"/>
        <v>0</v>
      </c>
      <c r="Z35" s="43" t="e">
        <f t="shared" si="6"/>
        <v>#DIV/0!</v>
      </c>
      <c r="AA35" s="49" t="e">
        <f t="shared" si="7"/>
        <v>#DIV/0!</v>
      </c>
      <c r="AB35" s="50" t="e">
        <f t="shared" si="18"/>
        <v>#DIV/0!</v>
      </c>
      <c r="AC35" s="43" t="e">
        <f t="shared" si="18"/>
        <v>#DIV/0!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 t="e">
        <f t="shared" si="1"/>
        <v>#DIV/0!</v>
      </c>
      <c r="V36" s="47">
        <f t="shared" si="2"/>
        <v>0</v>
      </c>
      <c r="W36" s="48" t="e">
        <f t="shared" si="3"/>
        <v>#DIV/0!</v>
      </c>
      <c r="X36" s="43" t="e">
        <f t="shared" si="4"/>
        <v>#DIV/0!</v>
      </c>
      <c r="Y36" s="43">
        <f t="shared" si="5"/>
        <v>0</v>
      </c>
      <c r="Z36" s="43" t="e">
        <f t="shared" si="6"/>
        <v>#DIV/0!</v>
      </c>
      <c r="AA36" s="49" t="e">
        <f t="shared" si="7"/>
        <v>#DIV/0!</v>
      </c>
      <c r="AB36" s="50" t="e">
        <f t="shared" si="18"/>
        <v>#DIV/0!</v>
      </c>
      <c r="AC36" s="43" t="e">
        <f t="shared" si="18"/>
        <v>#DIV/0!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 t="e">
        <f t="shared" si="1"/>
        <v>#DIV/0!</v>
      </c>
      <c r="V37" s="47">
        <f t="shared" si="2"/>
        <v>0</v>
      </c>
      <c r="W37" s="48" t="e">
        <f t="shared" si="3"/>
        <v>#DIV/0!</v>
      </c>
      <c r="X37" s="43" t="e">
        <f t="shared" si="4"/>
        <v>#DIV/0!</v>
      </c>
      <c r="Y37" s="43">
        <f t="shared" si="5"/>
        <v>0</v>
      </c>
      <c r="Z37" s="43" t="e">
        <f t="shared" si="6"/>
        <v>#DIV/0!</v>
      </c>
      <c r="AA37" s="49" t="e">
        <f t="shared" si="7"/>
        <v>#DIV/0!</v>
      </c>
      <c r="AB37" s="50" t="e">
        <f t="shared" si="18"/>
        <v>#DIV/0!</v>
      </c>
      <c r="AC37" s="43" t="e">
        <f t="shared" si="18"/>
        <v>#DIV/0!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 t="e">
        <f t="shared" si="1"/>
        <v>#DIV/0!</v>
      </c>
      <c r="V38" s="47">
        <f t="shared" si="2"/>
        <v>0</v>
      </c>
      <c r="W38" s="48" t="e">
        <f t="shared" si="3"/>
        <v>#DIV/0!</v>
      </c>
      <c r="X38" s="43" t="e">
        <f t="shared" si="4"/>
        <v>#DIV/0!</v>
      </c>
      <c r="Y38" s="43">
        <f t="shared" si="5"/>
        <v>0</v>
      </c>
      <c r="Z38" s="43" t="e">
        <f t="shared" si="6"/>
        <v>#DIV/0!</v>
      </c>
      <c r="AA38" s="49" t="e">
        <f t="shared" si="7"/>
        <v>#DIV/0!</v>
      </c>
      <c r="AB38" s="50" t="e">
        <f t="shared" si="18"/>
        <v>#DIV/0!</v>
      </c>
      <c r="AC38" s="43" t="e">
        <f t="shared" si="18"/>
        <v>#DIV/0!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 t="e">
        <f t="shared" si="1"/>
        <v>#DIV/0!</v>
      </c>
      <c r="V39" s="47">
        <f t="shared" si="2"/>
        <v>0</v>
      </c>
      <c r="W39" s="48" t="e">
        <f t="shared" si="3"/>
        <v>#DIV/0!</v>
      </c>
      <c r="X39" s="43" t="e">
        <f t="shared" si="4"/>
        <v>#DIV/0!</v>
      </c>
      <c r="Y39" s="43">
        <f t="shared" si="5"/>
        <v>0</v>
      </c>
      <c r="Z39" s="43" t="e">
        <f t="shared" si="6"/>
        <v>#DIV/0!</v>
      </c>
      <c r="AA39" s="49" t="e">
        <f t="shared" si="7"/>
        <v>#DIV/0!</v>
      </c>
      <c r="AB39" s="50" t="e">
        <f t="shared" si="18"/>
        <v>#DIV/0!</v>
      </c>
      <c r="AC39" s="43" t="e">
        <f t="shared" si="18"/>
        <v>#DIV/0!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 t="e">
        <f t="shared" si="1"/>
        <v>#DIV/0!</v>
      </c>
      <c r="V40" s="47">
        <f t="shared" si="2"/>
        <v>0</v>
      </c>
      <c r="W40" s="48" t="e">
        <f t="shared" si="3"/>
        <v>#DIV/0!</v>
      </c>
      <c r="X40" s="43" t="e">
        <f t="shared" si="4"/>
        <v>#DIV/0!</v>
      </c>
      <c r="Y40" s="43">
        <f t="shared" si="5"/>
        <v>0</v>
      </c>
      <c r="Z40" s="43" t="e">
        <f t="shared" si="6"/>
        <v>#DIV/0!</v>
      </c>
      <c r="AA40" s="49" t="e">
        <f t="shared" si="7"/>
        <v>#DIV/0!</v>
      </c>
      <c r="AB40" s="50" t="e">
        <f t="shared" si="18"/>
        <v>#DIV/0!</v>
      </c>
      <c r="AC40" s="43" t="e">
        <f t="shared" si="18"/>
        <v>#DIV/0!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 t="e">
        <f t="shared" si="1"/>
        <v>#DIV/0!</v>
      </c>
      <c r="V41" s="47">
        <f t="shared" si="2"/>
        <v>0</v>
      </c>
      <c r="W41" s="48" t="e">
        <f t="shared" si="3"/>
        <v>#DIV/0!</v>
      </c>
      <c r="X41" s="43" t="e">
        <f t="shared" si="4"/>
        <v>#DIV/0!</v>
      </c>
      <c r="Y41" s="43">
        <f t="shared" si="5"/>
        <v>0</v>
      </c>
      <c r="Z41" s="43" t="e">
        <f t="shared" si="6"/>
        <v>#DIV/0!</v>
      </c>
      <c r="AA41" s="49" t="e">
        <f t="shared" si="7"/>
        <v>#DIV/0!</v>
      </c>
      <c r="AB41" s="50" t="e">
        <f t="shared" si="18"/>
        <v>#DIV/0!</v>
      </c>
      <c r="AC41" s="43" t="e">
        <f t="shared" si="18"/>
        <v>#DIV/0!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 t="e">
        <f t="shared" si="1"/>
        <v>#DIV/0!</v>
      </c>
      <c r="V42" s="47">
        <f t="shared" si="2"/>
        <v>0</v>
      </c>
      <c r="W42" s="48" t="e">
        <f t="shared" si="3"/>
        <v>#DIV/0!</v>
      </c>
      <c r="X42" s="43" t="e">
        <f t="shared" si="4"/>
        <v>#DIV/0!</v>
      </c>
      <c r="Y42" s="43">
        <f t="shared" si="5"/>
        <v>0</v>
      </c>
      <c r="Z42" s="43" t="e">
        <f t="shared" si="6"/>
        <v>#DIV/0!</v>
      </c>
      <c r="AA42" s="49" t="e">
        <f t="shared" si="7"/>
        <v>#DIV/0!</v>
      </c>
      <c r="AB42" s="50" t="e">
        <f t="shared" si="18"/>
        <v>#DIV/0!</v>
      </c>
      <c r="AC42" s="43" t="e">
        <f t="shared" si="18"/>
        <v>#DIV/0!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 t="e">
        <f t="shared" si="1"/>
        <v>#DIV/0!</v>
      </c>
      <c r="V43" s="47">
        <f t="shared" si="2"/>
        <v>0</v>
      </c>
      <c r="W43" s="48" t="e">
        <f t="shared" si="3"/>
        <v>#DIV/0!</v>
      </c>
      <c r="X43" s="43" t="e">
        <f t="shared" si="4"/>
        <v>#DIV/0!</v>
      </c>
      <c r="Y43" s="43">
        <f t="shared" si="5"/>
        <v>0</v>
      </c>
      <c r="Z43" s="43" t="e">
        <f t="shared" si="6"/>
        <v>#DIV/0!</v>
      </c>
      <c r="AA43" s="49" t="e">
        <f t="shared" si="7"/>
        <v>#DIV/0!</v>
      </c>
      <c r="AB43" s="50" t="e">
        <f t="shared" si="18"/>
        <v>#DIV/0!</v>
      </c>
      <c r="AC43" s="43" t="e">
        <f t="shared" si="18"/>
        <v>#DIV/0!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 t="e">
        <f t="shared" si="1"/>
        <v>#DIV/0!</v>
      </c>
      <c r="V44" s="47">
        <f t="shared" si="2"/>
        <v>0</v>
      </c>
      <c r="W44" s="48" t="e">
        <f t="shared" si="3"/>
        <v>#DIV/0!</v>
      </c>
      <c r="X44" s="43" t="e">
        <f t="shared" si="4"/>
        <v>#DIV/0!</v>
      </c>
      <c r="Y44" s="43">
        <f t="shared" si="5"/>
        <v>0</v>
      </c>
      <c r="Z44" s="43" t="e">
        <f t="shared" si="6"/>
        <v>#DIV/0!</v>
      </c>
      <c r="AA44" s="49" t="e">
        <f t="shared" si="7"/>
        <v>#DIV/0!</v>
      </c>
      <c r="AB44" s="50" t="e">
        <f t="shared" si="18"/>
        <v>#DIV/0!</v>
      </c>
      <c r="AC44" s="43" t="e">
        <f t="shared" si="18"/>
        <v>#DIV/0!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 t="e">
        <f t="shared" si="1"/>
        <v>#DIV/0!</v>
      </c>
      <c r="V45" s="47">
        <f t="shared" si="2"/>
        <v>0</v>
      </c>
      <c r="W45" s="48" t="e">
        <f t="shared" si="3"/>
        <v>#DIV/0!</v>
      </c>
      <c r="X45" s="43" t="e">
        <f t="shared" si="4"/>
        <v>#DIV/0!</v>
      </c>
      <c r="Y45" s="43">
        <f t="shared" si="5"/>
        <v>0</v>
      </c>
      <c r="Z45" s="43" t="e">
        <f t="shared" si="6"/>
        <v>#DIV/0!</v>
      </c>
      <c r="AA45" s="49" t="e">
        <f t="shared" si="7"/>
        <v>#DIV/0!</v>
      </c>
      <c r="AB45" s="50" t="e">
        <f t="shared" si="18"/>
        <v>#DIV/0!</v>
      </c>
      <c r="AC45" s="43" t="e">
        <f t="shared" si="18"/>
        <v>#DIV/0!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 t="e">
        <f t="shared" si="1"/>
        <v>#DIV/0!</v>
      </c>
      <c r="V46" s="47">
        <f t="shared" si="2"/>
        <v>0</v>
      </c>
      <c r="W46" s="48" t="e">
        <f t="shared" si="3"/>
        <v>#DIV/0!</v>
      </c>
      <c r="X46" s="43" t="e">
        <f t="shared" si="4"/>
        <v>#DIV/0!</v>
      </c>
      <c r="Y46" s="43">
        <f t="shared" si="5"/>
        <v>0</v>
      </c>
      <c r="Z46" s="43" t="e">
        <f t="shared" si="6"/>
        <v>#DIV/0!</v>
      </c>
      <c r="AA46" s="49" t="e">
        <f t="shared" si="7"/>
        <v>#DIV/0!</v>
      </c>
      <c r="AB46" s="50" t="e">
        <f t="shared" si="18"/>
        <v>#DIV/0!</v>
      </c>
      <c r="AC46" s="43" t="e">
        <f t="shared" si="18"/>
        <v>#DIV/0!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 t="e">
        <f t="shared" si="1"/>
        <v>#DIV/0!</v>
      </c>
      <c r="V47" s="47">
        <f t="shared" si="2"/>
        <v>0</v>
      </c>
      <c r="W47" s="48" t="e">
        <f t="shared" si="3"/>
        <v>#DIV/0!</v>
      </c>
      <c r="X47" s="43" t="e">
        <f t="shared" si="4"/>
        <v>#DIV/0!</v>
      </c>
      <c r="Y47" s="43">
        <f t="shared" si="5"/>
        <v>0</v>
      </c>
      <c r="Z47" s="43" t="e">
        <f t="shared" si="6"/>
        <v>#DIV/0!</v>
      </c>
      <c r="AA47" s="49" t="e">
        <f t="shared" si="7"/>
        <v>#DIV/0!</v>
      </c>
      <c r="AB47" s="50" t="e">
        <f t="shared" si="18"/>
        <v>#DIV/0!</v>
      </c>
      <c r="AC47" s="43" t="e">
        <f t="shared" si="18"/>
        <v>#DIV/0!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 t="e">
        <f t="shared" si="1"/>
        <v>#DIV/0!</v>
      </c>
      <c r="V48" s="47">
        <f t="shared" si="2"/>
        <v>0</v>
      </c>
      <c r="W48" s="48" t="e">
        <f t="shared" si="3"/>
        <v>#DIV/0!</v>
      </c>
      <c r="X48" s="43" t="e">
        <f t="shared" si="4"/>
        <v>#DIV/0!</v>
      </c>
      <c r="Y48" s="43">
        <f t="shared" si="5"/>
        <v>0</v>
      </c>
      <c r="Z48" s="43" t="e">
        <f t="shared" si="6"/>
        <v>#DIV/0!</v>
      </c>
      <c r="AA48" s="49" t="e">
        <f t="shared" si="7"/>
        <v>#DIV/0!</v>
      </c>
      <c r="AB48" s="50" t="e">
        <f t="shared" si="18"/>
        <v>#DIV/0!</v>
      </c>
      <c r="AC48" s="43" t="e">
        <f t="shared" si="18"/>
        <v>#DIV/0!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 t="e">
        <f t="shared" si="1"/>
        <v>#DIV/0!</v>
      </c>
      <c r="V49" s="47">
        <f t="shared" si="2"/>
        <v>0</v>
      </c>
      <c r="W49" s="48" t="e">
        <f t="shared" si="3"/>
        <v>#DIV/0!</v>
      </c>
      <c r="X49" s="43" t="e">
        <f t="shared" si="4"/>
        <v>#DIV/0!</v>
      </c>
      <c r="Y49" s="43">
        <f t="shared" si="5"/>
        <v>0</v>
      </c>
      <c r="Z49" s="43" t="e">
        <f t="shared" si="6"/>
        <v>#DIV/0!</v>
      </c>
      <c r="AA49" s="49" t="e">
        <f t="shared" si="7"/>
        <v>#DIV/0!</v>
      </c>
      <c r="AB49" s="50" t="e">
        <f t="shared" si="18"/>
        <v>#DIV/0!</v>
      </c>
      <c r="AC49" s="43" t="e">
        <f t="shared" si="18"/>
        <v>#DIV/0!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 t="e">
        <f t="shared" si="1"/>
        <v>#DIV/0!</v>
      </c>
      <c r="V50" s="47">
        <f t="shared" si="2"/>
        <v>0</v>
      </c>
      <c r="W50" s="48" t="e">
        <f t="shared" si="3"/>
        <v>#DIV/0!</v>
      </c>
      <c r="X50" s="43" t="e">
        <f t="shared" si="4"/>
        <v>#DIV/0!</v>
      </c>
      <c r="Y50" s="43">
        <f t="shared" si="5"/>
        <v>0</v>
      </c>
      <c r="Z50" s="43" t="e">
        <f t="shared" si="6"/>
        <v>#DIV/0!</v>
      </c>
      <c r="AA50" s="49" t="e">
        <f t="shared" si="7"/>
        <v>#DIV/0!</v>
      </c>
      <c r="AB50" s="50" t="e">
        <f t="shared" si="18"/>
        <v>#DIV/0!</v>
      </c>
      <c r="AC50" s="43" t="e">
        <f t="shared" si="18"/>
        <v>#DIV/0!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 t="e">
        <f t="shared" si="1"/>
        <v>#DIV/0!</v>
      </c>
      <c r="V51" s="47">
        <f t="shared" si="2"/>
        <v>0</v>
      </c>
      <c r="W51" s="48" t="e">
        <f t="shared" si="3"/>
        <v>#DIV/0!</v>
      </c>
      <c r="X51" s="43" t="e">
        <f t="shared" si="4"/>
        <v>#DIV/0!</v>
      </c>
      <c r="Y51" s="43">
        <f t="shared" si="5"/>
        <v>0</v>
      </c>
      <c r="Z51" s="43" t="e">
        <f t="shared" si="6"/>
        <v>#DIV/0!</v>
      </c>
      <c r="AA51" s="49" t="e">
        <f t="shared" si="7"/>
        <v>#DIV/0!</v>
      </c>
      <c r="AB51" s="50" t="e">
        <f t="shared" si="18"/>
        <v>#DIV/0!</v>
      </c>
      <c r="AC51" s="43" t="e">
        <f t="shared" si="18"/>
        <v>#DIV/0!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 t="e">
        <f t="shared" si="1"/>
        <v>#DIV/0!</v>
      </c>
      <c r="V52" s="47">
        <f t="shared" si="2"/>
        <v>0</v>
      </c>
      <c r="W52" s="48" t="e">
        <f t="shared" si="3"/>
        <v>#DIV/0!</v>
      </c>
      <c r="X52" s="43" t="e">
        <f t="shared" si="4"/>
        <v>#DIV/0!</v>
      </c>
      <c r="Y52" s="43">
        <f t="shared" si="5"/>
        <v>0</v>
      </c>
      <c r="Z52" s="43" t="e">
        <f t="shared" si="6"/>
        <v>#DIV/0!</v>
      </c>
      <c r="AA52" s="49" t="e">
        <f t="shared" si="7"/>
        <v>#DIV/0!</v>
      </c>
      <c r="AB52" s="50" t="e">
        <f t="shared" si="18"/>
        <v>#DIV/0!</v>
      </c>
      <c r="AC52" s="43" t="e">
        <f t="shared" si="18"/>
        <v>#DIV/0!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 t="e">
        <f t="shared" si="1"/>
        <v>#DIV/0!</v>
      </c>
      <c r="V53" s="47">
        <f t="shared" si="2"/>
        <v>0</v>
      </c>
      <c r="W53" s="48" t="e">
        <f t="shared" si="3"/>
        <v>#DIV/0!</v>
      </c>
      <c r="X53" s="43" t="e">
        <f t="shared" si="4"/>
        <v>#DIV/0!</v>
      </c>
      <c r="Y53" s="43">
        <f t="shared" si="5"/>
        <v>0</v>
      </c>
      <c r="Z53" s="43" t="e">
        <f t="shared" si="6"/>
        <v>#DIV/0!</v>
      </c>
      <c r="AA53" s="49" t="e">
        <f t="shared" si="7"/>
        <v>#DIV/0!</v>
      </c>
      <c r="AB53" s="50" t="e">
        <f t="shared" si="18"/>
        <v>#DIV/0!</v>
      </c>
      <c r="AC53" s="43" t="e">
        <f t="shared" si="18"/>
        <v>#DIV/0!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 t="e">
        <f t="shared" si="1"/>
        <v>#DIV/0!</v>
      </c>
      <c r="V54" s="47">
        <f t="shared" si="2"/>
        <v>0</v>
      </c>
      <c r="W54" s="48" t="e">
        <f t="shared" si="3"/>
        <v>#DIV/0!</v>
      </c>
      <c r="X54" s="43" t="e">
        <f t="shared" si="4"/>
        <v>#DIV/0!</v>
      </c>
      <c r="Y54" s="43">
        <f t="shared" si="5"/>
        <v>0</v>
      </c>
      <c r="Z54" s="43" t="e">
        <f t="shared" si="6"/>
        <v>#DIV/0!</v>
      </c>
      <c r="AA54" s="49" t="e">
        <f t="shared" si="7"/>
        <v>#DIV/0!</v>
      </c>
      <c r="AB54" s="50" t="e">
        <f t="shared" si="18"/>
        <v>#DIV/0!</v>
      </c>
      <c r="AC54" s="43" t="e">
        <f t="shared" si="18"/>
        <v>#DIV/0!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 t="e">
        <f t="shared" si="1"/>
        <v>#DIV/0!</v>
      </c>
      <c r="V55" s="47">
        <f t="shared" si="2"/>
        <v>0</v>
      </c>
      <c r="W55" s="48" t="e">
        <f t="shared" si="3"/>
        <v>#DIV/0!</v>
      </c>
      <c r="X55" s="43" t="e">
        <f t="shared" si="4"/>
        <v>#DIV/0!</v>
      </c>
      <c r="Y55" s="43">
        <f t="shared" si="5"/>
        <v>0</v>
      </c>
      <c r="Z55" s="43" t="e">
        <f t="shared" si="6"/>
        <v>#DIV/0!</v>
      </c>
      <c r="AA55" s="49" t="e">
        <f t="shared" si="7"/>
        <v>#DIV/0!</v>
      </c>
      <c r="AB55" s="50" t="e">
        <f t="shared" si="18"/>
        <v>#DIV/0!</v>
      </c>
      <c r="AC55" s="43" t="e">
        <f t="shared" si="18"/>
        <v>#DIV/0!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 t="e">
        <f t="shared" si="1"/>
        <v>#DIV/0!</v>
      </c>
      <c r="V56" s="47">
        <f t="shared" si="2"/>
        <v>0</v>
      </c>
      <c r="W56" s="48" t="e">
        <f t="shared" si="3"/>
        <v>#DIV/0!</v>
      </c>
      <c r="X56" s="43" t="e">
        <f t="shared" si="4"/>
        <v>#DIV/0!</v>
      </c>
      <c r="Y56" s="43">
        <f t="shared" si="5"/>
        <v>0</v>
      </c>
      <c r="Z56" s="43" t="e">
        <f t="shared" si="6"/>
        <v>#DIV/0!</v>
      </c>
      <c r="AA56" s="49" t="e">
        <f t="shared" si="7"/>
        <v>#DIV/0!</v>
      </c>
      <c r="AB56" s="50" t="e">
        <f t="shared" si="18"/>
        <v>#DIV/0!</v>
      </c>
      <c r="AC56" s="43" t="e">
        <f t="shared" si="18"/>
        <v>#DIV/0!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 t="e">
        <f t="shared" si="1"/>
        <v>#DIV/0!</v>
      </c>
      <c r="V57" s="47">
        <f t="shared" si="2"/>
        <v>0</v>
      </c>
      <c r="W57" s="48" t="e">
        <f t="shared" si="3"/>
        <v>#DIV/0!</v>
      </c>
      <c r="X57" s="43" t="e">
        <f t="shared" si="4"/>
        <v>#DIV/0!</v>
      </c>
      <c r="Y57" s="43">
        <f t="shared" si="5"/>
        <v>0</v>
      </c>
      <c r="Z57" s="43" t="e">
        <f t="shared" si="6"/>
        <v>#DIV/0!</v>
      </c>
      <c r="AA57" s="49" t="e">
        <f t="shared" si="7"/>
        <v>#DIV/0!</v>
      </c>
      <c r="AB57" s="50" t="e">
        <f t="shared" si="18"/>
        <v>#DIV/0!</v>
      </c>
      <c r="AC57" s="43" t="e">
        <f t="shared" si="18"/>
        <v>#DIV/0!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 t="e">
        <f t="shared" si="1"/>
        <v>#DIV/0!</v>
      </c>
      <c r="V58" s="47">
        <f t="shared" si="2"/>
        <v>0</v>
      </c>
      <c r="W58" s="48" t="e">
        <f t="shared" si="3"/>
        <v>#DIV/0!</v>
      </c>
      <c r="X58" s="43" t="e">
        <f t="shared" si="4"/>
        <v>#DIV/0!</v>
      </c>
      <c r="Y58" s="43">
        <f t="shared" si="5"/>
        <v>0</v>
      </c>
      <c r="Z58" s="43" t="e">
        <f t="shared" si="6"/>
        <v>#DIV/0!</v>
      </c>
      <c r="AA58" s="49" t="e">
        <f t="shared" si="7"/>
        <v>#DIV/0!</v>
      </c>
      <c r="AB58" s="50" t="e">
        <f t="shared" si="18"/>
        <v>#DIV/0!</v>
      </c>
      <c r="AC58" s="43" t="e">
        <f t="shared" si="18"/>
        <v>#DIV/0!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 t="e">
        <f t="shared" si="1"/>
        <v>#DIV/0!</v>
      </c>
      <c r="V59" s="47">
        <f t="shared" si="2"/>
        <v>0</v>
      </c>
      <c r="W59" s="48" t="e">
        <f t="shared" si="3"/>
        <v>#DIV/0!</v>
      </c>
      <c r="X59" s="43" t="e">
        <f t="shared" si="4"/>
        <v>#DIV/0!</v>
      </c>
      <c r="Y59" s="43">
        <f t="shared" si="5"/>
        <v>0</v>
      </c>
      <c r="Z59" s="43" t="e">
        <f t="shared" si="6"/>
        <v>#DIV/0!</v>
      </c>
      <c r="AA59" s="49" t="e">
        <f t="shared" si="7"/>
        <v>#DIV/0!</v>
      </c>
      <c r="AB59" s="50" t="e">
        <f t="shared" si="18"/>
        <v>#DIV/0!</v>
      </c>
      <c r="AC59" s="43" t="e">
        <f t="shared" si="18"/>
        <v>#DIV/0!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 t="e">
        <f t="shared" si="1"/>
        <v>#DIV/0!</v>
      </c>
      <c r="V60" s="47">
        <f t="shared" si="2"/>
        <v>0</v>
      </c>
      <c r="W60" s="48" t="e">
        <f t="shared" si="3"/>
        <v>#DIV/0!</v>
      </c>
      <c r="X60" s="43" t="e">
        <f t="shared" si="4"/>
        <v>#DIV/0!</v>
      </c>
      <c r="Y60" s="43">
        <f t="shared" si="5"/>
        <v>0</v>
      </c>
      <c r="Z60" s="43" t="e">
        <f t="shared" si="6"/>
        <v>#DIV/0!</v>
      </c>
      <c r="AA60" s="49" t="e">
        <f t="shared" si="7"/>
        <v>#DIV/0!</v>
      </c>
      <c r="AB60" s="50" t="e">
        <f t="shared" si="18"/>
        <v>#DIV/0!</v>
      </c>
      <c r="AC60" s="43" t="e">
        <f t="shared" si="18"/>
        <v>#DIV/0!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 t="e">
        <f t="shared" si="1"/>
        <v>#DIV/0!</v>
      </c>
      <c r="V61" s="47">
        <f t="shared" si="2"/>
        <v>0</v>
      </c>
      <c r="W61" s="48" t="e">
        <f t="shared" si="3"/>
        <v>#DIV/0!</v>
      </c>
      <c r="X61" s="43" t="e">
        <f t="shared" si="4"/>
        <v>#DIV/0!</v>
      </c>
      <c r="Y61" s="43">
        <f t="shared" si="5"/>
        <v>0</v>
      </c>
      <c r="Z61" s="43" t="e">
        <f t="shared" si="6"/>
        <v>#DIV/0!</v>
      </c>
      <c r="AA61" s="49" t="e">
        <f t="shared" si="7"/>
        <v>#DIV/0!</v>
      </c>
      <c r="AB61" s="50" t="e">
        <f t="shared" si="18"/>
        <v>#DIV/0!</v>
      </c>
      <c r="AC61" s="43" t="e">
        <f t="shared" si="18"/>
        <v>#DIV/0!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 t="e">
        <f t="shared" si="1"/>
        <v>#DIV/0!</v>
      </c>
      <c r="V62" s="47">
        <f t="shared" si="2"/>
        <v>0</v>
      </c>
      <c r="W62" s="48" t="e">
        <f t="shared" si="3"/>
        <v>#DIV/0!</v>
      </c>
      <c r="X62" s="43" t="e">
        <f t="shared" si="4"/>
        <v>#DIV/0!</v>
      </c>
      <c r="Y62" s="43">
        <f t="shared" si="5"/>
        <v>0</v>
      </c>
      <c r="Z62" s="43" t="e">
        <f t="shared" si="6"/>
        <v>#DIV/0!</v>
      </c>
      <c r="AA62" s="49" t="e">
        <f t="shared" si="7"/>
        <v>#DIV/0!</v>
      </c>
      <c r="AB62" s="50" t="e">
        <f t="shared" si="18"/>
        <v>#DIV/0!</v>
      </c>
      <c r="AC62" s="43" t="e">
        <f t="shared" si="18"/>
        <v>#DIV/0!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 t="e">
        <f t="shared" si="1"/>
        <v>#DIV/0!</v>
      </c>
      <c r="V63" s="47">
        <f t="shared" si="2"/>
        <v>0</v>
      </c>
      <c r="W63" s="48" t="e">
        <f t="shared" si="3"/>
        <v>#DIV/0!</v>
      </c>
      <c r="X63" s="43" t="e">
        <f t="shared" si="4"/>
        <v>#DIV/0!</v>
      </c>
      <c r="Y63" s="43">
        <f t="shared" si="5"/>
        <v>0</v>
      </c>
      <c r="Z63" s="43" t="e">
        <f t="shared" si="6"/>
        <v>#DIV/0!</v>
      </c>
      <c r="AA63" s="49" t="e">
        <f t="shared" si="7"/>
        <v>#DIV/0!</v>
      </c>
      <c r="AB63" s="50" t="e">
        <f t="shared" si="18"/>
        <v>#DIV/0!</v>
      </c>
      <c r="AC63" s="43" t="e">
        <f t="shared" si="18"/>
        <v>#DIV/0!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 t="e">
        <f t="shared" si="1"/>
        <v>#DIV/0!</v>
      </c>
      <c r="V64" s="47">
        <f t="shared" si="2"/>
        <v>0</v>
      </c>
      <c r="W64" s="48" t="e">
        <f t="shared" si="3"/>
        <v>#DIV/0!</v>
      </c>
      <c r="X64" s="43" t="e">
        <f t="shared" si="4"/>
        <v>#DIV/0!</v>
      </c>
      <c r="Y64" s="43">
        <f t="shared" si="5"/>
        <v>0</v>
      </c>
      <c r="Z64" s="43" t="e">
        <f t="shared" si="6"/>
        <v>#DIV/0!</v>
      </c>
      <c r="AA64" s="49" t="e">
        <f t="shared" si="7"/>
        <v>#DIV/0!</v>
      </c>
      <c r="AB64" s="50" t="e">
        <f t="shared" si="18"/>
        <v>#DIV/0!</v>
      </c>
      <c r="AC64" s="43" t="e">
        <f t="shared" si="18"/>
        <v>#DIV/0!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 t="e">
        <f t="shared" si="1"/>
        <v>#DIV/0!</v>
      </c>
      <c r="V65" s="47">
        <f t="shared" si="2"/>
        <v>0</v>
      </c>
      <c r="W65" s="48" t="e">
        <f t="shared" si="3"/>
        <v>#DIV/0!</v>
      </c>
      <c r="X65" s="43" t="e">
        <f t="shared" si="4"/>
        <v>#DIV/0!</v>
      </c>
      <c r="Y65" s="43">
        <f t="shared" si="5"/>
        <v>0</v>
      </c>
      <c r="Z65" s="43" t="e">
        <f t="shared" si="6"/>
        <v>#DIV/0!</v>
      </c>
      <c r="AA65" s="49" t="e">
        <f t="shared" si="7"/>
        <v>#DIV/0!</v>
      </c>
      <c r="AB65" s="50" t="e">
        <f t="shared" si="18"/>
        <v>#DIV/0!</v>
      </c>
      <c r="AC65" s="43" t="e">
        <f t="shared" si="18"/>
        <v>#DIV/0!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 t="e">
        <f t="shared" si="1"/>
        <v>#DIV/0!</v>
      </c>
      <c r="V66" s="47">
        <f t="shared" si="2"/>
        <v>0</v>
      </c>
      <c r="W66" s="48" t="e">
        <f t="shared" si="3"/>
        <v>#DIV/0!</v>
      </c>
      <c r="X66" s="43" t="e">
        <f t="shared" si="4"/>
        <v>#DIV/0!</v>
      </c>
      <c r="Y66" s="43">
        <f t="shared" si="5"/>
        <v>0</v>
      </c>
      <c r="Z66" s="43" t="e">
        <f t="shared" si="6"/>
        <v>#DIV/0!</v>
      </c>
      <c r="AA66" s="49" t="e">
        <f t="shared" si="7"/>
        <v>#DIV/0!</v>
      </c>
      <c r="AB66" s="50" t="e">
        <f t="shared" si="18"/>
        <v>#DIV/0!</v>
      </c>
      <c r="AC66" s="43" t="e">
        <f t="shared" si="18"/>
        <v>#DIV/0!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 t="e">
        <f t="shared" si="1"/>
        <v>#DIV/0!</v>
      </c>
      <c r="V67" s="47">
        <f t="shared" si="2"/>
        <v>0</v>
      </c>
      <c r="W67" s="48" t="e">
        <f t="shared" si="3"/>
        <v>#DIV/0!</v>
      </c>
      <c r="X67" s="43" t="e">
        <f t="shared" si="4"/>
        <v>#DIV/0!</v>
      </c>
      <c r="Y67" s="43">
        <f t="shared" si="5"/>
        <v>0</v>
      </c>
      <c r="Z67" s="43" t="e">
        <f t="shared" si="6"/>
        <v>#DIV/0!</v>
      </c>
      <c r="AA67" s="49" t="e">
        <f t="shared" si="7"/>
        <v>#DIV/0!</v>
      </c>
      <c r="AB67" s="50" t="e">
        <f t="shared" si="18"/>
        <v>#DIV/0!</v>
      </c>
      <c r="AC67" s="43" t="e">
        <f t="shared" si="18"/>
        <v>#DIV/0!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9" sqref="I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18230161</v>
      </c>
      <c r="D2" s="19" t="s">
        <v>806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18230161</v>
      </c>
      <c r="D5" s="60" t="s">
        <v>805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269</v>
      </c>
      <c r="J5" s="40">
        <v>1</v>
      </c>
      <c r="K5" s="40">
        <v>49903</v>
      </c>
      <c r="L5" s="40">
        <v>0</v>
      </c>
      <c r="M5" s="41">
        <v>322650</v>
      </c>
      <c r="N5" s="41">
        <v>1158313</v>
      </c>
      <c r="O5" s="42">
        <v>49903</v>
      </c>
      <c r="P5" s="43">
        <v>322650</v>
      </c>
      <c r="Q5" s="43">
        <v>1158313</v>
      </c>
      <c r="R5" s="44">
        <v>6.8742999999999999</v>
      </c>
      <c r="S5" s="45"/>
      <c r="T5" s="38">
        <f t="shared" ref="T5:T67" si="0">G5+H5</f>
        <v>13</v>
      </c>
      <c r="U5" s="46">
        <f t="shared" ref="U5:U67" si="1">(O5/$A$10)*T5</f>
        <v>4.3794951765666879</v>
      </c>
      <c r="V5" s="47">
        <f t="shared" ref="V5:V67" si="2">N5-M5</f>
        <v>835663</v>
      </c>
      <c r="W5" s="48">
        <f t="shared" ref="W5:W67" si="3">(O5/A$10)</f>
        <v>0.33688424435128367</v>
      </c>
      <c r="X5" s="43">
        <f t="shared" ref="X5:X67" si="4">W5*A$8</f>
        <v>99939.743045007461</v>
      </c>
      <c r="Y5" s="43">
        <f t="shared" ref="Y5:Y67" si="5">Q5-P5</f>
        <v>835663</v>
      </c>
      <c r="Z5" s="43">
        <f t="shared" ref="Z5:Z67" si="6">X5+(A$6*W5)</f>
        <v>353893.86673282436</v>
      </c>
      <c r="AA5" s="49">
        <f t="shared" ref="AA5:AA67" si="7">Q5+X5</f>
        <v>1258252.7430450073</v>
      </c>
      <c r="AB5" s="50">
        <f t="shared" ref="AB5:AC24" si="8">Z5/(1+GasDiscountRate)^1</f>
        <v>331361.29843897407</v>
      </c>
      <c r="AC5" s="43">
        <f t="shared" si="8"/>
        <v>1178139.2725140518</v>
      </c>
      <c r="AD5" s="43">
        <f t="shared" ref="AD5:AD67" si="9">-PV(GasDiscountRate,T5,R5)*J5</f>
        <v>58.109987555322022</v>
      </c>
      <c r="AE5" s="43">
        <v>0</v>
      </c>
      <c r="AF5" s="51">
        <f>HLOOKUP(I5,GasAvoidedCostsWOCC!$A$5:$G$50,G5+1,FALSE)</f>
        <v>13.232715973047561</v>
      </c>
      <c r="AG5" s="43">
        <f t="shared" ref="AG5:AG67" si="10">AF5*J5*K5</f>
        <v>660352.22520299244</v>
      </c>
      <c r="AH5" s="51">
        <f>HLOOKUP(I5,GasAvoidedCostsWOCC!$A$5:$Q$50,T5+1,FALSE)</f>
        <v>13.232715973047561</v>
      </c>
      <c r="AI5" s="43">
        <f t="shared" ref="AI5:AI67" si="11">AH5*J5*L5</f>
        <v>0</v>
      </c>
      <c r="AJ5" s="43">
        <f>AG5+AI5</f>
        <v>660352.22520299244</v>
      </c>
      <c r="AK5" s="43">
        <f>HLOOKUP(I5,GasAvoidedCostsWOCC!$A$5:$Q$50,G5+1,FALSE)*J5*L5</f>
        <v>0</v>
      </c>
      <c r="AL5" s="43">
        <f>AG5+AI5-AK5</f>
        <v>660352.22520299244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660352.22520299244</v>
      </c>
      <c r="AN5" s="47">
        <f>AM5*1.1+AD5+AE5</f>
        <v>726445.557710847</v>
      </c>
      <c r="AO5" s="46">
        <f>IFERROR(AM5/AB5,0)</f>
        <v>1.9928465645018825</v>
      </c>
      <c r="AP5" s="46">
        <f>AN5/AC5</f>
        <v>0.61660414405902308</v>
      </c>
    </row>
    <row r="6" spans="1:42" ht="13.5" customHeight="1" x14ac:dyDescent="0.25">
      <c r="A6" s="52">
        <f>SUMIF('Program Costs'!D:D,C2,'Program Costs'!L:L)</f>
        <v>753832</v>
      </c>
      <c r="B6" s="88"/>
      <c r="C6" s="90"/>
      <c r="D6" s="91"/>
      <c r="E6" s="37" t="s">
        <v>807</v>
      </c>
      <c r="F6" s="38" t="s">
        <v>809</v>
      </c>
      <c r="G6" s="38">
        <v>13</v>
      </c>
      <c r="H6" s="38">
        <v>0</v>
      </c>
      <c r="I6" s="39" t="s">
        <v>269</v>
      </c>
      <c r="J6" s="40">
        <v>1</v>
      </c>
      <c r="K6" s="40">
        <v>52398</v>
      </c>
      <c r="L6" s="40">
        <v>0</v>
      </c>
      <c r="M6" s="41">
        <v>338782</v>
      </c>
      <c r="N6" s="41">
        <v>1216229</v>
      </c>
      <c r="O6" s="42">
        <v>52398</v>
      </c>
      <c r="P6" s="43">
        <v>338782</v>
      </c>
      <c r="Q6" s="43">
        <v>1216229</v>
      </c>
      <c r="R6" s="44">
        <v>6.8742999999999999</v>
      </c>
      <c r="S6" s="45"/>
      <c r="T6" s="38">
        <f t="shared" si="0"/>
        <v>13</v>
      </c>
      <c r="U6" s="46">
        <f t="shared" si="1"/>
        <v>4.5984567713712865</v>
      </c>
      <c r="V6" s="47">
        <f t="shared" si="2"/>
        <v>877447</v>
      </c>
      <c r="W6" s="48">
        <f t="shared" si="3"/>
        <v>0.35372744395163741</v>
      </c>
      <c r="X6" s="43">
        <f t="shared" si="4"/>
        <v>104936.4297952488</v>
      </c>
      <c r="Y6" s="43">
        <f t="shared" si="5"/>
        <v>877447</v>
      </c>
      <c r="Z6" s="43">
        <f t="shared" si="6"/>
        <v>371587.49632419954</v>
      </c>
      <c r="AA6" s="49">
        <f t="shared" si="7"/>
        <v>1321165.4297952489</v>
      </c>
      <c r="AB6" s="50">
        <f t="shared" si="8"/>
        <v>347928.36734475609</v>
      </c>
      <c r="AC6" s="43">
        <f t="shared" si="8"/>
        <v>1237046.2825798211</v>
      </c>
      <c r="AD6" s="43">
        <f t="shared" si="9"/>
        <v>58.109987555322022</v>
      </c>
      <c r="AE6" s="43">
        <v>0</v>
      </c>
      <c r="AF6" s="51">
        <f>HLOOKUP(I6,GasAvoidedCostsWOCC!$A$5:$G$50,G6+1,FALSE)</f>
        <v>13.232715973047561</v>
      </c>
      <c r="AG6" s="43">
        <f t="shared" si="10"/>
        <v>693367.85155574617</v>
      </c>
      <c r="AH6" s="51">
        <f>HLOOKUP(I6,GasAvoidedCostsWOCC!$A$5:$Q$50,T6+1,FALSE)</f>
        <v>13.232715973047561</v>
      </c>
      <c r="AI6" s="43">
        <f t="shared" si="11"/>
        <v>0</v>
      </c>
      <c r="AJ6" s="43">
        <f t="shared" ref="AJ6:AJ67" si="12">AG6+AI6</f>
        <v>693367.85155574617</v>
      </c>
      <c r="AK6" s="43">
        <f>HLOOKUP(I6,GasAvoidedCostsWOCC!$A$5:$Q$50,G6+1,FALSE)*J6*L6</f>
        <v>0</v>
      </c>
      <c r="AL6" s="43">
        <f t="shared" ref="AL6:AL67" si="13">AG6+AI6-AK6</f>
        <v>693367.85155574617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693367.85155574617</v>
      </c>
      <c r="AN6" s="47">
        <f t="shared" ref="AN6:AN67" si="14">AM6*1.1+AD6+AE6</f>
        <v>762762.74669887614</v>
      </c>
      <c r="AO6" s="46">
        <f t="shared" ref="AO6:AO67" si="15">IFERROR(AM6/AB6,0)</f>
        <v>1.9928465645018827</v>
      </c>
      <c r="AP6" s="46">
        <f t="shared" ref="AP6:AP67" si="16">AN6/AC6</f>
        <v>0.61660000716234997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807</v>
      </c>
      <c r="F7" s="38" t="s">
        <v>808</v>
      </c>
      <c r="G7" s="38">
        <v>20</v>
      </c>
      <c r="H7" s="38">
        <v>0</v>
      </c>
      <c r="I7" s="39" t="s">
        <v>273</v>
      </c>
      <c r="J7" s="40">
        <v>1</v>
      </c>
      <c r="K7" s="40">
        <v>21824</v>
      </c>
      <c r="L7" s="40">
        <v>0</v>
      </c>
      <c r="M7" s="41">
        <v>44000</v>
      </c>
      <c r="N7" s="41">
        <v>103400</v>
      </c>
      <c r="O7" s="42">
        <v>21824</v>
      </c>
      <c r="P7" s="43">
        <v>44000</v>
      </c>
      <c r="Q7" s="43">
        <v>103400</v>
      </c>
      <c r="R7" s="44">
        <v>0</v>
      </c>
      <c r="S7" s="45"/>
      <c r="T7" s="38">
        <f t="shared" si="0"/>
        <v>20</v>
      </c>
      <c r="U7" s="46">
        <f t="shared" si="1"/>
        <v>2.9465810667584775</v>
      </c>
      <c r="V7" s="47">
        <f t="shared" si="2"/>
        <v>59400</v>
      </c>
      <c r="W7" s="48">
        <f t="shared" si="3"/>
        <v>0.14732905333792387</v>
      </c>
      <c r="X7" s="43">
        <f t="shared" si="4"/>
        <v>43706.489634175159</v>
      </c>
      <c r="Y7" s="43">
        <f t="shared" si="5"/>
        <v>59400</v>
      </c>
      <c r="Z7" s="43">
        <f t="shared" si="6"/>
        <v>154767.84457000898</v>
      </c>
      <c r="AA7" s="49">
        <f t="shared" si="7"/>
        <v>147106.48963417514</v>
      </c>
      <c r="AB7" s="50">
        <f t="shared" si="8"/>
        <v>144913.71214420316</v>
      </c>
      <c r="AC7" s="43">
        <f t="shared" si="8"/>
        <v>137740.15883349732</v>
      </c>
      <c r="AD7" s="43">
        <f t="shared" si="9"/>
        <v>0</v>
      </c>
      <c r="AE7" s="43">
        <v>0</v>
      </c>
      <c r="AF7" s="51">
        <f>HLOOKUP(I7,GasAvoidedCostsWOCC!$A$5:$G$50,G7+1,FALSE)</f>
        <v>19.395541552048424</v>
      </c>
      <c r="AG7" s="43">
        <f t="shared" si="10"/>
        <v>423288.29883190483</v>
      </c>
      <c r="AH7" s="51">
        <f>HLOOKUP(I7,GasAvoidedCostsWOCC!$A$5:$Q$50,T7+1,FALSE)</f>
        <v>19.395541552048424</v>
      </c>
      <c r="AI7" s="43">
        <f t="shared" si="11"/>
        <v>0</v>
      </c>
      <c r="AJ7" s="43">
        <f t="shared" si="12"/>
        <v>423288.29883190483</v>
      </c>
      <c r="AK7" s="43">
        <f>HLOOKUP(I7,GasAvoidedCostsWOCC!$A$5:$Q$50,G7+1,FALSE)*J7*L7</f>
        <v>0</v>
      </c>
      <c r="AL7" s="43">
        <f t="shared" si="13"/>
        <v>423288.29883190483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423288.29883190483</v>
      </c>
      <c r="AN7" s="47">
        <f t="shared" si="14"/>
        <v>465617.12871509534</v>
      </c>
      <c r="AO7" s="46">
        <f t="shared" si="15"/>
        <v>2.9209678819813272</v>
      </c>
      <c r="AP7" s="46">
        <f t="shared" si="16"/>
        <v>3.3804021474807602</v>
      </c>
    </row>
    <row r="8" spans="1:42" ht="13.5" customHeight="1" x14ac:dyDescent="0.25">
      <c r="A8" s="52">
        <f>SUMIF('Program Costs'!D:D,C2,'Program Costs'!O:O)</f>
        <v>296659</v>
      </c>
      <c r="B8" s="88"/>
      <c r="C8" s="91"/>
      <c r="D8" s="91"/>
      <c r="E8" s="37" t="s">
        <v>807</v>
      </c>
      <c r="F8" s="38" t="s">
        <v>809</v>
      </c>
      <c r="G8" s="38">
        <v>20</v>
      </c>
      <c r="H8" s="38">
        <v>0</v>
      </c>
      <c r="I8" s="39" t="s">
        <v>273</v>
      </c>
      <c r="J8" s="40">
        <v>1</v>
      </c>
      <c r="K8" s="40">
        <v>24006</v>
      </c>
      <c r="L8" s="40">
        <v>0</v>
      </c>
      <c r="M8" s="41">
        <v>48400</v>
      </c>
      <c r="N8" s="41">
        <v>113740</v>
      </c>
      <c r="O8" s="42">
        <v>24006</v>
      </c>
      <c r="P8" s="43">
        <v>48400</v>
      </c>
      <c r="Q8" s="43">
        <v>113740</v>
      </c>
      <c r="R8" s="44">
        <v>0</v>
      </c>
      <c r="S8" s="45"/>
      <c r="T8" s="38">
        <f t="shared" si="0"/>
        <v>20</v>
      </c>
      <c r="U8" s="46">
        <f t="shared" si="1"/>
        <v>3.2411851671831018</v>
      </c>
      <c r="V8" s="47">
        <f t="shared" si="2"/>
        <v>65340</v>
      </c>
      <c r="W8" s="48">
        <f t="shared" si="3"/>
        <v>0.16205925835915508</v>
      </c>
      <c r="X8" s="43">
        <f t="shared" si="4"/>
        <v>48076.33752556859</v>
      </c>
      <c r="Y8" s="43">
        <f t="shared" si="5"/>
        <v>65340</v>
      </c>
      <c r="Z8" s="43">
        <f t="shared" si="6"/>
        <v>170241.79237296717</v>
      </c>
      <c r="AA8" s="49">
        <f t="shared" si="7"/>
        <v>161816.33752556858</v>
      </c>
      <c r="AB8" s="50">
        <f t="shared" si="8"/>
        <v>159402.42731551232</v>
      </c>
      <c r="AC8" s="43">
        <f t="shared" si="8"/>
        <v>151513.42464940879</v>
      </c>
      <c r="AD8" s="43">
        <f t="shared" si="9"/>
        <v>0</v>
      </c>
      <c r="AE8" s="43">
        <v>0</v>
      </c>
      <c r="AF8" s="51">
        <f>HLOOKUP(I8,GasAvoidedCostsWOCC!$A$5:$G$50,G8+1,FALSE)</f>
        <v>19.395541552048424</v>
      </c>
      <c r="AG8" s="43">
        <f t="shared" si="10"/>
        <v>465609.37049847445</v>
      </c>
      <c r="AH8" s="51">
        <f>HLOOKUP(I8,GasAvoidedCostsWOCC!$A$5:$Q$50,T8+1,FALSE)</f>
        <v>19.395541552048424</v>
      </c>
      <c r="AI8" s="43">
        <f t="shared" si="11"/>
        <v>0</v>
      </c>
      <c r="AJ8" s="43">
        <f t="shared" si="12"/>
        <v>465609.37049847445</v>
      </c>
      <c r="AK8" s="43">
        <f>HLOOKUP(I8,GasAvoidedCostsWOCC!$A$5:$Q$50,G8+1,FALSE)*J8*L8</f>
        <v>0</v>
      </c>
      <c r="AL8" s="43">
        <f t="shared" si="13"/>
        <v>465609.37049847445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465609.37049847445</v>
      </c>
      <c r="AN8" s="47">
        <f t="shared" si="14"/>
        <v>512170.30754832196</v>
      </c>
      <c r="AO8" s="46">
        <f t="shared" si="15"/>
        <v>2.9209678819813272</v>
      </c>
      <c r="AP8" s="46">
        <f t="shared" si="16"/>
        <v>3.3803625568720883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148131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753832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1837850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15.165718181879555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1050491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2888341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2.2799964519669165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0.91220235112090808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ref="AB25:AC67" si="18">Z25/(1+GasDiscountRate)^1</f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si="18"/>
        <v>0</v>
      </c>
      <c r="AC37" s="43">
        <f t="shared" si="18"/>
        <v>0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8"/>
        <v>0</v>
      </c>
      <c r="AC38" s="43">
        <f t="shared" si="18"/>
        <v>0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8"/>
        <v>0</v>
      </c>
      <c r="AC39" s="43">
        <f t="shared" si="18"/>
        <v>0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8"/>
        <v>0</v>
      </c>
      <c r="AC40" s="43">
        <f t="shared" si="18"/>
        <v>0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8"/>
        <v>0</v>
      </c>
      <c r="AC41" s="43">
        <f t="shared" si="18"/>
        <v>0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8"/>
        <v>0</v>
      </c>
      <c r="AC42" s="43">
        <f t="shared" si="18"/>
        <v>0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8"/>
        <v>0</v>
      </c>
      <c r="AC43" s="43">
        <f t="shared" si="18"/>
        <v>0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8"/>
        <v>0</v>
      </c>
      <c r="AC44" s="43">
        <f t="shared" si="18"/>
        <v>0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8"/>
        <v>0</v>
      </c>
      <c r="AC45" s="43">
        <f t="shared" si="18"/>
        <v>0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8"/>
        <v>0</v>
      </c>
      <c r="AC46" s="43">
        <f t="shared" si="18"/>
        <v>0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8"/>
        <v>0</v>
      </c>
      <c r="AC47" s="43">
        <f t="shared" si="18"/>
        <v>0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8"/>
        <v>0</v>
      </c>
      <c r="AC48" s="43">
        <f t="shared" si="18"/>
        <v>0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8"/>
        <v>0</v>
      </c>
      <c r="AC49" s="43">
        <f t="shared" si="18"/>
        <v>0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8"/>
        <v>0</v>
      </c>
      <c r="AC50" s="43">
        <f t="shared" si="18"/>
        <v>0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8"/>
        <v>0</v>
      </c>
      <c r="AC51" s="43">
        <f t="shared" si="18"/>
        <v>0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8"/>
        <v>0</v>
      </c>
      <c r="AC52" s="43">
        <f t="shared" si="18"/>
        <v>0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8"/>
        <v>0</v>
      </c>
      <c r="AC53" s="43">
        <f t="shared" si="18"/>
        <v>0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8"/>
        <v>0</v>
      </c>
      <c r="AC54" s="43">
        <f t="shared" si="18"/>
        <v>0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8"/>
        <v>0</v>
      </c>
      <c r="AC55" s="43">
        <f t="shared" si="18"/>
        <v>0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8"/>
        <v>0</v>
      </c>
      <c r="AC56" s="43">
        <f t="shared" si="18"/>
        <v>0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8"/>
        <v>0</v>
      </c>
      <c r="AC57" s="43">
        <f t="shared" si="18"/>
        <v>0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8"/>
        <v>0</v>
      </c>
      <c r="AC58" s="43">
        <f t="shared" si="18"/>
        <v>0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8"/>
        <v>0</v>
      </c>
      <c r="AC59" s="43">
        <f t="shared" si="18"/>
        <v>0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8"/>
        <v>0</v>
      </c>
      <c r="AC60" s="43">
        <f t="shared" si="18"/>
        <v>0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8"/>
        <v>0</v>
      </c>
      <c r="AC61" s="43">
        <f t="shared" si="18"/>
        <v>0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8"/>
        <v>0</v>
      </c>
      <c r="AC62" s="43">
        <f t="shared" si="18"/>
        <v>0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8"/>
        <v>0</v>
      </c>
      <c r="AC63" s="43">
        <f t="shared" si="18"/>
        <v>0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8"/>
        <v>0</v>
      </c>
      <c r="AC64" s="43">
        <f t="shared" si="18"/>
        <v>0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8"/>
        <v>0</v>
      </c>
      <c r="AC65" s="43">
        <f t="shared" si="18"/>
        <v>0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8"/>
        <v>0</v>
      </c>
      <c r="AC66" s="43">
        <f t="shared" si="18"/>
        <v>0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8"/>
        <v>0</v>
      </c>
      <c r="AC67" s="43">
        <f t="shared" si="18"/>
        <v>0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18230684</v>
      </c>
      <c r="D2" s="19" t="s">
        <v>100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18230684</v>
      </c>
      <c r="D5" s="60" t="s">
        <v>100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18230752</v>
      </c>
      <c r="D2" s="19" t="s">
        <v>319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18230752</v>
      </c>
      <c r="D5" s="60" t="s">
        <v>319</v>
      </c>
      <c r="E5" s="37" t="s">
        <v>1240</v>
      </c>
      <c r="F5" s="38" t="s">
        <v>651</v>
      </c>
      <c r="G5" s="38">
        <v>15</v>
      </c>
      <c r="H5" s="38">
        <v>0</v>
      </c>
      <c r="I5" s="39" t="s">
        <v>273</v>
      </c>
      <c r="J5" s="40">
        <v>8</v>
      </c>
      <c r="K5" s="40">
        <v>105.9</v>
      </c>
      <c r="L5" s="40">
        <v>0</v>
      </c>
      <c r="M5" s="41">
        <v>2200</v>
      </c>
      <c r="N5" s="41">
        <v>2675.93</v>
      </c>
      <c r="O5" s="42">
        <v>847.2</v>
      </c>
      <c r="P5" s="43">
        <v>17600</v>
      </c>
      <c r="Q5" s="43">
        <v>21407.439999999999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11.607599561563758</v>
      </c>
      <c r="V5" s="47">
        <f t="shared" ref="V5:V24" si="2">N5-M5</f>
        <v>475.92999999999984</v>
      </c>
      <c r="W5" s="48">
        <f t="shared" ref="W5:W24" si="3">(O5/A$10)</f>
        <v>0.77383997077091715</v>
      </c>
      <c r="X5" s="43">
        <f t="shared" ref="X5:X24" si="4">W5*A$8</f>
        <v>0</v>
      </c>
      <c r="Y5" s="43">
        <f t="shared" ref="Y5:Y24" si="5">Q5-P5</f>
        <v>3807.4399999999987</v>
      </c>
      <c r="Z5" s="43">
        <f t="shared" ref="Z5:Z24" si="6">X5+(A$6*W5)</f>
        <v>22905.663134819148</v>
      </c>
      <c r="AA5" s="49">
        <f t="shared" ref="AA5:AA24" si="7">Q5+X5</f>
        <v>21407.439999999999</v>
      </c>
      <c r="AB5" s="50">
        <f t="shared" ref="AB5:AB24" si="8">Z5/(1+GasDiscountRate)^1</f>
        <v>21447.250126235154</v>
      </c>
      <c r="AC5" s="43">
        <f t="shared" ref="AC5:AC24" si="9">AA5/(1+GasDiscountRate)^1</f>
        <v>20044.419475655428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13116.756711311082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13116.756711311082</v>
      </c>
      <c r="AK5" s="43">
        <f>HLOOKUP(I5,GasAvoidedCostsWOCC!$A$5:$Q$50,G5+1,FALSE)*J5*L5</f>
        <v>0</v>
      </c>
      <c r="AL5" s="43">
        <f>AG5+AI5-AK5</f>
        <v>13116.756711311082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13116.756711311082</v>
      </c>
      <c r="AN5" s="47">
        <f>AM5*1.1+AD5+AE5</f>
        <v>14428.432382442192</v>
      </c>
      <c r="AO5" s="46">
        <f>IFERROR(AM5/AB5,0)</f>
        <v>0.61158221376203969</v>
      </c>
      <c r="AP5" s="46">
        <f>AN5/AC5</f>
        <v>0.71982291130785669</v>
      </c>
    </row>
    <row r="6" spans="1:42" ht="13.5" customHeight="1" x14ac:dyDescent="0.25">
      <c r="A6" s="52">
        <f>SUMIF('Program Costs'!D:D,C2,'Program Costs'!L:L)</f>
        <v>29600</v>
      </c>
      <c r="B6" s="88"/>
      <c r="C6" s="90"/>
      <c r="D6" s="91"/>
      <c r="E6" s="37" t="s">
        <v>1241</v>
      </c>
      <c r="F6" s="38" t="s">
        <v>1242</v>
      </c>
      <c r="G6" s="38">
        <v>18</v>
      </c>
      <c r="H6" s="38">
        <v>0</v>
      </c>
      <c r="I6" s="39" t="s">
        <v>273</v>
      </c>
      <c r="J6" s="40">
        <v>2</v>
      </c>
      <c r="K6" s="40">
        <v>123.8</v>
      </c>
      <c r="L6" s="40">
        <v>0</v>
      </c>
      <c r="M6" s="41">
        <v>4400</v>
      </c>
      <c r="N6" s="41">
        <v>4428.42</v>
      </c>
      <c r="O6" s="42">
        <v>247.6</v>
      </c>
      <c r="P6" s="43">
        <v>8800</v>
      </c>
      <c r="Q6" s="43">
        <v>8856.84</v>
      </c>
      <c r="R6" s="44">
        <v>0</v>
      </c>
      <c r="S6" s="45"/>
      <c r="T6" s="38">
        <f t="shared" si="0"/>
        <v>18</v>
      </c>
      <c r="U6" s="46">
        <f t="shared" si="1"/>
        <v>4.070880526123493</v>
      </c>
      <c r="V6" s="47">
        <f t="shared" si="2"/>
        <v>28.420000000000073</v>
      </c>
      <c r="W6" s="48">
        <f t="shared" si="3"/>
        <v>0.22616002922908293</v>
      </c>
      <c r="X6" s="43">
        <f t="shared" si="4"/>
        <v>0</v>
      </c>
      <c r="Y6" s="43">
        <f t="shared" si="5"/>
        <v>56.840000000000146</v>
      </c>
      <c r="Z6" s="43">
        <f t="shared" si="6"/>
        <v>6694.3368651808551</v>
      </c>
      <c r="AA6" s="49">
        <f t="shared" si="7"/>
        <v>8856.84</v>
      </c>
      <c r="AB6" s="50">
        <f t="shared" si="8"/>
        <v>6268.1056790082912</v>
      </c>
      <c r="AC6" s="43">
        <f t="shared" si="9"/>
        <v>8292.9213483146068</v>
      </c>
      <c r="AD6" s="43">
        <f t="shared" si="10"/>
        <v>0</v>
      </c>
      <c r="AE6" s="43">
        <v>0</v>
      </c>
      <c r="AF6" s="51">
        <f>HLOOKUP(I6,GasAvoidedCostsWOCC!$A$5:$G$50,G6+1,FALSE)</f>
        <v>17.876078617173665</v>
      </c>
      <c r="AG6" s="43">
        <f t="shared" si="11"/>
        <v>4426.1170656121994</v>
      </c>
      <c r="AH6" s="51">
        <f>HLOOKUP(I6,GasAvoidedCostsWOCC!$A$5:$Q$50,T6+1,FALSE)</f>
        <v>17.876078617173665</v>
      </c>
      <c r="AI6" s="43">
        <f t="shared" si="12"/>
        <v>0</v>
      </c>
      <c r="AJ6" s="43">
        <f t="shared" ref="AJ6:AJ24" si="13">AG6+AI6</f>
        <v>4426.1170656121994</v>
      </c>
      <c r="AK6" s="43">
        <f>HLOOKUP(I6,GasAvoidedCostsWOCC!$A$5:$Q$50,G6+1,FALSE)*J6*L6</f>
        <v>0</v>
      </c>
      <c r="AL6" s="43">
        <f t="shared" ref="AL6:AL24" si="14">AG6+AI6-AK6</f>
        <v>4426.1170656121994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4426.1170656121994</v>
      </c>
      <c r="AN6" s="47">
        <f t="shared" ref="AN6:AN24" si="15">AM6*1.1+AD6+AE6</f>
        <v>4868.7287721734201</v>
      </c>
      <c r="AO6" s="46">
        <f t="shared" ref="AO6:AO24" si="16">IFERROR(AM6/AB6,0)</f>
        <v>0.70613312733943534</v>
      </c>
      <c r="AP6" s="46">
        <f t="shared" ref="AP6:AP24" si="17">AN6/AC6</f>
        <v>0.58709453130927203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4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1600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-1600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1.3548293266216893</v>
      </c>
      <c r="AG7" s="43">
        <f t="shared" si="11"/>
        <v>0</v>
      </c>
      <c r="AH7" s="51">
        <f>HLOOKUP(I7,GasAvoidedCostsWOCC!$A$5:$Q$50,T7+1,FALSE)</f>
        <v>1.3548293266216893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2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1600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-1600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1.3548293266216893</v>
      </c>
      <c r="AG8" s="43">
        <f t="shared" si="11"/>
        <v>0</v>
      </c>
      <c r="AH8" s="51">
        <f>HLOOKUP(I8,GasAvoidedCostsWOCC!$A$5:$Q$50,T8+1,FALSE)</f>
        <v>1.3548293266216893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1094.8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29600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664.27999999999884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15.678480087687252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30264.28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0.6329658511403401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0.68097995766393504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93"/>
  <sheetViews>
    <sheetView topLeftCell="A4" zoomScale="85" zoomScaleNormal="85" workbookViewId="0">
      <selection activeCell="A74" sqref="A74:XFD7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18230736</v>
      </c>
      <c r="D2" s="19" t="s">
        <v>139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138</v>
      </c>
      <c r="C5" s="89">
        <v>18230736</v>
      </c>
      <c r="D5" s="60" t="s">
        <v>139</v>
      </c>
      <c r="E5" s="37" t="s">
        <v>1381</v>
      </c>
      <c r="F5" s="38" t="s">
        <v>1382</v>
      </c>
      <c r="G5" s="38">
        <v>45</v>
      </c>
      <c r="H5" s="38">
        <v>0</v>
      </c>
      <c r="I5" s="39" t="s">
        <v>273</v>
      </c>
      <c r="J5" s="40">
        <v>5050</v>
      </c>
      <c r="K5" s="40">
        <v>0.04</v>
      </c>
      <c r="L5" s="40">
        <v>0</v>
      </c>
      <c r="M5" s="41">
        <v>1</v>
      </c>
      <c r="N5" s="41">
        <v>0.98</v>
      </c>
      <c r="O5" s="42">
        <v>202</v>
      </c>
      <c r="P5" s="43">
        <v>5050</v>
      </c>
      <c r="Q5" s="43">
        <v>4949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0.30249463230096918</v>
      </c>
      <c r="V5" s="47">
        <f t="shared" ref="V5:V24" si="2">N5-M5</f>
        <v>-2.0000000000000018E-2</v>
      </c>
      <c r="W5" s="48">
        <f t="shared" ref="W5:W24" si="3">(O5/A$10)</f>
        <v>6.7221029400215378E-3</v>
      </c>
      <c r="X5" s="43">
        <f t="shared" ref="X5:X24" si="4">W5*A$8</f>
        <v>1517.3766667154739</v>
      </c>
      <c r="Y5" s="43">
        <f t="shared" ref="Y5:Y24" si="5">Q5-P5</f>
        <v>-101</v>
      </c>
      <c r="Z5" s="43">
        <f t="shared" ref="Z5:Z24" si="6">X5+(A$6*W5)</f>
        <v>3830.1497937445838</v>
      </c>
      <c r="AA5" s="49">
        <f t="shared" ref="AA5:AA24" si="7">Q5+X5</f>
        <v>6466.3766667154741</v>
      </c>
      <c r="AB5" s="50">
        <f t="shared" ref="AB5:AB24" si="8">Z5/(1+GasDiscountRate)^1</f>
        <v>3586.2825784125316</v>
      </c>
      <c r="AC5" s="43">
        <f t="shared" ref="AC5:AC24" si="9">AA5/(1+GasDiscountRate)^1</f>
        <v>6054.6598002953879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37.569941081056932</v>
      </c>
      <c r="AG5" s="43">
        <f t="shared" ref="AG5:AG24" si="11">AF5*J5*K5</f>
        <v>7589.1280983735005</v>
      </c>
      <c r="AH5" s="51">
        <f>HLOOKUP(I5,GasAvoidedCostsWOCC!$A$5:$Q$50,T5+1,FALSE)</f>
        <v>37.569941081056932</v>
      </c>
      <c r="AI5" s="43">
        <f t="shared" ref="AI5:AI24" si="12">AH5*J5*L5</f>
        <v>0</v>
      </c>
      <c r="AJ5" s="43">
        <f>AG5+AI5</f>
        <v>7589.1280983735005</v>
      </c>
      <c r="AK5" s="43">
        <f>HLOOKUP(I5,GasAvoidedCostsWOCC!$A$5:$Q$50,G5+1,FALSE)*J5*L5</f>
        <v>0</v>
      </c>
      <c r="AL5" s="43">
        <f>AG5+AI5-AK5</f>
        <v>7589.1280983735005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7589.1280983735005</v>
      </c>
      <c r="AN5" s="47">
        <f>AM5*1.1+AD5+AE5</f>
        <v>8348.0409082108508</v>
      </c>
      <c r="AO5" s="46">
        <f>IFERROR(AM5/AB5,0)</f>
        <v>2.116154522807522</v>
      </c>
      <c r="AP5" s="46">
        <f>AN5/AC5</f>
        <v>1.3787795158703344</v>
      </c>
    </row>
    <row r="6" spans="1:42" ht="13.5" customHeight="1" x14ac:dyDescent="0.25">
      <c r="A6" s="52">
        <f>SUMIF('Program Costs'!D:D,C2,'Program Costs'!L:L)</f>
        <v>344055</v>
      </c>
      <c r="B6" s="88" t="s">
        <v>138</v>
      </c>
      <c r="C6" s="89">
        <v>18230736</v>
      </c>
      <c r="D6" s="60" t="s">
        <v>139</v>
      </c>
      <c r="E6" s="37" t="s">
        <v>1383</v>
      </c>
      <c r="F6" s="38" t="s">
        <v>653</v>
      </c>
      <c r="G6" s="38">
        <v>45</v>
      </c>
      <c r="H6" s="38">
        <v>0</v>
      </c>
      <c r="I6" s="39" t="s">
        <v>273</v>
      </c>
      <c r="J6" s="40">
        <v>400</v>
      </c>
      <c r="K6" s="40">
        <v>0.03</v>
      </c>
      <c r="L6" s="40">
        <v>0</v>
      </c>
      <c r="M6" s="41">
        <v>1</v>
      </c>
      <c r="N6" s="41">
        <v>0.7</v>
      </c>
      <c r="O6" s="42">
        <v>12</v>
      </c>
      <c r="P6" s="43">
        <v>400</v>
      </c>
      <c r="Q6" s="43">
        <v>280</v>
      </c>
      <c r="R6" s="44">
        <v>0</v>
      </c>
      <c r="S6" s="45"/>
      <c r="T6" s="38">
        <f t="shared" si="0"/>
        <v>45</v>
      </c>
      <c r="U6" s="46">
        <f t="shared" si="1"/>
        <v>1.7969978156493219E-2</v>
      </c>
      <c r="V6" s="47">
        <f t="shared" si="2"/>
        <v>-0.30000000000000004</v>
      </c>
      <c r="W6" s="48">
        <f t="shared" si="3"/>
        <v>3.9933284792207155E-4</v>
      </c>
      <c r="X6" s="43">
        <f t="shared" si="4"/>
        <v>90.141188121711323</v>
      </c>
      <c r="Y6" s="43">
        <f t="shared" si="5"/>
        <v>-120</v>
      </c>
      <c r="Z6" s="43">
        <f t="shared" si="6"/>
        <v>227.53365111353963</v>
      </c>
      <c r="AA6" s="49">
        <f t="shared" si="7"/>
        <v>370.14118812171131</v>
      </c>
      <c r="AB6" s="50">
        <f t="shared" si="8"/>
        <v>213.04648980668503</v>
      </c>
      <c r="AC6" s="43">
        <f t="shared" si="9"/>
        <v>346.57414618137761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450.83929297268315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450.83929297268315</v>
      </c>
      <c r="AK6" s="43">
        <f>HLOOKUP(I6,GasAvoidedCostsWOCC!$A$5:$Q$50,G6+1,FALSE)*J6*L6</f>
        <v>0</v>
      </c>
      <c r="AL6" s="43">
        <f t="shared" ref="AL6:AL24" si="14">AG6+AI6-AK6</f>
        <v>450.83929297268315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450.8392929726831</v>
      </c>
      <c r="AN6" s="47">
        <f t="shared" ref="AN6:AN24" si="15">AM6*1.1+AD6+AE6</f>
        <v>495.92322226995145</v>
      </c>
      <c r="AO6" s="46">
        <f t="shared" ref="AO6:AO24" si="16">IFERROR(AM6/AB6,0)</f>
        <v>2.1161545228075216</v>
      </c>
      <c r="AP6" s="46">
        <f t="shared" ref="AP6:AP24" si="17">AN6/AC6</f>
        <v>1.4309296516607815</v>
      </c>
    </row>
    <row r="7" spans="1:42" ht="13.5" customHeight="1" x14ac:dyDescent="0.25">
      <c r="A7" s="35" t="s">
        <v>239</v>
      </c>
      <c r="B7" s="88" t="s">
        <v>138</v>
      </c>
      <c r="C7" s="89">
        <v>18230736</v>
      </c>
      <c r="D7" s="60" t="s">
        <v>139</v>
      </c>
      <c r="E7" s="37" t="s">
        <v>1384</v>
      </c>
      <c r="F7" s="38" t="s">
        <v>1385</v>
      </c>
      <c r="G7" s="38">
        <v>45</v>
      </c>
      <c r="H7" s="38">
        <v>0</v>
      </c>
      <c r="I7" s="39" t="s">
        <v>273</v>
      </c>
      <c r="J7" s="40">
        <v>200</v>
      </c>
      <c r="K7" s="40">
        <v>0.06</v>
      </c>
      <c r="L7" s="40">
        <v>0</v>
      </c>
      <c r="M7" s="41">
        <v>1</v>
      </c>
      <c r="N7" s="41">
        <v>1.28</v>
      </c>
      <c r="O7" s="42">
        <v>12</v>
      </c>
      <c r="P7" s="43">
        <v>200</v>
      </c>
      <c r="Q7" s="43">
        <v>256</v>
      </c>
      <c r="R7" s="44">
        <v>0</v>
      </c>
      <c r="S7" s="45"/>
      <c r="T7" s="38">
        <f t="shared" si="0"/>
        <v>45</v>
      </c>
      <c r="U7" s="46">
        <f t="shared" si="1"/>
        <v>1.7969978156493219E-2</v>
      </c>
      <c r="V7" s="47">
        <f t="shared" si="2"/>
        <v>0.28000000000000003</v>
      </c>
      <c r="W7" s="48">
        <f t="shared" si="3"/>
        <v>3.9933284792207155E-4</v>
      </c>
      <c r="X7" s="43">
        <f t="shared" si="4"/>
        <v>90.141188121711323</v>
      </c>
      <c r="Y7" s="43">
        <f t="shared" si="5"/>
        <v>56</v>
      </c>
      <c r="Z7" s="43">
        <f t="shared" si="6"/>
        <v>227.53365111353963</v>
      </c>
      <c r="AA7" s="49">
        <f t="shared" si="7"/>
        <v>346.14118812171131</v>
      </c>
      <c r="AB7" s="50">
        <f t="shared" si="8"/>
        <v>213.04648980668503</v>
      </c>
      <c r="AC7" s="43">
        <f t="shared" si="9"/>
        <v>324.10223606901803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450.83929297268315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450.83929297268315</v>
      </c>
      <c r="AK7" s="43">
        <f>HLOOKUP(I7,GasAvoidedCostsWOCC!$A$5:$Q$50,G7+1,FALSE)*J7*L7</f>
        <v>0</v>
      </c>
      <c r="AL7" s="43">
        <f t="shared" si="14"/>
        <v>450.83929297268315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450.8392929726831</v>
      </c>
      <c r="AN7" s="47">
        <f t="shared" si="15"/>
        <v>495.92322226995145</v>
      </c>
      <c r="AO7" s="46">
        <f t="shared" si="16"/>
        <v>2.1161545228075216</v>
      </c>
      <c r="AP7" s="46">
        <f t="shared" si="17"/>
        <v>1.5301444022260429</v>
      </c>
    </row>
    <row r="8" spans="1:42" ht="13.5" customHeight="1" x14ac:dyDescent="0.25">
      <c r="A8" s="52">
        <f>SUMIF('Program Costs'!D:D,C2,'Program Costs'!O:O)</f>
        <v>225729.45999999996</v>
      </c>
      <c r="B8" s="88" t="s">
        <v>138</v>
      </c>
      <c r="C8" s="89">
        <v>18230736</v>
      </c>
      <c r="D8" s="60" t="s">
        <v>139</v>
      </c>
      <c r="E8" s="37" t="s">
        <v>1386</v>
      </c>
      <c r="F8" s="38" t="s">
        <v>657</v>
      </c>
      <c r="G8" s="38">
        <v>45</v>
      </c>
      <c r="H8" s="38">
        <v>0</v>
      </c>
      <c r="I8" s="39" t="s">
        <v>273</v>
      </c>
      <c r="J8" s="40">
        <v>400</v>
      </c>
      <c r="K8" s="40">
        <v>0.1</v>
      </c>
      <c r="L8" s="40">
        <v>0</v>
      </c>
      <c r="M8" s="41">
        <v>1</v>
      </c>
      <c r="N8" s="41">
        <v>1.18</v>
      </c>
      <c r="O8" s="42">
        <v>40</v>
      </c>
      <c r="P8" s="43">
        <v>400</v>
      </c>
      <c r="Q8" s="43">
        <v>472</v>
      </c>
      <c r="R8" s="44">
        <v>0</v>
      </c>
      <c r="S8" s="45"/>
      <c r="T8" s="38">
        <f t="shared" si="0"/>
        <v>45</v>
      </c>
      <c r="U8" s="46">
        <f t="shared" si="1"/>
        <v>5.9899927188310734E-2</v>
      </c>
      <c r="V8" s="47">
        <f t="shared" si="2"/>
        <v>0.17999999999999994</v>
      </c>
      <c r="W8" s="48">
        <f t="shared" si="3"/>
        <v>1.3311094930735718E-3</v>
      </c>
      <c r="X8" s="43">
        <f t="shared" si="4"/>
        <v>300.47062707237103</v>
      </c>
      <c r="Y8" s="43">
        <f t="shared" si="5"/>
        <v>72</v>
      </c>
      <c r="Z8" s="43">
        <f t="shared" si="6"/>
        <v>758.44550371179878</v>
      </c>
      <c r="AA8" s="49">
        <f t="shared" si="7"/>
        <v>772.47062707237103</v>
      </c>
      <c r="AB8" s="50">
        <f t="shared" si="8"/>
        <v>710.15496602228347</v>
      </c>
      <c r="AC8" s="43">
        <f t="shared" si="9"/>
        <v>723.28710400034731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1502.7976432422774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1502.7976432422774</v>
      </c>
      <c r="AK8" s="43">
        <f>HLOOKUP(I8,GasAvoidedCostsWOCC!$A$5:$Q$50,G8+1,FALSE)*J8*L8</f>
        <v>0</v>
      </c>
      <c r="AL8" s="43">
        <f t="shared" si="14"/>
        <v>1502.7976432422774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1502.7976432422774</v>
      </c>
      <c r="AN8" s="47">
        <f t="shared" si="15"/>
        <v>1653.0774075665054</v>
      </c>
      <c r="AO8" s="46">
        <f t="shared" si="16"/>
        <v>2.116154522807522</v>
      </c>
      <c r="AP8" s="46">
        <f t="shared" si="17"/>
        <v>2.2855065414877238</v>
      </c>
    </row>
    <row r="9" spans="1:42" ht="13.5" customHeight="1" x14ac:dyDescent="0.25">
      <c r="A9" s="35" t="s">
        <v>303</v>
      </c>
      <c r="B9" s="88" t="s">
        <v>138</v>
      </c>
      <c r="C9" s="89">
        <v>18230736</v>
      </c>
      <c r="D9" s="60" t="s">
        <v>139</v>
      </c>
      <c r="E9" s="37" t="s">
        <v>1387</v>
      </c>
      <c r="F9" s="38" t="s">
        <v>1388</v>
      </c>
      <c r="G9" s="38">
        <v>45</v>
      </c>
      <c r="H9" s="38">
        <v>0</v>
      </c>
      <c r="I9" s="39" t="s">
        <v>273</v>
      </c>
      <c r="J9" s="40">
        <v>400</v>
      </c>
      <c r="K9" s="40">
        <v>0.03</v>
      </c>
      <c r="L9" s="40">
        <v>0</v>
      </c>
      <c r="M9" s="41">
        <v>1</v>
      </c>
      <c r="N9" s="41">
        <v>0.71</v>
      </c>
      <c r="O9" s="42">
        <v>12</v>
      </c>
      <c r="P9" s="43">
        <v>400</v>
      </c>
      <c r="Q9" s="43">
        <v>284</v>
      </c>
      <c r="R9" s="44">
        <v>0</v>
      </c>
      <c r="S9" s="45"/>
      <c r="T9" s="38">
        <f t="shared" si="0"/>
        <v>45</v>
      </c>
      <c r="U9" s="46">
        <f t="shared" si="1"/>
        <v>1.7969978156493219E-2</v>
      </c>
      <c r="V9" s="47">
        <f t="shared" si="2"/>
        <v>-0.29000000000000004</v>
      </c>
      <c r="W9" s="48">
        <f t="shared" si="3"/>
        <v>3.9933284792207155E-4</v>
      </c>
      <c r="X9" s="43">
        <f t="shared" si="4"/>
        <v>90.141188121711323</v>
      </c>
      <c r="Y9" s="43">
        <f t="shared" si="5"/>
        <v>-116</v>
      </c>
      <c r="Z9" s="43">
        <f t="shared" si="6"/>
        <v>227.53365111353963</v>
      </c>
      <c r="AA9" s="49">
        <f t="shared" si="7"/>
        <v>374.14118812171131</v>
      </c>
      <c r="AB9" s="50">
        <f t="shared" si="8"/>
        <v>213.04648980668503</v>
      </c>
      <c r="AC9" s="43">
        <f t="shared" si="9"/>
        <v>350.31946453343755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450.83929297268315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450.83929297268315</v>
      </c>
      <c r="AK9" s="43">
        <f>HLOOKUP(I9,GasAvoidedCostsWOCC!$A$5:$Q$50,G9+1,FALSE)*J9*L9</f>
        <v>0</v>
      </c>
      <c r="AL9" s="43">
        <f t="shared" si="14"/>
        <v>450.83929297268315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450.8392929726831</v>
      </c>
      <c r="AN9" s="47">
        <f t="shared" si="15"/>
        <v>495.92322226995145</v>
      </c>
      <c r="AO9" s="46">
        <f t="shared" si="16"/>
        <v>2.1161545228075216</v>
      </c>
      <c r="AP9" s="46">
        <f t="shared" si="17"/>
        <v>1.4156313664455724</v>
      </c>
    </row>
    <row r="10" spans="1:42" ht="13.5" customHeight="1" x14ac:dyDescent="0.25">
      <c r="A10" s="53">
        <f>SUM(O5:O997)</f>
        <v>30050.12</v>
      </c>
      <c r="B10" s="88" t="s">
        <v>138</v>
      </c>
      <c r="C10" s="89">
        <v>18230736</v>
      </c>
      <c r="D10" s="60" t="s">
        <v>139</v>
      </c>
      <c r="E10" s="37" t="s">
        <v>1389</v>
      </c>
      <c r="F10" s="38" t="s">
        <v>681</v>
      </c>
      <c r="G10" s="38">
        <v>45</v>
      </c>
      <c r="H10" s="38">
        <v>0</v>
      </c>
      <c r="I10" s="39" t="s">
        <v>273</v>
      </c>
      <c r="J10" s="40">
        <v>200</v>
      </c>
      <c r="K10" s="40">
        <v>0.05</v>
      </c>
      <c r="L10" s="40">
        <v>0</v>
      </c>
      <c r="M10" s="41">
        <v>1</v>
      </c>
      <c r="N10" s="41">
        <v>1.26</v>
      </c>
      <c r="O10" s="42">
        <v>10</v>
      </c>
      <c r="P10" s="43">
        <v>200</v>
      </c>
      <c r="Q10" s="43">
        <v>252</v>
      </c>
      <c r="R10" s="44">
        <v>0</v>
      </c>
      <c r="S10" s="45"/>
      <c r="T10" s="38">
        <f t="shared" si="0"/>
        <v>45</v>
      </c>
      <c r="U10" s="46">
        <f t="shared" si="1"/>
        <v>1.4974981797077683E-2</v>
      </c>
      <c r="V10" s="47">
        <f t="shared" si="2"/>
        <v>0.26</v>
      </c>
      <c r="W10" s="48">
        <f t="shared" si="3"/>
        <v>3.3277737326839295E-4</v>
      </c>
      <c r="X10" s="43">
        <f t="shared" si="4"/>
        <v>75.117656768092758</v>
      </c>
      <c r="Y10" s="43">
        <f t="shared" si="5"/>
        <v>52</v>
      </c>
      <c r="Z10" s="43">
        <f t="shared" si="6"/>
        <v>189.61137592794969</v>
      </c>
      <c r="AA10" s="49">
        <f t="shared" si="7"/>
        <v>327.11765676809273</v>
      </c>
      <c r="AB10" s="50">
        <f t="shared" si="8"/>
        <v>177.53874150557087</v>
      </c>
      <c r="AC10" s="43">
        <f t="shared" si="9"/>
        <v>306.28994079409432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37.569941081056932</v>
      </c>
      <c r="AG10" s="43">
        <f t="shared" si="11"/>
        <v>375.69941081056936</v>
      </c>
      <c r="AH10" s="51">
        <f>HLOOKUP(I10,GasAvoidedCostsWOCC!$A$5:$Q$50,T10+1,FALSE)</f>
        <v>37.569941081056932</v>
      </c>
      <c r="AI10" s="43">
        <f t="shared" si="12"/>
        <v>0</v>
      </c>
      <c r="AJ10" s="43">
        <f t="shared" si="13"/>
        <v>375.69941081056936</v>
      </c>
      <c r="AK10" s="43">
        <f>HLOOKUP(I10,GasAvoidedCostsWOCC!$A$5:$Q$50,G10+1,FALSE)*J10*L10</f>
        <v>0</v>
      </c>
      <c r="AL10" s="43">
        <f t="shared" si="14"/>
        <v>375.69941081056936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375.69941081056936</v>
      </c>
      <c r="AN10" s="47">
        <f t="shared" si="15"/>
        <v>413.26935189162634</v>
      </c>
      <c r="AO10" s="46">
        <f t="shared" si="16"/>
        <v>2.116154522807522</v>
      </c>
      <c r="AP10" s="46">
        <f t="shared" si="17"/>
        <v>1.3492749739680472</v>
      </c>
    </row>
    <row r="11" spans="1:42" ht="13.5" customHeight="1" x14ac:dyDescent="0.25">
      <c r="A11" s="35" t="s">
        <v>242</v>
      </c>
      <c r="B11" s="88" t="s">
        <v>138</v>
      </c>
      <c r="C11" s="89">
        <v>18230736</v>
      </c>
      <c r="D11" s="60" t="s">
        <v>139</v>
      </c>
      <c r="E11" s="37" t="s">
        <v>1390</v>
      </c>
      <c r="F11" s="38" t="s">
        <v>1391</v>
      </c>
      <c r="G11" s="38">
        <v>45</v>
      </c>
      <c r="H11" s="38">
        <v>0</v>
      </c>
      <c r="I11" s="39" t="s">
        <v>273</v>
      </c>
      <c r="J11" s="40">
        <v>1000</v>
      </c>
      <c r="K11" s="40">
        <v>0.03</v>
      </c>
      <c r="L11" s="40">
        <v>0</v>
      </c>
      <c r="M11" s="41">
        <v>1</v>
      </c>
      <c r="N11" s="41">
        <v>0.98</v>
      </c>
      <c r="O11" s="42">
        <v>30</v>
      </c>
      <c r="P11" s="43">
        <v>1000</v>
      </c>
      <c r="Q11" s="43">
        <v>980</v>
      </c>
      <c r="R11" s="44">
        <v>0</v>
      </c>
      <c r="S11" s="45"/>
      <c r="T11" s="38">
        <f t="shared" si="0"/>
        <v>45</v>
      </c>
      <c r="U11" s="46">
        <f t="shared" si="1"/>
        <v>4.4924945391233047E-2</v>
      </c>
      <c r="V11" s="47">
        <f t="shared" si="2"/>
        <v>-2.0000000000000018E-2</v>
      </c>
      <c r="W11" s="48">
        <f t="shared" si="3"/>
        <v>9.9833211980517879E-4</v>
      </c>
      <c r="X11" s="43">
        <f t="shared" si="4"/>
        <v>225.35297030427827</v>
      </c>
      <c r="Y11" s="43">
        <f t="shared" si="5"/>
        <v>-20</v>
      </c>
      <c r="Z11" s="43">
        <f t="shared" si="6"/>
        <v>568.83412778384911</v>
      </c>
      <c r="AA11" s="49">
        <f t="shared" si="7"/>
        <v>1205.3529703042782</v>
      </c>
      <c r="AB11" s="50">
        <f t="shared" si="8"/>
        <v>532.61622451671258</v>
      </c>
      <c r="AC11" s="43">
        <f t="shared" si="9"/>
        <v>1128.6076500976387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37.569941081056932</v>
      </c>
      <c r="AG11" s="43">
        <f t="shared" si="11"/>
        <v>1127.0982324317079</v>
      </c>
      <c r="AH11" s="51">
        <f>HLOOKUP(I11,GasAvoidedCostsWOCC!$A$5:$Q$50,T11+1,FALSE)</f>
        <v>37.569941081056932</v>
      </c>
      <c r="AI11" s="43">
        <f t="shared" si="12"/>
        <v>0</v>
      </c>
      <c r="AJ11" s="43">
        <f t="shared" si="13"/>
        <v>1127.0982324317079</v>
      </c>
      <c r="AK11" s="43">
        <f>HLOOKUP(I11,GasAvoidedCostsWOCC!$A$5:$Q$50,G11+1,FALSE)*J11*L11</f>
        <v>0</v>
      </c>
      <c r="AL11" s="43">
        <f t="shared" si="14"/>
        <v>1127.0982324317079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1127.0982324317079</v>
      </c>
      <c r="AN11" s="47">
        <f t="shared" si="15"/>
        <v>1239.8080556748787</v>
      </c>
      <c r="AO11" s="46">
        <f t="shared" si="16"/>
        <v>2.116154522807522</v>
      </c>
      <c r="AP11" s="46">
        <f t="shared" si="17"/>
        <v>1.0985288426563649</v>
      </c>
    </row>
    <row r="12" spans="1:42" ht="13.5" customHeight="1" x14ac:dyDescent="0.25">
      <c r="A12" s="54">
        <f>SUM(P5:P998)</f>
        <v>344050</v>
      </c>
      <c r="B12" s="88" t="s">
        <v>138</v>
      </c>
      <c r="C12" s="89">
        <v>18230736</v>
      </c>
      <c r="D12" s="60" t="s">
        <v>139</v>
      </c>
      <c r="E12" s="37" t="s">
        <v>1256</v>
      </c>
      <c r="F12" s="38" t="s">
        <v>1392</v>
      </c>
      <c r="G12" s="38">
        <v>45</v>
      </c>
      <c r="H12" s="38">
        <v>0</v>
      </c>
      <c r="I12" s="39" t="s">
        <v>273</v>
      </c>
      <c r="J12" s="40">
        <v>80000</v>
      </c>
      <c r="K12" s="40">
        <v>0.01</v>
      </c>
      <c r="L12" s="40">
        <v>0</v>
      </c>
      <c r="M12" s="41">
        <v>0.5</v>
      </c>
      <c r="N12" s="41">
        <v>0.8</v>
      </c>
      <c r="O12" s="42">
        <v>800</v>
      </c>
      <c r="P12" s="43">
        <v>40000</v>
      </c>
      <c r="Q12" s="43">
        <v>64000</v>
      </c>
      <c r="R12" s="44">
        <v>0</v>
      </c>
      <c r="S12" s="45"/>
      <c r="T12" s="38">
        <f t="shared" si="0"/>
        <v>45</v>
      </c>
      <c r="U12" s="46">
        <f t="shared" si="1"/>
        <v>1.1979985437662146</v>
      </c>
      <c r="V12" s="47">
        <f t="shared" si="2"/>
        <v>0.30000000000000004</v>
      </c>
      <c r="W12" s="48">
        <f t="shared" si="3"/>
        <v>2.6622189861471437E-2</v>
      </c>
      <c r="X12" s="43">
        <f t="shared" si="4"/>
        <v>6009.4125414474211</v>
      </c>
      <c r="Y12" s="43">
        <f t="shared" si="5"/>
        <v>24000</v>
      </c>
      <c r="Z12" s="43">
        <f t="shared" si="6"/>
        <v>15168.910074235977</v>
      </c>
      <c r="AA12" s="49">
        <f t="shared" si="7"/>
        <v>70009.412541447426</v>
      </c>
      <c r="AB12" s="50">
        <f t="shared" si="8"/>
        <v>14203.09932044567</v>
      </c>
      <c r="AC12" s="43">
        <f t="shared" si="9"/>
        <v>65551.884402104333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37.569941081056932</v>
      </c>
      <c r="AG12" s="43">
        <f t="shared" si="11"/>
        <v>30055.952864845545</v>
      </c>
      <c r="AH12" s="51">
        <f>HLOOKUP(I12,GasAvoidedCostsWOCC!$A$5:$Q$50,T12+1,FALSE)</f>
        <v>37.569941081056932</v>
      </c>
      <c r="AI12" s="43">
        <f t="shared" si="12"/>
        <v>0</v>
      </c>
      <c r="AJ12" s="43">
        <f t="shared" si="13"/>
        <v>30055.952864845545</v>
      </c>
      <c r="AK12" s="43">
        <f>HLOOKUP(I12,GasAvoidedCostsWOCC!$A$5:$Q$50,G12+1,FALSE)*J12*L12</f>
        <v>0</v>
      </c>
      <c r="AL12" s="43">
        <f t="shared" si="14"/>
        <v>30055.952864845545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30055.952864845549</v>
      </c>
      <c r="AN12" s="47">
        <f t="shared" si="15"/>
        <v>33061.548151330106</v>
      </c>
      <c r="AO12" s="46">
        <f t="shared" si="16"/>
        <v>2.116154522807522</v>
      </c>
      <c r="AP12" s="46">
        <f t="shared" si="17"/>
        <v>0.50435694492817307</v>
      </c>
    </row>
    <row r="13" spans="1:42" ht="13.5" customHeight="1" x14ac:dyDescent="0.25">
      <c r="A13" s="55" t="s">
        <v>245</v>
      </c>
      <c r="B13" s="88" t="s">
        <v>138</v>
      </c>
      <c r="C13" s="89">
        <v>18230736</v>
      </c>
      <c r="D13" s="60" t="s">
        <v>139</v>
      </c>
      <c r="E13" s="37" t="s">
        <v>1393</v>
      </c>
      <c r="F13" s="38" t="s">
        <v>669</v>
      </c>
      <c r="G13" s="38">
        <v>45</v>
      </c>
      <c r="H13" s="38">
        <v>0</v>
      </c>
      <c r="I13" s="39" t="s">
        <v>273</v>
      </c>
      <c r="J13" s="40">
        <v>1000</v>
      </c>
      <c r="K13" s="40">
        <v>1.1499999999999999</v>
      </c>
      <c r="L13" s="40">
        <v>0</v>
      </c>
      <c r="M13" s="41">
        <v>7</v>
      </c>
      <c r="N13" s="41">
        <v>23.3</v>
      </c>
      <c r="O13" s="42">
        <v>1150</v>
      </c>
      <c r="P13" s="43">
        <v>7000</v>
      </c>
      <c r="Q13" s="43">
        <v>23300</v>
      </c>
      <c r="R13" s="44">
        <v>0</v>
      </c>
      <c r="S13" s="45"/>
      <c r="T13" s="38">
        <f t="shared" si="0"/>
        <v>45</v>
      </c>
      <c r="U13" s="46">
        <f t="shared" si="1"/>
        <v>1.7221229066639334</v>
      </c>
      <c r="V13" s="47">
        <f t="shared" si="2"/>
        <v>16.3</v>
      </c>
      <c r="W13" s="48">
        <f t="shared" si="3"/>
        <v>3.8269397925865187E-2</v>
      </c>
      <c r="X13" s="43">
        <f t="shared" si="4"/>
        <v>8638.5305283306679</v>
      </c>
      <c r="Y13" s="43">
        <f t="shared" si="5"/>
        <v>16300</v>
      </c>
      <c r="Z13" s="43">
        <f t="shared" si="6"/>
        <v>21805.308231714214</v>
      </c>
      <c r="AA13" s="49">
        <f t="shared" si="7"/>
        <v>31938.530528330666</v>
      </c>
      <c r="AB13" s="50">
        <f t="shared" si="8"/>
        <v>20416.955273140647</v>
      </c>
      <c r="AC13" s="43">
        <f t="shared" si="9"/>
        <v>29904.991131395753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37.569941081056932</v>
      </c>
      <c r="AG13" s="43">
        <f t="shared" si="11"/>
        <v>43205.432243215466</v>
      </c>
      <c r="AH13" s="51">
        <f>HLOOKUP(I13,GasAvoidedCostsWOCC!$A$5:$Q$50,T13+1,FALSE)</f>
        <v>37.569941081056932</v>
      </c>
      <c r="AI13" s="43">
        <f t="shared" si="12"/>
        <v>0</v>
      </c>
      <c r="AJ13" s="43">
        <f t="shared" si="13"/>
        <v>43205.432243215466</v>
      </c>
      <c r="AK13" s="43">
        <f>HLOOKUP(I13,GasAvoidedCostsWOCC!$A$5:$Q$50,G13+1,FALSE)*J13*L13</f>
        <v>0</v>
      </c>
      <c r="AL13" s="43">
        <f t="shared" si="14"/>
        <v>43205.432243215466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43205.432243215466</v>
      </c>
      <c r="AN13" s="47">
        <f t="shared" si="15"/>
        <v>47525.975467537013</v>
      </c>
      <c r="AO13" s="46">
        <f t="shared" si="16"/>
        <v>2.116154522807522</v>
      </c>
      <c r="AP13" s="46">
        <f t="shared" si="17"/>
        <v>1.5892322207593592</v>
      </c>
    </row>
    <row r="14" spans="1:42" ht="13.5" customHeight="1" x14ac:dyDescent="0.25">
      <c r="A14" s="54">
        <f>SUM(Y5:Y998)</f>
        <v>261691.20000000007</v>
      </c>
      <c r="B14" s="88" t="s">
        <v>138</v>
      </c>
      <c r="C14" s="89">
        <v>18230736</v>
      </c>
      <c r="D14" s="60" t="s">
        <v>139</v>
      </c>
      <c r="E14" s="37" t="s">
        <v>1394</v>
      </c>
      <c r="F14" s="38" t="s">
        <v>1395</v>
      </c>
      <c r="G14" s="38">
        <v>45</v>
      </c>
      <c r="H14" s="38">
        <v>0</v>
      </c>
      <c r="I14" s="39" t="s">
        <v>273</v>
      </c>
      <c r="J14" s="40">
        <v>200</v>
      </c>
      <c r="K14" s="40">
        <v>1.27</v>
      </c>
      <c r="L14" s="40">
        <v>0</v>
      </c>
      <c r="M14" s="41">
        <v>9</v>
      </c>
      <c r="N14" s="41">
        <v>26.98</v>
      </c>
      <c r="O14" s="42">
        <v>254</v>
      </c>
      <c r="P14" s="43">
        <v>1800</v>
      </c>
      <c r="Q14" s="43">
        <v>5396</v>
      </c>
      <c r="R14" s="44">
        <v>0</v>
      </c>
      <c r="S14" s="45"/>
      <c r="T14" s="38">
        <f t="shared" si="0"/>
        <v>45</v>
      </c>
      <c r="U14" s="46">
        <f t="shared" si="1"/>
        <v>0.3803645376457731</v>
      </c>
      <c r="V14" s="47">
        <f t="shared" si="2"/>
        <v>17.98</v>
      </c>
      <c r="W14" s="48">
        <f t="shared" si="3"/>
        <v>8.4525452810171806E-3</v>
      </c>
      <c r="X14" s="43">
        <f t="shared" si="4"/>
        <v>1907.9884819095562</v>
      </c>
      <c r="Y14" s="43">
        <f t="shared" si="5"/>
        <v>3596</v>
      </c>
      <c r="Z14" s="43">
        <f t="shared" si="6"/>
        <v>4816.1289485699226</v>
      </c>
      <c r="AA14" s="49">
        <f t="shared" si="7"/>
        <v>7303.988481909556</v>
      </c>
      <c r="AB14" s="50">
        <f t="shared" si="8"/>
        <v>4509.4840342415</v>
      </c>
      <c r="AC14" s="43">
        <f t="shared" si="9"/>
        <v>6838.9405261325428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37.569941081056932</v>
      </c>
      <c r="AG14" s="43">
        <f t="shared" si="11"/>
        <v>9542.7650345884613</v>
      </c>
      <c r="AH14" s="51">
        <f>HLOOKUP(I14,GasAvoidedCostsWOCC!$A$5:$Q$50,T14+1,FALSE)</f>
        <v>37.569941081056932</v>
      </c>
      <c r="AI14" s="43">
        <f t="shared" si="12"/>
        <v>0</v>
      </c>
      <c r="AJ14" s="43">
        <f t="shared" si="13"/>
        <v>9542.7650345884613</v>
      </c>
      <c r="AK14" s="43">
        <f>HLOOKUP(I14,GasAvoidedCostsWOCC!$A$5:$Q$50,G14+1,FALSE)*J14*L14</f>
        <v>0</v>
      </c>
      <c r="AL14" s="43">
        <f t="shared" si="14"/>
        <v>9542.7650345884613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9542.7650345884613</v>
      </c>
      <c r="AN14" s="47">
        <f t="shared" si="15"/>
        <v>10497.041538047308</v>
      </c>
      <c r="AO14" s="46">
        <f t="shared" si="16"/>
        <v>2.116154522807522</v>
      </c>
      <c r="AP14" s="46">
        <f t="shared" si="17"/>
        <v>1.5348929410830014</v>
      </c>
    </row>
    <row r="15" spans="1:42" ht="13.5" customHeight="1" x14ac:dyDescent="0.25">
      <c r="A15" s="56" t="s">
        <v>248</v>
      </c>
      <c r="B15" s="88" t="s">
        <v>138</v>
      </c>
      <c r="C15" s="89">
        <v>18230736</v>
      </c>
      <c r="D15" s="60" t="s">
        <v>139</v>
      </c>
      <c r="E15" s="37" t="s">
        <v>1396</v>
      </c>
      <c r="F15" s="38" t="s">
        <v>1397</v>
      </c>
      <c r="G15" s="38">
        <v>45</v>
      </c>
      <c r="H15" s="38">
        <v>0</v>
      </c>
      <c r="I15" s="39" t="s">
        <v>273</v>
      </c>
      <c r="J15" s="40">
        <v>1000</v>
      </c>
      <c r="K15" s="40">
        <v>0.62</v>
      </c>
      <c r="L15" s="40">
        <v>0</v>
      </c>
      <c r="M15" s="41">
        <v>5</v>
      </c>
      <c r="N15" s="41">
        <v>23.3</v>
      </c>
      <c r="O15" s="42">
        <v>620</v>
      </c>
      <c r="P15" s="43">
        <v>5000</v>
      </c>
      <c r="Q15" s="43">
        <v>23300</v>
      </c>
      <c r="R15" s="44">
        <v>0</v>
      </c>
      <c r="S15" s="45"/>
      <c r="T15" s="38">
        <f t="shared" si="0"/>
        <v>45</v>
      </c>
      <c r="U15" s="46">
        <f t="shared" si="1"/>
        <v>0.92844887141881638</v>
      </c>
      <c r="V15" s="47">
        <f t="shared" si="2"/>
        <v>18.3</v>
      </c>
      <c r="W15" s="48">
        <f t="shared" si="3"/>
        <v>2.0632197142640363E-2</v>
      </c>
      <c r="X15" s="43">
        <f t="shared" si="4"/>
        <v>4657.294719621751</v>
      </c>
      <c r="Y15" s="43">
        <f t="shared" si="5"/>
        <v>18300</v>
      </c>
      <c r="Z15" s="43">
        <f t="shared" si="6"/>
        <v>11755.905307532881</v>
      </c>
      <c r="AA15" s="49">
        <f t="shared" si="7"/>
        <v>27957.29471962175</v>
      </c>
      <c r="AB15" s="50">
        <f t="shared" si="8"/>
        <v>11007.401973345393</v>
      </c>
      <c r="AC15" s="43">
        <f t="shared" si="9"/>
        <v>26177.242246836842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37.569941081056932</v>
      </c>
      <c r="AG15" s="43">
        <f t="shared" si="11"/>
        <v>23293.363470255299</v>
      </c>
      <c r="AH15" s="51">
        <f>HLOOKUP(I15,GasAvoidedCostsWOCC!$A$5:$Q$50,T15+1,FALSE)</f>
        <v>37.569941081056932</v>
      </c>
      <c r="AI15" s="43">
        <f t="shared" si="12"/>
        <v>0</v>
      </c>
      <c r="AJ15" s="43">
        <f t="shared" si="13"/>
        <v>23293.363470255299</v>
      </c>
      <c r="AK15" s="43">
        <f>HLOOKUP(I15,GasAvoidedCostsWOCC!$A$5:$Q$50,G15+1,FALSE)*J15*L15</f>
        <v>0</v>
      </c>
      <c r="AL15" s="43">
        <f t="shared" si="14"/>
        <v>23293.363470255299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23293.363470255295</v>
      </c>
      <c r="AN15" s="47">
        <f t="shared" si="15"/>
        <v>25622.699817280827</v>
      </c>
      <c r="AO15" s="46">
        <f t="shared" si="16"/>
        <v>2.116154522807522</v>
      </c>
      <c r="AP15" s="46">
        <f t="shared" si="17"/>
        <v>0.978815857517496</v>
      </c>
    </row>
    <row r="16" spans="1:42" ht="13.5" customHeight="1" x14ac:dyDescent="0.25">
      <c r="A16" s="53">
        <f>SUM(U5:U997)</f>
        <v>30.292619796526591</v>
      </c>
      <c r="B16" s="36"/>
      <c r="E16" s="37" t="s">
        <v>1398</v>
      </c>
      <c r="F16" s="38" t="s">
        <v>1399</v>
      </c>
      <c r="G16" s="38">
        <v>45</v>
      </c>
      <c r="H16" s="38">
        <v>0</v>
      </c>
      <c r="I16" s="39" t="s">
        <v>273</v>
      </c>
      <c r="J16" s="40">
        <v>3000</v>
      </c>
      <c r="K16" s="40">
        <v>0.75</v>
      </c>
      <c r="L16" s="40">
        <v>0</v>
      </c>
      <c r="M16" s="41">
        <v>7</v>
      </c>
      <c r="N16" s="41">
        <v>26.98</v>
      </c>
      <c r="O16" s="42">
        <v>2250</v>
      </c>
      <c r="P16" s="43">
        <v>21000</v>
      </c>
      <c r="Q16" s="43">
        <v>80940</v>
      </c>
      <c r="R16" s="44">
        <v>0</v>
      </c>
      <c r="S16" s="45"/>
      <c r="T16" s="38">
        <f t="shared" si="0"/>
        <v>45</v>
      </c>
      <c r="U16" s="46">
        <f t="shared" si="1"/>
        <v>3.3693709043424787</v>
      </c>
      <c r="V16" s="47">
        <f t="shared" si="2"/>
        <v>19.98</v>
      </c>
      <c r="W16" s="48">
        <f t="shared" si="3"/>
        <v>7.4874908985388414E-2</v>
      </c>
      <c r="X16" s="43">
        <f t="shared" si="4"/>
        <v>16901.472772820871</v>
      </c>
      <c r="Y16" s="43">
        <f t="shared" si="5"/>
        <v>59940</v>
      </c>
      <c r="Z16" s="43">
        <f t="shared" si="6"/>
        <v>42662.559583788679</v>
      </c>
      <c r="AA16" s="49">
        <f t="shared" si="7"/>
        <v>97841.472772820867</v>
      </c>
      <c r="AB16" s="50">
        <f t="shared" si="8"/>
        <v>39946.21683875344</v>
      </c>
      <c r="AC16" s="43">
        <f t="shared" si="9"/>
        <v>91611.865892154368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84532.367432378102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84532.367432378102</v>
      </c>
      <c r="AK16" s="43">
        <f>HLOOKUP(I16,GasAvoidedCostsWOCC!$A$5:$Q$50,G16+1,FALSE)*J16*L16</f>
        <v>0</v>
      </c>
      <c r="AL16" s="43">
        <f t="shared" si="14"/>
        <v>84532.367432378102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84532.367432378102</v>
      </c>
      <c r="AN16" s="47">
        <f t="shared" si="15"/>
        <v>92985.604175615925</v>
      </c>
      <c r="AO16" s="46">
        <f t="shared" si="16"/>
        <v>2.1161545228075225</v>
      </c>
      <c r="AP16" s="46">
        <f t="shared" si="17"/>
        <v>1.0149952003496876</v>
      </c>
    </row>
    <row r="17" spans="1:42" ht="13.5" customHeight="1" x14ac:dyDescent="0.25">
      <c r="A17" s="57" t="s">
        <v>251</v>
      </c>
      <c r="B17" s="36"/>
      <c r="E17" s="37" t="s">
        <v>1400</v>
      </c>
      <c r="F17" s="38" t="s">
        <v>1401</v>
      </c>
      <c r="G17" s="38">
        <v>45</v>
      </c>
      <c r="H17" s="38">
        <v>0</v>
      </c>
      <c r="I17" s="39" t="s">
        <v>273</v>
      </c>
      <c r="J17" s="40">
        <v>6000</v>
      </c>
      <c r="K17" s="40">
        <v>0.13</v>
      </c>
      <c r="L17" s="40">
        <v>0</v>
      </c>
      <c r="M17" s="41">
        <v>3</v>
      </c>
      <c r="N17" s="41">
        <v>3.68</v>
      </c>
      <c r="O17" s="42">
        <v>780</v>
      </c>
      <c r="P17" s="43">
        <v>18000</v>
      </c>
      <c r="Q17" s="43">
        <v>22080</v>
      </c>
      <c r="R17" s="44">
        <v>0</v>
      </c>
      <c r="S17" s="45"/>
      <c r="T17" s="38">
        <f t="shared" si="0"/>
        <v>45</v>
      </c>
      <c r="U17" s="46">
        <f t="shared" si="1"/>
        <v>1.1680485801720593</v>
      </c>
      <c r="V17" s="47">
        <f t="shared" si="2"/>
        <v>0.68000000000000016</v>
      </c>
      <c r="W17" s="48">
        <f t="shared" si="3"/>
        <v>2.5956635114934651E-2</v>
      </c>
      <c r="X17" s="43">
        <f t="shared" si="4"/>
        <v>5859.1772279112356</v>
      </c>
      <c r="Y17" s="43">
        <f t="shared" si="5"/>
        <v>4080</v>
      </c>
      <c r="Z17" s="43">
        <f t="shared" si="6"/>
        <v>14789.687322380078</v>
      </c>
      <c r="AA17" s="49">
        <f t="shared" si="7"/>
        <v>27939.177227911234</v>
      </c>
      <c r="AB17" s="50">
        <f t="shared" si="8"/>
        <v>13848.02183743453</v>
      </c>
      <c r="AC17" s="43">
        <f t="shared" si="9"/>
        <v>26160.278303287672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29304.554043224409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29304.554043224409</v>
      </c>
      <c r="AK17" s="43">
        <f>HLOOKUP(I17,GasAvoidedCostsWOCC!$A$5:$Q$50,G17+1,FALSE)*J17*L17</f>
        <v>0</v>
      </c>
      <c r="AL17" s="43">
        <f t="shared" si="14"/>
        <v>29304.554043224409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29304.554043224409</v>
      </c>
      <c r="AN17" s="47">
        <f t="shared" si="15"/>
        <v>32235.009447546854</v>
      </c>
      <c r="AO17" s="46">
        <f t="shared" si="16"/>
        <v>2.116154522807522</v>
      </c>
      <c r="AP17" s="46">
        <f t="shared" si="17"/>
        <v>1.23221202289334</v>
      </c>
    </row>
    <row r="18" spans="1:42" ht="13.5" customHeight="1" x14ac:dyDescent="0.25">
      <c r="A18" s="58">
        <f>A6+A8</f>
        <v>569784.46</v>
      </c>
      <c r="B18" s="36"/>
      <c r="E18" s="37" t="s">
        <v>857</v>
      </c>
      <c r="F18" s="38" t="s">
        <v>1402</v>
      </c>
      <c r="G18" s="38">
        <v>45</v>
      </c>
      <c r="H18" s="38">
        <v>0</v>
      </c>
      <c r="I18" s="39" t="s">
        <v>273</v>
      </c>
      <c r="J18" s="40">
        <v>400</v>
      </c>
      <c r="K18" s="40">
        <v>1.1499999999999999</v>
      </c>
      <c r="L18" s="40">
        <v>0</v>
      </c>
      <c r="M18" s="41">
        <v>14</v>
      </c>
      <c r="N18" s="41">
        <v>23.3</v>
      </c>
      <c r="O18" s="42">
        <v>459.99999999999994</v>
      </c>
      <c r="P18" s="43">
        <v>5600</v>
      </c>
      <c r="Q18" s="43">
        <v>9320</v>
      </c>
      <c r="R18" s="44">
        <v>0</v>
      </c>
      <c r="S18" s="45"/>
      <c r="T18" s="38">
        <f t="shared" si="0"/>
        <v>45</v>
      </c>
      <c r="U18" s="46">
        <f t="shared" si="1"/>
        <v>0.68884916266557328</v>
      </c>
      <c r="V18" s="47">
        <f t="shared" si="2"/>
        <v>9.3000000000000007</v>
      </c>
      <c r="W18" s="48">
        <f t="shared" si="3"/>
        <v>1.5307759170346073E-2</v>
      </c>
      <c r="X18" s="43">
        <f t="shared" si="4"/>
        <v>3455.4122113322665</v>
      </c>
      <c r="Y18" s="43">
        <f t="shared" si="5"/>
        <v>3720</v>
      </c>
      <c r="Z18" s="43">
        <f t="shared" si="6"/>
        <v>8722.1232926856846</v>
      </c>
      <c r="AA18" s="49">
        <f t="shared" si="7"/>
        <v>12775.412211332266</v>
      </c>
      <c r="AB18" s="50">
        <f t="shared" si="8"/>
        <v>8166.782109256259</v>
      </c>
      <c r="AC18" s="43">
        <f t="shared" si="9"/>
        <v>11961.996452558302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17282.172897286186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17282.172897286186</v>
      </c>
      <c r="AK18" s="43">
        <f>HLOOKUP(I18,GasAvoidedCostsWOCC!$A$5:$Q$50,G18+1,FALSE)*J18*L18</f>
        <v>0</v>
      </c>
      <c r="AL18" s="43">
        <f t="shared" si="14"/>
        <v>17282.172897286186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17282.172897286189</v>
      </c>
      <c r="AN18" s="47">
        <f t="shared" si="15"/>
        <v>19010.390187014811</v>
      </c>
      <c r="AO18" s="46">
        <f t="shared" si="16"/>
        <v>2.1161545228075225</v>
      </c>
      <c r="AP18" s="46">
        <f t="shared" si="17"/>
        <v>1.5892322207593597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1403</v>
      </c>
      <c r="G19" s="38">
        <v>45</v>
      </c>
      <c r="H19" s="38">
        <v>0</v>
      </c>
      <c r="I19" s="39" t="s">
        <v>273</v>
      </c>
      <c r="J19" s="40">
        <v>3000</v>
      </c>
      <c r="K19" s="40">
        <v>1.27</v>
      </c>
      <c r="L19" s="40">
        <v>0</v>
      </c>
      <c r="M19" s="41">
        <v>18</v>
      </c>
      <c r="N19" s="41">
        <v>26.98</v>
      </c>
      <c r="O19" s="42">
        <v>3810</v>
      </c>
      <c r="P19" s="43">
        <v>54000</v>
      </c>
      <c r="Q19" s="43">
        <v>80940</v>
      </c>
      <c r="R19" s="44">
        <v>0</v>
      </c>
      <c r="S19" s="45"/>
      <c r="T19" s="38">
        <f t="shared" si="0"/>
        <v>45</v>
      </c>
      <c r="U19" s="46">
        <f t="shared" si="1"/>
        <v>5.7054680646865963</v>
      </c>
      <c r="V19" s="47">
        <f t="shared" si="2"/>
        <v>8.98</v>
      </c>
      <c r="W19" s="48">
        <f t="shared" si="3"/>
        <v>0.1267881792152577</v>
      </c>
      <c r="X19" s="43">
        <f t="shared" si="4"/>
        <v>28619.827228643338</v>
      </c>
      <c r="Y19" s="43">
        <f t="shared" si="5"/>
        <v>26940</v>
      </c>
      <c r="Z19" s="43">
        <f t="shared" si="6"/>
        <v>72241.934228548824</v>
      </c>
      <c r="AA19" s="49">
        <f t="shared" si="7"/>
        <v>109559.82722864333</v>
      </c>
      <c r="AB19" s="50">
        <f t="shared" si="8"/>
        <v>67642.260513622488</v>
      </c>
      <c r="AC19" s="43">
        <f t="shared" si="9"/>
        <v>102584.10789198814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143141.47551882692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143141.47551882692</v>
      </c>
      <c r="AK19" s="43">
        <f>HLOOKUP(I19,GasAvoidedCostsWOCC!$A$5:$Q$50,G19+1,FALSE)*J19*L19</f>
        <v>0</v>
      </c>
      <c r="AL19" s="43">
        <f t="shared" si="14"/>
        <v>143141.47551882692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143141.47551882692</v>
      </c>
      <c r="AN19" s="47">
        <f t="shared" si="15"/>
        <v>157455.62307070961</v>
      </c>
      <c r="AO19" s="46">
        <f t="shared" si="16"/>
        <v>2.1161545228075225</v>
      </c>
      <c r="AP19" s="46">
        <f t="shared" si="17"/>
        <v>1.5348929410830014</v>
      </c>
    </row>
    <row r="20" spans="1:42" ht="13.5" customHeight="1" x14ac:dyDescent="0.25">
      <c r="A20" s="58">
        <f>A8+SUM(Q5:Q904)</f>
        <v>831470.66000000015</v>
      </c>
      <c r="B20" s="36"/>
      <c r="E20" s="37" t="s">
        <v>857</v>
      </c>
      <c r="F20" s="38" t="s">
        <v>1404</v>
      </c>
      <c r="G20" s="38">
        <v>45</v>
      </c>
      <c r="H20" s="38">
        <v>0</v>
      </c>
      <c r="I20" s="39" t="s">
        <v>273</v>
      </c>
      <c r="J20" s="40">
        <v>2000</v>
      </c>
      <c r="K20" s="40">
        <v>0.62</v>
      </c>
      <c r="L20" s="40">
        <v>0</v>
      </c>
      <c r="M20" s="41">
        <v>10</v>
      </c>
      <c r="N20" s="41">
        <v>23.3</v>
      </c>
      <c r="O20" s="42">
        <v>1240</v>
      </c>
      <c r="P20" s="43">
        <v>20000</v>
      </c>
      <c r="Q20" s="43">
        <v>46600</v>
      </c>
      <c r="R20" s="44">
        <v>0</v>
      </c>
      <c r="S20" s="45"/>
      <c r="T20" s="38">
        <f t="shared" si="0"/>
        <v>45</v>
      </c>
      <c r="U20" s="46">
        <f t="shared" si="1"/>
        <v>1.8568977428376328</v>
      </c>
      <c r="V20" s="47">
        <f t="shared" si="2"/>
        <v>13.3</v>
      </c>
      <c r="W20" s="48">
        <f t="shared" si="3"/>
        <v>4.1264394285280726E-2</v>
      </c>
      <c r="X20" s="43">
        <f t="shared" si="4"/>
        <v>9314.5894392435021</v>
      </c>
      <c r="Y20" s="43">
        <f t="shared" si="5"/>
        <v>26600</v>
      </c>
      <c r="Z20" s="43">
        <f t="shared" si="6"/>
        <v>23511.810615065762</v>
      </c>
      <c r="AA20" s="49">
        <f t="shared" si="7"/>
        <v>55914.5894392435</v>
      </c>
      <c r="AB20" s="50">
        <f t="shared" si="8"/>
        <v>22014.803946690787</v>
      </c>
      <c r="AC20" s="43">
        <f t="shared" si="9"/>
        <v>52354.484493673684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46586.726940510598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46586.726940510598</v>
      </c>
      <c r="AK20" s="43">
        <f>HLOOKUP(I20,GasAvoidedCostsWOCC!$A$5:$Q$50,G20+1,FALSE)*J20*L20</f>
        <v>0</v>
      </c>
      <c r="AL20" s="43">
        <f t="shared" si="14"/>
        <v>46586.726940510598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46586.726940510591</v>
      </c>
      <c r="AN20" s="47">
        <f t="shared" si="15"/>
        <v>51245.399634561654</v>
      </c>
      <c r="AO20" s="46">
        <f t="shared" si="16"/>
        <v>2.116154522807522</v>
      </c>
      <c r="AP20" s="46">
        <f t="shared" si="17"/>
        <v>0.978815857517496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1405</v>
      </c>
      <c r="G21" s="38">
        <v>45</v>
      </c>
      <c r="H21" s="38">
        <v>0</v>
      </c>
      <c r="I21" s="39" t="s">
        <v>273</v>
      </c>
      <c r="J21" s="40">
        <v>2000</v>
      </c>
      <c r="K21" s="40">
        <v>0.75</v>
      </c>
      <c r="L21" s="40">
        <v>0</v>
      </c>
      <c r="M21" s="41">
        <v>14</v>
      </c>
      <c r="N21" s="41">
        <v>26.98</v>
      </c>
      <c r="O21" s="42">
        <v>1500</v>
      </c>
      <c r="P21" s="43">
        <v>28000</v>
      </c>
      <c r="Q21" s="43">
        <v>53960</v>
      </c>
      <c r="R21" s="44">
        <v>0</v>
      </c>
      <c r="S21" s="45"/>
      <c r="T21" s="38">
        <f t="shared" si="0"/>
        <v>45</v>
      </c>
      <c r="U21" s="46">
        <f t="shared" si="1"/>
        <v>2.2462472695616524</v>
      </c>
      <c r="V21" s="47">
        <f t="shared" si="2"/>
        <v>12.98</v>
      </c>
      <c r="W21" s="48">
        <f t="shared" si="3"/>
        <v>4.991660599025894E-2</v>
      </c>
      <c r="X21" s="43">
        <f t="shared" si="4"/>
        <v>11267.648515213914</v>
      </c>
      <c r="Y21" s="43">
        <f t="shared" si="5"/>
        <v>25960</v>
      </c>
      <c r="Z21" s="43">
        <f t="shared" si="6"/>
        <v>28441.706389192455</v>
      </c>
      <c r="AA21" s="49">
        <f t="shared" si="7"/>
        <v>65227.648515213914</v>
      </c>
      <c r="AB21" s="50">
        <f t="shared" si="8"/>
        <v>26630.81122583563</v>
      </c>
      <c r="AC21" s="43">
        <f t="shared" si="9"/>
        <v>61074.577261436243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56354.911621585401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56354.911621585401</v>
      </c>
      <c r="AK21" s="43">
        <f>HLOOKUP(I21,GasAvoidedCostsWOCC!$A$5:$Q$50,G21+1,FALSE)*J21*L21</f>
        <v>0</v>
      </c>
      <c r="AL21" s="43">
        <f t="shared" si="14"/>
        <v>56354.911621585401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56354.911621585401</v>
      </c>
      <c r="AN21" s="47">
        <f t="shared" si="15"/>
        <v>61990.402783743943</v>
      </c>
      <c r="AO21" s="46">
        <f t="shared" si="16"/>
        <v>2.116154522807522</v>
      </c>
      <c r="AP21" s="46">
        <f t="shared" si="17"/>
        <v>1.0149952003496874</v>
      </c>
    </row>
    <row r="22" spans="1:42" ht="13.5" customHeight="1" x14ac:dyDescent="0.25">
      <c r="A22" s="59">
        <f>(SUM(AM5:AM998)/(SUM(AB5:AB998)))</f>
        <v>1.4611688056259367</v>
      </c>
      <c r="B22" s="36"/>
      <c r="E22" s="37" t="s">
        <v>857</v>
      </c>
      <c r="F22" s="38" t="s">
        <v>1406</v>
      </c>
      <c r="G22" s="38">
        <v>45</v>
      </c>
      <c r="H22" s="38">
        <v>0</v>
      </c>
      <c r="I22" s="39" t="s">
        <v>273</v>
      </c>
      <c r="J22" s="40">
        <v>2000</v>
      </c>
      <c r="K22" s="40">
        <v>0.13</v>
      </c>
      <c r="L22" s="40">
        <v>0</v>
      </c>
      <c r="M22" s="41">
        <v>6</v>
      </c>
      <c r="N22" s="41">
        <v>3.68</v>
      </c>
      <c r="O22" s="42">
        <v>260</v>
      </c>
      <c r="P22" s="43">
        <v>12000</v>
      </c>
      <c r="Q22" s="43">
        <v>7360</v>
      </c>
      <c r="R22" s="44">
        <v>0</v>
      </c>
      <c r="S22" s="45"/>
      <c r="T22" s="38">
        <f t="shared" si="0"/>
        <v>45</v>
      </c>
      <c r="U22" s="46">
        <f t="shared" si="1"/>
        <v>0.38934952672401973</v>
      </c>
      <c r="V22" s="47">
        <f t="shared" si="2"/>
        <v>-2.3199999999999998</v>
      </c>
      <c r="W22" s="48">
        <f t="shared" si="3"/>
        <v>8.6522117049782164E-3</v>
      </c>
      <c r="X22" s="43">
        <f t="shared" si="4"/>
        <v>1953.0590759704119</v>
      </c>
      <c r="Y22" s="43">
        <f t="shared" si="5"/>
        <v>-4640</v>
      </c>
      <c r="Z22" s="43">
        <f t="shared" si="6"/>
        <v>4929.8957741266922</v>
      </c>
      <c r="AA22" s="49">
        <f t="shared" si="7"/>
        <v>9313.0590759704119</v>
      </c>
      <c r="AB22" s="50">
        <f t="shared" si="8"/>
        <v>4616.0072791448429</v>
      </c>
      <c r="AC22" s="43">
        <f t="shared" si="9"/>
        <v>8720.0927677625568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37.569941081056932</v>
      </c>
      <c r="AG22" s="43">
        <f t="shared" si="11"/>
        <v>9768.1846810748029</v>
      </c>
      <c r="AH22" s="51">
        <f>HLOOKUP(I22,GasAvoidedCostsWOCC!$A$5:$Q$50,T22+1,FALSE)</f>
        <v>37.569941081056932</v>
      </c>
      <c r="AI22" s="43">
        <f t="shared" si="12"/>
        <v>0</v>
      </c>
      <c r="AJ22" s="43">
        <f t="shared" si="13"/>
        <v>9768.1846810748029</v>
      </c>
      <c r="AK22" s="43">
        <f>HLOOKUP(I22,GasAvoidedCostsWOCC!$A$5:$Q$50,G22+1,FALSE)*J22*L22</f>
        <v>0</v>
      </c>
      <c r="AL22" s="43">
        <f t="shared" si="14"/>
        <v>9768.1846810748029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9768.1846810748029</v>
      </c>
      <c r="AN22" s="47">
        <f t="shared" si="15"/>
        <v>10745.003149182285</v>
      </c>
      <c r="AO22" s="46">
        <f t="shared" si="16"/>
        <v>2.116154522807522</v>
      </c>
      <c r="AP22" s="46">
        <f t="shared" si="17"/>
        <v>1.23221202289334</v>
      </c>
    </row>
    <row r="23" spans="1:42" ht="13.5" customHeight="1" x14ac:dyDescent="0.25">
      <c r="A23" s="57" t="s">
        <v>236</v>
      </c>
      <c r="B23" s="36"/>
      <c r="E23" s="37" t="s">
        <v>1407</v>
      </c>
      <c r="F23" s="38" t="s">
        <v>589</v>
      </c>
      <c r="G23" s="38">
        <v>11</v>
      </c>
      <c r="H23" s="38">
        <v>0</v>
      </c>
      <c r="I23" s="39" t="s">
        <v>273</v>
      </c>
      <c r="J23" s="40">
        <v>2</v>
      </c>
      <c r="K23" s="40">
        <v>33</v>
      </c>
      <c r="L23" s="40">
        <v>0</v>
      </c>
      <c r="M23" s="41">
        <v>75</v>
      </c>
      <c r="N23" s="41">
        <v>189</v>
      </c>
      <c r="O23" s="42">
        <v>66</v>
      </c>
      <c r="P23" s="43">
        <v>150</v>
      </c>
      <c r="Q23" s="43">
        <v>378</v>
      </c>
      <c r="R23" s="44">
        <v>0</v>
      </c>
      <c r="S23" s="45"/>
      <c r="T23" s="38">
        <f t="shared" si="0"/>
        <v>11</v>
      </c>
      <c r="U23" s="46">
        <f t="shared" si="1"/>
        <v>2.4159637299285327E-2</v>
      </c>
      <c r="V23" s="47">
        <f t="shared" si="2"/>
        <v>114</v>
      </c>
      <c r="W23" s="48">
        <f t="shared" si="3"/>
        <v>2.1963306635713934E-3</v>
      </c>
      <c r="X23" s="43">
        <f t="shared" si="4"/>
        <v>495.77653466941223</v>
      </c>
      <c r="Y23" s="43">
        <f t="shared" si="5"/>
        <v>228</v>
      </c>
      <c r="Z23" s="43">
        <f t="shared" si="6"/>
        <v>1251.4350811244681</v>
      </c>
      <c r="AA23" s="49">
        <f t="shared" si="7"/>
        <v>873.77653466941229</v>
      </c>
      <c r="AB23" s="50">
        <f t="shared" si="8"/>
        <v>1171.7556939367678</v>
      </c>
      <c r="AC23" s="43">
        <f t="shared" si="9"/>
        <v>818.14282272416881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12.013301571999582</v>
      </c>
      <c r="AG23" s="43">
        <f t="shared" si="11"/>
        <v>792.87790375197244</v>
      </c>
      <c r="AH23" s="51">
        <f>HLOOKUP(I23,GasAvoidedCostsWOCC!$A$5:$Q$50,T23+1,FALSE)</f>
        <v>12.013301571999582</v>
      </c>
      <c r="AI23" s="43">
        <f t="shared" si="12"/>
        <v>0</v>
      </c>
      <c r="AJ23" s="43">
        <f t="shared" si="13"/>
        <v>792.87790375197244</v>
      </c>
      <c r="AK23" s="43">
        <f>HLOOKUP(I23,GasAvoidedCostsWOCC!$A$5:$Q$50,G23+1,FALSE)*J23*L23</f>
        <v>0</v>
      </c>
      <c r="AL23" s="43">
        <f t="shared" si="14"/>
        <v>792.87790375197244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792.87790375197244</v>
      </c>
      <c r="AN23" s="47">
        <f t="shared" si="15"/>
        <v>872.16569412716979</v>
      </c>
      <c r="AO23" s="46">
        <f t="shared" si="16"/>
        <v>0.6766580336282616</v>
      </c>
      <c r="AP23" s="46">
        <f t="shared" si="17"/>
        <v>1.0660311010528958</v>
      </c>
    </row>
    <row r="24" spans="1:42" ht="13.5" customHeight="1" x14ac:dyDescent="0.25">
      <c r="A24" s="59">
        <f>(SUM(AN5:AN998)/SUM(AC5:AC998))</f>
        <v>1.1518509780469142</v>
      </c>
      <c r="B24" s="36"/>
      <c r="C24" s="60"/>
      <c r="D24" s="60"/>
      <c r="E24" s="37" t="s">
        <v>1408</v>
      </c>
      <c r="F24" s="38" t="s">
        <v>590</v>
      </c>
      <c r="G24" s="38">
        <v>11</v>
      </c>
      <c r="H24" s="38">
        <v>0</v>
      </c>
      <c r="I24" s="39" t="s">
        <v>273</v>
      </c>
      <c r="J24" s="40">
        <v>20</v>
      </c>
      <c r="K24" s="40">
        <v>33</v>
      </c>
      <c r="L24" s="40">
        <v>0</v>
      </c>
      <c r="M24" s="41">
        <v>150</v>
      </c>
      <c r="N24" s="41">
        <v>189</v>
      </c>
      <c r="O24" s="42">
        <v>660</v>
      </c>
      <c r="P24" s="43">
        <v>3000</v>
      </c>
      <c r="Q24" s="43">
        <v>3780</v>
      </c>
      <c r="R24" s="44">
        <v>0</v>
      </c>
      <c r="S24" s="45"/>
      <c r="T24" s="38">
        <f t="shared" si="0"/>
        <v>11</v>
      </c>
      <c r="U24" s="46">
        <f t="shared" si="1"/>
        <v>0.24159637299285328</v>
      </c>
      <c r="V24" s="47">
        <f t="shared" si="2"/>
        <v>39</v>
      </c>
      <c r="W24" s="48">
        <f t="shared" si="3"/>
        <v>2.1963306635713935E-2</v>
      </c>
      <c r="X24" s="43">
        <f t="shared" si="4"/>
        <v>4957.7653466941219</v>
      </c>
      <c r="Y24" s="43">
        <f t="shared" si="5"/>
        <v>780</v>
      </c>
      <c r="Z24" s="43">
        <f t="shared" si="6"/>
        <v>12514.35081124468</v>
      </c>
      <c r="AA24" s="49">
        <f t="shared" si="7"/>
        <v>8737.7653466941229</v>
      </c>
      <c r="AB24" s="50">
        <f t="shared" si="8"/>
        <v>11717.556939367678</v>
      </c>
      <c r="AC24" s="43">
        <f t="shared" si="9"/>
        <v>8181.4282272416876</v>
      </c>
      <c r="AD24" s="43">
        <f t="shared" si="10"/>
        <v>0</v>
      </c>
      <c r="AE24" s="43">
        <f t="shared" si="18"/>
        <v>0</v>
      </c>
      <c r="AF24" s="51">
        <f>HLOOKUP(I24,GasAvoidedCostsWOCC!$A$5:$G$50,G24+1,FALSE)</f>
        <v>12.013301571999582</v>
      </c>
      <c r="AG24" s="43">
        <f t="shared" si="11"/>
        <v>7928.7790375197246</v>
      </c>
      <c r="AH24" s="51">
        <f>HLOOKUP(I24,GasAvoidedCostsWOCC!$A$5:$Q$50,T24+1,FALSE)</f>
        <v>12.013301571999582</v>
      </c>
      <c r="AI24" s="43">
        <f t="shared" si="12"/>
        <v>0</v>
      </c>
      <c r="AJ24" s="43">
        <f t="shared" si="13"/>
        <v>7928.7790375197246</v>
      </c>
      <c r="AK24" s="43">
        <f>HLOOKUP(I24,GasAvoidedCostsWOCC!$A$5:$Q$50,G24+1,FALSE)*J24*L24</f>
        <v>0</v>
      </c>
      <c r="AL24" s="43">
        <f t="shared" si="14"/>
        <v>7928.7790375197246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7928.7790375197246</v>
      </c>
      <c r="AN24" s="47">
        <f t="shared" si="15"/>
        <v>8721.6569412716981</v>
      </c>
      <c r="AO24" s="46">
        <f t="shared" si="16"/>
        <v>0.6766580336282616</v>
      </c>
      <c r="AP24" s="46">
        <f t="shared" si="17"/>
        <v>1.0660311010528958</v>
      </c>
    </row>
    <row r="25" spans="1:42" ht="13.5" customHeight="1" x14ac:dyDescent="0.25">
      <c r="B25" s="36"/>
      <c r="C25" s="60"/>
      <c r="D25" s="60"/>
      <c r="E25" s="37" t="s">
        <v>1409</v>
      </c>
      <c r="F25" s="38" t="s">
        <v>1410</v>
      </c>
      <c r="G25" s="38">
        <v>11</v>
      </c>
      <c r="H25" s="38">
        <v>0</v>
      </c>
      <c r="I25" s="39" t="s">
        <v>273</v>
      </c>
      <c r="J25" s="40">
        <v>10</v>
      </c>
      <c r="K25" s="40">
        <v>33</v>
      </c>
      <c r="L25" s="40">
        <v>0</v>
      </c>
      <c r="M25" s="41">
        <v>150</v>
      </c>
      <c r="N25" s="41">
        <v>189</v>
      </c>
      <c r="O25" s="42">
        <v>330</v>
      </c>
      <c r="P25" s="43">
        <v>1500</v>
      </c>
      <c r="Q25" s="43">
        <v>1890</v>
      </c>
      <c r="R25" s="44">
        <v>0</v>
      </c>
      <c r="S25" s="45"/>
      <c r="T25" s="38">
        <f t="shared" ref="T25:T69" si="19">G25+H25</f>
        <v>11</v>
      </c>
      <c r="U25" s="46">
        <f t="shared" ref="U25:U69" si="20">(O25/$A$10)*T25</f>
        <v>0.12079818649642664</v>
      </c>
      <c r="V25" s="47">
        <f t="shared" ref="V25:V69" si="21">N25-M25</f>
        <v>39</v>
      </c>
      <c r="W25" s="48">
        <f t="shared" ref="W25:W69" si="22">(O25/A$10)</f>
        <v>1.0981653317856967E-2</v>
      </c>
      <c r="X25" s="43">
        <f t="shared" ref="X25:X69" si="23">W25*A$8</f>
        <v>2478.882673347061</v>
      </c>
      <c r="Y25" s="43">
        <f t="shared" ref="Y25:Y69" si="24">Q25-P25</f>
        <v>390</v>
      </c>
      <c r="Z25" s="43">
        <f t="shared" ref="Z25:Z69" si="25">X25+(A$6*W25)</f>
        <v>6257.1754056223399</v>
      </c>
      <c r="AA25" s="49">
        <f t="shared" ref="AA25:AA69" si="26">Q25+X25</f>
        <v>4368.8826733470614</v>
      </c>
      <c r="AB25" s="50">
        <f t="shared" ref="AB25:AB69" si="27">Z25/(1+GasDiscountRate)^1</f>
        <v>5858.7784696838389</v>
      </c>
      <c r="AC25" s="43">
        <f t="shared" ref="AC25:AC69" si="28">AA25/(1+GasDiscountRate)^1</f>
        <v>4090.7141136208438</v>
      </c>
      <c r="AD25" s="43">
        <f t="shared" ref="AD25:AD69" si="29">-PV(GasDiscountRate,T25,R25)*J25</f>
        <v>0</v>
      </c>
      <c r="AE25" s="43">
        <f t="shared" ref="AE25:AE69" si="30">-PV(GasDiscountRate,T25,S25)*J25</f>
        <v>0</v>
      </c>
      <c r="AF25" s="51">
        <f>HLOOKUP(I25,GasAvoidedCostsWOCC!$A$5:$G$50,G25+1,FALSE)</f>
        <v>12.013301571999582</v>
      </c>
      <c r="AG25" s="43">
        <f t="shared" ref="AG25:AG69" si="31">AF25*J25*K25</f>
        <v>3964.3895187598623</v>
      </c>
      <c r="AH25" s="51">
        <f>HLOOKUP(I25,GasAvoidedCostsWOCC!$A$5:$Q$50,T25+1,FALSE)</f>
        <v>12.013301571999582</v>
      </c>
      <c r="AI25" s="43">
        <f t="shared" ref="AI25:AI69" si="32">AH25*J25*L25</f>
        <v>0</v>
      </c>
      <c r="AJ25" s="43">
        <f t="shared" ref="AJ25:AJ69" si="33">AG25+AI25</f>
        <v>3964.3895187598623</v>
      </c>
      <c r="AK25" s="43">
        <f>HLOOKUP(I25,GasAvoidedCostsWOCC!$A$5:$Q$50,G25+1,FALSE)*J25*L25</f>
        <v>0</v>
      </c>
      <c r="AL25" s="43">
        <f t="shared" ref="AL25:AL69" si="34">AG25+AI25-AK25</f>
        <v>3964.3895187598623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3964.3895187598623</v>
      </c>
      <c r="AN25" s="47">
        <f t="shared" ref="AN25:AN69" si="35">AM25*1.1+AD25+AE25</f>
        <v>4360.828470635849</v>
      </c>
      <c r="AO25" s="46">
        <f t="shared" ref="AO25:AO69" si="36">IFERROR(AM25/AB25,0)</f>
        <v>0.6766580336282616</v>
      </c>
      <c r="AP25" s="46">
        <f t="shared" ref="AP25:AP69" si="37">AN25/AC25</f>
        <v>1.0660311010528958</v>
      </c>
    </row>
    <row r="26" spans="1:42" ht="13.5" customHeight="1" x14ac:dyDescent="0.25">
      <c r="B26" s="36"/>
      <c r="C26" s="60"/>
      <c r="D26" s="60"/>
      <c r="E26" s="37" t="s">
        <v>1411</v>
      </c>
      <c r="F26" s="38" t="s">
        <v>661</v>
      </c>
      <c r="G26" s="38">
        <v>24</v>
      </c>
      <c r="H26" s="38">
        <v>0</v>
      </c>
      <c r="I26" s="39" t="s">
        <v>265</v>
      </c>
      <c r="J26" s="40">
        <v>10</v>
      </c>
      <c r="K26" s="40">
        <v>1</v>
      </c>
      <c r="L26" s="40">
        <v>0</v>
      </c>
      <c r="M26" s="41">
        <v>5</v>
      </c>
      <c r="N26" s="41">
        <v>7.14</v>
      </c>
      <c r="O26" s="42">
        <v>10</v>
      </c>
      <c r="P26" s="43">
        <v>50</v>
      </c>
      <c r="Q26" s="43">
        <v>71.399999999999991</v>
      </c>
      <c r="R26" s="44">
        <v>0</v>
      </c>
      <c r="S26" s="45"/>
      <c r="T26" s="38">
        <f t="shared" si="19"/>
        <v>24</v>
      </c>
      <c r="U26" s="46">
        <f t="shared" si="20"/>
        <v>7.9866569584414304E-3</v>
      </c>
      <c r="V26" s="47">
        <f t="shared" si="21"/>
        <v>2.1399999999999997</v>
      </c>
      <c r="W26" s="48">
        <f t="shared" si="22"/>
        <v>3.3277737326839295E-4</v>
      </c>
      <c r="X26" s="43">
        <f t="shared" si="23"/>
        <v>75.117656768092758</v>
      </c>
      <c r="Y26" s="43">
        <f t="shared" si="24"/>
        <v>21.399999999999991</v>
      </c>
      <c r="Z26" s="43">
        <f t="shared" si="25"/>
        <v>189.61137592794969</v>
      </c>
      <c r="AA26" s="49">
        <f t="shared" si="26"/>
        <v>146.51765676809276</v>
      </c>
      <c r="AB26" s="50">
        <f t="shared" si="27"/>
        <v>177.53874150557087</v>
      </c>
      <c r="AC26" s="43">
        <f t="shared" si="28"/>
        <v>137.18881719858871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22.829600383167168</v>
      </c>
      <c r="AG26" s="43">
        <f t="shared" si="31"/>
        <v>228.29600383167167</v>
      </c>
      <c r="AH26" s="51">
        <f>HLOOKUP(I26,GasAvoidedCostsWOCC!$A$5:$Q$50,T26+1,FALSE)</f>
        <v>22.829600383167168</v>
      </c>
      <c r="AI26" s="43">
        <f t="shared" si="32"/>
        <v>0</v>
      </c>
      <c r="AJ26" s="43">
        <f t="shared" si="33"/>
        <v>228.29600383167167</v>
      </c>
      <c r="AK26" s="43">
        <f>HLOOKUP(I26,GasAvoidedCostsWOCC!$A$5:$Q$50,G26+1,FALSE)*J26*L26</f>
        <v>0</v>
      </c>
      <c r="AL26" s="43">
        <f t="shared" si="34"/>
        <v>228.29600383167167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228.29600383167167</v>
      </c>
      <c r="AN26" s="47">
        <f t="shared" si="35"/>
        <v>251.12560421483886</v>
      </c>
      <c r="AO26" s="46">
        <f t="shared" si="36"/>
        <v>1.2858940076721683</v>
      </c>
      <c r="AP26" s="46">
        <f t="shared" si="37"/>
        <v>1.8305107467419892</v>
      </c>
    </row>
    <row r="27" spans="1:42" ht="13.5" customHeight="1" x14ac:dyDescent="0.25">
      <c r="B27" s="36"/>
      <c r="C27" s="60"/>
      <c r="D27" s="60"/>
      <c r="E27" s="37" t="s">
        <v>1412</v>
      </c>
      <c r="F27" s="38" t="s">
        <v>660</v>
      </c>
      <c r="G27" s="38">
        <v>24</v>
      </c>
      <c r="H27" s="38">
        <v>0</v>
      </c>
      <c r="I27" s="39" t="s">
        <v>265</v>
      </c>
      <c r="J27" s="40">
        <v>300</v>
      </c>
      <c r="K27" s="40">
        <v>1</v>
      </c>
      <c r="L27" s="40">
        <v>0</v>
      </c>
      <c r="M27" s="41">
        <v>5</v>
      </c>
      <c r="N27" s="41">
        <v>7.14</v>
      </c>
      <c r="O27" s="42">
        <v>300</v>
      </c>
      <c r="P27" s="43">
        <v>1500</v>
      </c>
      <c r="Q27" s="43">
        <v>2142</v>
      </c>
      <c r="R27" s="44">
        <v>0</v>
      </c>
      <c r="S27" s="45"/>
      <c r="T27" s="38">
        <f t="shared" si="19"/>
        <v>24</v>
      </c>
      <c r="U27" s="46">
        <f t="shared" si="20"/>
        <v>0.23959970875324293</v>
      </c>
      <c r="V27" s="47">
        <f t="shared" si="21"/>
        <v>2.1399999999999997</v>
      </c>
      <c r="W27" s="48">
        <f t="shared" si="22"/>
        <v>9.9833211980517884E-3</v>
      </c>
      <c r="X27" s="43">
        <f t="shared" si="23"/>
        <v>2253.5297030427828</v>
      </c>
      <c r="Y27" s="43">
        <f t="shared" si="24"/>
        <v>642</v>
      </c>
      <c r="Z27" s="43">
        <f t="shared" si="25"/>
        <v>5688.3412778384909</v>
      </c>
      <c r="AA27" s="49">
        <f t="shared" si="26"/>
        <v>4395.5297030427828</v>
      </c>
      <c r="AB27" s="50">
        <f t="shared" si="27"/>
        <v>5326.1622451671265</v>
      </c>
      <c r="AC27" s="43">
        <f t="shared" si="28"/>
        <v>4115.6645159576619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22.829600383167168</v>
      </c>
      <c r="AG27" s="43">
        <f t="shared" si="31"/>
        <v>6848.8801149501505</v>
      </c>
      <c r="AH27" s="51">
        <f>HLOOKUP(I27,GasAvoidedCostsWOCC!$A$5:$Q$50,T27+1,FALSE)</f>
        <v>22.829600383167168</v>
      </c>
      <c r="AI27" s="43">
        <f t="shared" si="32"/>
        <v>0</v>
      </c>
      <c r="AJ27" s="43">
        <f t="shared" si="33"/>
        <v>6848.8801149501505</v>
      </c>
      <c r="AK27" s="43">
        <f>HLOOKUP(I27,GasAvoidedCostsWOCC!$A$5:$Q$50,G27+1,FALSE)*J27*L27</f>
        <v>0</v>
      </c>
      <c r="AL27" s="43">
        <f t="shared" si="34"/>
        <v>6848.8801149501505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6848.8801149501505</v>
      </c>
      <c r="AN27" s="47">
        <f t="shared" si="35"/>
        <v>7533.7681264451658</v>
      </c>
      <c r="AO27" s="46">
        <f t="shared" si="36"/>
        <v>1.2858940076721683</v>
      </c>
      <c r="AP27" s="46">
        <f t="shared" si="37"/>
        <v>1.8305107467419888</v>
      </c>
    </row>
    <row r="28" spans="1:42" ht="13.5" customHeight="1" x14ac:dyDescent="0.25">
      <c r="B28" s="36"/>
      <c r="C28" s="60"/>
      <c r="D28" s="60"/>
      <c r="E28" s="37" t="s">
        <v>1413</v>
      </c>
      <c r="F28" s="38" t="s">
        <v>785</v>
      </c>
      <c r="G28" s="38">
        <v>20</v>
      </c>
      <c r="H28" s="38">
        <v>0</v>
      </c>
      <c r="I28" s="39" t="s">
        <v>273</v>
      </c>
      <c r="J28" s="40">
        <v>22</v>
      </c>
      <c r="K28" s="40">
        <v>87</v>
      </c>
      <c r="L28" s="40">
        <v>0</v>
      </c>
      <c r="M28" s="41">
        <v>350</v>
      </c>
      <c r="N28" s="41">
        <v>1073</v>
      </c>
      <c r="O28" s="42">
        <v>1914</v>
      </c>
      <c r="P28" s="43">
        <v>7700</v>
      </c>
      <c r="Q28" s="43">
        <v>23606</v>
      </c>
      <c r="R28" s="44">
        <v>0</v>
      </c>
      <c r="S28" s="45"/>
      <c r="T28" s="38">
        <f t="shared" si="19"/>
        <v>20</v>
      </c>
      <c r="U28" s="46">
        <f t="shared" si="20"/>
        <v>1.2738717848714081</v>
      </c>
      <c r="V28" s="47">
        <f t="shared" si="21"/>
        <v>723</v>
      </c>
      <c r="W28" s="48">
        <f t="shared" si="22"/>
        <v>6.3693589243570409E-2</v>
      </c>
      <c r="X28" s="43">
        <f t="shared" si="23"/>
        <v>14377.519505412954</v>
      </c>
      <c r="Y28" s="43">
        <f t="shared" si="24"/>
        <v>15906</v>
      </c>
      <c r="Z28" s="43">
        <f t="shared" si="25"/>
        <v>36291.617352609566</v>
      </c>
      <c r="AA28" s="49">
        <f t="shared" si="26"/>
        <v>37983.519505412958</v>
      </c>
      <c r="AB28" s="50">
        <f t="shared" si="27"/>
        <v>33980.915124166262</v>
      </c>
      <c r="AC28" s="43">
        <f t="shared" si="28"/>
        <v>35565.093169862317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19.395541552048424</v>
      </c>
      <c r="AG28" s="43">
        <f t="shared" si="31"/>
        <v>37123.066530620687</v>
      </c>
      <c r="AH28" s="51">
        <f>HLOOKUP(I28,GasAvoidedCostsWOCC!$A$5:$Q$50,T28+1,FALSE)</f>
        <v>19.395541552048424</v>
      </c>
      <c r="AI28" s="43">
        <f t="shared" si="32"/>
        <v>0</v>
      </c>
      <c r="AJ28" s="43">
        <f t="shared" si="33"/>
        <v>37123.066530620687</v>
      </c>
      <c r="AK28" s="43">
        <f>HLOOKUP(I28,GasAvoidedCostsWOCC!$A$5:$Q$50,G28+1,FALSE)*J28*L28</f>
        <v>0</v>
      </c>
      <c r="AL28" s="43">
        <f t="shared" si="34"/>
        <v>37123.066530620687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37123.066530620679</v>
      </c>
      <c r="AN28" s="47">
        <f t="shared" si="35"/>
        <v>40835.37318368275</v>
      </c>
      <c r="AO28" s="46">
        <f t="shared" si="36"/>
        <v>1.0924681220318226</v>
      </c>
      <c r="AP28" s="46">
        <f t="shared" si="37"/>
        <v>1.1481868749408042</v>
      </c>
    </row>
    <row r="29" spans="1:42" x14ac:dyDescent="0.25">
      <c r="B29" s="36"/>
      <c r="C29" s="60"/>
      <c r="D29" s="60"/>
      <c r="E29" s="37" t="s">
        <v>1414</v>
      </c>
      <c r="F29" s="38" t="s">
        <v>1415</v>
      </c>
      <c r="G29" s="38">
        <v>20</v>
      </c>
      <c r="H29" s="38">
        <v>0</v>
      </c>
      <c r="I29" s="39" t="s">
        <v>273</v>
      </c>
      <c r="J29" s="40">
        <v>50</v>
      </c>
      <c r="K29" s="40">
        <v>87</v>
      </c>
      <c r="L29" s="40">
        <v>0</v>
      </c>
      <c r="M29" s="41">
        <v>600</v>
      </c>
      <c r="N29" s="41">
        <v>1073</v>
      </c>
      <c r="O29" s="42">
        <v>4350</v>
      </c>
      <c r="P29" s="43">
        <v>30000</v>
      </c>
      <c r="Q29" s="43">
        <v>53650</v>
      </c>
      <c r="R29" s="44">
        <v>0</v>
      </c>
      <c r="S29" s="45"/>
      <c r="T29" s="38">
        <f t="shared" si="19"/>
        <v>20</v>
      </c>
      <c r="U29" s="46">
        <f t="shared" si="20"/>
        <v>2.8951631474350186</v>
      </c>
      <c r="V29" s="47">
        <f t="shared" si="21"/>
        <v>473</v>
      </c>
      <c r="W29" s="48">
        <f t="shared" si="22"/>
        <v>0.14475815737175093</v>
      </c>
      <c r="X29" s="43">
        <f t="shared" si="23"/>
        <v>32676.18069412035</v>
      </c>
      <c r="Y29" s="43">
        <f t="shared" si="24"/>
        <v>23650</v>
      </c>
      <c r="Z29" s="43">
        <f t="shared" si="25"/>
        <v>82480.948528658118</v>
      </c>
      <c r="AA29" s="49">
        <f t="shared" si="26"/>
        <v>86326.180694120354</v>
      </c>
      <c r="AB29" s="50">
        <f t="shared" si="27"/>
        <v>77229.352554923331</v>
      </c>
      <c r="AC29" s="43">
        <f t="shared" si="28"/>
        <v>80829.757204232534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19.395541552048424</v>
      </c>
      <c r="AG29" s="43">
        <f t="shared" si="31"/>
        <v>84370.605751410636</v>
      </c>
      <c r="AH29" s="51">
        <f>HLOOKUP(I29,GasAvoidedCostsWOCC!$A$5:$Q$50,T29+1,FALSE)</f>
        <v>19.395541552048424</v>
      </c>
      <c r="AI29" s="43">
        <f t="shared" si="32"/>
        <v>0</v>
      </c>
      <c r="AJ29" s="43">
        <f t="shared" si="33"/>
        <v>84370.605751410636</v>
      </c>
      <c r="AK29" s="43">
        <f>HLOOKUP(I29,GasAvoidedCostsWOCC!$A$5:$Q$50,G29+1,FALSE)*J29*L29</f>
        <v>0</v>
      </c>
      <c r="AL29" s="43">
        <f t="shared" si="34"/>
        <v>84370.605751410636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84370.605751410636</v>
      </c>
      <c r="AN29" s="47">
        <f t="shared" si="35"/>
        <v>92807.666326551713</v>
      </c>
      <c r="AO29" s="46">
        <f t="shared" si="36"/>
        <v>1.0924681220318226</v>
      </c>
      <c r="AP29" s="46">
        <f t="shared" si="37"/>
        <v>1.1481868749408042</v>
      </c>
    </row>
    <row r="30" spans="1:42" x14ac:dyDescent="0.25">
      <c r="B30" s="36"/>
      <c r="C30" s="60"/>
      <c r="D30" s="60"/>
      <c r="E30" s="37" t="s">
        <v>1313</v>
      </c>
      <c r="F30" s="38" t="s">
        <v>571</v>
      </c>
      <c r="G30" s="38">
        <v>13</v>
      </c>
      <c r="H30" s="38">
        <v>0</v>
      </c>
      <c r="I30" s="39" t="s">
        <v>269</v>
      </c>
      <c r="J30" s="40">
        <v>0</v>
      </c>
      <c r="K30" s="40">
        <v>-5.13</v>
      </c>
      <c r="L30" s="40">
        <v>0</v>
      </c>
      <c r="M30" s="41">
        <v>0</v>
      </c>
      <c r="N30" s="41">
        <v>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13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13.232715973047561</v>
      </c>
      <c r="AG30" s="43">
        <f t="shared" si="31"/>
        <v>0</v>
      </c>
      <c r="AH30" s="51">
        <f>HLOOKUP(I30,GasAvoidedCostsWOCC!$A$5:$Q$50,T30+1,FALSE)</f>
        <v>13.232715973047561</v>
      </c>
      <c r="AI30" s="43">
        <f t="shared" si="32"/>
        <v>0</v>
      </c>
      <c r="AJ30" s="43">
        <f t="shared" si="33"/>
        <v>0</v>
      </c>
      <c r="AK30" s="43">
        <f>HLOOKUP(I30,GasAvoidedCostsWOCC!$A$5:$Q$50,G30+1,FALSE)*J30*L30</f>
        <v>0</v>
      </c>
      <c r="AL30" s="43">
        <f t="shared" si="34"/>
        <v>0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857</v>
      </c>
      <c r="F31" s="38" t="s">
        <v>1315</v>
      </c>
      <c r="G31" s="38">
        <v>13</v>
      </c>
      <c r="H31" s="38">
        <v>0</v>
      </c>
      <c r="I31" s="39" t="s">
        <v>269</v>
      </c>
      <c r="J31" s="40">
        <v>20</v>
      </c>
      <c r="K31" s="40">
        <v>15.05</v>
      </c>
      <c r="L31" s="40">
        <v>0</v>
      </c>
      <c r="M31" s="41">
        <v>50</v>
      </c>
      <c r="N31" s="41">
        <v>126.46</v>
      </c>
      <c r="O31" s="42">
        <v>301</v>
      </c>
      <c r="P31" s="43">
        <v>1000</v>
      </c>
      <c r="Q31" s="43">
        <v>2529.1999999999998</v>
      </c>
      <c r="R31" s="44">
        <v>0</v>
      </c>
      <c r="S31" s="45"/>
      <c r="T31" s="38">
        <f t="shared" si="19"/>
        <v>13</v>
      </c>
      <c r="U31" s="46">
        <f t="shared" si="20"/>
        <v>0.13021578615992216</v>
      </c>
      <c r="V31" s="47">
        <f t="shared" si="21"/>
        <v>76.459999999999994</v>
      </c>
      <c r="W31" s="48">
        <f t="shared" si="22"/>
        <v>1.0016598935378629E-2</v>
      </c>
      <c r="X31" s="43">
        <f t="shared" si="23"/>
        <v>2261.0414687195926</v>
      </c>
      <c r="Y31" s="43">
        <f t="shared" si="24"/>
        <v>1529.1999999999998</v>
      </c>
      <c r="Z31" s="43">
        <f t="shared" si="25"/>
        <v>5707.3024154312861</v>
      </c>
      <c r="AA31" s="49">
        <f t="shared" si="26"/>
        <v>4790.2414687195924</v>
      </c>
      <c r="AB31" s="50">
        <f t="shared" si="27"/>
        <v>5343.9161193176833</v>
      </c>
      <c r="AC31" s="43">
        <f t="shared" si="28"/>
        <v>4485.2448208984943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13.232715973047561</v>
      </c>
      <c r="AG31" s="43">
        <f t="shared" si="31"/>
        <v>3983.047507887316</v>
      </c>
      <c r="AH31" s="51">
        <f>HLOOKUP(I31,GasAvoidedCostsWOCC!$A$5:$Q$50,T31+1,FALSE)</f>
        <v>13.232715973047561</v>
      </c>
      <c r="AI31" s="43">
        <f t="shared" si="32"/>
        <v>0</v>
      </c>
      <c r="AJ31" s="43">
        <f t="shared" si="33"/>
        <v>3983.047507887316</v>
      </c>
      <c r="AK31" s="43">
        <f>HLOOKUP(I31,GasAvoidedCostsWOCC!$A$5:$Q$50,G31+1,FALSE)*J31*L31</f>
        <v>0</v>
      </c>
      <c r="AL31" s="43">
        <f t="shared" si="34"/>
        <v>3983.047507887316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3983.047507887316</v>
      </c>
      <c r="AN31" s="47">
        <f t="shared" si="35"/>
        <v>4381.3522586760482</v>
      </c>
      <c r="AO31" s="46">
        <f t="shared" si="36"/>
        <v>0.7453424453069214</v>
      </c>
      <c r="AP31" s="46">
        <f t="shared" si="37"/>
        <v>0.97683681351386431</v>
      </c>
    </row>
    <row r="32" spans="1:42" x14ac:dyDescent="0.25">
      <c r="B32" s="36"/>
      <c r="C32" s="60"/>
      <c r="D32" s="60"/>
      <c r="E32" s="37" t="s">
        <v>1314</v>
      </c>
      <c r="F32" s="38" t="s">
        <v>573</v>
      </c>
      <c r="G32" s="38">
        <v>20</v>
      </c>
      <c r="H32" s="38">
        <v>0</v>
      </c>
      <c r="I32" s="39" t="s">
        <v>269</v>
      </c>
      <c r="J32" s="40">
        <v>20</v>
      </c>
      <c r="K32" s="40">
        <v>60.69</v>
      </c>
      <c r="L32" s="40">
        <v>0</v>
      </c>
      <c r="M32" s="41">
        <v>500</v>
      </c>
      <c r="N32" s="41">
        <v>623.9</v>
      </c>
      <c r="O32" s="42">
        <v>1213.8</v>
      </c>
      <c r="P32" s="43">
        <v>10000</v>
      </c>
      <c r="Q32" s="43">
        <v>12478</v>
      </c>
      <c r="R32" s="44">
        <v>15.4399</v>
      </c>
      <c r="S32" s="45"/>
      <c r="T32" s="38">
        <f t="shared" si="19"/>
        <v>20</v>
      </c>
      <c r="U32" s="46">
        <f t="shared" si="20"/>
        <v>0.80785035134635075</v>
      </c>
      <c r="V32" s="47">
        <f t="shared" si="21"/>
        <v>123.89999999999998</v>
      </c>
      <c r="W32" s="48">
        <f t="shared" si="22"/>
        <v>4.0392517567317536E-2</v>
      </c>
      <c r="X32" s="43">
        <f t="shared" si="23"/>
        <v>9117.7811785110989</v>
      </c>
      <c r="Y32" s="43">
        <f t="shared" si="24"/>
        <v>2478</v>
      </c>
      <c r="Z32" s="43">
        <f t="shared" si="25"/>
        <v>23015.028810134536</v>
      </c>
      <c r="AA32" s="49">
        <f t="shared" si="26"/>
        <v>21595.781178511097</v>
      </c>
      <c r="AB32" s="50">
        <f t="shared" si="27"/>
        <v>21549.652443946194</v>
      </c>
      <c r="AC32" s="43">
        <f t="shared" si="28"/>
        <v>20220.768893736982</v>
      </c>
      <c r="AD32" s="43">
        <f t="shared" si="29"/>
        <v>3322.8855794822548</v>
      </c>
      <c r="AE32" s="43">
        <f t="shared" si="30"/>
        <v>0</v>
      </c>
      <c r="AF32" s="51">
        <f>HLOOKUP(I32,GasAvoidedCostsWOCC!$A$5:$G$50,G32+1,FALSE)</f>
        <v>18.71534547322053</v>
      </c>
      <c r="AG32" s="43">
        <f t="shared" si="31"/>
        <v>22716.686335395079</v>
      </c>
      <c r="AH32" s="51">
        <f>HLOOKUP(I32,GasAvoidedCostsWOCC!$A$5:$Q$50,T32+1,FALSE)</f>
        <v>18.71534547322053</v>
      </c>
      <c r="AI32" s="43">
        <f t="shared" si="32"/>
        <v>0</v>
      </c>
      <c r="AJ32" s="43">
        <f t="shared" si="33"/>
        <v>22716.686335395079</v>
      </c>
      <c r="AK32" s="43">
        <f>HLOOKUP(I32,GasAvoidedCostsWOCC!$A$5:$Q$50,G32+1,FALSE)*J32*L32</f>
        <v>0</v>
      </c>
      <c r="AL32" s="43">
        <f t="shared" si="34"/>
        <v>22716.686335395079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22716.686335395079</v>
      </c>
      <c r="AN32" s="47">
        <f t="shared" si="35"/>
        <v>28311.240548416845</v>
      </c>
      <c r="AO32" s="46">
        <f t="shared" si="36"/>
        <v>1.054155578354895</v>
      </c>
      <c r="AP32" s="46">
        <f t="shared" si="37"/>
        <v>1.4001070234864186</v>
      </c>
    </row>
    <row r="33" spans="2:42" x14ac:dyDescent="0.25">
      <c r="B33" s="36"/>
      <c r="C33" s="60"/>
      <c r="D33" s="60"/>
      <c r="E33" s="37" t="s">
        <v>857</v>
      </c>
      <c r="F33" s="38" t="s">
        <v>686</v>
      </c>
      <c r="G33" s="38">
        <v>20</v>
      </c>
      <c r="H33" s="38">
        <v>0</v>
      </c>
      <c r="I33" s="39" t="s">
        <v>269</v>
      </c>
      <c r="J33" s="40">
        <v>20</v>
      </c>
      <c r="K33" s="40">
        <v>60.69</v>
      </c>
      <c r="L33" s="40">
        <v>0</v>
      </c>
      <c r="M33" s="41">
        <v>250</v>
      </c>
      <c r="N33" s="41">
        <v>623.9</v>
      </c>
      <c r="O33" s="42">
        <v>1213.8</v>
      </c>
      <c r="P33" s="43">
        <v>5000</v>
      </c>
      <c r="Q33" s="43">
        <v>12478</v>
      </c>
      <c r="R33" s="44">
        <v>0</v>
      </c>
      <c r="S33" s="45"/>
      <c r="T33" s="38">
        <f t="shared" si="19"/>
        <v>20</v>
      </c>
      <c r="U33" s="46">
        <f t="shared" si="20"/>
        <v>0.80785035134635075</v>
      </c>
      <c r="V33" s="47">
        <f t="shared" si="21"/>
        <v>373.9</v>
      </c>
      <c r="W33" s="48">
        <f t="shared" si="22"/>
        <v>4.0392517567317536E-2</v>
      </c>
      <c r="X33" s="43">
        <f t="shared" si="23"/>
        <v>9117.7811785110989</v>
      </c>
      <c r="Y33" s="43">
        <f t="shared" si="24"/>
        <v>7478</v>
      </c>
      <c r="Z33" s="43">
        <f t="shared" si="25"/>
        <v>23015.028810134536</v>
      </c>
      <c r="AA33" s="49">
        <f t="shared" si="26"/>
        <v>21595.781178511097</v>
      </c>
      <c r="AB33" s="50">
        <f t="shared" si="27"/>
        <v>21549.652443946194</v>
      </c>
      <c r="AC33" s="43">
        <f t="shared" si="28"/>
        <v>20220.768893736982</v>
      </c>
      <c r="AD33" s="43">
        <f t="shared" si="29"/>
        <v>0</v>
      </c>
      <c r="AE33" s="43">
        <f t="shared" si="30"/>
        <v>0</v>
      </c>
      <c r="AF33" s="51">
        <f>HLOOKUP(I33,GasAvoidedCostsWOCC!$A$5:$G$50,G33+1,FALSE)</f>
        <v>18.71534547322053</v>
      </c>
      <c r="AG33" s="43">
        <f t="shared" si="31"/>
        <v>22716.686335395079</v>
      </c>
      <c r="AH33" s="51">
        <f>HLOOKUP(I33,GasAvoidedCostsWOCC!$A$5:$Q$50,T33+1,FALSE)</f>
        <v>18.71534547322053</v>
      </c>
      <c r="AI33" s="43">
        <f t="shared" si="32"/>
        <v>0</v>
      </c>
      <c r="AJ33" s="43">
        <f t="shared" si="33"/>
        <v>22716.686335395079</v>
      </c>
      <c r="AK33" s="43">
        <f>HLOOKUP(I33,GasAvoidedCostsWOCC!$A$5:$Q$50,G33+1,FALSE)*J33*L33</f>
        <v>0</v>
      </c>
      <c r="AL33" s="43">
        <f t="shared" si="34"/>
        <v>22716.686335395079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22716.686335395079</v>
      </c>
      <c r="AN33" s="47">
        <f t="shared" si="35"/>
        <v>24988.354968934589</v>
      </c>
      <c r="AO33" s="46">
        <f t="shared" si="36"/>
        <v>1.054155578354895</v>
      </c>
      <c r="AP33" s="46">
        <f t="shared" si="37"/>
        <v>1.2357766957454461</v>
      </c>
    </row>
    <row r="34" spans="2:42" x14ac:dyDescent="0.25">
      <c r="B34" s="36"/>
      <c r="C34" s="60"/>
      <c r="D34" s="60"/>
      <c r="E34" s="37" t="s">
        <v>1316</v>
      </c>
      <c r="F34" s="38" t="s">
        <v>1317</v>
      </c>
      <c r="G34" s="38">
        <v>13</v>
      </c>
      <c r="H34" s="38">
        <v>0</v>
      </c>
      <c r="I34" s="39" t="s">
        <v>269</v>
      </c>
      <c r="J34" s="40">
        <v>20</v>
      </c>
      <c r="K34" s="40">
        <v>15.05</v>
      </c>
      <c r="L34" s="40">
        <v>0</v>
      </c>
      <c r="M34" s="41">
        <v>100</v>
      </c>
      <c r="N34" s="41">
        <v>126.46</v>
      </c>
      <c r="O34" s="42">
        <v>301</v>
      </c>
      <c r="P34" s="43">
        <v>2000</v>
      </c>
      <c r="Q34" s="43">
        <v>2529.1999999999998</v>
      </c>
      <c r="R34" s="44">
        <v>6.8742999999999999</v>
      </c>
      <c r="S34" s="45"/>
      <c r="T34" s="38">
        <f t="shared" si="19"/>
        <v>13</v>
      </c>
      <c r="U34" s="46">
        <f t="shared" si="20"/>
        <v>0.13021578615992216</v>
      </c>
      <c r="V34" s="47">
        <f t="shared" si="21"/>
        <v>26.459999999999994</v>
      </c>
      <c r="W34" s="48">
        <f t="shared" si="22"/>
        <v>1.0016598935378629E-2</v>
      </c>
      <c r="X34" s="43">
        <f t="shared" si="23"/>
        <v>2261.0414687195926</v>
      </c>
      <c r="Y34" s="43">
        <f t="shared" si="24"/>
        <v>529.19999999999982</v>
      </c>
      <c r="Z34" s="43">
        <f t="shared" si="25"/>
        <v>5707.3024154312861</v>
      </c>
      <c r="AA34" s="49">
        <f t="shared" si="26"/>
        <v>4790.2414687195924</v>
      </c>
      <c r="AB34" s="50">
        <f t="shared" si="27"/>
        <v>5343.9161193176833</v>
      </c>
      <c r="AC34" s="43">
        <f t="shared" si="28"/>
        <v>4485.2448208984943</v>
      </c>
      <c r="AD34" s="43">
        <f t="shared" si="29"/>
        <v>1162.1997511064405</v>
      </c>
      <c r="AE34" s="43">
        <f t="shared" si="30"/>
        <v>0</v>
      </c>
      <c r="AF34" s="51">
        <f>HLOOKUP(I34,GasAvoidedCostsWOCC!$A$5:$G$50,G34+1,FALSE)</f>
        <v>13.232715973047561</v>
      </c>
      <c r="AG34" s="43">
        <f t="shared" si="31"/>
        <v>3983.047507887316</v>
      </c>
      <c r="AH34" s="51">
        <f>HLOOKUP(I34,GasAvoidedCostsWOCC!$A$5:$Q$50,T34+1,FALSE)</f>
        <v>13.232715973047561</v>
      </c>
      <c r="AI34" s="43">
        <f t="shared" si="32"/>
        <v>0</v>
      </c>
      <c r="AJ34" s="43">
        <f t="shared" si="33"/>
        <v>3983.047507887316</v>
      </c>
      <c r="AK34" s="43">
        <f>HLOOKUP(I34,GasAvoidedCostsWOCC!$A$5:$Q$50,G34+1,FALSE)*J34*L34</f>
        <v>0</v>
      </c>
      <c r="AL34" s="43">
        <f t="shared" si="34"/>
        <v>3983.047507887316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3983.047507887316</v>
      </c>
      <c r="AN34" s="47">
        <f t="shared" si="35"/>
        <v>5543.5520097824883</v>
      </c>
      <c r="AO34" s="46">
        <f t="shared" si="36"/>
        <v>0.7453424453069214</v>
      </c>
      <c r="AP34" s="46">
        <f t="shared" si="37"/>
        <v>1.2359530485276813</v>
      </c>
    </row>
    <row r="35" spans="2:42" x14ac:dyDescent="0.25">
      <c r="B35" s="36"/>
      <c r="C35" s="60"/>
      <c r="D35" s="60"/>
      <c r="E35" s="37" t="s">
        <v>1324</v>
      </c>
      <c r="F35" s="38" t="s">
        <v>1325</v>
      </c>
      <c r="G35" s="38">
        <v>11</v>
      </c>
      <c r="H35" s="38">
        <v>0</v>
      </c>
      <c r="I35" s="39" t="s">
        <v>260</v>
      </c>
      <c r="J35" s="40">
        <v>2</v>
      </c>
      <c r="K35" s="40">
        <v>20.52</v>
      </c>
      <c r="L35" s="40">
        <v>0</v>
      </c>
      <c r="M35" s="41">
        <v>125</v>
      </c>
      <c r="N35" s="41">
        <v>146.71</v>
      </c>
      <c r="O35" s="42">
        <v>41.04</v>
      </c>
      <c r="P35" s="43">
        <v>250</v>
      </c>
      <c r="Q35" s="43">
        <v>293.42</v>
      </c>
      <c r="R35" s="44">
        <v>389.08</v>
      </c>
      <c r="S35" s="45"/>
      <c r="T35" s="38">
        <f t="shared" si="19"/>
        <v>11</v>
      </c>
      <c r="U35" s="46">
        <f t="shared" si="20"/>
        <v>1.502290173882833E-2</v>
      </c>
      <c r="V35" s="47">
        <f t="shared" si="21"/>
        <v>21.710000000000008</v>
      </c>
      <c r="W35" s="48">
        <f t="shared" si="22"/>
        <v>1.3657183398934846E-3</v>
      </c>
      <c r="X35" s="43">
        <f t="shared" si="23"/>
        <v>308.28286337625269</v>
      </c>
      <c r="Y35" s="43">
        <f t="shared" si="24"/>
        <v>43.420000000000016</v>
      </c>
      <c r="Z35" s="43">
        <f t="shared" si="25"/>
        <v>778.16508680830555</v>
      </c>
      <c r="AA35" s="49">
        <f t="shared" si="26"/>
        <v>601.70286337625271</v>
      </c>
      <c r="AB35" s="50">
        <f t="shared" si="27"/>
        <v>728.61899513886283</v>
      </c>
      <c r="AC35" s="43">
        <f t="shared" si="28"/>
        <v>563.39219417252127</v>
      </c>
      <c r="AD35" s="43">
        <f t="shared" si="29"/>
        <v>5893.7437502424846</v>
      </c>
      <c r="AE35" s="43">
        <f t="shared" si="30"/>
        <v>0</v>
      </c>
      <c r="AF35" s="51">
        <f>HLOOKUP(I35,GasAvoidedCostsWOCC!$A$5:$G$50,G35+1,FALSE)</f>
        <v>11.367913647559428</v>
      </c>
      <c r="AG35" s="43">
        <f t="shared" si="31"/>
        <v>466.53917609583891</v>
      </c>
      <c r="AH35" s="51">
        <f>HLOOKUP(I35,GasAvoidedCostsWOCC!$A$5:$Q$50,T35+1,FALSE)</f>
        <v>11.367913647559428</v>
      </c>
      <c r="AI35" s="43">
        <f t="shared" si="32"/>
        <v>0</v>
      </c>
      <c r="AJ35" s="43">
        <f t="shared" si="33"/>
        <v>466.53917609583891</v>
      </c>
      <c r="AK35" s="43">
        <f>HLOOKUP(I35,GasAvoidedCostsWOCC!$A$5:$Q$50,G35+1,FALSE)*J35*L35</f>
        <v>0</v>
      </c>
      <c r="AL35" s="43">
        <f t="shared" si="34"/>
        <v>466.53917609583891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466.53917609583891</v>
      </c>
      <c r="AN35" s="47">
        <f t="shared" si="35"/>
        <v>6406.9368439479076</v>
      </c>
      <c r="AO35" s="46">
        <f t="shared" si="36"/>
        <v>0.64030608481038054</v>
      </c>
      <c r="AP35" s="46">
        <f t="shared" si="37"/>
        <v>11.372072439445235</v>
      </c>
    </row>
    <row r="36" spans="2:42" x14ac:dyDescent="0.25">
      <c r="B36" s="36"/>
      <c r="C36" s="60"/>
      <c r="D36" s="60"/>
      <c r="E36" s="37" t="s">
        <v>1416</v>
      </c>
      <c r="F36" s="38" t="s">
        <v>1417</v>
      </c>
      <c r="G36" s="38">
        <v>11</v>
      </c>
      <c r="H36" s="38">
        <v>0</v>
      </c>
      <c r="I36" s="39" t="s">
        <v>260</v>
      </c>
      <c r="J36" s="40">
        <v>2</v>
      </c>
      <c r="K36" s="40">
        <v>20.52</v>
      </c>
      <c r="L36" s="40">
        <v>0</v>
      </c>
      <c r="M36" s="41">
        <v>125</v>
      </c>
      <c r="N36" s="41">
        <v>146.71</v>
      </c>
      <c r="O36" s="42">
        <v>41.04</v>
      </c>
      <c r="P36" s="43">
        <v>250</v>
      </c>
      <c r="Q36" s="43">
        <v>293.42</v>
      </c>
      <c r="R36" s="44">
        <v>142.84</v>
      </c>
      <c r="S36" s="45"/>
      <c r="T36" s="38">
        <f t="shared" si="19"/>
        <v>11</v>
      </c>
      <c r="U36" s="46">
        <f t="shared" si="20"/>
        <v>1.502290173882833E-2</v>
      </c>
      <c r="V36" s="47">
        <f t="shared" si="21"/>
        <v>21.710000000000008</v>
      </c>
      <c r="W36" s="48">
        <f t="shared" si="22"/>
        <v>1.3657183398934846E-3</v>
      </c>
      <c r="X36" s="43">
        <f t="shared" si="23"/>
        <v>308.28286337625269</v>
      </c>
      <c r="Y36" s="43">
        <f t="shared" si="24"/>
        <v>43.420000000000016</v>
      </c>
      <c r="Z36" s="43">
        <f t="shared" si="25"/>
        <v>778.16508680830555</v>
      </c>
      <c r="AA36" s="49">
        <f t="shared" si="26"/>
        <v>601.70286337625271</v>
      </c>
      <c r="AB36" s="50">
        <f t="shared" si="27"/>
        <v>728.61899513886283</v>
      </c>
      <c r="AC36" s="43">
        <f t="shared" si="28"/>
        <v>563.39219417252127</v>
      </c>
      <c r="AD36" s="43">
        <f t="shared" si="29"/>
        <v>2163.725602150294</v>
      </c>
      <c r="AE36" s="43">
        <f t="shared" si="30"/>
        <v>0</v>
      </c>
      <c r="AF36" s="51">
        <f>HLOOKUP(I36,GasAvoidedCostsWOCC!$A$5:$G$50,G36+1,FALSE)</f>
        <v>11.367913647559428</v>
      </c>
      <c r="AG36" s="43">
        <f t="shared" si="31"/>
        <v>466.53917609583891</v>
      </c>
      <c r="AH36" s="51">
        <f>HLOOKUP(I36,GasAvoidedCostsWOCC!$A$5:$Q$50,T36+1,FALSE)</f>
        <v>11.367913647559428</v>
      </c>
      <c r="AI36" s="43">
        <f t="shared" si="32"/>
        <v>0</v>
      </c>
      <c r="AJ36" s="43">
        <f t="shared" si="33"/>
        <v>466.53917609583891</v>
      </c>
      <c r="AK36" s="43">
        <f>HLOOKUP(I36,GasAvoidedCostsWOCC!$A$5:$Q$50,G36+1,FALSE)*J36*L36</f>
        <v>0</v>
      </c>
      <c r="AL36" s="43">
        <f t="shared" si="34"/>
        <v>466.53917609583891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466.53917609583891</v>
      </c>
      <c r="AN36" s="47">
        <f t="shared" si="35"/>
        <v>2676.9186958557166</v>
      </c>
      <c r="AO36" s="46">
        <f t="shared" si="36"/>
        <v>0.64030608481038054</v>
      </c>
      <c r="AP36" s="46">
        <f t="shared" si="37"/>
        <v>4.7514302177853631</v>
      </c>
    </row>
    <row r="37" spans="2:42" x14ac:dyDescent="0.25">
      <c r="B37" s="36"/>
      <c r="C37" s="60"/>
      <c r="D37" s="60"/>
      <c r="E37" s="37" t="s">
        <v>1418</v>
      </c>
      <c r="F37" s="38" t="s">
        <v>1419</v>
      </c>
      <c r="G37" s="38">
        <v>11</v>
      </c>
      <c r="H37" s="38">
        <v>0</v>
      </c>
      <c r="I37" s="39" t="s">
        <v>260</v>
      </c>
      <c r="J37" s="40">
        <v>2</v>
      </c>
      <c r="K37" s="40">
        <v>14.99</v>
      </c>
      <c r="L37" s="40">
        <v>0</v>
      </c>
      <c r="M37" s="41">
        <v>75</v>
      </c>
      <c r="N37" s="41">
        <v>82.7</v>
      </c>
      <c r="O37" s="42">
        <v>29.98</v>
      </c>
      <c r="P37" s="43">
        <v>150</v>
      </c>
      <c r="Q37" s="43">
        <v>165.4</v>
      </c>
      <c r="R37" s="44">
        <v>80.52</v>
      </c>
      <c r="S37" s="45"/>
      <c r="T37" s="38">
        <f t="shared" si="19"/>
        <v>11</v>
      </c>
      <c r="U37" s="46">
        <f t="shared" si="20"/>
        <v>1.0974332215645064E-2</v>
      </c>
      <c r="V37" s="47">
        <f t="shared" si="21"/>
        <v>7.7000000000000028</v>
      </c>
      <c r="W37" s="48">
        <f t="shared" si="22"/>
        <v>9.9766656505864216E-4</v>
      </c>
      <c r="X37" s="43">
        <f t="shared" si="23"/>
        <v>225.20273499074213</v>
      </c>
      <c r="Y37" s="43">
        <f t="shared" si="24"/>
        <v>15.400000000000006</v>
      </c>
      <c r="Z37" s="43">
        <f t="shared" si="25"/>
        <v>568.45490503199323</v>
      </c>
      <c r="AA37" s="49">
        <f t="shared" si="26"/>
        <v>390.60273499074214</v>
      </c>
      <c r="AB37" s="50">
        <f t="shared" si="27"/>
        <v>532.26114703370149</v>
      </c>
      <c r="AC37" s="43">
        <f t="shared" si="28"/>
        <v>365.73289793140646</v>
      </c>
      <c r="AD37" s="43">
        <f t="shared" si="29"/>
        <v>1219.708663435604</v>
      </c>
      <c r="AE37" s="43">
        <f t="shared" si="30"/>
        <v>0</v>
      </c>
      <c r="AF37" s="51">
        <f>HLOOKUP(I37,GasAvoidedCostsWOCC!$A$5:$G$50,G37+1,FALSE)</f>
        <v>11.367913647559428</v>
      </c>
      <c r="AG37" s="43">
        <f t="shared" si="31"/>
        <v>340.81005115383164</v>
      </c>
      <c r="AH37" s="51">
        <f>HLOOKUP(I37,GasAvoidedCostsWOCC!$A$5:$Q$50,T37+1,FALSE)</f>
        <v>11.367913647559428</v>
      </c>
      <c r="AI37" s="43">
        <f t="shared" si="32"/>
        <v>0</v>
      </c>
      <c r="AJ37" s="43">
        <f t="shared" si="33"/>
        <v>340.81005115383164</v>
      </c>
      <c r="AK37" s="43">
        <f>HLOOKUP(I37,GasAvoidedCostsWOCC!$A$5:$Q$50,G37+1,FALSE)*J37*L37</f>
        <v>0</v>
      </c>
      <c r="AL37" s="43">
        <f t="shared" si="34"/>
        <v>340.81005115383164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340.81005115383164</v>
      </c>
      <c r="AN37" s="47">
        <f t="shared" si="35"/>
        <v>1594.5997197048189</v>
      </c>
      <c r="AO37" s="46">
        <f t="shared" si="36"/>
        <v>0.64030608481038043</v>
      </c>
      <c r="AP37" s="46">
        <f t="shared" si="37"/>
        <v>4.3600117154456459</v>
      </c>
    </row>
    <row r="38" spans="2:42" x14ac:dyDescent="0.25">
      <c r="B38" s="36"/>
      <c r="C38" s="60"/>
      <c r="D38" s="60"/>
      <c r="E38" s="37" t="s">
        <v>1326</v>
      </c>
      <c r="F38" s="38" t="s">
        <v>1327</v>
      </c>
      <c r="G38" s="38">
        <v>11</v>
      </c>
      <c r="H38" s="38">
        <v>0</v>
      </c>
      <c r="I38" s="39" t="s">
        <v>260</v>
      </c>
      <c r="J38" s="40">
        <v>2</v>
      </c>
      <c r="K38" s="40">
        <v>14.99</v>
      </c>
      <c r="L38" s="40">
        <v>0</v>
      </c>
      <c r="M38" s="41">
        <v>75</v>
      </c>
      <c r="N38" s="41">
        <v>82.7</v>
      </c>
      <c r="O38" s="42">
        <v>29.98</v>
      </c>
      <c r="P38" s="43">
        <v>150</v>
      </c>
      <c r="Q38" s="43">
        <v>165.4</v>
      </c>
      <c r="R38" s="44">
        <v>389.08</v>
      </c>
      <c r="S38" s="45"/>
      <c r="T38" s="38">
        <f t="shared" si="19"/>
        <v>11</v>
      </c>
      <c r="U38" s="46">
        <f t="shared" si="20"/>
        <v>1.0974332215645064E-2</v>
      </c>
      <c r="V38" s="47">
        <f t="shared" si="21"/>
        <v>7.7000000000000028</v>
      </c>
      <c r="W38" s="48">
        <f t="shared" si="22"/>
        <v>9.9766656505864216E-4</v>
      </c>
      <c r="X38" s="43">
        <f t="shared" si="23"/>
        <v>225.20273499074213</v>
      </c>
      <c r="Y38" s="43">
        <f t="shared" si="24"/>
        <v>15.400000000000006</v>
      </c>
      <c r="Z38" s="43">
        <f t="shared" si="25"/>
        <v>568.45490503199323</v>
      </c>
      <c r="AA38" s="49">
        <f t="shared" si="26"/>
        <v>390.60273499074214</v>
      </c>
      <c r="AB38" s="50">
        <f t="shared" si="27"/>
        <v>532.26114703370149</v>
      </c>
      <c r="AC38" s="43">
        <f t="shared" si="28"/>
        <v>365.73289793140646</v>
      </c>
      <c r="AD38" s="43">
        <f t="shared" si="29"/>
        <v>5893.7437502424846</v>
      </c>
      <c r="AE38" s="43">
        <f t="shared" si="30"/>
        <v>0</v>
      </c>
      <c r="AF38" s="51">
        <f>HLOOKUP(I38,GasAvoidedCostsWOCC!$A$5:$G$50,G38+1,FALSE)</f>
        <v>11.367913647559428</v>
      </c>
      <c r="AG38" s="43">
        <f t="shared" si="31"/>
        <v>340.81005115383164</v>
      </c>
      <c r="AH38" s="51">
        <f>HLOOKUP(I38,GasAvoidedCostsWOCC!$A$5:$Q$50,T38+1,FALSE)</f>
        <v>11.367913647559428</v>
      </c>
      <c r="AI38" s="43">
        <f t="shared" si="32"/>
        <v>0</v>
      </c>
      <c r="AJ38" s="43">
        <f t="shared" si="33"/>
        <v>340.81005115383164</v>
      </c>
      <c r="AK38" s="43">
        <f>HLOOKUP(I38,GasAvoidedCostsWOCC!$A$5:$Q$50,G38+1,FALSE)*J38*L38</f>
        <v>0</v>
      </c>
      <c r="AL38" s="43">
        <f t="shared" si="34"/>
        <v>340.81005115383164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340.81005115383164</v>
      </c>
      <c r="AN38" s="47">
        <f t="shared" si="35"/>
        <v>6268.634806511699</v>
      </c>
      <c r="AO38" s="46">
        <f t="shared" si="36"/>
        <v>0.64030608481038043</v>
      </c>
      <c r="AP38" s="46">
        <f t="shared" si="37"/>
        <v>17.139926000551878</v>
      </c>
    </row>
    <row r="39" spans="2:42" x14ac:dyDescent="0.25">
      <c r="B39" s="36"/>
      <c r="C39" s="60"/>
      <c r="D39" s="60"/>
      <c r="E39" s="37" t="s">
        <v>1420</v>
      </c>
      <c r="F39" s="38" t="s">
        <v>1421</v>
      </c>
      <c r="G39" s="38">
        <v>11</v>
      </c>
      <c r="H39" s="38">
        <v>0</v>
      </c>
      <c r="I39" s="39" t="s">
        <v>260</v>
      </c>
      <c r="J39" s="40">
        <v>2</v>
      </c>
      <c r="K39" s="40">
        <v>35.51</v>
      </c>
      <c r="L39" s="40">
        <v>0</v>
      </c>
      <c r="M39" s="41">
        <v>200</v>
      </c>
      <c r="N39" s="41">
        <v>399.62</v>
      </c>
      <c r="O39" s="42">
        <v>71.02</v>
      </c>
      <c r="P39" s="43">
        <v>400</v>
      </c>
      <c r="Q39" s="43">
        <v>799.24</v>
      </c>
      <c r="R39" s="44">
        <v>389.08</v>
      </c>
      <c r="S39" s="45"/>
      <c r="T39" s="38">
        <f t="shared" si="19"/>
        <v>11</v>
      </c>
      <c r="U39" s="46">
        <f t="shared" si="20"/>
        <v>2.5997233954473394E-2</v>
      </c>
      <c r="V39" s="47">
        <f t="shared" si="21"/>
        <v>199.62</v>
      </c>
      <c r="W39" s="48">
        <f t="shared" si="22"/>
        <v>2.3633849049521267E-3</v>
      </c>
      <c r="X39" s="43">
        <f t="shared" si="23"/>
        <v>533.48559836699485</v>
      </c>
      <c r="Y39" s="43">
        <f t="shared" si="24"/>
        <v>399.24</v>
      </c>
      <c r="Z39" s="43">
        <f t="shared" si="25"/>
        <v>1346.6199918402988</v>
      </c>
      <c r="AA39" s="49">
        <f t="shared" si="26"/>
        <v>1332.7255983669947</v>
      </c>
      <c r="AB39" s="50">
        <f t="shared" si="27"/>
        <v>1260.8801421725643</v>
      </c>
      <c r="AC39" s="43">
        <f t="shared" si="28"/>
        <v>1247.8704104559874</v>
      </c>
      <c r="AD39" s="43">
        <f t="shared" si="29"/>
        <v>5893.7437502424846</v>
      </c>
      <c r="AE39" s="43">
        <f t="shared" si="30"/>
        <v>0</v>
      </c>
      <c r="AF39" s="51">
        <f>HLOOKUP(I39,GasAvoidedCostsWOCC!$A$5:$G$50,G39+1,FALSE)</f>
        <v>11.367913647559428</v>
      </c>
      <c r="AG39" s="43">
        <f t="shared" si="31"/>
        <v>807.34922724967055</v>
      </c>
      <c r="AH39" s="51">
        <f>HLOOKUP(I39,GasAvoidedCostsWOCC!$A$5:$Q$50,T39+1,FALSE)</f>
        <v>11.367913647559428</v>
      </c>
      <c r="AI39" s="43">
        <f t="shared" si="32"/>
        <v>0</v>
      </c>
      <c r="AJ39" s="43">
        <f t="shared" si="33"/>
        <v>807.34922724967055</v>
      </c>
      <c r="AK39" s="43">
        <f>HLOOKUP(I39,GasAvoidedCostsWOCC!$A$5:$Q$50,G39+1,FALSE)*J39*L39</f>
        <v>0</v>
      </c>
      <c r="AL39" s="43">
        <f t="shared" si="34"/>
        <v>807.34922724967055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807.34922724967055</v>
      </c>
      <c r="AN39" s="47">
        <f t="shared" si="35"/>
        <v>6781.8279002171221</v>
      </c>
      <c r="AO39" s="46">
        <f t="shared" si="36"/>
        <v>0.64030608481038043</v>
      </c>
      <c r="AP39" s="46">
        <f t="shared" si="37"/>
        <v>5.4347213006989703</v>
      </c>
    </row>
    <row r="40" spans="2:42" x14ac:dyDescent="0.25">
      <c r="B40" s="36"/>
      <c r="C40" s="60"/>
      <c r="D40" s="60"/>
      <c r="E40" s="37" t="s">
        <v>1328</v>
      </c>
      <c r="F40" s="38" t="s">
        <v>581</v>
      </c>
      <c r="G40" s="38">
        <v>14</v>
      </c>
      <c r="H40" s="38">
        <v>0</v>
      </c>
      <c r="I40" s="39" t="s">
        <v>269</v>
      </c>
      <c r="J40" s="40">
        <v>2</v>
      </c>
      <c r="K40" s="40">
        <v>0.8</v>
      </c>
      <c r="L40" s="40">
        <v>0</v>
      </c>
      <c r="M40" s="41">
        <v>0</v>
      </c>
      <c r="N40" s="41">
        <v>0</v>
      </c>
      <c r="O40" s="42">
        <v>1.6</v>
      </c>
      <c r="P40" s="43">
        <v>0</v>
      </c>
      <c r="Q40" s="43">
        <v>0</v>
      </c>
      <c r="R40" s="44">
        <v>7.49</v>
      </c>
      <c r="S40" s="45"/>
      <c r="T40" s="38">
        <f t="shared" si="19"/>
        <v>14</v>
      </c>
      <c r="U40" s="46">
        <f t="shared" si="20"/>
        <v>7.454213161212002E-4</v>
      </c>
      <c r="V40" s="47">
        <f t="shared" si="21"/>
        <v>0</v>
      </c>
      <c r="W40" s="48">
        <f t="shared" si="22"/>
        <v>5.3244379722942875E-5</v>
      </c>
      <c r="X40" s="43">
        <f t="shared" si="23"/>
        <v>12.018825082894843</v>
      </c>
      <c r="Y40" s="43">
        <f t="shared" si="24"/>
        <v>0</v>
      </c>
      <c r="Z40" s="43">
        <f t="shared" si="25"/>
        <v>30.337820148471952</v>
      </c>
      <c r="AA40" s="49">
        <f t="shared" si="26"/>
        <v>12.018825082894843</v>
      </c>
      <c r="AB40" s="50">
        <f t="shared" si="27"/>
        <v>28.40619864089134</v>
      </c>
      <c r="AC40" s="43">
        <f t="shared" si="28"/>
        <v>11.253581538291051</v>
      </c>
      <c r="AD40" s="43">
        <f t="shared" si="29"/>
        <v>132.59295254614196</v>
      </c>
      <c r="AE40" s="43">
        <f t="shared" si="30"/>
        <v>0</v>
      </c>
      <c r="AF40" s="51">
        <f>HLOOKUP(I40,GasAvoidedCostsWOCC!$A$5:$G$50,G40+1,FALSE)</f>
        <v>14.06421015641665</v>
      </c>
      <c r="AG40" s="43">
        <f t="shared" si="31"/>
        <v>22.50273625026664</v>
      </c>
      <c r="AH40" s="51">
        <f>HLOOKUP(I40,GasAvoidedCostsWOCC!$A$5:$Q$50,T40+1,FALSE)</f>
        <v>14.06421015641665</v>
      </c>
      <c r="AI40" s="43">
        <f t="shared" si="32"/>
        <v>0</v>
      </c>
      <c r="AJ40" s="43">
        <f t="shared" si="33"/>
        <v>22.50273625026664</v>
      </c>
      <c r="AK40" s="43">
        <f>HLOOKUP(I40,GasAvoidedCostsWOCC!$A$5:$Q$50,G40+1,FALSE)*J40*L40</f>
        <v>0</v>
      </c>
      <c r="AL40" s="43">
        <f t="shared" si="34"/>
        <v>22.50273625026664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22.50273625026664</v>
      </c>
      <c r="AN40" s="47">
        <f t="shared" si="35"/>
        <v>157.34596242143527</v>
      </c>
      <c r="AO40" s="46">
        <f t="shared" si="36"/>
        <v>0.79217696583567021</v>
      </c>
      <c r="AP40" s="46">
        <f t="shared" si="37"/>
        <v>13.981856521504312</v>
      </c>
    </row>
    <row r="41" spans="2:42" x14ac:dyDescent="0.25">
      <c r="B41" s="36"/>
      <c r="C41" s="60"/>
      <c r="D41" s="60"/>
      <c r="E41" s="37" t="s">
        <v>1330</v>
      </c>
      <c r="F41" s="38" t="s">
        <v>994</v>
      </c>
      <c r="G41" s="38">
        <v>14</v>
      </c>
      <c r="H41" s="38">
        <v>0</v>
      </c>
      <c r="I41" s="39" t="s">
        <v>269</v>
      </c>
      <c r="J41" s="40">
        <v>2</v>
      </c>
      <c r="K41" s="40">
        <v>2.1</v>
      </c>
      <c r="L41" s="40">
        <v>0</v>
      </c>
      <c r="M41" s="41">
        <v>0</v>
      </c>
      <c r="N41" s="41">
        <v>0</v>
      </c>
      <c r="O41" s="42">
        <v>4.2</v>
      </c>
      <c r="P41" s="43">
        <v>0</v>
      </c>
      <c r="Q41" s="43">
        <v>0</v>
      </c>
      <c r="R41" s="44">
        <v>17.059999999999999</v>
      </c>
      <c r="S41" s="45"/>
      <c r="T41" s="38">
        <f t="shared" si="19"/>
        <v>14</v>
      </c>
      <c r="U41" s="46">
        <f t="shared" si="20"/>
        <v>1.9567309548181506E-3</v>
      </c>
      <c r="V41" s="47">
        <f t="shared" si="21"/>
        <v>0</v>
      </c>
      <c r="W41" s="48">
        <f t="shared" si="22"/>
        <v>1.3976649677272505E-4</v>
      </c>
      <c r="X41" s="43">
        <f t="shared" si="23"/>
        <v>31.549415842598965</v>
      </c>
      <c r="Y41" s="43">
        <f t="shared" si="24"/>
        <v>0</v>
      </c>
      <c r="Z41" s="43">
        <f t="shared" si="25"/>
        <v>79.63677788973888</v>
      </c>
      <c r="AA41" s="49">
        <f t="shared" si="26"/>
        <v>31.549415842598965</v>
      </c>
      <c r="AB41" s="50">
        <f t="shared" si="27"/>
        <v>74.566271432339775</v>
      </c>
      <c r="AC41" s="43">
        <f t="shared" si="28"/>
        <v>29.540651538014011</v>
      </c>
      <c r="AD41" s="43">
        <f t="shared" si="29"/>
        <v>302.00744598627261</v>
      </c>
      <c r="AE41" s="43">
        <f t="shared" si="30"/>
        <v>0</v>
      </c>
      <c r="AF41" s="51">
        <f>HLOOKUP(I41,GasAvoidedCostsWOCC!$A$5:$G$50,G41+1,FALSE)</f>
        <v>14.06421015641665</v>
      </c>
      <c r="AG41" s="43">
        <f t="shared" si="31"/>
        <v>59.069682656949929</v>
      </c>
      <c r="AH41" s="51">
        <f>HLOOKUP(I41,GasAvoidedCostsWOCC!$A$5:$Q$50,T41+1,FALSE)</f>
        <v>14.06421015641665</v>
      </c>
      <c r="AI41" s="43">
        <f t="shared" si="32"/>
        <v>0</v>
      </c>
      <c r="AJ41" s="43">
        <f t="shared" si="33"/>
        <v>59.069682656949929</v>
      </c>
      <c r="AK41" s="43">
        <f>HLOOKUP(I41,GasAvoidedCostsWOCC!$A$5:$Q$50,G41+1,FALSE)*J41*L41</f>
        <v>0</v>
      </c>
      <c r="AL41" s="43">
        <f t="shared" si="34"/>
        <v>59.069682656949929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59.069682656949929</v>
      </c>
      <c r="AN41" s="47">
        <f t="shared" si="35"/>
        <v>366.98409690891754</v>
      </c>
      <c r="AO41" s="46">
        <f t="shared" si="36"/>
        <v>0.7921769658356701</v>
      </c>
      <c r="AP41" s="46">
        <f t="shared" si="37"/>
        <v>12.423019730511655</v>
      </c>
    </row>
    <row r="42" spans="2:42" x14ac:dyDescent="0.25">
      <c r="B42" s="36"/>
      <c r="C42" s="60"/>
      <c r="D42" s="60"/>
      <c r="E42" s="37" t="s">
        <v>1331</v>
      </c>
      <c r="F42" s="38" t="s">
        <v>583</v>
      </c>
      <c r="G42" s="38">
        <v>14</v>
      </c>
      <c r="H42" s="38">
        <v>0</v>
      </c>
      <c r="I42" s="39" t="s">
        <v>269</v>
      </c>
      <c r="J42" s="40">
        <v>2</v>
      </c>
      <c r="K42" s="40">
        <v>2.1</v>
      </c>
      <c r="L42" s="40">
        <v>0</v>
      </c>
      <c r="M42" s="41">
        <v>0</v>
      </c>
      <c r="N42" s="41">
        <v>0</v>
      </c>
      <c r="O42" s="42">
        <v>4.2</v>
      </c>
      <c r="P42" s="43">
        <v>0</v>
      </c>
      <c r="Q42" s="43">
        <v>0</v>
      </c>
      <c r="R42" s="44">
        <v>17.059999999999999</v>
      </c>
      <c r="S42" s="45"/>
      <c r="T42" s="38">
        <f t="shared" si="19"/>
        <v>14</v>
      </c>
      <c r="U42" s="46">
        <f t="shared" si="20"/>
        <v>1.9567309548181506E-3</v>
      </c>
      <c r="V42" s="47">
        <f t="shared" si="21"/>
        <v>0</v>
      </c>
      <c r="W42" s="48">
        <f t="shared" si="22"/>
        <v>1.3976649677272505E-4</v>
      </c>
      <c r="X42" s="43">
        <f t="shared" si="23"/>
        <v>31.549415842598965</v>
      </c>
      <c r="Y42" s="43">
        <f t="shared" si="24"/>
        <v>0</v>
      </c>
      <c r="Z42" s="43">
        <f t="shared" si="25"/>
        <v>79.63677788973888</v>
      </c>
      <c r="AA42" s="49">
        <f t="shared" si="26"/>
        <v>31.549415842598965</v>
      </c>
      <c r="AB42" s="50">
        <f t="shared" si="27"/>
        <v>74.566271432339775</v>
      </c>
      <c r="AC42" s="43">
        <f t="shared" si="28"/>
        <v>29.540651538014011</v>
      </c>
      <c r="AD42" s="43">
        <f t="shared" si="29"/>
        <v>302.00744598627261</v>
      </c>
      <c r="AE42" s="43">
        <f t="shared" si="30"/>
        <v>0</v>
      </c>
      <c r="AF42" s="51">
        <f>HLOOKUP(I42,GasAvoidedCostsWOCC!$A$5:$G$50,G42+1,FALSE)</f>
        <v>14.06421015641665</v>
      </c>
      <c r="AG42" s="43">
        <f t="shared" si="31"/>
        <v>59.069682656949929</v>
      </c>
      <c r="AH42" s="51">
        <f>HLOOKUP(I42,GasAvoidedCostsWOCC!$A$5:$Q$50,T42+1,FALSE)</f>
        <v>14.06421015641665</v>
      </c>
      <c r="AI42" s="43">
        <f t="shared" si="32"/>
        <v>0</v>
      </c>
      <c r="AJ42" s="43">
        <f t="shared" si="33"/>
        <v>59.069682656949929</v>
      </c>
      <c r="AK42" s="43">
        <f>HLOOKUP(I42,GasAvoidedCostsWOCC!$A$5:$Q$50,G42+1,FALSE)*J42*L42</f>
        <v>0</v>
      </c>
      <c r="AL42" s="43">
        <f t="shared" si="34"/>
        <v>59.069682656949929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59.069682656949929</v>
      </c>
      <c r="AN42" s="47">
        <f t="shared" si="35"/>
        <v>366.98409690891754</v>
      </c>
      <c r="AO42" s="46">
        <f t="shared" si="36"/>
        <v>0.7921769658356701</v>
      </c>
      <c r="AP42" s="46">
        <f t="shared" si="37"/>
        <v>12.423019730511655</v>
      </c>
    </row>
    <row r="43" spans="2:42" x14ac:dyDescent="0.25">
      <c r="B43" s="36"/>
      <c r="C43" s="60"/>
      <c r="D43" s="60"/>
      <c r="E43" s="37" t="s">
        <v>1422</v>
      </c>
      <c r="F43" s="38" t="s">
        <v>674</v>
      </c>
      <c r="G43" s="38">
        <v>10</v>
      </c>
      <c r="H43" s="38">
        <v>0</v>
      </c>
      <c r="I43" s="39" t="s">
        <v>269</v>
      </c>
      <c r="J43" s="40">
        <v>200</v>
      </c>
      <c r="K43" s="40">
        <v>2.2000000000000002</v>
      </c>
      <c r="L43" s="40">
        <v>0</v>
      </c>
      <c r="M43" s="41">
        <v>33</v>
      </c>
      <c r="N43" s="41">
        <v>33</v>
      </c>
      <c r="O43" s="42">
        <v>440.00000000000006</v>
      </c>
      <c r="P43" s="43">
        <v>6600</v>
      </c>
      <c r="Q43" s="43">
        <v>6600</v>
      </c>
      <c r="R43" s="44">
        <v>4.13</v>
      </c>
      <c r="S43" s="45"/>
      <c r="T43" s="38">
        <f t="shared" si="19"/>
        <v>10</v>
      </c>
      <c r="U43" s="46">
        <f t="shared" si="20"/>
        <v>0.14642204423809291</v>
      </c>
      <c r="V43" s="47">
        <f t="shared" si="21"/>
        <v>0</v>
      </c>
      <c r="W43" s="48">
        <f t="shared" si="22"/>
        <v>1.4642204423809292E-2</v>
      </c>
      <c r="X43" s="43">
        <f t="shared" si="23"/>
        <v>3305.1768977960819</v>
      </c>
      <c r="Y43" s="43">
        <f t="shared" si="24"/>
        <v>0</v>
      </c>
      <c r="Z43" s="43">
        <f t="shared" si="25"/>
        <v>8342.900540829789</v>
      </c>
      <c r="AA43" s="49">
        <f t="shared" si="26"/>
        <v>9905.1768977960819</v>
      </c>
      <c r="AB43" s="50">
        <f t="shared" si="27"/>
        <v>7811.7046262451204</v>
      </c>
      <c r="AC43" s="43">
        <f t="shared" si="28"/>
        <v>9274.5102039289159</v>
      </c>
      <c r="AD43" s="43">
        <f t="shared" si="29"/>
        <v>5855.4949838900893</v>
      </c>
      <c r="AE43" s="43">
        <f t="shared" si="30"/>
        <v>0</v>
      </c>
      <c r="AF43" s="51">
        <f>HLOOKUP(I43,GasAvoidedCostsWOCC!$A$5:$G$50,G43+1,FALSE)</f>
        <v>10.604958181117064</v>
      </c>
      <c r="AG43" s="43">
        <f t="shared" si="31"/>
        <v>4666.1815996915093</v>
      </c>
      <c r="AH43" s="51">
        <f>HLOOKUP(I43,GasAvoidedCostsWOCC!$A$5:$Q$50,T43+1,FALSE)</f>
        <v>10.604958181117064</v>
      </c>
      <c r="AI43" s="43">
        <f t="shared" si="32"/>
        <v>0</v>
      </c>
      <c r="AJ43" s="43">
        <f t="shared" si="33"/>
        <v>4666.1815996915093</v>
      </c>
      <c r="AK43" s="43">
        <f>HLOOKUP(I43,GasAvoidedCostsWOCC!$A$5:$Q$50,G43+1,FALSE)*J43*L43</f>
        <v>0</v>
      </c>
      <c r="AL43" s="43">
        <f t="shared" si="34"/>
        <v>4666.1815996915093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4666.1815996915084</v>
      </c>
      <c r="AN43" s="47">
        <f t="shared" si="35"/>
        <v>10988.294743550749</v>
      </c>
      <c r="AO43" s="46">
        <f t="shared" si="36"/>
        <v>0.59733205784745835</v>
      </c>
      <c r="AP43" s="46">
        <f t="shared" si="37"/>
        <v>1.1847843715666873</v>
      </c>
    </row>
    <row r="44" spans="2:42" x14ac:dyDescent="0.25">
      <c r="B44" s="36"/>
      <c r="C44" s="60"/>
      <c r="D44" s="60"/>
      <c r="E44" s="37" t="s">
        <v>1423</v>
      </c>
      <c r="F44" s="38" t="s">
        <v>672</v>
      </c>
      <c r="G44" s="38">
        <v>20</v>
      </c>
      <c r="H44" s="38">
        <v>0</v>
      </c>
      <c r="I44" s="39" t="s">
        <v>273</v>
      </c>
      <c r="J44" s="40">
        <v>20</v>
      </c>
      <c r="K44" s="40">
        <v>105.31</v>
      </c>
      <c r="L44" s="40">
        <v>0</v>
      </c>
      <c r="M44" s="41">
        <v>700</v>
      </c>
      <c r="N44" s="41">
        <v>1438</v>
      </c>
      <c r="O44" s="42">
        <v>2106.1999999999998</v>
      </c>
      <c r="P44" s="43">
        <v>14000</v>
      </c>
      <c r="Q44" s="43">
        <v>28760</v>
      </c>
      <c r="R44" s="44">
        <v>30.045000000000002</v>
      </c>
      <c r="S44" s="45"/>
      <c r="T44" s="38">
        <f t="shared" si="19"/>
        <v>20</v>
      </c>
      <c r="U44" s="46">
        <f t="shared" si="20"/>
        <v>1.4017914071557782</v>
      </c>
      <c r="V44" s="47">
        <f t="shared" si="21"/>
        <v>738</v>
      </c>
      <c r="W44" s="48">
        <f t="shared" si="22"/>
        <v>7.0089570357788913E-2</v>
      </c>
      <c r="X44" s="43">
        <f t="shared" si="23"/>
        <v>15821.280868495696</v>
      </c>
      <c r="Y44" s="43">
        <f t="shared" si="24"/>
        <v>14760</v>
      </c>
      <c r="Z44" s="43">
        <f t="shared" si="25"/>
        <v>39935.947997944764</v>
      </c>
      <c r="AA44" s="49">
        <f t="shared" si="26"/>
        <v>44581.280868495698</v>
      </c>
      <c r="AB44" s="50">
        <f t="shared" si="27"/>
        <v>37393.209735903336</v>
      </c>
      <c r="AC44" s="43">
        <f t="shared" si="28"/>
        <v>41742.772348778744</v>
      </c>
      <c r="AD44" s="43">
        <f t="shared" si="29"/>
        <v>6466.1103527577498</v>
      </c>
      <c r="AE44" s="43">
        <f t="shared" si="30"/>
        <v>0</v>
      </c>
      <c r="AF44" s="51">
        <f>HLOOKUP(I44,GasAvoidedCostsWOCC!$A$5:$G$50,G44+1,FALSE)</f>
        <v>19.395541552048424</v>
      </c>
      <c r="AG44" s="43">
        <f t="shared" si="31"/>
        <v>40850.889616924396</v>
      </c>
      <c r="AH44" s="51">
        <f>HLOOKUP(I44,GasAvoidedCostsWOCC!$A$5:$Q$50,T44+1,FALSE)</f>
        <v>19.395541552048424</v>
      </c>
      <c r="AI44" s="43">
        <f t="shared" si="32"/>
        <v>0</v>
      </c>
      <c r="AJ44" s="43">
        <f t="shared" si="33"/>
        <v>40850.889616924396</v>
      </c>
      <c r="AK44" s="43">
        <f>HLOOKUP(I44,GasAvoidedCostsWOCC!$A$5:$Q$50,G44+1,FALSE)*J44*L44</f>
        <v>0</v>
      </c>
      <c r="AL44" s="43">
        <f t="shared" si="34"/>
        <v>40850.889616924396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40850.889616924389</v>
      </c>
      <c r="AN44" s="47">
        <f t="shared" si="35"/>
        <v>51402.088931374579</v>
      </c>
      <c r="AO44" s="46">
        <f t="shared" si="36"/>
        <v>1.0924681220318229</v>
      </c>
      <c r="AP44" s="46">
        <f t="shared" si="37"/>
        <v>1.2314009357569284</v>
      </c>
    </row>
    <row r="45" spans="2:42" x14ac:dyDescent="0.25">
      <c r="B45" s="36"/>
      <c r="C45" s="60"/>
      <c r="D45" s="60"/>
      <c r="E45" s="37" t="s">
        <v>1424</v>
      </c>
      <c r="F45" s="38" t="s">
        <v>784</v>
      </c>
      <c r="G45" s="38">
        <v>20</v>
      </c>
      <c r="H45" s="38">
        <v>0</v>
      </c>
      <c r="I45" s="39" t="s">
        <v>273</v>
      </c>
      <c r="J45" s="40">
        <v>2</v>
      </c>
      <c r="K45" s="40">
        <v>105.31</v>
      </c>
      <c r="L45" s="40">
        <v>0</v>
      </c>
      <c r="M45" s="41">
        <v>1000</v>
      </c>
      <c r="N45" s="41">
        <v>1438</v>
      </c>
      <c r="O45" s="42">
        <v>210.62</v>
      </c>
      <c r="P45" s="43">
        <v>2000</v>
      </c>
      <c r="Q45" s="43">
        <v>2876</v>
      </c>
      <c r="R45" s="44">
        <v>30.045000000000002</v>
      </c>
      <c r="S45" s="45"/>
      <c r="T45" s="38">
        <f t="shared" si="19"/>
        <v>20</v>
      </c>
      <c r="U45" s="46">
        <f t="shared" si="20"/>
        <v>0.14017914071557785</v>
      </c>
      <c r="V45" s="47">
        <f t="shared" si="21"/>
        <v>438</v>
      </c>
      <c r="W45" s="48">
        <f t="shared" si="22"/>
        <v>7.0089570357788926E-3</v>
      </c>
      <c r="X45" s="43">
        <f t="shared" si="23"/>
        <v>1582.1280868495699</v>
      </c>
      <c r="Y45" s="43">
        <f t="shared" si="24"/>
        <v>876</v>
      </c>
      <c r="Z45" s="43">
        <f t="shared" si="25"/>
        <v>3993.5947997944768</v>
      </c>
      <c r="AA45" s="49">
        <f t="shared" si="26"/>
        <v>4458.1280868495696</v>
      </c>
      <c r="AB45" s="50">
        <f t="shared" si="27"/>
        <v>3739.3209735903338</v>
      </c>
      <c r="AC45" s="43">
        <f t="shared" si="28"/>
        <v>4174.2772348778735</v>
      </c>
      <c r="AD45" s="43">
        <f t="shared" si="29"/>
        <v>646.61103527577495</v>
      </c>
      <c r="AE45" s="43">
        <f t="shared" si="30"/>
        <v>0</v>
      </c>
      <c r="AF45" s="51">
        <f>HLOOKUP(I45,GasAvoidedCostsWOCC!$A$5:$G$50,G45+1,FALSE)</f>
        <v>19.395541552048424</v>
      </c>
      <c r="AG45" s="43">
        <f t="shared" si="31"/>
        <v>4085.0889616924392</v>
      </c>
      <c r="AH45" s="51">
        <f>HLOOKUP(I45,GasAvoidedCostsWOCC!$A$5:$Q$50,T45+1,FALSE)</f>
        <v>19.395541552048424</v>
      </c>
      <c r="AI45" s="43">
        <f t="shared" si="32"/>
        <v>0</v>
      </c>
      <c r="AJ45" s="43">
        <f t="shared" si="33"/>
        <v>4085.0889616924392</v>
      </c>
      <c r="AK45" s="43">
        <f>HLOOKUP(I45,GasAvoidedCostsWOCC!$A$5:$Q$50,G45+1,FALSE)*J45*L45</f>
        <v>0</v>
      </c>
      <c r="AL45" s="43">
        <f t="shared" si="34"/>
        <v>4085.0889616924392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4085.0889616924392</v>
      </c>
      <c r="AN45" s="47">
        <f t="shared" si="35"/>
        <v>5140.2088931374583</v>
      </c>
      <c r="AO45" s="46">
        <f t="shared" si="36"/>
        <v>1.0924681220318229</v>
      </c>
      <c r="AP45" s="46">
        <f t="shared" si="37"/>
        <v>1.2314009357569287</v>
      </c>
    </row>
    <row r="46" spans="2:42" x14ac:dyDescent="0.25">
      <c r="B46" s="36"/>
      <c r="C46" s="60"/>
      <c r="D46" s="60"/>
      <c r="E46" s="37" t="s">
        <v>1412</v>
      </c>
      <c r="F46" s="38" t="s">
        <v>660</v>
      </c>
      <c r="G46" s="38">
        <v>24</v>
      </c>
      <c r="H46" s="38">
        <v>0</v>
      </c>
      <c r="I46" s="39" t="s">
        <v>265</v>
      </c>
      <c r="J46" s="40">
        <v>1000</v>
      </c>
      <c r="K46" s="40">
        <v>0</v>
      </c>
      <c r="L46" s="40">
        <v>0</v>
      </c>
      <c r="M46" s="41">
        <v>5</v>
      </c>
      <c r="N46" s="41">
        <v>7.14</v>
      </c>
      <c r="O46" s="42">
        <v>1000</v>
      </c>
      <c r="P46" s="43">
        <v>5000</v>
      </c>
      <c r="Q46" s="43">
        <v>7140</v>
      </c>
      <c r="R46" s="44">
        <v>0</v>
      </c>
      <c r="S46" s="45"/>
      <c r="T46" s="38">
        <f t="shared" si="19"/>
        <v>24</v>
      </c>
      <c r="U46" s="46">
        <f t="shared" si="20"/>
        <v>0.79866569584414304</v>
      </c>
      <c r="V46" s="47">
        <f t="shared" si="21"/>
        <v>2.1399999999999997</v>
      </c>
      <c r="W46" s="48">
        <f t="shared" si="22"/>
        <v>3.3277737326839293E-2</v>
      </c>
      <c r="X46" s="43">
        <f t="shared" si="23"/>
        <v>7511.7656768092756</v>
      </c>
      <c r="Y46" s="43">
        <f t="shared" si="24"/>
        <v>2140</v>
      </c>
      <c r="Z46" s="43">
        <f t="shared" si="25"/>
        <v>18961.13759279497</v>
      </c>
      <c r="AA46" s="49">
        <f t="shared" si="26"/>
        <v>14651.765676809275</v>
      </c>
      <c r="AB46" s="50">
        <f t="shared" si="27"/>
        <v>17753.874150557087</v>
      </c>
      <c r="AC46" s="43">
        <f t="shared" si="28"/>
        <v>13718.881719858871</v>
      </c>
      <c r="AD46" s="43">
        <f t="shared" si="29"/>
        <v>0</v>
      </c>
      <c r="AE46" s="43">
        <f t="shared" si="30"/>
        <v>0</v>
      </c>
      <c r="AF46" s="51">
        <f>HLOOKUP(I46,GasAvoidedCostsWOCC!$A$5:$G$50,G46+1,FALSE)</f>
        <v>22.829600383167168</v>
      </c>
      <c r="AG46" s="43">
        <f t="shared" si="31"/>
        <v>0</v>
      </c>
      <c r="AH46" s="51">
        <f>HLOOKUP(I46,GasAvoidedCostsWOCC!$A$5:$Q$50,T46+1,FALSE)</f>
        <v>22.829600383167168</v>
      </c>
      <c r="AI46" s="43">
        <f t="shared" si="32"/>
        <v>0</v>
      </c>
      <c r="AJ46" s="43">
        <f t="shared" si="33"/>
        <v>0</v>
      </c>
      <c r="AK46" s="43">
        <f>HLOOKUP(I46,GasAvoidedCostsWOCC!$A$5:$Q$50,G46+1,FALSE)*J46*L46</f>
        <v>0</v>
      </c>
      <c r="AL46" s="43">
        <f t="shared" si="34"/>
        <v>0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>
        <f t="shared" si="37"/>
        <v>0</v>
      </c>
    </row>
    <row r="47" spans="2:42" x14ac:dyDescent="0.25">
      <c r="B47" s="36"/>
      <c r="C47" s="60"/>
      <c r="D47" s="60"/>
      <c r="E47" s="37" t="s">
        <v>1425</v>
      </c>
      <c r="F47" s="38" t="s">
        <v>671</v>
      </c>
      <c r="G47" s="38">
        <v>20</v>
      </c>
      <c r="H47" s="38">
        <v>0</v>
      </c>
      <c r="I47" s="39" t="s">
        <v>273</v>
      </c>
      <c r="J47" s="40">
        <v>2</v>
      </c>
      <c r="K47" s="40">
        <v>134.32</v>
      </c>
      <c r="L47" s="40">
        <v>0</v>
      </c>
      <c r="M47" s="41">
        <v>700</v>
      </c>
      <c r="N47" s="41">
        <v>723.76</v>
      </c>
      <c r="O47" s="42">
        <v>268.64</v>
      </c>
      <c r="P47" s="43">
        <v>1400</v>
      </c>
      <c r="Q47" s="43">
        <v>1447.52</v>
      </c>
      <c r="R47" s="44">
        <v>0</v>
      </c>
      <c r="S47" s="45"/>
      <c r="T47" s="38">
        <f t="shared" si="19"/>
        <v>20</v>
      </c>
      <c r="U47" s="46">
        <f t="shared" si="20"/>
        <v>0.17879462710964217</v>
      </c>
      <c r="V47" s="47">
        <f t="shared" si="21"/>
        <v>23.759999999999991</v>
      </c>
      <c r="W47" s="48">
        <f t="shared" si="22"/>
        <v>8.9397313554821084E-3</v>
      </c>
      <c r="X47" s="43">
        <f t="shared" si="23"/>
        <v>2017.9607314180441</v>
      </c>
      <c r="Y47" s="43">
        <f t="shared" si="24"/>
        <v>47.519999999999982</v>
      </c>
      <c r="Z47" s="43">
        <f t="shared" si="25"/>
        <v>5093.7200029284413</v>
      </c>
      <c r="AA47" s="49">
        <f t="shared" si="26"/>
        <v>3465.4807314180443</v>
      </c>
      <c r="AB47" s="50">
        <f t="shared" si="27"/>
        <v>4769.400751805656</v>
      </c>
      <c r="AC47" s="43">
        <f t="shared" si="28"/>
        <v>3244.8321455225132</v>
      </c>
      <c r="AD47" s="43">
        <f t="shared" si="29"/>
        <v>0</v>
      </c>
      <c r="AE47" s="43">
        <f t="shared" si="30"/>
        <v>0</v>
      </c>
      <c r="AF47" s="51">
        <f>HLOOKUP(I47,GasAvoidedCostsWOCC!$A$5:$G$50,G47+1,FALSE)</f>
        <v>19.395541552048424</v>
      </c>
      <c r="AG47" s="43">
        <f t="shared" si="31"/>
        <v>5210.4182825422886</v>
      </c>
      <c r="AH47" s="51">
        <f>HLOOKUP(I47,GasAvoidedCostsWOCC!$A$5:$Q$50,T47+1,FALSE)</f>
        <v>19.395541552048424</v>
      </c>
      <c r="AI47" s="43">
        <f t="shared" si="32"/>
        <v>0</v>
      </c>
      <c r="AJ47" s="43">
        <f t="shared" si="33"/>
        <v>5210.4182825422886</v>
      </c>
      <c r="AK47" s="43">
        <f>HLOOKUP(I47,GasAvoidedCostsWOCC!$A$5:$Q$50,G47+1,FALSE)*J47*L47</f>
        <v>0</v>
      </c>
      <c r="AL47" s="43">
        <f t="shared" si="34"/>
        <v>5210.4182825422886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5210.4182825422886</v>
      </c>
      <c r="AN47" s="47">
        <f t="shared" si="35"/>
        <v>5731.4601107965182</v>
      </c>
      <c r="AO47" s="46">
        <f t="shared" si="36"/>
        <v>1.0924681220318229</v>
      </c>
      <c r="AP47" s="46">
        <f t="shared" si="37"/>
        <v>1.7663348530078078</v>
      </c>
    </row>
    <row r="48" spans="2:42" x14ac:dyDescent="0.25">
      <c r="B48" s="36"/>
      <c r="C48" s="60"/>
      <c r="D48" s="60"/>
      <c r="E48" s="37" t="s">
        <v>857</v>
      </c>
      <c r="F48" s="38" t="s">
        <v>1426</v>
      </c>
      <c r="G48" s="38">
        <v>1</v>
      </c>
      <c r="H48" s="38">
        <v>0</v>
      </c>
      <c r="I48" s="39" t="s">
        <v>273</v>
      </c>
      <c r="J48" s="40">
        <v>200</v>
      </c>
      <c r="K48" s="40">
        <v>0</v>
      </c>
      <c r="L48" s="40">
        <v>0</v>
      </c>
      <c r="M48" s="41">
        <v>100</v>
      </c>
      <c r="N48" s="41">
        <v>0</v>
      </c>
      <c r="O48" s="42">
        <v>0</v>
      </c>
      <c r="P48" s="43">
        <v>20000</v>
      </c>
      <c r="Q48" s="43">
        <v>0</v>
      </c>
      <c r="R48" s="44">
        <v>0</v>
      </c>
      <c r="S48" s="45"/>
      <c r="T48" s="38">
        <f t="shared" si="19"/>
        <v>1</v>
      </c>
      <c r="U48" s="46">
        <f t="shared" si="20"/>
        <v>0</v>
      </c>
      <c r="V48" s="47">
        <f t="shared" si="21"/>
        <v>-100</v>
      </c>
      <c r="W48" s="48">
        <f t="shared" si="22"/>
        <v>0</v>
      </c>
      <c r="X48" s="43">
        <f t="shared" si="23"/>
        <v>0</v>
      </c>
      <c r="Y48" s="43">
        <f t="shared" si="24"/>
        <v>-20000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HLOOKUP(I48,GasAvoidedCostsWOCC!$A$5:$G$50,G48+1,FALSE)</f>
        <v>1.3548293266216893</v>
      </c>
      <c r="AG48" s="43">
        <f t="shared" si="31"/>
        <v>0</v>
      </c>
      <c r="AH48" s="51">
        <f>HLOOKUP(I48,GasAvoidedCostsWOCC!$A$5:$Q$50,T48+1,FALSE)</f>
        <v>1.3548293266216893</v>
      </c>
      <c r="AI48" s="43">
        <f t="shared" si="32"/>
        <v>0</v>
      </c>
      <c r="AJ48" s="43">
        <f t="shared" si="33"/>
        <v>0</v>
      </c>
      <c r="AK48" s="43">
        <f>HLOOKUP(I48,GasAvoidedCostsWOCC!$A$5:$Q$50,G48+1,FALSE)*J48*L48</f>
        <v>0</v>
      </c>
      <c r="AL48" s="43">
        <f t="shared" si="34"/>
        <v>0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857</v>
      </c>
      <c r="F49" s="38" t="s">
        <v>1427</v>
      </c>
      <c r="G49" s="38">
        <v>45</v>
      </c>
      <c r="H49" s="38">
        <v>0</v>
      </c>
      <c r="I49" s="39" t="s">
        <v>273</v>
      </c>
      <c r="J49" s="40">
        <v>0</v>
      </c>
      <c r="K49" s="40">
        <v>1</v>
      </c>
      <c r="L49" s="40">
        <v>0</v>
      </c>
      <c r="M49" s="41">
        <v>21.26</v>
      </c>
      <c r="N49" s="41">
        <v>21.26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45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HLOOKUP(I49,GasAvoidedCostsWOCC!$A$5:$G$50,G49+1,FALSE)</f>
        <v>37.569941081056932</v>
      </c>
      <c r="AG49" s="43">
        <f t="shared" si="31"/>
        <v>0</v>
      </c>
      <c r="AH49" s="51">
        <f>HLOOKUP(I49,GasAvoidedCostsWOCC!$A$5:$Q$50,T49+1,FALSE)</f>
        <v>37.569941081056932</v>
      </c>
      <c r="AI49" s="43">
        <f t="shared" si="32"/>
        <v>0</v>
      </c>
      <c r="AJ49" s="43">
        <f t="shared" si="33"/>
        <v>0</v>
      </c>
      <c r="AK49" s="43">
        <f>HLOOKUP(I49,GasAvoidedCostsWOCC!$A$5:$Q$50,G49+1,FALSE)*J49*L49</f>
        <v>0</v>
      </c>
      <c r="AL49" s="43">
        <f t="shared" si="34"/>
        <v>0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1256</v>
      </c>
      <c r="F50" s="38" t="s">
        <v>1428</v>
      </c>
      <c r="G50" s="38">
        <v>5</v>
      </c>
      <c r="H50" s="38">
        <v>0</v>
      </c>
      <c r="I50" s="39" t="s">
        <v>273</v>
      </c>
      <c r="J50" s="40">
        <v>0</v>
      </c>
      <c r="K50" s="40">
        <v>2.2000000000000002</v>
      </c>
      <c r="L50" s="40">
        <v>0</v>
      </c>
      <c r="M50" s="41">
        <v>100</v>
      </c>
      <c r="N50" s="41">
        <v>16.739999999999998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5</v>
      </c>
      <c r="U50" s="46">
        <f t="shared" si="20"/>
        <v>0</v>
      </c>
      <c r="V50" s="47">
        <f t="shared" si="21"/>
        <v>-83.26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HLOOKUP(I50,GasAvoidedCostsWOCC!$A$5:$G$50,G50+1,FALSE)</f>
        <v>6.2376926190591853</v>
      </c>
      <c r="AG50" s="43">
        <f t="shared" si="31"/>
        <v>0</v>
      </c>
      <c r="AH50" s="51">
        <f>HLOOKUP(I50,GasAvoidedCostsWOCC!$A$5:$Q$50,T50+1,FALSE)</f>
        <v>6.2376926190591853</v>
      </c>
      <c r="AI50" s="43">
        <f t="shared" si="32"/>
        <v>0</v>
      </c>
      <c r="AJ50" s="43">
        <f t="shared" si="33"/>
        <v>0</v>
      </c>
      <c r="AK50" s="43">
        <f>HLOOKUP(I50,GasAvoidedCostsWOCC!$A$5:$Q$50,G50+1,FALSE)*J50*L50</f>
        <v>0</v>
      </c>
      <c r="AL50" s="43">
        <f t="shared" si="34"/>
        <v>0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1345</v>
      </c>
      <c r="F51" s="38" t="s">
        <v>1346</v>
      </c>
      <c r="G51" s="38">
        <v>3</v>
      </c>
      <c r="H51" s="38">
        <v>0</v>
      </c>
      <c r="I51" s="39" t="s">
        <v>271</v>
      </c>
      <c r="J51" s="40">
        <v>0</v>
      </c>
      <c r="K51" s="40">
        <v>1</v>
      </c>
      <c r="L51" s="40">
        <v>0</v>
      </c>
      <c r="M51" s="41">
        <v>0.9</v>
      </c>
      <c r="N51" s="41">
        <v>0.9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3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1429</v>
      </c>
      <c r="F52" s="38" t="s">
        <v>1382</v>
      </c>
      <c r="G52" s="38">
        <v>45</v>
      </c>
      <c r="H52" s="38">
        <v>0</v>
      </c>
      <c r="I52" s="39" t="s">
        <v>273</v>
      </c>
      <c r="J52" s="40">
        <v>0</v>
      </c>
      <c r="K52" s="40">
        <v>0.04</v>
      </c>
      <c r="L52" s="40">
        <v>0</v>
      </c>
      <c r="M52" s="41">
        <v>1</v>
      </c>
      <c r="N52" s="41">
        <v>1.04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45</v>
      </c>
      <c r="U52" s="46">
        <f t="shared" si="20"/>
        <v>0</v>
      </c>
      <c r="V52" s="47">
        <f t="shared" si="21"/>
        <v>4.0000000000000036E-2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HLOOKUP(I52,GasAvoidedCostsWOCC!$A$5:$G$50,G52+1,FALSE)</f>
        <v>37.569941081056932</v>
      </c>
      <c r="AG52" s="43">
        <f t="shared" si="31"/>
        <v>0</v>
      </c>
      <c r="AH52" s="51">
        <f>HLOOKUP(I52,GasAvoidedCostsWOCC!$A$5:$Q$50,T52+1,FALSE)</f>
        <v>37.569941081056932</v>
      </c>
      <c r="AI52" s="43">
        <f t="shared" si="32"/>
        <v>0</v>
      </c>
      <c r="AJ52" s="43">
        <f t="shared" si="33"/>
        <v>0</v>
      </c>
      <c r="AK52" s="43">
        <f>HLOOKUP(I52,GasAvoidedCostsWOCC!$A$5:$Q$50,G52+1,FALSE)*J52*L52</f>
        <v>0</v>
      </c>
      <c r="AL52" s="43">
        <f t="shared" si="34"/>
        <v>0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1430</v>
      </c>
      <c r="F53" s="38" t="s">
        <v>1385</v>
      </c>
      <c r="G53" s="38">
        <v>45</v>
      </c>
      <c r="H53" s="38">
        <v>0</v>
      </c>
      <c r="I53" s="39" t="s">
        <v>273</v>
      </c>
      <c r="J53" s="40">
        <v>0</v>
      </c>
      <c r="K53" s="40">
        <v>0.06</v>
      </c>
      <c r="L53" s="40">
        <v>0</v>
      </c>
      <c r="M53" s="41">
        <v>1</v>
      </c>
      <c r="N53" s="41">
        <v>1.35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45</v>
      </c>
      <c r="U53" s="46">
        <f t="shared" si="20"/>
        <v>0</v>
      </c>
      <c r="V53" s="47">
        <f t="shared" si="21"/>
        <v>0.35000000000000009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HLOOKUP(I53,GasAvoidedCostsWOCC!$A$5:$G$50,G53+1,FALSE)</f>
        <v>37.569941081056932</v>
      </c>
      <c r="AG53" s="43">
        <f t="shared" si="31"/>
        <v>0</v>
      </c>
      <c r="AH53" s="51">
        <f>HLOOKUP(I53,GasAvoidedCostsWOCC!$A$5:$Q$50,T53+1,FALSE)</f>
        <v>37.569941081056932</v>
      </c>
      <c r="AI53" s="43">
        <f t="shared" si="32"/>
        <v>0</v>
      </c>
      <c r="AJ53" s="43">
        <f t="shared" si="33"/>
        <v>0</v>
      </c>
      <c r="AK53" s="43">
        <f>HLOOKUP(I53,GasAvoidedCostsWOCC!$A$5:$Q$50,G53+1,FALSE)*J53*L53</f>
        <v>0</v>
      </c>
      <c r="AL53" s="43">
        <f t="shared" si="34"/>
        <v>0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1431</v>
      </c>
      <c r="F54" s="38" t="s">
        <v>657</v>
      </c>
      <c r="G54" s="38">
        <v>45</v>
      </c>
      <c r="H54" s="38">
        <v>0</v>
      </c>
      <c r="I54" s="39" t="s">
        <v>273</v>
      </c>
      <c r="J54" s="40">
        <v>0</v>
      </c>
      <c r="K54" s="40">
        <v>0.1</v>
      </c>
      <c r="L54" s="40">
        <v>0</v>
      </c>
      <c r="M54" s="41">
        <v>1</v>
      </c>
      <c r="N54" s="41">
        <v>1.25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45</v>
      </c>
      <c r="U54" s="46">
        <f t="shared" si="20"/>
        <v>0</v>
      </c>
      <c r="V54" s="47">
        <f t="shared" si="21"/>
        <v>0.25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HLOOKUP(I54,GasAvoidedCostsWOCC!$A$5:$G$50,G54+1,FALSE)</f>
        <v>37.569941081056932</v>
      </c>
      <c r="AG54" s="43">
        <f t="shared" si="31"/>
        <v>0</v>
      </c>
      <c r="AH54" s="51">
        <f>HLOOKUP(I54,GasAvoidedCostsWOCC!$A$5:$Q$50,T54+1,FALSE)</f>
        <v>37.569941081056932</v>
      </c>
      <c r="AI54" s="43">
        <f t="shared" si="32"/>
        <v>0</v>
      </c>
      <c r="AJ54" s="43">
        <f t="shared" si="33"/>
        <v>0</v>
      </c>
      <c r="AK54" s="43">
        <f>HLOOKUP(I54,GasAvoidedCostsWOCC!$A$5:$Q$50,G54+1,FALSE)*J54*L54</f>
        <v>0</v>
      </c>
      <c r="AL54" s="43">
        <f t="shared" si="34"/>
        <v>0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1432</v>
      </c>
      <c r="F55" s="38" t="s">
        <v>681</v>
      </c>
      <c r="G55" s="38">
        <v>45</v>
      </c>
      <c r="H55" s="38">
        <v>0</v>
      </c>
      <c r="I55" s="39" t="s">
        <v>273</v>
      </c>
      <c r="J55" s="40">
        <v>0</v>
      </c>
      <c r="K55" s="40">
        <v>0.05</v>
      </c>
      <c r="L55" s="40">
        <v>0</v>
      </c>
      <c r="M55" s="41">
        <v>1</v>
      </c>
      <c r="N55" s="41">
        <v>1.34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45</v>
      </c>
      <c r="U55" s="46">
        <f t="shared" si="20"/>
        <v>0</v>
      </c>
      <c r="V55" s="47">
        <f t="shared" si="21"/>
        <v>0.34000000000000008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HLOOKUP(I55,GasAvoidedCostsWOCC!$A$5:$G$50,G55+1,FALSE)</f>
        <v>37.569941081056932</v>
      </c>
      <c r="AG55" s="43">
        <f t="shared" si="31"/>
        <v>0</v>
      </c>
      <c r="AH55" s="51">
        <f>HLOOKUP(I55,GasAvoidedCostsWOCC!$A$5:$Q$50,T55+1,FALSE)</f>
        <v>37.569941081056932</v>
      </c>
      <c r="AI55" s="43">
        <f t="shared" si="32"/>
        <v>0</v>
      </c>
      <c r="AJ55" s="43">
        <f t="shared" si="33"/>
        <v>0</v>
      </c>
      <c r="AK55" s="43">
        <f>HLOOKUP(I55,GasAvoidedCostsWOCC!$A$5:$Q$50,G55+1,FALSE)*J55*L55</f>
        <v>0</v>
      </c>
      <c r="AL55" s="43">
        <f t="shared" si="34"/>
        <v>0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1433</v>
      </c>
      <c r="F56" s="38" t="s">
        <v>1392</v>
      </c>
      <c r="G56" s="38">
        <v>45</v>
      </c>
      <c r="H56" s="38">
        <v>0</v>
      </c>
      <c r="I56" s="39" t="s">
        <v>273</v>
      </c>
      <c r="J56" s="40">
        <v>0</v>
      </c>
      <c r="K56" s="40">
        <v>0.01</v>
      </c>
      <c r="L56" s="40">
        <v>0</v>
      </c>
      <c r="M56" s="41">
        <v>0.5</v>
      </c>
      <c r="N56" s="41">
        <v>0.83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45</v>
      </c>
      <c r="U56" s="46">
        <f t="shared" si="20"/>
        <v>0</v>
      </c>
      <c r="V56" s="47">
        <f t="shared" si="21"/>
        <v>0.32999999999999996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HLOOKUP(I56,GasAvoidedCostsWOCC!$A$5:$G$50,G56+1,FALSE)</f>
        <v>37.569941081056932</v>
      </c>
      <c r="AG56" s="43">
        <f t="shared" si="31"/>
        <v>0</v>
      </c>
      <c r="AH56" s="51">
        <f>HLOOKUP(I56,GasAvoidedCostsWOCC!$A$5:$Q$50,T56+1,FALSE)</f>
        <v>37.569941081056932</v>
      </c>
      <c r="AI56" s="43">
        <f t="shared" si="32"/>
        <v>0</v>
      </c>
      <c r="AJ56" s="43">
        <f t="shared" si="33"/>
        <v>0</v>
      </c>
      <c r="AK56" s="43">
        <f>HLOOKUP(I56,GasAvoidedCostsWOCC!$A$5:$Q$50,G56+1,FALSE)*J56*L56</f>
        <v>0</v>
      </c>
      <c r="AL56" s="43">
        <f t="shared" si="34"/>
        <v>0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 t="s">
        <v>1434</v>
      </c>
      <c r="F57" s="38" t="s">
        <v>669</v>
      </c>
      <c r="G57" s="38">
        <v>45</v>
      </c>
      <c r="H57" s="38">
        <v>0</v>
      </c>
      <c r="I57" s="39" t="s">
        <v>273</v>
      </c>
      <c r="J57" s="40">
        <v>0</v>
      </c>
      <c r="K57" s="40">
        <v>1.1499999999999999</v>
      </c>
      <c r="L57" s="40">
        <v>0</v>
      </c>
      <c r="M57" s="41">
        <v>20</v>
      </c>
      <c r="N57" s="41">
        <v>24.7</v>
      </c>
      <c r="O57" s="42">
        <v>0</v>
      </c>
      <c r="P57" s="43">
        <v>0</v>
      </c>
      <c r="Q57" s="43">
        <v>0</v>
      </c>
      <c r="R57" s="44">
        <v>0</v>
      </c>
      <c r="S57" s="45"/>
      <c r="T57" s="38">
        <f t="shared" si="19"/>
        <v>45</v>
      </c>
      <c r="U57" s="46">
        <f t="shared" si="20"/>
        <v>0</v>
      </c>
      <c r="V57" s="47">
        <f t="shared" si="21"/>
        <v>4.6999999999999993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HLOOKUP(I57,GasAvoidedCostsWOCC!$A$5:$G$50,G57+1,FALSE)</f>
        <v>37.569941081056932</v>
      </c>
      <c r="AG57" s="43">
        <f t="shared" si="31"/>
        <v>0</v>
      </c>
      <c r="AH57" s="51">
        <f>HLOOKUP(I57,GasAvoidedCostsWOCC!$A$5:$Q$50,T57+1,FALSE)</f>
        <v>37.569941081056932</v>
      </c>
      <c r="AI57" s="43">
        <f t="shared" si="32"/>
        <v>0</v>
      </c>
      <c r="AJ57" s="43">
        <f t="shared" si="33"/>
        <v>0</v>
      </c>
      <c r="AK57" s="43">
        <f>HLOOKUP(I57,GasAvoidedCostsWOCC!$A$5:$Q$50,G57+1,FALSE)*J57*L57</f>
        <v>0</v>
      </c>
      <c r="AL57" s="43">
        <f t="shared" si="34"/>
        <v>0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 t="s">
        <v>1435</v>
      </c>
      <c r="F58" s="38" t="s">
        <v>1395</v>
      </c>
      <c r="G58" s="38">
        <v>45</v>
      </c>
      <c r="H58" s="38">
        <v>0</v>
      </c>
      <c r="I58" s="39" t="s">
        <v>273</v>
      </c>
      <c r="J58" s="40">
        <v>0</v>
      </c>
      <c r="K58" s="40">
        <v>1.27</v>
      </c>
      <c r="L58" s="40">
        <v>0</v>
      </c>
      <c r="M58" s="41">
        <v>30</v>
      </c>
      <c r="N58" s="41">
        <v>28.6</v>
      </c>
      <c r="O58" s="42">
        <v>0</v>
      </c>
      <c r="P58" s="43">
        <v>0</v>
      </c>
      <c r="Q58" s="43">
        <v>0</v>
      </c>
      <c r="R58" s="44">
        <v>0</v>
      </c>
      <c r="S58" s="45"/>
      <c r="T58" s="38">
        <f t="shared" si="19"/>
        <v>45</v>
      </c>
      <c r="U58" s="46">
        <f t="shared" si="20"/>
        <v>0</v>
      </c>
      <c r="V58" s="47">
        <f t="shared" si="21"/>
        <v>-1.3999999999999986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HLOOKUP(I58,GasAvoidedCostsWOCC!$A$5:$G$50,G58+1,FALSE)</f>
        <v>37.569941081056932</v>
      </c>
      <c r="AG58" s="43">
        <f t="shared" si="31"/>
        <v>0</v>
      </c>
      <c r="AH58" s="51">
        <f>HLOOKUP(I58,GasAvoidedCostsWOCC!$A$5:$Q$50,T58+1,FALSE)</f>
        <v>37.569941081056932</v>
      </c>
      <c r="AI58" s="43">
        <f t="shared" si="32"/>
        <v>0</v>
      </c>
      <c r="AJ58" s="43">
        <f t="shared" si="33"/>
        <v>0</v>
      </c>
      <c r="AK58" s="43">
        <f>HLOOKUP(I58,GasAvoidedCostsWOCC!$A$5:$Q$50,G58+1,FALSE)*J58*L58</f>
        <v>0</v>
      </c>
      <c r="AL58" s="43">
        <f t="shared" si="34"/>
        <v>0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 t="s">
        <v>1436</v>
      </c>
      <c r="F59" s="38" t="s">
        <v>1397</v>
      </c>
      <c r="G59" s="38">
        <v>45</v>
      </c>
      <c r="H59" s="38">
        <v>0</v>
      </c>
      <c r="I59" s="39" t="s">
        <v>273</v>
      </c>
      <c r="J59" s="40">
        <v>0</v>
      </c>
      <c r="K59" s="40">
        <v>0.62</v>
      </c>
      <c r="L59" s="40">
        <v>0</v>
      </c>
      <c r="M59" s="41">
        <v>10</v>
      </c>
      <c r="N59" s="41">
        <v>24.7</v>
      </c>
      <c r="O59" s="42">
        <v>0</v>
      </c>
      <c r="P59" s="43">
        <v>0</v>
      </c>
      <c r="Q59" s="43">
        <v>0</v>
      </c>
      <c r="R59" s="44">
        <v>0</v>
      </c>
      <c r="S59" s="45"/>
      <c r="T59" s="38">
        <f t="shared" si="19"/>
        <v>45</v>
      </c>
      <c r="U59" s="46">
        <f t="shared" si="20"/>
        <v>0</v>
      </c>
      <c r="V59" s="47">
        <f t="shared" si="21"/>
        <v>14.7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HLOOKUP(I59,GasAvoidedCostsWOCC!$A$5:$G$50,G59+1,FALSE)</f>
        <v>37.569941081056932</v>
      </c>
      <c r="AG59" s="43">
        <f t="shared" si="31"/>
        <v>0</v>
      </c>
      <c r="AH59" s="51">
        <f>HLOOKUP(I59,GasAvoidedCostsWOCC!$A$5:$Q$50,T59+1,FALSE)</f>
        <v>37.569941081056932</v>
      </c>
      <c r="AI59" s="43">
        <f t="shared" si="32"/>
        <v>0</v>
      </c>
      <c r="AJ59" s="43">
        <f t="shared" si="33"/>
        <v>0</v>
      </c>
      <c r="AK59" s="43">
        <f>HLOOKUP(I59,GasAvoidedCostsWOCC!$A$5:$Q$50,G59+1,FALSE)*J59*L59</f>
        <v>0</v>
      </c>
      <c r="AL59" s="43">
        <f t="shared" si="34"/>
        <v>0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 t="s">
        <v>1437</v>
      </c>
      <c r="F60" s="38" t="s">
        <v>1399</v>
      </c>
      <c r="G60" s="38">
        <v>45</v>
      </c>
      <c r="H60" s="38">
        <v>0</v>
      </c>
      <c r="I60" s="39" t="s">
        <v>273</v>
      </c>
      <c r="J60" s="40">
        <v>0</v>
      </c>
      <c r="K60" s="40">
        <v>0.75</v>
      </c>
      <c r="L60" s="40">
        <v>0</v>
      </c>
      <c r="M60" s="41">
        <v>15</v>
      </c>
      <c r="N60" s="41">
        <v>28.6</v>
      </c>
      <c r="O60" s="42">
        <v>0</v>
      </c>
      <c r="P60" s="43">
        <v>0</v>
      </c>
      <c r="Q60" s="43">
        <v>0</v>
      </c>
      <c r="R60" s="44">
        <v>0</v>
      </c>
      <c r="S60" s="45"/>
      <c r="T60" s="38">
        <f t="shared" si="19"/>
        <v>45</v>
      </c>
      <c r="U60" s="46">
        <f t="shared" si="20"/>
        <v>0</v>
      </c>
      <c r="V60" s="47">
        <f t="shared" si="21"/>
        <v>13.600000000000001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HLOOKUP(I60,GasAvoidedCostsWOCC!$A$5:$G$50,G60+1,FALSE)</f>
        <v>37.569941081056932</v>
      </c>
      <c r="AG60" s="43">
        <f t="shared" si="31"/>
        <v>0</v>
      </c>
      <c r="AH60" s="51">
        <f>HLOOKUP(I60,GasAvoidedCostsWOCC!$A$5:$Q$50,T60+1,FALSE)</f>
        <v>37.569941081056932</v>
      </c>
      <c r="AI60" s="43">
        <f t="shared" si="32"/>
        <v>0</v>
      </c>
      <c r="AJ60" s="43">
        <f t="shared" si="33"/>
        <v>0</v>
      </c>
      <c r="AK60" s="43">
        <f>HLOOKUP(I60,GasAvoidedCostsWOCC!$A$5:$Q$50,G60+1,FALSE)*J60*L60</f>
        <v>0</v>
      </c>
      <c r="AL60" s="43">
        <f t="shared" si="34"/>
        <v>0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 t="s">
        <v>1438</v>
      </c>
      <c r="F61" s="38" t="s">
        <v>1401</v>
      </c>
      <c r="G61" s="38">
        <v>45</v>
      </c>
      <c r="H61" s="38">
        <v>0</v>
      </c>
      <c r="I61" s="39" t="s">
        <v>273</v>
      </c>
      <c r="J61" s="40">
        <v>0</v>
      </c>
      <c r="K61" s="40">
        <v>0.13</v>
      </c>
      <c r="L61" s="40">
        <v>0</v>
      </c>
      <c r="M61" s="41">
        <v>3</v>
      </c>
      <c r="N61" s="41">
        <v>3.9</v>
      </c>
      <c r="O61" s="42">
        <v>0</v>
      </c>
      <c r="P61" s="43">
        <v>0</v>
      </c>
      <c r="Q61" s="43">
        <v>0</v>
      </c>
      <c r="R61" s="44">
        <v>0</v>
      </c>
      <c r="S61" s="45"/>
      <c r="T61" s="38">
        <f t="shared" si="19"/>
        <v>45</v>
      </c>
      <c r="U61" s="46">
        <f t="shared" si="20"/>
        <v>0</v>
      </c>
      <c r="V61" s="47">
        <f t="shared" si="21"/>
        <v>0.89999999999999991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HLOOKUP(I61,GasAvoidedCostsWOCC!$A$5:$G$50,G61+1,FALSE)</f>
        <v>37.569941081056932</v>
      </c>
      <c r="AG61" s="43">
        <f t="shared" si="31"/>
        <v>0</v>
      </c>
      <c r="AH61" s="51">
        <f>HLOOKUP(I61,GasAvoidedCostsWOCC!$A$5:$Q$50,T61+1,FALSE)</f>
        <v>37.569941081056932</v>
      </c>
      <c r="AI61" s="43">
        <f t="shared" si="32"/>
        <v>0</v>
      </c>
      <c r="AJ61" s="43">
        <f t="shared" si="33"/>
        <v>0</v>
      </c>
      <c r="AK61" s="43">
        <f>HLOOKUP(I61,GasAvoidedCostsWOCC!$A$5:$Q$50,G61+1,FALSE)*J61*L61</f>
        <v>0</v>
      </c>
      <c r="AL61" s="43">
        <f t="shared" si="34"/>
        <v>0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 t="s">
        <v>1439</v>
      </c>
      <c r="F62" s="38" t="s">
        <v>1402</v>
      </c>
      <c r="G62" s="38">
        <v>45</v>
      </c>
      <c r="H62" s="38">
        <v>0</v>
      </c>
      <c r="I62" s="39" t="s">
        <v>273</v>
      </c>
      <c r="J62" s="40">
        <v>0</v>
      </c>
      <c r="K62" s="40">
        <v>1.1499999999999999</v>
      </c>
      <c r="L62" s="40">
        <v>0</v>
      </c>
      <c r="M62" s="41">
        <v>25</v>
      </c>
      <c r="N62" s="41">
        <v>24.7</v>
      </c>
      <c r="O62" s="42">
        <v>0</v>
      </c>
      <c r="P62" s="43">
        <v>0</v>
      </c>
      <c r="Q62" s="43">
        <v>0</v>
      </c>
      <c r="R62" s="44">
        <v>0</v>
      </c>
      <c r="S62" s="45"/>
      <c r="T62" s="38">
        <f t="shared" si="19"/>
        <v>45</v>
      </c>
      <c r="U62" s="46">
        <f t="shared" si="20"/>
        <v>0</v>
      </c>
      <c r="V62" s="47">
        <f t="shared" si="21"/>
        <v>-0.30000000000000071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HLOOKUP(I62,GasAvoidedCostsWOCC!$A$5:$G$50,G62+1,FALSE)</f>
        <v>37.569941081056932</v>
      </c>
      <c r="AG62" s="43">
        <f t="shared" si="31"/>
        <v>0</v>
      </c>
      <c r="AH62" s="51">
        <f>HLOOKUP(I62,GasAvoidedCostsWOCC!$A$5:$Q$50,T62+1,FALSE)</f>
        <v>37.569941081056932</v>
      </c>
      <c r="AI62" s="43">
        <f t="shared" si="32"/>
        <v>0</v>
      </c>
      <c r="AJ62" s="43">
        <f t="shared" si="33"/>
        <v>0</v>
      </c>
      <c r="AK62" s="43">
        <f>HLOOKUP(I62,GasAvoidedCostsWOCC!$A$5:$Q$50,G62+1,FALSE)*J62*L62</f>
        <v>0</v>
      </c>
      <c r="AL62" s="43">
        <f t="shared" si="34"/>
        <v>0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 t="s">
        <v>1440</v>
      </c>
      <c r="F63" s="38" t="s">
        <v>1403</v>
      </c>
      <c r="G63" s="38">
        <v>45</v>
      </c>
      <c r="H63" s="38">
        <v>0</v>
      </c>
      <c r="I63" s="39" t="s">
        <v>273</v>
      </c>
      <c r="J63" s="40">
        <v>0</v>
      </c>
      <c r="K63" s="40">
        <v>1.27</v>
      </c>
      <c r="L63" s="40">
        <v>0</v>
      </c>
      <c r="M63" s="41">
        <v>35</v>
      </c>
      <c r="N63" s="41">
        <v>28.6</v>
      </c>
      <c r="O63" s="42">
        <v>0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0</v>
      </c>
      <c r="V63" s="47">
        <f t="shared" si="21"/>
        <v>-6.3999999999999986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HLOOKUP(I63,GasAvoidedCostsWOCC!$A$5:$G$50,G63+1,FALSE)</f>
        <v>37.569941081056932</v>
      </c>
      <c r="AG63" s="43">
        <f t="shared" si="31"/>
        <v>0</v>
      </c>
      <c r="AH63" s="51">
        <f>HLOOKUP(I63,GasAvoidedCostsWOCC!$A$5:$Q$50,T63+1,FALSE)</f>
        <v>37.569941081056932</v>
      </c>
      <c r="AI63" s="43">
        <f t="shared" si="32"/>
        <v>0</v>
      </c>
      <c r="AJ63" s="43">
        <f t="shared" si="33"/>
        <v>0</v>
      </c>
      <c r="AK63" s="43">
        <f>HLOOKUP(I63,GasAvoidedCostsWOCC!$A$5:$Q$50,G63+1,FALSE)*J63*L63</f>
        <v>0</v>
      </c>
      <c r="AL63" s="43">
        <f t="shared" si="34"/>
        <v>0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 t="s">
        <v>1441</v>
      </c>
      <c r="F64" s="38" t="s">
        <v>1404</v>
      </c>
      <c r="G64" s="38">
        <v>45</v>
      </c>
      <c r="H64" s="38">
        <v>0</v>
      </c>
      <c r="I64" s="39" t="s">
        <v>273</v>
      </c>
      <c r="J64" s="40">
        <v>0</v>
      </c>
      <c r="K64" s="40">
        <v>0.62</v>
      </c>
      <c r="L64" s="40">
        <v>0</v>
      </c>
      <c r="M64" s="41">
        <v>15</v>
      </c>
      <c r="N64" s="41">
        <v>24.7</v>
      </c>
      <c r="O64" s="42">
        <v>0</v>
      </c>
      <c r="P64" s="43">
        <v>0</v>
      </c>
      <c r="Q64" s="43">
        <v>0</v>
      </c>
      <c r="R64" s="44">
        <v>0</v>
      </c>
      <c r="S64" s="45"/>
      <c r="T64" s="38">
        <f t="shared" si="19"/>
        <v>45</v>
      </c>
      <c r="U64" s="46">
        <f t="shared" si="20"/>
        <v>0</v>
      </c>
      <c r="V64" s="47">
        <f t="shared" si="21"/>
        <v>9.6999999999999993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HLOOKUP(I64,GasAvoidedCostsWOCC!$A$5:$G$50,G64+1,FALSE)</f>
        <v>37.569941081056932</v>
      </c>
      <c r="AG64" s="43">
        <f t="shared" si="31"/>
        <v>0</v>
      </c>
      <c r="AH64" s="51">
        <f>HLOOKUP(I64,GasAvoidedCostsWOCC!$A$5:$Q$50,T64+1,FALSE)</f>
        <v>37.569941081056932</v>
      </c>
      <c r="AI64" s="43">
        <f t="shared" si="32"/>
        <v>0</v>
      </c>
      <c r="AJ64" s="43">
        <f t="shared" si="33"/>
        <v>0</v>
      </c>
      <c r="AK64" s="43">
        <f>HLOOKUP(I64,GasAvoidedCostsWOCC!$A$5:$Q$50,G64+1,FALSE)*J64*L64</f>
        <v>0</v>
      </c>
      <c r="AL64" s="43">
        <f t="shared" si="34"/>
        <v>0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 t="s">
        <v>1442</v>
      </c>
      <c r="F65" s="38" t="s">
        <v>1405</v>
      </c>
      <c r="G65" s="38">
        <v>45</v>
      </c>
      <c r="H65" s="38">
        <v>0</v>
      </c>
      <c r="I65" s="39" t="s">
        <v>273</v>
      </c>
      <c r="J65" s="40">
        <v>0</v>
      </c>
      <c r="K65" s="40">
        <v>0.75</v>
      </c>
      <c r="L65" s="40">
        <v>0</v>
      </c>
      <c r="M65" s="41">
        <v>20</v>
      </c>
      <c r="N65" s="41">
        <v>28.6</v>
      </c>
      <c r="O65" s="42">
        <v>0</v>
      </c>
      <c r="P65" s="43">
        <v>0</v>
      </c>
      <c r="Q65" s="43">
        <v>0</v>
      </c>
      <c r="R65" s="44">
        <v>0</v>
      </c>
      <c r="S65" s="45"/>
      <c r="T65" s="38">
        <f t="shared" si="19"/>
        <v>45</v>
      </c>
      <c r="U65" s="46">
        <f t="shared" si="20"/>
        <v>0</v>
      </c>
      <c r="V65" s="47">
        <f t="shared" si="21"/>
        <v>8.6000000000000014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HLOOKUP(I65,GasAvoidedCostsWOCC!$A$5:$G$50,G65+1,FALSE)</f>
        <v>37.569941081056932</v>
      </c>
      <c r="AG65" s="43">
        <f t="shared" si="31"/>
        <v>0</v>
      </c>
      <c r="AH65" s="51">
        <f>HLOOKUP(I65,GasAvoidedCostsWOCC!$A$5:$Q$50,T65+1,FALSE)</f>
        <v>37.569941081056932</v>
      </c>
      <c r="AI65" s="43">
        <f t="shared" si="32"/>
        <v>0</v>
      </c>
      <c r="AJ65" s="43">
        <f t="shared" si="33"/>
        <v>0</v>
      </c>
      <c r="AK65" s="43">
        <f>HLOOKUP(I65,GasAvoidedCostsWOCC!$A$5:$Q$50,G65+1,FALSE)*J65*L65</f>
        <v>0</v>
      </c>
      <c r="AL65" s="43">
        <f t="shared" si="34"/>
        <v>0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 t="s">
        <v>1443</v>
      </c>
      <c r="F66" s="38" t="s">
        <v>1406</v>
      </c>
      <c r="G66" s="38">
        <v>45</v>
      </c>
      <c r="H66" s="38">
        <v>0</v>
      </c>
      <c r="I66" s="39" t="s">
        <v>273</v>
      </c>
      <c r="J66" s="40">
        <v>0</v>
      </c>
      <c r="K66" s="40">
        <v>0.13</v>
      </c>
      <c r="L66" s="40">
        <v>0</v>
      </c>
      <c r="M66" s="41">
        <v>6</v>
      </c>
      <c r="N66" s="41">
        <v>3.9</v>
      </c>
      <c r="O66" s="42">
        <v>0</v>
      </c>
      <c r="P66" s="43">
        <v>0</v>
      </c>
      <c r="Q66" s="43">
        <v>0</v>
      </c>
      <c r="R66" s="44">
        <v>0</v>
      </c>
      <c r="S66" s="45"/>
      <c r="T66" s="38">
        <f t="shared" si="19"/>
        <v>45</v>
      </c>
      <c r="U66" s="46">
        <f t="shared" si="20"/>
        <v>0</v>
      </c>
      <c r="V66" s="47">
        <f t="shared" si="21"/>
        <v>-2.1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HLOOKUP(I66,GasAvoidedCostsWOCC!$A$5:$G$50,G66+1,FALSE)</f>
        <v>37.569941081056932</v>
      </c>
      <c r="AG66" s="43">
        <f t="shared" si="31"/>
        <v>0</v>
      </c>
      <c r="AH66" s="51">
        <f>HLOOKUP(I66,GasAvoidedCostsWOCC!$A$5:$Q$50,T66+1,FALSE)</f>
        <v>37.569941081056932</v>
      </c>
      <c r="AI66" s="43">
        <f t="shared" si="32"/>
        <v>0</v>
      </c>
      <c r="AJ66" s="43">
        <f t="shared" si="33"/>
        <v>0</v>
      </c>
      <c r="AK66" s="43">
        <f>HLOOKUP(I66,GasAvoidedCostsWOCC!$A$5:$Q$50,G66+1,FALSE)*J66*L66</f>
        <v>0</v>
      </c>
      <c r="AL66" s="43">
        <f t="shared" si="34"/>
        <v>0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 t="s">
        <v>1444</v>
      </c>
      <c r="F67" s="38" t="s">
        <v>573</v>
      </c>
      <c r="G67" s="38">
        <v>20</v>
      </c>
      <c r="H67" s="38">
        <v>0</v>
      </c>
      <c r="I67" s="39" t="s">
        <v>269</v>
      </c>
      <c r="J67" s="40">
        <v>0</v>
      </c>
      <c r="K67" s="40">
        <v>60.69</v>
      </c>
      <c r="L67" s="40">
        <v>0</v>
      </c>
      <c r="M67" s="41">
        <v>650</v>
      </c>
      <c r="N67" s="41">
        <v>665.13</v>
      </c>
      <c r="O67" s="42">
        <v>0</v>
      </c>
      <c r="P67" s="43">
        <v>0</v>
      </c>
      <c r="Q67" s="43">
        <v>0</v>
      </c>
      <c r="R67" s="44">
        <v>16.214700000000001</v>
      </c>
      <c r="S67" s="45"/>
      <c r="T67" s="38">
        <f t="shared" si="19"/>
        <v>20</v>
      </c>
      <c r="U67" s="46">
        <f t="shared" si="20"/>
        <v>0</v>
      </c>
      <c r="V67" s="47">
        <f t="shared" si="21"/>
        <v>15.129999999999995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HLOOKUP(I67,GasAvoidedCostsWOCC!$A$5:$G$50,G67+1,FALSE)</f>
        <v>18.71534547322053</v>
      </c>
      <c r="AG67" s="43">
        <f t="shared" si="31"/>
        <v>0</v>
      </c>
      <c r="AH67" s="51">
        <f>HLOOKUP(I67,GasAvoidedCostsWOCC!$A$5:$Q$50,T67+1,FALSE)</f>
        <v>18.71534547322053</v>
      </c>
      <c r="AI67" s="43">
        <f t="shared" si="32"/>
        <v>0</v>
      </c>
      <c r="AJ67" s="43">
        <f t="shared" si="33"/>
        <v>0</v>
      </c>
      <c r="AK67" s="43">
        <f>HLOOKUP(I67,GasAvoidedCostsWOCC!$A$5:$Q$50,G67+1,FALSE)*J67*L67</f>
        <v>0</v>
      </c>
      <c r="AL67" s="43">
        <f t="shared" si="34"/>
        <v>0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 t="s">
        <v>1445</v>
      </c>
      <c r="F68" s="38" t="s">
        <v>686</v>
      </c>
      <c r="G68" s="38">
        <v>20</v>
      </c>
      <c r="H68" s="38">
        <v>0</v>
      </c>
      <c r="I68" s="39" t="s">
        <v>269</v>
      </c>
      <c r="J68" s="40">
        <v>0</v>
      </c>
      <c r="K68" s="40">
        <v>60.69</v>
      </c>
      <c r="L68" s="40">
        <v>0</v>
      </c>
      <c r="M68" s="41">
        <v>250</v>
      </c>
      <c r="N68" s="41">
        <v>665.13</v>
      </c>
      <c r="O68" s="42">
        <v>0</v>
      </c>
      <c r="P68" s="43">
        <v>0</v>
      </c>
      <c r="Q68" s="43">
        <v>0</v>
      </c>
      <c r="R68" s="44">
        <v>16.214700000000001</v>
      </c>
      <c r="S68" s="45"/>
      <c r="T68" s="38">
        <f t="shared" si="19"/>
        <v>20</v>
      </c>
      <c r="U68" s="46">
        <f t="shared" si="20"/>
        <v>0</v>
      </c>
      <c r="V68" s="47">
        <f t="shared" si="21"/>
        <v>415.13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HLOOKUP(I68,GasAvoidedCostsWOCC!$A$5:$G$50,G68+1,FALSE)</f>
        <v>18.71534547322053</v>
      </c>
      <c r="AG68" s="43">
        <f t="shared" si="31"/>
        <v>0</v>
      </c>
      <c r="AH68" s="51">
        <f>HLOOKUP(I68,GasAvoidedCostsWOCC!$A$5:$Q$50,T68+1,FALSE)</f>
        <v>18.71534547322053</v>
      </c>
      <c r="AI68" s="43">
        <f t="shared" si="32"/>
        <v>0</v>
      </c>
      <c r="AJ68" s="43">
        <f t="shared" si="33"/>
        <v>0</v>
      </c>
      <c r="AK68" s="43">
        <f>HLOOKUP(I68,GasAvoidedCostsWOCC!$A$5:$Q$50,G68+1,FALSE)*J68*L68</f>
        <v>0</v>
      </c>
      <c r="AL68" s="43">
        <f t="shared" si="34"/>
        <v>0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 t="s">
        <v>1446</v>
      </c>
      <c r="F69" s="38" t="s">
        <v>1315</v>
      </c>
      <c r="G69" s="38">
        <v>13</v>
      </c>
      <c r="H69" s="38">
        <v>0</v>
      </c>
      <c r="I69" s="39" t="s">
        <v>269</v>
      </c>
      <c r="J69" s="40">
        <v>0</v>
      </c>
      <c r="K69" s="40">
        <v>15.05</v>
      </c>
      <c r="L69" s="40">
        <v>0</v>
      </c>
      <c r="M69" s="41">
        <v>50</v>
      </c>
      <c r="N69" s="41">
        <v>134.81</v>
      </c>
      <c r="O69" s="42">
        <v>0</v>
      </c>
      <c r="P69" s="43">
        <v>0</v>
      </c>
      <c r="Q69" s="43">
        <v>0</v>
      </c>
      <c r="R69" s="44">
        <v>6.8742999999999999</v>
      </c>
      <c r="S69" s="45"/>
      <c r="T69" s="38">
        <f t="shared" si="19"/>
        <v>13</v>
      </c>
      <c r="U69" s="46">
        <f t="shared" si="20"/>
        <v>0</v>
      </c>
      <c r="V69" s="47">
        <f t="shared" si="21"/>
        <v>84.81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HLOOKUP(I69,GasAvoidedCostsWOCC!$A$5:$G$50,G69+1,FALSE)</f>
        <v>13.232715973047561</v>
      </c>
      <c r="AG69" s="43">
        <f t="shared" si="31"/>
        <v>0</v>
      </c>
      <c r="AH69" s="51">
        <f>HLOOKUP(I69,GasAvoidedCostsWOCC!$A$5:$Q$50,T69+1,FALSE)</f>
        <v>13.232715973047561</v>
      </c>
      <c r="AI69" s="43">
        <f t="shared" si="32"/>
        <v>0</v>
      </c>
      <c r="AJ69" s="43">
        <f t="shared" si="33"/>
        <v>0</v>
      </c>
      <c r="AK69" s="43">
        <f>HLOOKUP(I69,GasAvoidedCostsWOCC!$A$5:$Q$50,G69+1,FALSE)*J69*L69</f>
        <v>0</v>
      </c>
      <c r="AL69" s="43">
        <f t="shared" si="34"/>
        <v>0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 t="s">
        <v>1447</v>
      </c>
      <c r="F70" s="38" t="s">
        <v>1317</v>
      </c>
      <c r="G70" s="38">
        <v>13</v>
      </c>
      <c r="H70" s="38">
        <v>0</v>
      </c>
      <c r="I70" s="39" t="s">
        <v>269</v>
      </c>
      <c r="J70" s="40">
        <v>0</v>
      </c>
      <c r="K70" s="40">
        <v>15.05</v>
      </c>
      <c r="L70" s="40">
        <v>0</v>
      </c>
      <c r="M70" s="41">
        <v>100</v>
      </c>
      <c r="N70" s="41">
        <v>134.81</v>
      </c>
      <c r="O70" s="42">
        <v>0</v>
      </c>
      <c r="P70" s="43">
        <v>0</v>
      </c>
      <c r="Q70" s="43">
        <v>0</v>
      </c>
      <c r="R70" s="44">
        <v>6.8742999999999999</v>
      </c>
      <c r="S70" s="45"/>
      <c r="T70" s="38">
        <f t="shared" ref="T70:T75" si="38">G70+H70</f>
        <v>13</v>
      </c>
      <c r="U70" s="46">
        <f t="shared" ref="U70:U75" si="39">(O70/$A$10)*T70</f>
        <v>0</v>
      </c>
      <c r="V70" s="47">
        <f t="shared" ref="V70:V75" si="40">N70-M70</f>
        <v>34.81</v>
      </c>
      <c r="W70" s="48">
        <f t="shared" ref="W70:W75" si="41">(O70/A$10)</f>
        <v>0</v>
      </c>
      <c r="X70" s="43">
        <f t="shared" ref="X70:X75" si="42">W70*A$8</f>
        <v>0</v>
      </c>
      <c r="Y70" s="43">
        <f t="shared" ref="Y70:Y75" si="43">Q70-P70</f>
        <v>0</v>
      </c>
      <c r="Z70" s="43">
        <f t="shared" ref="Z70:Z75" si="44">X70+(A$6*W70)</f>
        <v>0</v>
      </c>
      <c r="AA70" s="49">
        <f t="shared" ref="AA70:AA75" si="45">Q70+X70</f>
        <v>0</v>
      </c>
      <c r="AB70" s="50">
        <f t="shared" ref="AB70:AB75" si="46">Z70/(1+GasDiscountRate)^1</f>
        <v>0</v>
      </c>
      <c r="AC70" s="43">
        <f t="shared" ref="AC70:AC75" si="47">AA70/(1+GasDiscountRate)^1</f>
        <v>0</v>
      </c>
      <c r="AD70" s="43">
        <f t="shared" ref="AD70:AD75" si="48">-PV(GasDiscountRate,T70,R70)*J70</f>
        <v>0</v>
      </c>
      <c r="AE70" s="43">
        <f t="shared" ref="AE70:AE75" si="49">-PV(GasDiscountRate,T70,S70)*J70</f>
        <v>0</v>
      </c>
      <c r="AF70" s="51">
        <f>HLOOKUP(I70,GasAvoidedCostsWOCC!$A$5:$G$50,G70+1,FALSE)</f>
        <v>13.232715973047561</v>
      </c>
      <c r="AG70" s="43">
        <f t="shared" ref="AG70:AG75" si="50">AF70*J70*K70</f>
        <v>0</v>
      </c>
      <c r="AH70" s="51">
        <f>HLOOKUP(I70,GasAvoidedCostsWOCC!$A$5:$Q$50,T70+1,FALSE)</f>
        <v>13.232715973047561</v>
      </c>
      <c r="AI70" s="43">
        <f t="shared" ref="AI70:AI75" si="51">AH70*J70*L70</f>
        <v>0</v>
      </c>
      <c r="AJ70" s="43">
        <f t="shared" ref="AJ70:AJ75" si="52">AG70+AI70</f>
        <v>0</v>
      </c>
      <c r="AK70" s="43">
        <f>HLOOKUP(I70,GasAvoidedCostsWOCC!$A$5:$Q$50,G70+1,FALSE)*J70*L70</f>
        <v>0</v>
      </c>
      <c r="AL70" s="43">
        <f t="shared" ref="AL70:AL75" si="53">AG70+AI70-AK70</f>
        <v>0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ref="AN70:AN75" si="54">AM70*1.1+AD70+AE70</f>
        <v>0</v>
      </c>
      <c r="AO70" s="46">
        <f t="shared" ref="AO70:AO75" si="55">IFERROR(AM70/AB70,0)</f>
        <v>0</v>
      </c>
      <c r="AP70" s="46" t="e">
        <f t="shared" ref="AP70:AP75" si="56">AN70/AC70</f>
        <v>#DIV/0!</v>
      </c>
    </row>
    <row r="71" spans="2:42" x14ac:dyDescent="0.25">
      <c r="B71" s="36"/>
      <c r="C71" s="60"/>
      <c r="D71" s="60"/>
      <c r="E71" s="37" t="s">
        <v>1448</v>
      </c>
      <c r="F71" s="38" t="s">
        <v>589</v>
      </c>
      <c r="G71" s="38">
        <v>11</v>
      </c>
      <c r="H71" s="38">
        <v>0</v>
      </c>
      <c r="I71" s="39" t="s">
        <v>273</v>
      </c>
      <c r="J71" s="40">
        <v>0</v>
      </c>
      <c r="K71" s="40">
        <v>11.7</v>
      </c>
      <c r="L71" s="40">
        <v>0</v>
      </c>
      <c r="M71" s="41">
        <v>75</v>
      </c>
      <c r="N71" s="41">
        <v>165.03</v>
      </c>
      <c r="O71" s="42">
        <v>0</v>
      </c>
      <c r="P71" s="43">
        <v>0</v>
      </c>
      <c r="Q71" s="43">
        <v>0</v>
      </c>
      <c r="R71" s="44">
        <v>0</v>
      </c>
      <c r="S71" s="45"/>
      <c r="T71" s="38">
        <f t="shared" si="38"/>
        <v>11</v>
      </c>
      <c r="U71" s="46">
        <f t="shared" si="39"/>
        <v>0</v>
      </c>
      <c r="V71" s="47">
        <f t="shared" si="40"/>
        <v>90.03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>
        <f>HLOOKUP(I71,GasAvoidedCostsWOCC!$A$5:$G$50,G71+1,FALSE)</f>
        <v>12.013301571999582</v>
      </c>
      <c r="AG71" s="43">
        <f t="shared" si="50"/>
        <v>0</v>
      </c>
      <c r="AH71" s="51">
        <f>HLOOKUP(I71,GasAvoidedCostsWOCC!$A$5:$Q$50,T71+1,FALSE)</f>
        <v>12.013301571999582</v>
      </c>
      <c r="AI71" s="43">
        <f t="shared" si="51"/>
        <v>0</v>
      </c>
      <c r="AJ71" s="43">
        <f t="shared" si="52"/>
        <v>0</v>
      </c>
      <c r="AK71" s="43">
        <f>HLOOKUP(I71,GasAvoidedCostsWOCC!$A$5:$Q$50,G71+1,FALSE)*J71*L71</f>
        <v>0</v>
      </c>
      <c r="AL71" s="43">
        <f t="shared" si="53"/>
        <v>0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 t="s">
        <v>1449</v>
      </c>
      <c r="F72" s="38" t="s">
        <v>590</v>
      </c>
      <c r="G72" s="38">
        <v>11</v>
      </c>
      <c r="H72" s="38">
        <v>0</v>
      </c>
      <c r="I72" s="39" t="s">
        <v>273</v>
      </c>
      <c r="J72" s="40">
        <v>0</v>
      </c>
      <c r="K72" s="40">
        <v>11.7</v>
      </c>
      <c r="L72" s="40">
        <v>0</v>
      </c>
      <c r="M72" s="41">
        <v>175</v>
      </c>
      <c r="N72" s="41">
        <v>152</v>
      </c>
      <c r="O72" s="42">
        <v>0</v>
      </c>
      <c r="P72" s="43">
        <v>0</v>
      </c>
      <c r="Q72" s="43">
        <v>0</v>
      </c>
      <c r="R72" s="44">
        <v>0</v>
      </c>
      <c r="S72" s="45"/>
      <c r="T72" s="38">
        <f t="shared" si="38"/>
        <v>11</v>
      </c>
      <c r="U72" s="46">
        <f t="shared" si="39"/>
        <v>0</v>
      </c>
      <c r="V72" s="47">
        <f t="shared" si="40"/>
        <v>-23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>
        <f>HLOOKUP(I72,GasAvoidedCostsWOCC!$A$5:$G$50,G72+1,FALSE)</f>
        <v>12.013301571999582</v>
      </c>
      <c r="AG72" s="43">
        <f t="shared" si="50"/>
        <v>0</v>
      </c>
      <c r="AH72" s="51">
        <f>HLOOKUP(I72,GasAvoidedCostsWOCC!$A$5:$Q$50,T72+1,FALSE)</f>
        <v>12.013301571999582</v>
      </c>
      <c r="AI72" s="43">
        <f t="shared" si="51"/>
        <v>0</v>
      </c>
      <c r="AJ72" s="43">
        <f t="shared" si="52"/>
        <v>0</v>
      </c>
      <c r="AK72" s="43">
        <f>HLOOKUP(I72,GasAvoidedCostsWOCC!$A$5:$Q$50,G72+1,FALSE)*J72*L72</f>
        <v>0</v>
      </c>
      <c r="AL72" s="43">
        <f t="shared" si="53"/>
        <v>0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 t="s">
        <v>1450</v>
      </c>
      <c r="F73" s="38" t="s">
        <v>1410</v>
      </c>
      <c r="G73" s="38">
        <v>11</v>
      </c>
      <c r="H73" s="38">
        <v>0</v>
      </c>
      <c r="I73" s="39" t="s">
        <v>273</v>
      </c>
      <c r="J73" s="40">
        <v>0</v>
      </c>
      <c r="K73" s="40">
        <v>11.7</v>
      </c>
      <c r="L73" s="40">
        <v>0</v>
      </c>
      <c r="M73" s="41">
        <v>150</v>
      </c>
      <c r="N73" s="41">
        <v>165.03</v>
      </c>
      <c r="O73" s="42">
        <v>0</v>
      </c>
      <c r="P73" s="43">
        <v>0</v>
      </c>
      <c r="Q73" s="43">
        <v>0</v>
      </c>
      <c r="R73" s="44">
        <v>0</v>
      </c>
      <c r="S73" s="45"/>
      <c r="T73" s="38">
        <f t="shared" si="38"/>
        <v>11</v>
      </c>
      <c r="U73" s="46">
        <f t="shared" si="39"/>
        <v>0</v>
      </c>
      <c r="V73" s="47">
        <f t="shared" si="40"/>
        <v>15.030000000000001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>
        <f>HLOOKUP(I73,GasAvoidedCostsWOCC!$A$5:$G$50,G73+1,FALSE)</f>
        <v>12.013301571999582</v>
      </c>
      <c r="AG73" s="43">
        <f t="shared" si="50"/>
        <v>0</v>
      </c>
      <c r="AH73" s="51">
        <f>HLOOKUP(I73,GasAvoidedCostsWOCC!$A$5:$Q$50,T73+1,FALSE)</f>
        <v>12.013301571999582</v>
      </c>
      <c r="AI73" s="43">
        <f t="shared" si="51"/>
        <v>0</v>
      </c>
      <c r="AJ73" s="43">
        <f t="shared" si="52"/>
        <v>0</v>
      </c>
      <c r="AK73" s="43">
        <f>HLOOKUP(I73,GasAvoidedCostsWOCC!$A$5:$Q$50,G73+1,FALSE)*J73*L73</f>
        <v>0</v>
      </c>
      <c r="AL73" s="43">
        <f t="shared" si="53"/>
        <v>0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 t="s">
        <v>1256</v>
      </c>
      <c r="F74" s="38" t="s">
        <v>1451</v>
      </c>
      <c r="G74" s="38">
        <v>13</v>
      </c>
      <c r="H74" s="38">
        <v>0</v>
      </c>
      <c r="I74" s="39" t="s">
        <v>269</v>
      </c>
      <c r="J74" s="40">
        <v>1700</v>
      </c>
      <c r="K74" s="40">
        <v>1</v>
      </c>
      <c r="L74" s="40">
        <v>0</v>
      </c>
      <c r="M74" s="41">
        <v>7</v>
      </c>
      <c r="N74" s="41">
        <v>10</v>
      </c>
      <c r="O74" s="42">
        <v>1700</v>
      </c>
      <c r="P74" s="43">
        <v>11900</v>
      </c>
      <c r="Q74" s="43">
        <v>17000</v>
      </c>
      <c r="R74" s="44">
        <v>0</v>
      </c>
      <c r="S74" s="45"/>
      <c r="T74" s="38">
        <f t="shared" si="38"/>
        <v>13</v>
      </c>
      <c r="U74" s="46">
        <f t="shared" si="39"/>
        <v>0.73543799492314843</v>
      </c>
      <c r="V74" s="47">
        <f t="shared" si="40"/>
        <v>3</v>
      </c>
      <c r="W74" s="48">
        <f t="shared" si="41"/>
        <v>5.65721534556268E-2</v>
      </c>
      <c r="X74" s="43">
        <f t="shared" si="42"/>
        <v>12770.00165057577</v>
      </c>
      <c r="Y74" s="43">
        <f t="shared" si="43"/>
        <v>5100</v>
      </c>
      <c r="Z74" s="43">
        <f t="shared" si="44"/>
        <v>32233.933907751449</v>
      </c>
      <c r="AA74" s="49">
        <f t="shared" si="45"/>
        <v>29770.00165057577</v>
      </c>
      <c r="AB74" s="50">
        <f t="shared" si="46"/>
        <v>30181.586055947049</v>
      </c>
      <c r="AC74" s="43">
        <f t="shared" si="47"/>
        <v>27874.533380688921</v>
      </c>
      <c r="AD74" s="43">
        <f t="shared" si="48"/>
        <v>0</v>
      </c>
      <c r="AE74" s="43">
        <f t="shared" si="49"/>
        <v>0</v>
      </c>
      <c r="AF74" s="51">
        <f>HLOOKUP(I74,GasAvoidedCostsWOCC!$A$5:$G$50,G74+1,FALSE)</f>
        <v>13.232715973047561</v>
      </c>
      <c r="AG74" s="43">
        <f t="shared" si="50"/>
        <v>22495.617154180854</v>
      </c>
      <c r="AH74" s="51">
        <f>HLOOKUP(I74,GasAvoidedCostsWOCC!$A$5:$Q$50,T74+1,FALSE)</f>
        <v>13.232715973047561</v>
      </c>
      <c r="AI74" s="43">
        <f t="shared" si="51"/>
        <v>0</v>
      </c>
      <c r="AJ74" s="43">
        <f t="shared" si="52"/>
        <v>22495.617154180854</v>
      </c>
      <c r="AK74" s="43">
        <f>HLOOKUP(I74,GasAvoidedCostsWOCC!$A$5:$Q$50,G74+1,FALSE)*J74*L74</f>
        <v>0</v>
      </c>
      <c r="AL74" s="43">
        <f t="shared" si="53"/>
        <v>22495.617154180854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22495.617154180854</v>
      </c>
      <c r="AN74" s="47">
        <f t="shared" si="54"/>
        <v>24745.178869598942</v>
      </c>
      <c r="AO74" s="46">
        <f t="shared" si="55"/>
        <v>0.7453424453069214</v>
      </c>
      <c r="AP74" s="46">
        <f t="shared" si="56"/>
        <v>0.88773428174198776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ref="T76:T139" si="57">G76+H76</f>
        <v>0</v>
      </c>
      <c r="U76" s="46">
        <f t="shared" ref="U76:U139" si="58">(O76/$A$10)*T76</f>
        <v>0</v>
      </c>
      <c r="V76" s="47">
        <f t="shared" ref="V76:V139" si="59">N76-M76</f>
        <v>0</v>
      </c>
      <c r="W76" s="48">
        <f t="shared" ref="W76:W139" si="60">(O76/A$10)</f>
        <v>0</v>
      </c>
      <c r="X76" s="43">
        <f t="shared" ref="X76:X139" si="61">W76*A$8</f>
        <v>0</v>
      </c>
      <c r="Y76" s="43">
        <f t="shared" ref="Y76:Y139" si="62">Q76-P76</f>
        <v>0</v>
      </c>
      <c r="Z76" s="43">
        <f t="shared" ref="Z76:Z139" si="63">X76+(A$6*W76)</f>
        <v>0</v>
      </c>
      <c r="AA76" s="49">
        <f t="shared" ref="AA76:AA139" si="64">Q76+X76</f>
        <v>0</v>
      </c>
      <c r="AB76" s="50">
        <f t="shared" ref="AB76:AB139" si="65">Z76/(1+GasDiscountRate)^1</f>
        <v>0</v>
      </c>
      <c r="AC76" s="43">
        <f t="shared" ref="AC76:AC139" si="66">AA76/(1+GasDiscountRate)^1</f>
        <v>0</v>
      </c>
      <c r="AD76" s="43">
        <f t="shared" ref="AD76:AD139" si="67">-PV(GasDiscountRate,T76,R76)*J76</f>
        <v>0</v>
      </c>
      <c r="AE76" s="43">
        <f t="shared" ref="AE76:AE139" si="68">-PV(GasDiscountRate,T76,S76)*J76</f>
        <v>0</v>
      </c>
      <c r="AF76" s="51" t="e">
        <f>HLOOKUP(I76,GasAvoidedCostsWOCC!$A$5:$G$50,G76+1,FALSE)</f>
        <v>#N/A</v>
      </c>
      <c r="AG76" s="43" t="e">
        <f t="shared" ref="AG76:AG139" si="69">AF76*J76*K76</f>
        <v>#N/A</v>
      </c>
      <c r="AH76" s="51" t="e">
        <f>HLOOKUP(I76,GasAvoidedCostsWOCC!$A$5:$Q$50,T76+1,FALSE)</f>
        <v>#N/A</v>
      </c>
      <c r="AI76" s="43" t="e">
        <f t="shared" ref="AI76:AI139" si="70">AH76*J76*L76</f>
        <v>#N/A</v>
      </c>
      <c r="AJ76" s="43" t="e">
        <f t="shared" ref="AJ76:AJ139" si="71">AG76+AI76</f>
        <v>#N/A</v>
      </c>
      <c r="AK76" s="43" t="e">
        <f>HLOOKUP(I76,GasAvoidedCostsWOCC!$A$5:$Q$50,G76+1,FALSE)*J76*L76</f>
        <v>#N/A</v>
      </c>
      <c r="AL76" s="43" t="e">
        <f t="shared" ref="AL76:AL139" si="72">AG76+AI76-AK76</f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ref="AN76:AN139" si="73">AM76*1.1+AD76+AE76</f>
        <v>0</v>
      </c>
      <c r="AO76" s="46">
        <f t="shared" ref="AO76:AO139" si="74">IFERROR(AM76/AB76,0)</f>
        <v>0</v>
      </c>
      <c r="AP76" s="46" t="e">
        <f t="shared" ref="AP76:AP139" si="75">AN76/AC76</f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7"/>
        <v>0</v>
      </c>
      <c r="U77" s="46">
        <f t="shared" si="58"/>
        <v>0</v>
      </c>
      <c r="V77" s="47">
        <f t="shared" si="59"/>
        <v>0</v>
      </c>
      <c r="W77" s="48">
        <f t="shared" si="60"/>
        <v>0</v>
      </c>
      <c r="X77" s="43">
        <f t="shared" si="61"/>
        <v>0</v>
      </c>
      <c r="Y77" s="43">
        <f t="shared" si="62"/>
        <v>0</v>
      </c>
      <c r="Z77" s="43">
        <f t="shared" si="63"/>
        <v>0</v>
      </c>
      <c r="AA77" s="49">
        <f t="shared" si="64"/>
        <v>0</v>
      </c>
      <c r="AB77" s="50">
        <f t="shared" si="65"/>
        <v>0</v>
      </c>
      <c r="AC77" s="43">
        <f t="shared" si="66"/>
        <v>0</v>
      </c>
      <c r="AD77" s="43">
        <f t="shared" si="67"/>
        <v>0</v>
      </c>
      <c r="AE77" s="43">
        <f t="shared" si="68"/>
        <v>0</v>
      </c>
      <c r="AF77" s="51" t="e">
        <f>HLOOKUP(I77,GasAvoidedCostsWOCC!$A$5:$G$50,G77+1,FALSE)</f>
        <v>#N/A</v>
      </c>
      <c r="AG77" s="43" t="e">
        <f t="shared" si="69"/>
        <v>#N/A</v>
      </c>
      <c r="AH77" s="51" t="e">
        <f>HLOOKUP(I77,GasAvoidedCostsWOCC!$A$5:$Q$50,T77+1,FALSE)</f>
        <v>#N/A</v>
      </c>
      <c r="AI77" s="43" t="e">
        <f t="shared" si="70"/>
        <v>#N/A</v>
      </c>
      <c r="AJ77" s="43" t="e">
        <f t="shared" si="71"/>
        <v>#N/A</v>
      </c>
      <c r="AK77" s="43" t="e">
        <f>HLOOKUP(I77,GasAvoidedCostsWOCC!$A$5:$Q$50,G77+1,FALSE)*J77*L77</f>
        <v>#N/A</v>
      </c>
      <c r="AL77" s="43" t="e">
        <f t="shared" si="72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73"/>
        <v>0</v>
      </c>
      <c r="AO77" s="46">
        <f t="shared" si="74"/>
        <v>0</v>
      </c>
      <c r="AP77" s="46" t="e">
        <f t="shared" si="7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7"/>
        <v>0</v>
      </c>
      <c r="U78" s="46">
        <f t="shared" si="58"/>
        <v>0</v>
      </c>
      <c r="V78" s="47">
        <f t="shared" si="59"/>
        <v>0</v>
      </c>
      <c r="W78" s="48">
        <f t="shared" si="60"/>
        <v>0</v>
      </c>
      <c r="X78" s="43">
        <f t="shared" si="61"/>
        <v>0</v>
      </c>
      <c r="Y78" s="43">
        <f t="shared" si="62"/>
        <v>0</v>
      </c>
      <c r="Z78" s="43">
        <f t="shared" si="63"/>
        <v>0</v>
      </c>
      <c r="AA78" s="49">
        <f t="shared" si="64"/>
        <v>0</v>
      </c>
      <c r="AB78" s="50">
        <f t="shared" si="65"/>
        <v>0</v>
      </c>
      <c r="AC78" s="43">
        <f t="shared" si="66"/>
        <v>0</v>
      </c>
      <c r="AD78" s="43">
        <f t="shared" si="67"/>
        <v>0</v>
      </c>
      <c r="AE78" s="43">
        <f t="shared" si="68"/>
        <v>0</v>
      </c>
      <c r="AF78" s="51" t="e">
        <f>HLOOKUP(I78,GasAvoidedCostsWOCC!$A$5:$G$50,G78+1,FALSE)</f>
        <v>#N/A</v>
      </c>
      <c r="AG78" s="43" t="e">
        <f t="shared" si="69"/>
        <v>#N/A</v>
      </c>
      <c r="AH78" s="51" t="e">
        <f>HLOOKUP(I78,GasAvoidedCostsWOCC!$A$5:$Q$50,T78+1,FALSE)</f>
        <v>#N/A</v>
      </c>
      <c r="AI78" s="43" t="e">
        <f t="shared" si="70"/>
        <v>#N/A</v>
      </c>
      <c r="AJ78" s="43" t="e">
        <f t="shared" si="71"/>
        <v>#N/A</v>
      </c>
      <c r="AK78" s="43" t="e">
        <f>HLOOKUP(I78,GasAvoidedCostsWOCC!$A$5:$Q$50,G78+1,FALSE)*J78*L78</f>
        <v>#N/A</v>
      </c>
      <c r="AL78" s="43" t="e">
        <f t="shared" si="72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73"/>
        <v>0</v>
      </c>
      <c r="AO78" s="46">
        <f t="shared" si="74"/>
        <v>0</v>
      </c>
      <c r="AP78" s="46" t="e">
        <f t="shared" si="7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7"/>
        <v>0</v>
      </c>
      <c r="U79" s="46">
        <f t="shared" si="58"/>
        <v>0</v>
      </c>
      <c r="V79" s="47">
        <f t="shared" si="59"/>
        <v>0</v>
      </c>
      <c r="W79" s="48">
        <f t="shared" si="60"/>
        <v>0</v>
      </c>
      <c r="X79" s="43">
        <f t="shared" si="61"/>
        <v>0</v>
      </c>
      <c r="Y79" s="43">
        <f t="shared" si="62"/>
        <v>0</v>
      </c>
      <c r="Z79" s="43">
        <f t="shared" si="63"/>
        <v>0</v>
      </c>
      <c r="AA79" s="49">
        <f t="shared" si="64"/>
        <v>0</v>
      </c>
      <c r="AB79" s="50">
        <f t="shared" si="65"/>
        <v>0</v>
      </c>
      <c r="AC79" s="43">
        <f t="shared" si="66"/>
        <v>0</v>
      </c>
      <c r="AD79" s="43">
        <f t="shared" si="67"/>
        <v>0</v>
      </c>
      <c r="AE79" s="43">
        <f t="shared" si="68"/>
        <v>0</v>
      </c>
      <c r="AF79" s="51" t="e">
        <f>HLOOKUP(I79,GasAvoidedCostsWOCC!$A$5:$G$50,G79+1,FALSE)</f>
        <v>#N/A</v>
      </c>
      <c r="AG79" s="43" t="e">
        <f t="shared" si="69"/>
        <v>#N/A</v>
      </c>
      <c r="AH79" s="51" t="e">
        <f>HLOOKUP(I79,GasAvoidedCostsWOCC!$A$5:$Q$50,T79+1,FALSE)</f>
        <v>#N/A</v>
      </c>
      <c r="AI79" s="43" t="e">
        <f t="shared" si="70"/>
        <v>#N/A</v>
      </c>
      <c r="AJ79" s="43" t="e">
        <f t="shared" si="71"/>
        <v>#N/A</v>
      </c>
      <c r="AK79" s="43" t="e">
        <f>HLOOKUP(I79,GasAvoidedCostsWOCC!$A$5:$Q$50,G79+1,FALSE)*J79*L79</f>
        <v>#N/A</v>
      </c>
      <c r="AL79" s="43" t="e">
        <f t="shared" si="72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73"/>
        <v>0</v>
      </c>
      <c r="AO79" s="46">
        <f t="shared" si="74"/>
        <v>0</v>
      </c>
      <c r="AP79" s="46" t="e">
        <f t="shared" si="7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7"/>
        <v>0</v>
      </c>
      <c r="U80" s="46">
        <f t="shared" si="58"/>
        <v>0</v>
      </c>
      <c r="V80" s="47">
        <f t="shared" si="59"/>
        <v>0</v>
      </c>
      <c r="W80" s="48">
        <f t="shared" si="60"/>
        <v>0</v>
      </c>
      <c r="X80" s="43">
        <f t="shared" si="61"/>
        <v>0</v>
      </c>
      <c r="Y80" s="43">
        <f t="shared" si="62"/>
        <v>0</v>
      </c>
      <c r="Z80" s="43">
        <f t="shared" si="63"/>
        <v>0</v>
      </c>
      <c r="AA80" s="49">
        <f t="shared" si="64"/>
        <v>0</v>
      </c>
      <c r="AB80" s="50">
        <f t="shared" si="65"/>
        <v>0</v>
      </c>
      <c r="AC80" s="43">
        <f t="shared" si="66"/>
        <v>0</v>
      </c>
      <c r="AD80" s="43">
        <f t="shared" si="67"/>
        <v>0</v>
      </c>
      <c r="AE80" s="43">
        <f t="shared" si="68"/>
        <v>0</v>
      </c>
      <c r="AF80" s="51" t="e">
        <f>HLOOKUP(I80,GasAvoidedCostsWOCC!$A$5:$G$50,G80+1,FALSE)</f>
        <v>#N/A</v>
      </c>
      <c r="AG80" s="43" t="e">
        <f t="shared" si="69"/>
        <v>#N/A</v>
      </c>
      <c r="AH80" s="51" t="e">
        <f>HLOOKUP(I80,GasAvoidedCostsWOCC!$A$5:$Q$50,T80+1,FALSE)</f>
        <v>#N/A</v>
      </c>
      <c r="AI80" s="43" t="e">
        <f t="shared" si="70"/>
        <v>#N/A</v>
      </c>
      <c r="AJ80" s="43" t="e">
        <f t="shared" si="71"/>
        <v>#N/A</v>
      </c>
      <c r="AK80" s="43" t="e">
        <f>HLOOKUP(I80,GasAvoidedCostsWOCC!$A$5:$Q$50,G80+1,FALSE)*J80*L80</f>
        <v>#N/A</v>
      </c>
      <c r="AL80" s="43" t="e">
        <f t="shared" si="72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73"/>
        <v>0</v>
      </c>
      <c r="AO80" s="46">
        <f t="shared" si="74"/>
        <v>0</v>
      </c>
      <c r="AP80" s="46" t="e">
        <f t="shared" si="7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7"/>
        <v>0</v>
      </c>
      <c r="U81" s="46">
        <f t="shared" si="58"/>
        <v>0</v>
      </c>
      <c r="V81" s="47">
        <f t="shared" si="59"/>
        <v>0</v>
      </c>
      <c r="W81" s="48">
        <f t="shared" si="60"/>
        <v>0</v>
      </c>
      <c r="X81" s="43">
        <f t="shared" si="61"/>
        <v>0</v>
      </c>
      <c r="Y81" s="43">
        <f t="shared" si="62"/>
        <v>0</v>
      </c>
      <c r="Z81" s="43">
        <f t="shared" si="63"/>
        <v>0</v>
      </c>
      <c r="AA81" s="49">
        <f t="shared" si="64"/>
        <v>0</v>
      </c>
      <c r="AB81" s="50">
        <f t="shared" si="65"/>
        <v>0</v>
      </c>
      <c r="AC81" s="43">
        <f t="shared" si="66"/>
        <v>0</v>
      </c>
      <c r="AD81" s="43">
        <f t="shared" si="67"/>
        <v>0</v>
      </c>
      <c r="AE81" s="43">
        <f t="shared" si="68"/>
        <v>0</v>
      </c>
      <c r="AF81" s="51" t="e">
        <f>HLOOKUP(I81,GasAvoidedCostsWOCC!$A$5:$G$50,G81+1,FALSE)</f>
        <v>#N/A</v>
      </c>
      <c r="AG81" s="43" t="e">
        <f t="shared" si="69"/>
        <v>#N/A</v>
      </c>
      <c r="AH81" s="51" t="e">
        <f>HLOOKUP(I81,GasAvoidedCostsWOCC!$A$5:$Q$50,T81+1,FALSE)</f>
        <v>#N/A</v>
      </c>
      <c r="AI81" s="43" t="e">
        <f t="shared" si="70"/>
        <v>#N/A</v>
      </c>
      <c r="AJ81" s="43" t="e">
        <f t="shared" si="71"/>
        <v>#N/A</v>
      </c>
      <c r="AK81" s="43" t="e">
        <f>HLOOKUP(I81,GasAvoidedCostsWOCC!$A$5:$Q$50,G81+1,FALSE)*J81*L81</f>
        <v>#N/A</v>
      </c>
      <c r="AL81" s="43" t="e">
        <f t="shared" si="72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73"/>
        <v>0</v>
      </c>
      <c r="AO81" s="46">
        <f t="shared" si="74"/>
        <v>0</v>
      </c>
      <c r="AP81" s="46" t="e">
        <f t="shared" si="7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7"/>
        <v>0</v>
      </c>
      <c r="U82" s="46">
        <f t="shared" si="58"/>
        <v>0</v>
      </c>
      <c r="V82" s="47">
        <f t="shared" si="59"/>
        <v>0</v>
      </c>
      <c r="W82" s="48">
        <f t="shared" si="60"/>
        <v>0</v>
      </c>
      <c r="X82" s="43">
        <f t="shared" si="61"/>
        <v>0</v>
      </c>
      <c r="Y82" s="43">
        <f t="shared" si="62"/>
        <v>0</v>
      </c>
      <c r="Z82" s="43">
        <f t="shared" si="63"/>
        <v>0</v>
      </c>
      <c r="AA82" s="49">
        <f t="shared" si="64"/>
        <v>0</v>
      </c>
      <c r="AB82" s="50">
        <f t="shared" si="65"/>
        <v>0</v>
      </c>
      <c r="AC82" s="43">
        <f t="shared" si="66"/>
        <v>0</v>
      </c>
      <c r="AD82" s="43">
        <f t="shared" si="67"/>
        <v>0</v>
      </c>
      <c r="AE82" s="43">
        <f t="shared" si="68"/>
        <v>0</v>
      </c>
      <c r="AF82" s="51" t="e">
        <f>HLOOKUP(I82,GasAvoidedCostsWOCC!$A$5:$G$50,G82+1,FALSE)</f>
        <v>#N/A</v>
      </c>
      <c r="AG82" s="43" t="e">
        <f t="shared" si="69"/>
        <v>#N/A</v>
      </c>
      <c r="AH82" s="51" t="e">
        <f>HLOOKUP(I82,GasAvoidedCostsWOCC!$A$5:$Q$50,T82+1,FALSE)</f>
        <v>#N/A</v>
      </c>
      <c r="AI82" s="43" t="e">
        <f t="shared" si="70"/>
        <v>#N/A</v>
      </c>
      <c r="AJ82" s="43" t="e">
        <f t="shared" si="71"/>
        <v>#N/A</v>
      </c>
      <c r="AK82" s="43" t="e">
        <f>HLOOKUP(I82,GasAvoidedCostsWOCC!$A$5:$Q$50,G82+1,FALSE)*J82*L82</f>
        <v>#N/A</v>
      </c>
      <c r="AL82" s="43" t="e">
        <f t="shared" si="72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73"/>
        <v>0</v>
      </c>
      <c r="AO82" s="46">
        <f t="shared" si="74"/>
        <v>0</v>
      </c>
      <c r="AP82" s="46" t="e">
        <f t="shared" si="7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7"/>
        <v>0</v>
      </c>
      <c r="U83" s="46">
        <f t="shared" si="58"/>
        <v>0</v>
      </c>
      <c r="V83" s="47">
        <f t="shared" si="59"/>
        <v>0</v>
      </c>
      <c r="W83" s="48">
        <f t="shared" si="60"/>
        <v>0</v>
      </c>
      <c r="X83" s="43">
        <f t="shared" si="61"/>
        <v>0</v>
      </c>
      <c r="Y83" s="43">
        <f t="shared" si="62"/>
        <v>0</v>
      </c>
      <c r="Z83" s="43">
        <f t="shared" si="63"/>
        <v>0</v>
      </c>
      <c r="AA83" s="49">
        <f t="shared" si="64"/>
        <v>0</v>
      </c>
      <c r="AB83" s="50">
        <f t="shared" si="65"/>
        <v>0</v>
      </c>
      <c r="AC83" s="43">
        <f t="shared" si="66"/>
        <v>0</v>
      </c>
      <c r="AD83" s="43">
        <f t="shared" si="67"/>
        <v>0</v>
      </c>
      <c r="AE83" s="43">
        <f t="shared" si="68"/>
        <v>0</v>
      </c>
      <c r="AF83" s="51" t="e">
        <f>HLOOKUP(I83,GasAvoidedCostsWOCC!$A$5:$G$50,G83+1,FALSE)</f>
        <v>#N/A</v>
      </c>
      <c r="AG83" s="43" t="e">
        <f t="shared" si="69"/>
        <v>#N/A</v>
      </c>
      <c r="AH83" s="51" t="e">
        <f>HLOOKUP(I83,GasAvoidedCostsWOCC!$A$5:$Q$50,T83+1,FALSE)</f>
        <v>#N/A</v>
      </c>
      <c r="AI83" s="43" t="e">
        <f t="shared" si="70"/>
        <v>#N/A</v>
      </c>
      <c r="AJ83" s="43" t="e">
        <f t="shared" si="71"/>
        <v>#N/A</v>
      </c>
      <c r="AK83" s="43" t="e">
        <f>HLOOKUP(I83,GasAvoidedCostsWOCC!$A$5:$Q$50,G83+1,FALSE)*J83*L83</f>
        <v>#N/A</v>
      </c>
      <c r="AL83" s="43" t="e">
        <f t="shared" si="72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73"/>
        <v>0</v>
      </c>
      <c r="AO83" s="46">
        <f t="shared" si="74"/>
        <v>0</v>
      </c>
      <c r="AP83" s="46" t="e">
        <f t="shared" si="7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7"/>
        <v>0</v>
      </c>
      <c r="U84" s="46">
        <f t="shared" si="58"/>
        <v>0</v>
      </c>
      <c r="V84" s="47">
        <f t="shared" si="59"/>
        <v>0</v>
      </c>
      <c r="W84" s="48">
        <f t="shared" si="60"/>
        <v>0</v>
      </c>
      <c r="X84" s="43">
        <f t="shared" si="61"/>
        <v>0</v>
      </c>
      <c r="Y84" s="43">
        <f t="shared" si="62"/>
        <v>0</v>
      </c>
      <c r="Z84" s="43">
        <f t="shared" si="63"/>
        <v>0</v>
      </c>
      <c r="AA84" s="49">
        <f t="shared" si="64"/>
        <v>0</v>
      </c>
      <c r="AB84" s="50">
        <f t="shared" si="65"/>
        <v>0</v>
      </c>
      <c r="AC84" s="43">
        <f t="shared" si="66"/>
        <v>0</v>
      </c>
      <c r="AD84" s="43">
        <f t="shared" si="67"/>
        <v>0</v>
      </c>
      <c r="AE84" s="43">
        <f t="shared" si="68"/>
        <v>0</v>
      </c>
      <c r="AF84" s="51" t="e">
        <f>HLOOKUP(I84,GasAvoidedCostsWOCC!$A$5:$G$50,G84+1,FALSE)</f>
        <v>#N/A</v>
      </c>
      <c r="AG84" s="43" t="e">
        <f t="shared" si="69"/>
        <v>#N/A</v>
      </c>
      <c r="AH84" s="51" t="e">
        <f>HLOOKUP(I84,GasAvoidedCostsWOCC!$A$5:$Q$50,T84+1,FALSE)</f>
        <v>#N/A</v>
      </c>
      <c r="AI84" s="43" t="e">
        <f t="shared" si="70"/>
        <v>#N/A</v>
      </c>
      <c r="AJ84" s="43" t="e">
        <f t="shared" si="71"/>
        <v>#N/A</v>
      </c>
      <c r="AK84" s="43" t="e">
        <f>HLOOKUP(I84,GasAvoidedCostsWOCC!$A$5:$Q$50,G84+1,FALSE)*J84*L84</f>
        <v>#N/A</v>
      </c>
      <c r="AL84" s="43" t="e">
        <f t="shared" si="72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73"/>
        <v>0</v>
      </c>
      <c r="AO84" s="46">
        <f t="shared" si="74"/>
        <v>0</v>
      </c>
      <c r="AP84" s="46" t="e">
        <f t="shared" si="7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7"/>
        <v>0</v>
      </c>
      <c r="U85" s="46">
        <f t="shared" si="58"/>
        <v>0</v>
      </c>
      <c r="V85" s="47">
        <f t="shared" si="59"/>
        <v>0</v>
      </c>
      <c r="W85" s="48">
        <f t="shared" si="60"/>
        <v>0</v>
      </c>
      <c r="X85" s="43">
        <f t="shared" si="61"/>
        <v>0</v>
      </c>
      <c r="Y85" s="43">
        <f t="shared" si="62"/>
        <v>0</v>
      </c>
      <c r="Z85" s="43">
        <f t="shared" si="63"/>
        <v>0</v>
      </c>
      <c r="AA85" s="49">
        <f t="shared" si="64"/>
        <v>0</v>
      </c>
      <c r="AB85" s="50">
        <f t="shared" si="65"/>
        <v>0</v>
      </c>
      <c r="AC85" s="43">
        <f t="shared" si="66"/>
        <v>0</v>
      </c>
      <c r="AD85" s="43">
        <f t="shared" si="67"/>
        <v>0</v>
      </c>
      <c r="AE85" s="43">
        <f t="shared" si="68"/>
        <v>0</v>
      </c>
      <c r="AF85" s="51" t="e">
        <f>HLOOKUP(I85,GasAvoidedCostsWOCC!$A$5:$G$50,G85+1,FALSE)</f>
        <v>#N/A</v>
      </c>
      <c r="AG85" s="43" t="e">
        <f t="shared" si="69"/>
        <v>#N/A</v>
      </c>
      <c r="AH85" s="51" t="e">
        <f>HLOOKUP(I85,GasAvoidedCostsWOCC!$A$5:$Q$50,T85+1,FALSE)</f>
        <v>#N/A</v>
      </c>
      <c r="AI85" s="43" t="e">
        <f t="shared" si="70"/>
        <v>#N/A</v>
      </c>
      <c r="AJ85" s="43" t="e">
        <f t="shared" si="71"/>
        <v>#N/A</v>
      </c>
      <c r="AK85" s="43" t="e">
        <f>HLOOKUP(I85,GasAvoidedCostsWOCC!$A$5:$Q$50,G85+1,FALSE)*J85*L85</f>
        <v>#N/A</v>
      </c>
      <c r="AL85" s="43" t="e">
        <f t="shared" si="72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73"/>
        <v>0</v>
      </c>
      <c r="AO85" s="46">
        <f t="shared" si="74"/>
        <v>0</v>
      </c>
      <c r="AP85" s="46" t="e">
        <f t="shared" si="7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7"/>
        <v>0</v>
      </c>
      <c r="U86" s="46">
        <f t="shared" si="58"/>
        <v>0</v>
      </c>
      <c r="V86" s="47">
        <f t="shared" si="59"/>
        <v>0</v>
      </c>
      <c r="W86" s="48">
        <f t="shared" si="60"/>
        <v>0</v>
      </c>
      <c r="X86" s="43">
        <f t="shared" si="61"/>
        <v>0</v>
      </c>
      <c r="Y86" s="43">
        <f t="shared" si="62"/>
        <v>0</v>
      </c>
      <c r="Z86" s="43">
        <f t="shared" si="63"/>
        <v>0</v>
      </c>
      <c r="AA86" s="49">
        <f t="shared" si="64"/>
        <v>0</v>
      </c>
      <c r="AB86" s="50">
        <f t="shared" si="65"/>
        <v>0</v>
      </c>
      <c r="AC86" s="43">
        <f t="shared" si="66"/>
        <v>0</v>
      </c>
      <c r="AD86" s="43">
        <f t="shared" si="67"/>
        <v>0</v>
      </c>
      <c r="AE86" s="43">
        <f t="shared" si="68"/>
        <v>0</v>
      </c>
      <c r="AF86" s="51" t="e">
        <f>HLOOKUP(I86,GasAvoidedCostsWOCC!$A$5:$G$50,G86+1,FALSE)</f>
        <v>#N/A</v>
      </c>
      <c r="AG86" s="43" t="e">
        <f t="shared" si="69"/>
        <v>#N/A</v>
      </c>
      <c r="AH86" s="51" t="e">
        <f>HLOOKUP(I86,GasAvoidedCostsWOCC!$A$5:$Q$50,T86+1,FALSE)</f>
        <v>#N/A</v>
      </c>
      <c r="AI86" s="43" t="e">
        <f t="shared" si="70"/>
        <v>#N/A</v>
      </c>
      <c r="AJ86" s="43" t="e">
        <f t="shared" si="71"/>
        <v>#N/A</v>
      </c>
      <c r="AK86" s="43" t="e">
        <f>HLOOKUP(I86,GasAvoidedCostsWOCC!$A$5:$Q$50,G86+1,FALSE)*J86*L86</f>
        <v>#N/A</v>
      </c>
      <c r="AL86" s="43" t="e">
        <f t="shared" si="72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73"/>
        <v>0</v>
      </c>
      <c r="AO86" s="46">
        <f t="shared" si="74"/>
        <v>0</v>
      </c>
      <c r="AP86" s="46" t="e">
        <f t="shared" si="7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7"/>
        <v>0</v>
      </c>
      <c r="U87" s="46">
        <f t="shared" si="58"/>
        <v>0</v>
      </c>
      <c r="V87" s="47">
        <f t="shared" si="59"/>
        <v>0</v>
      </c>
      <c r="W87" s="48">
        <f t="shared" si="60"/>
        <v>0</v>
      </c>
      <c r="X87" s="43">
        <f t="shared" si="61"/>
        <v>0</v>
      </c>
      <c r="Y87" s="43">
        <f t="shared" si="62"/>
        <v>0</v>
      </c>
      <c r="Z87" s="43">
        <f t="shared" si="63"/>
        <v>0</v>
      </c>
      <c r="AA87" s="49">
        <f t="shared" si="64"/>
        <v>0</v>
      </c>
      <c r="AB87" s="50">
        <f t="shared" si="65"/>
        <v>0</v>
      </c>
      <c r="AC87" s="43">
        <f t="shared" si="66"/>
        <v>0</v>
      </c>
      <c r="AD87" s="43">
        <f t="shared" si="67"/>
        <v>0</v>
      </c>
      <c r="AE87" s="43">
        <f t="shared" si="68"/>
        <v>0</v>
      </c>
      <c r="AF87" s="51" t="e">
        <f>HLOOKUP(I87,GasAvoidedCostsWOCC!$A$5:$G$50,G87+1,FALSE)</f>
        <v>#N/A</v>
      </c>
      <c r="AG87" s="43" t="e">
        <f t="shared" si="69"/>
        <v>#N/A</v>
      </c>
      <c r="AH87" s="51" t="e">
        <f>HLOOKUP(I87,GasAvoidedCostsWOCC!$A$5:$Q$50,T87+1,FALSE)</f>
        <v>#N/A</v>
      </c>
      <c r="AI87" s="43" t="e">
        <f t="shared" si="70"/>
        <v>#N/A</v>
      </c>
      <c r="AJ87" s="43" t="e">
        <f t="shared" si="71"/>
        <v>#N/A</v>
      </c>
      <c r="AK87" s="43" t="e">
        <f>HLOOKUP(I87,GasAvoidedCostsWOCC!$A$5:$Q$50,G87+1,FALSE)*J87*L87</f>
        <v>#N/A</v>
      </c>
      <c r="AL87" s="43" t="e">
        <f t="shared" si="7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73"/>
        <v>0</v>
      </c>
      <c r="AO87" s="46">
        <f t="shared" si="74"/>
        <v>0</v>
      </c>
      <c r="AP87" s="46" t="e">
        <f t="shared" si="7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7"/>
        <v>0</v>
      </c>
      <c r="U88" s="46">
        <f t="shared" si="58"/>
        <v>0</v>
      </c>
      <c r="V88" s="47">
        <f t="shared" si="59"/>
        <v>0</v>
      </c>
      <c r="W88" s="48">
        <f t="shared" si="60"/>
        <v>0</v>
      </c>
      <c r="X88" s="43">
        <f t="shared" si="61"/>
        <v>0</v>
      </c>
      <c r="Y88" s="43">
        <f t="shared" si="62"/>
        <v>0</v>
      </c>
      <c r="Z88" s="43">
        <f t="shared" si="63"/>
        <v>0</v>
      </c>
      <c r="AA88" s="49">
        <f t="shared" si="64"/>
        <v>0</v>
      </c>
      <c r="AB88" s="50">
        <f t="shared" si="65"/>
        <v>0</v>
      </c>
      <c r="AC88" s="43">
        <f t="shared" si="66"/>
        <v>0</v>
      </c>
      <c r="AD88" s="43">
        <f t="shared" si="67"/>
        <v>0</v>
      </c>
      <c r="AE88" s="43">
        <f t="shared" si="68"/>
        <v>0</v>
      </c>
      <c r="AF88" s="51" t="e">
        <f>HLOOKUP(I88,GasAvoidedCostsWOCC!$A$5:$G$50,G88+1,FALSE)</f>
        <v>#N/A</v>
      </c>
      <c r="AG88" s="43" t="e">
        <f t="shared" si="69"/>
        <v>#N/A</v>
      </c>
      <c r="AH88" s="51" t="e">
        <f>HLOOKUP(I88,GasAvoidedCostsWOCC!$A$5:$Q$50,T88+1,FALSE)</f>
        <v>#N/A</v>
      </c>
      <c r="AI88" s="43" t="e">
        <f t="shared" si="70"/>
        <v>#N/A</v>
      </c>
      <c r="AJ88" s="43" t="e">
        <f t="shared" si="71"/>
        <v>#N/A</v>
      </c>
      <c r="AK88" s="43" t="e">
        <f>HLOOKUP(I88,GasAvoidedCostsWOCC!$A$5:$Q$50,G88+1,FALSE)*J88*L88</f>
        <v>#N/A</v>
      </c>
      <c r="AL88" s="43" t="e">
        <f t="shared" si="7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73"/>
        <v>0</v>
      </c>
      <c r="AO88" s="46">
        <f t="shared" si="74"/>
        <v>0</v>
      </c>
      <c r="AP88" s="46" t="e">
        <f t="shared" si="7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7"/>
        <v>0</v>
      </c>
      <c r="U89" s="46">
        <f t="shared" si="58"/>
        <v>0</v>
      </c>
      <c r="V89" s="47">
        <f t="shared" si="59"/>
        <v>0</v>
      </c>
      <c r="W89" s="48">
        <f t="shared" si="60"/>
        <v>0</v>
      </c>
      <c r="X89" s="43">
        <f t="shared" si="61"/>
        <v>0</v>
      </c>
      <c r="Y89" s="43">
        <f t="shared" si="62"/>
        <v>0</v>
      </c>
      <c r="Z89" s="43">
        <f t="shared" si="63"/>
        <v>0</v>
      </c>
      <c r="AA89" s="49">
        <f t="shared" si="64"/>
        <v>0</v>
      </c>
      <c r="AB89" s="50">
        <f t="shared" si="65"/>
        <v>0</v>
      </c>
      <c r="AC89" s="43">
        <f t="shared" si="66"/>
        <v>0</v>
      </c>
      <c r="AD89" s="43">
        <f t="shared" si="67"/>
        <v>0</v>
      </c>
      <c r="AE89" s="43">
        <f t="shared" si="68"/>
        <v>0</v>
      </c>
      <c r="AF89" s="51" t="e">
        <f>HLOOKUP(I89,GasAvoidedCostsWOCC!$A$5:$G$50,G89+1,FALSE)</f>
        <v>#N/A</v>
      </c>
      <c r="AG89" s="43" t="e">
        <f t="shared" si="69"/>
        <v>#N/A</v>
      </c>
      <c r="AH89" s="51" t="e">
        <f>HLOOKUP(I89,GasAvoidedCostsWOCC!$A$5:$Q$50,T89+1,FALSE)</f>
        <v>#N/A</v>
      </c>
      <c r="AI89" s="43" t="e">
        <f t="shared" si="70"/>
        <v>#N/A</v>
      </c>
      <c r="AJ89" s="43" t="e">
        <f t="shared" si="71"/>
        <v>#N/A</v>
      </c>
      <c r="AK89" s="43" t="e">
        <f>HLOOKUP(I89,GasAvoidedCostsWOCC!$A$5:$Q$50,G89+1,FALSE)*J89*L89</f>
        <v>#N/A</v>
      </c>
      <c r="AL89" s="43" t="e">
        <f t="shared" si="7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73"/>
        <v>0</v>
      </c>
      <c r="AO89" s="46">
        <f t="shared" si="74"/>
        <v>0</v>
      </c>
      <c r="AP89" s="46" t="e">
        <f t="shared" si="75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7"/>
        <v>0</v>
      </c>
      <c r="U90" s="46">
        <f t="shared" si="58"/>
        <v>0</v>
      </c>
      <c r="V90" s="47">
        <f t="shared" si="59"/>
        <v>0</v>
      </c>
      <c r="W90" s="48">
        <f t="shared" si="60"/>
        <v>0</v>
      </c>
      <c r="X90" s="43">
        <f t="shared" si="61"/>
        <v>0</v>
      </c>
      <c r="Y90" s="43">
        <f t="shared" si="62"/>
        <v>0</v>
      </c>
      <c r="Z90" s="43">
        <f t="shared" si="63"/>
        <v>0</v>
      </c>
      <c r="AA90" s="49">
        <f t="shared" si="64"/>
        <v>0</v>
      </c>
      <c r="AB90" s="50">
        <f t="shared" si="65"/>
        <v>0</v>
      </c>
      <c r="AC90" s="43">
        <f t="shared" si="66"/>
        <v>0</v>
      </c>
      <c r="AD90" s="43">
        <f t="shared" si="67"/>
        <v>0</v>
      </c>
      <c r="AE90" s="43">
        <f t="shared" si="68"/>
        <v>0</v>
      </c>
      <c r="AF90" s="51" t="e">
        <f>HLOOKUP(I90,GasAvoidedCostsWOCC!$A$5:$G$50,G90+1,FALSE)</f>
        <v>#N/A</v>
      </c>
      <c r="AG90" s="43" t="e">
        <f t="shared" si="69"/>
        <v>#N/A</v>
      </c>
      <c r="AH90" s="51" t="e">
        <f>HLOOKUP(I90,GasAvoidedCostsWOCC!$A$5:$Q$50,T90+1,FALSE)</f>
        <v>#N/A</v>
      </c>
      <c r="AI90" s="43" t="e">
        <f t="shared" si="70"/>
        <v>#N/A</v>
      </c>
      <c r="AJ90" s="43" t="e">
        <f t="shared" si="71"/>
        <v>#N/A</v>
      </c>
      <c r="AK90" s="43" t="e">
        <f>HLOOKUP(I90,GasAvoidedCostsWOCC!$A$5:$Q$50,G90+1,FALSE)*J90*L90</f>
        <v>#N/A</v>
      </c>
      <c r="AL90" s="43" t="e">
        <f t="shared" si="7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73"/>
        <v>0</v>
      </c>
      <c r="AO90" s="46">
        <f t="shared" si="74"/>
        <v>0</v>
      </c>
      <c r="AP90" s="46" t="e">
        <f t="shared" si="75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7"/>
        <v>0</v>
      </c>
      <c r="U91" s="46">
        <f t="shared" si="58"/>
        <v>0</v>
      </c>
      <c r="V91" s="47">
        <f t="shared" si="59"/>
        <v>0</v>
      </c>
      <c r="W91" s="48">
        <f t="shared" si="60"/>
        <v>0</v>
      </c>
      <c r="X91" s="43">
        <f t="shared" si="61"/>
        <v>0</v>
      </c>
      <c r="Y91" s="43">
        <f t="shared" si="62"/>
        <v>0</v>
      </c>
      <c r="Z91" s="43">
        <f t="shared" si="63"/>
        <v>0</v>
      </c>
      <c r="AA91" s="49">
        <f t="shared" si="64"/>
        <v>0</v>
      </c>
      <c r="AB91" s="50">
        <f t="shared" si="65"/>
        <v>0</v>
      </c>
      <c r="AC91" s="43">
        <f t="shared" si="66"/>
        <v>0</v>
      </c>
      <c r="AD91" s="43">
        <f t="shared" si="67"/>
        <v>0</v>
      </c>
      <c r="AE91" s="43">
        <f t="shared" si="68"/>
        <v>0</v>
      </c>
      <c r="AF91" s="51" t="e">
        <f>HLOOKUP(I91,GasAvoidedCostsWOCC!$A$5:$G$50,G91+1,FALSE)</f>
        <v>#N/A</v>
      </c>
      <c r="AG91" s="43" t="e">
        <f t="shared" si="69"/>
        <v>#N/A</v>
      </c>
      <c r="AH91" s="51" t="e">
        <f>HLOOKUP(I91,GasAvoidedCostsWOCC!$A$5:$Q$50,T91+1,FALSE)</f>
        <v>#N/A</v>
      </c>
      <c r="AI91" s="43" t="e">
        <f t="shared" si="70"/>
        <v>#N/A</v>
      </c>
      <c r="AJ91" s="43" t="e">
        <f t="shared" si="71"/>
        <v>#N/A</v>
      </c>
      <c r="AK91" s="43" t="e">
        <f>HLOOKUP(I91,GasAvoidedCostsWOCC!$A$5:$Q$50,G91+1,FALSE)*J91*L91</f>
        <v>#N/A</v>
      </c>
      <c r="AL91" s="43" t="e">
        <f t="shared" si="7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73"/>
        <v>0</v>
      </c>
      <c r="AO91" s="46">
        <f t="shared" si="74"/>
        <v>0</v>
      </c>
      <c r="AP91" s="46" t="e">
        <f t="shared" si="75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7"/>
        <v>0</v>
      </c>
      <c r="U92" s="46">
        <f t="shared" si="58"/>
        <v>0</v>
      </c>
      <c r="V92" s="47">
        <f t="shared" si="59"/>
        <v>0</v>
      </c>
      <c r="W92" s="48">
        <f t="shared" si="60"/>
        <v>0</v>
      </c>
      <c r="X92" s="43">
        <f t="shared" si="61"/>
        <v>0</v>
      </c>
      <c r="Y92" s="43">
        <f t="shared" si="62"/>
        <v>0</v>
      </c>
      <c r="Z92" s="43">
        <f t="shared" si="63"/>
        <v>0</v>
      </c>
      <c r="AA92" s="49">
        <f t="shared" si="64"/>
        <v>0</v>
      </c>
      <c r="AB92" s="50">
        <f t="shared" si="65"/>
        <v>0</v>
      </c>
      <c r="AC92" s="43">
        <f t="shared" si="66"/>
        <v>0</v>
      </c>
      <c r="AD92" s="43">
        <f t="shared" si="67"/>
        <v>0</v>
      </c>
      <c r="AE92" s="43">
        <f t="shared" si="68"/>
        <v>0</v>
      </c>
      <c r="AF92" s="51" t="e">
        <f>HLOOKUP(I92,GasAvoidedCostsWOCC!$A$5:$G$50,G92+1,FALSE)</f>
        <v>#N/A</v>
      </c>
      <c r="AG92" s="43" t="e">
        <f t="shared" si="69"/>
        <v>#N/A</v>
      </c>
      <c r="AH92" s="51" t="e">
        <f>HLOOKUP(I92,GasAvoidedCostsWOCC!$A$5:$Q$50,T92+1,FALSE)</f>
        <v>#N/A</v>
      </c>
      <c r="AI92" s="43" t="e">
        <f t="shared" si="70"/>
        <v>#N/A</v>
      </c>
      <c r="AJ92" s="43" t="e">
        <f t="shared" si="71"/>
        <v>#N/A</v>
      </c>
      <c r="AK92" s="43" t="e">
        <f>HLOOKUP(I92,GasAvoidedCostsWOCC!$A$5:$Q$50,G92+1,FALSE)*J92*L92</f>
        <v>#N/A</v>
      </c>
      <c r="AL92" s="43" t="e">
        <f t="shared" si="7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73"/>
        <v>0</v>
      </c>
      <c r="AO92" s="46">
        <f t="shared" si="74"/>
        <v>0</v>
      </c>
      <c r="AP92" s="46" t="e">
        <f t="shared" si="75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7"/>
        <v>0</v>
      </c>
      <c r="U93" s="46">
        <f t="shared" si="58"/>
        <v>0</v>
      </c>
      <c r="V93" s="47">
        <f t="shared" si="59"/>
        <v>0</v>
      </c>
      <c r="W93" s="48">
        <f t="shared" si="60"/>
        <v>0</v>
      </c>
      <c r="X93" s="43">
        <f t="shared" si="61"/>
        <v>0</v>
      </c>
      <c r="Y93" s="43">
        <f t="shared" si="62"/>
        <v>0</v>
      </c>
      <c r="Z93" s="43">
        <f t="shared" si="63"/>
        <v>0</v>
      </c>
      <c r="AA93" s="49">
        <f t="shared" si="64"/>
        <v>0</v>
      </c>
      <c r="AB93" s="50">
        <f t="shared" si="65"/>
        <v>0</v>
      </c>
      <c r="AC93" s="43">
        <f t="shared" si="66"/>
        <v>0</v>
      </c>
      <c r="AD93" s="43">
        <f t="shared" si="67"/>
        <v>0</v>
      </c>
      <c r="AE93" s="43">
        <f t="shared" si="68"/>
        <v>0</v>
      </c>
      <c r="AF93" s="51" t="e">
        <f>HLOOKUP(I93,GasAvoidedCostsWOCC!$A$5:$G$50,G93+1,FALSE)</f>
        <v>#N/A</v>
      </c>
      <c r="AG93" s="43" t="e">
        <f t="shared" si="69"/>
        <v>#N/A</v>
      </c>
      <c r="AH93" s="51" t="e">
        <f>HLOOKUP(I93,GasAvoidedCostsWOCC!$A$5:$Q$50,T93+1,FALSE)</f>
        <v>#N/A</v>
      </c>
      <c r="AI93" s="43" t="e">
        <f t="shared" si="70"/>
        <v>#N/A</v>
      </c>
      <c r="AJ93" s="43" t="e">
        <f t="shared" si="71"/>
        <v>#N/A</v>
      </c>
      <c r="AK93" s="43" t="e">
        <f>HLOOKUP(I93,GasAvoidedCostsWOCC!$A$5:$Q$50,G93+1,FALSE)*J93*L93</f>
        <v>#N/A</v>
      </c>
      <c r="AL93" s="43" t="e">
        <f t="shared" si="7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73"/>
        <v>0</v>
      </c>
      <c r="AO93" s="46">
        <f t="shared" si="74"/>
        <v>0</v>
      </c>
      <c r="AP93" s="46" t="e">
        <f t="shared" si="75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7"/>
        <v>0</v>
      </c>
      <c r="U94" s="46">
        <f t="shared" si="58"/>
        <v>0</v>
      </c>
      <c r="V94" s="47">
        <f t="shared" si="59"/>
        <v>0</v>
      </c>
      <c r="W94" s="48">
        <f t="shared" si="60"/>
        <v>0</v>
      </c>
      <c r="X94" s="43">
        <f t="shared" si="61"/>
        <v>0</v>
      </c>
      <c r="Y94" s="43">
        <f t="shared" si="62"/>
        <v>0</v>
      </c>
      <c r="Z94" s="43">
        <f t="shared" si="63"/>
        <v>0</v>
      </c>
      <c r="AA94" s="49">
        <f t="shared" si="64"/>
        <v>0</v>
      </c>
      <c r="AB94" s="50">
        <f t="shared" si="65"/>
        <v>0</v>
      </c>
      <c r="AC94" s="43">
        <f t="shared" si="66"/>
        <v>0</v>
      </c>
      <c r="AD94" s="43">
        <f t="shared" si="67"/>
        <v>0</v>
      </c>
      <c r="AE94" s="43">
        <f t="shared" si="68"/>
        <v>0</v>
      </c>
      <c r="AF94" s="51" t="e">
        <f>HLOOKUP(I94,GasAvoidedCostsWOCC!$A$5:$G$50,G94+1,FALSE)</f>
        <v>#N/A</v>
      </c>
      <c r="AG94" s="43" t="e">
        <f t="shared" si="69"/>
        <v>#N/A</v>
      </c>
      <c r="AH94" s="51" t="e">
        <f>HLOOKUP(I94,GasAvoidedCostsWOCC!$A$5:$Q$50,T94+1,FALSE)</f>
        <v>#N/A</v>
      </c>
      <c r="AI94" s="43" t="e">
        <f t="shared" si="70"/>
        <v>#N/A</v>
      </c>
      <c r="AJ94" s="43" t="e">
        <f t="shared" si="71"/>
        <v>#N/A</v>
      </c>
      <c r="AK94" s="43" t="e">
        <f>HLOOKUP(I94,GasAvoidedCostsWOCC!$A$5:$Q$50,G94+1,FALSE)*J94*L94</f>
        <v>#N/A</v>
      </c>
      <c r="AL94" s="43" t="e">
        <f t="shared" si="7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73"/>
        <v>0</v>
      </c>
      <c r="AO94" s="46">
        <f t="shared" si="74"/>
        <v>0</v>
      </c>
      <c r="AP94" s="46" t="e">
        <f t="shared" si="75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7"/>
        <v>0</v>
      </c>
      <c r="U95" s="46">
        <f t="shared" si="58"/>
        <v>0</v>
      </c>
      <c r="V95" s="47">
        <f t="shared" si="59"/>
        <v>0</v>
      </c>
      <c r="W95" s="48">
        <f t="shared" si="60"/>
        <v>0</v>
      </c>
      <c r="X95" s="43">
        <f t="shared" si="61"/>
        <v>0</v>
      </c>
      <c r="Y95" s="43">
        <f t="shared" si="62"/>
        <v>0</v>
      </c>
      <c r="Z95" s="43">
        <f t="shared" si="63"/>
        <v>0</v>
      </c>
      <c r="AA95" s="49">
        <f t="shared" si="64"/>
        <v>0</v>
      </c>
      <c r="AB95" s="50">
        <f t="shared" si="65"/>
        <v>0</v>
      </c>
      <c r="AC95" s="43">
        <f t="shared" si="66"/>
        <v>0</v>
      </c>
      <c r="AD95" s="43">
        <f t="shared" si="67"/>
        <v>0</v>
      </c>
      <c r="AE95" s="43">
        <f t="shared" si="68"/>
        <v>0</v>
      </c>
      <c r="AF95" s="51" t="e">
        <f>HLOOKUP(I95,GasAvoidedCostsWOCC!$A$5:$G$50,G95+1,FALSE)</f>
        <v>#N/A</v>
      </c>
      <c r="AG95" s="43" t="e">
        <f t="shared" si="69"/>
        <v>#N/A</v>
      </c>
      <c r="AH95" s="51" t="e">
        <f>HLOOKUP(I95,GasAvoidedCostsWOCC!$A$5:$Q$50,T95+1,FALSE)</f>
        <v>#N/A</v>
      </c>
      <c r="AI95" s="43" t="e">
        <f t="shared" si="70"/>
        <v>#N/A</v>
      </c>
      <c r="AJ95" s="43" t="e">
        <f t="shared" si="71"/>
        <v>#N/A</v>
      </c>
      <c r="AK95" s="43" t="e">
        <f>HLOOKUP(I95,GasAvoidedCostsWOCC!$A$5:$Q$50,G95+1,FALSE)*J95*L95</f>
        <v>#N/A</v>
      </c>
      <c r="AL95" s="43" t="e">
        <f t="shared" si="7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73"/>
        <v>0</v>
      </c>
      <c r="AO95" s="46">
        <f t="shared" si="74"/>
        <v>0</v>
      </c>
      <c r="AP95" s="46" t="e">
        <f t="shared" si="75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7"/>
        <v>0</v>
      </c>
      <c r="U96" s="46">
        <f t="shared" si="58"/>
        <v>0</v>
      </c>
      <c r="V96" s="47">
        <f t="shared" si="59"/>
        <v>0</v>
      </c>
      <c r="W96" s="48">
        <f t="shared" si="60"/>
        <v>0</v>
      </c>
      <c r="X96" s="43">
        <f t="shared" si="61"/>
        <v>0</v>
      </c>
      <c r="Y96" s="43">
        <f t="shared" si="62"/>
        <v>0</v>
      </c>
      <c r="Z96" s="43">
        <f t="shared" si="63"/>
        <v>0</v>
      </c>
      <c r="AA96" s="49">
        <f t="shared" si="64"/>
        <v>0</v>
      </c>
      <c r="AB96" s="50">
        <f t="shared" si="65"/>
        <v>0</v>
      </c>
      <c r="AC96" s="43">
        <f t="shared" si="66"/>
        <v>0</v>
      </c>
      <c r="AD96" s="43">
        <f t="shared" si="67"/>
        <v>0</v>
      </c>
      <c r="AE96" s="43">
        <f t="shared" si="68"/>
        <v>0</v>
      </c>
      <c r="AF96" s="51" t="e">
        <f>HLOOKUP(I96,GasAvoidedCostsWOCC!$A$5:$G$50,G96+1,FALSE)</f>
        <v>#N/A</v>
      </c>
      <c r="AG96" s="43" t="e">
        <f t="shared" si="69"/>
        <v>#N/A</v>
      </c>
      <c r="AH96" s="51" t="e">
        <f>HLOOKUP(I96,GasAvoidedCostsWOCC!$A$5:$Q$50,T96+1,FALSE)</f>
        <v>#N/A</v>
      </c>
      <c r="AI96" s="43" t="e">
        <f t="shared" si="70"/>
        <v>#N/A</v>
      </c>
      <c r="AJ96" s="43" t="e">
        <f t="shared" si="71"/>
        <v>#N/A</v>
      </c>
      <c r="AK96" s="43" t="e">
        <f>HLOOKUP(I96,GasAvoidedCostsWOCC!$A$5:$Q$50,G96+1,FALSE)*J96*L96</f>
        <v>#N/A</v>
      </c>
      <c r="AL96" s="43" t="e">
        <f t="shared" si="7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73"/>
        <v>0</v>
      </c>
      <c r="AO96" s="46">
        <f t="shared" si="74"/>
        <v>0</v>
      </c>
      <c r="AP96" s="46" t="e">
        <f t="shared" si="75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7"/>
        <v>0</v>
      </c>
      <c r="U97" s="46">
        <f t="shared" si="58"/>
        <v>0</v>
      </c>
      <c r="V97" s="47">
        <f t="shared" si="59"/>
        <v>0</v>
      </c>
      <c r="W97" s="48">
        <f t="shared" si="60"/>
        <v>0</v>
      </c>
      <c r="X97" s="43">
        <f t="shared" si="61"/>
        <v>0</v>
      </c>
      <c r="Y97" s="43">
        <f t="shared" si="62"/>
        <v>0</v>
      </c>
      <c r="Z97" s="43">
        <f t="shared" si="63"/>
        <v>0</v>
      </c>
      <c r="AA97" s="49">
        <f t="shared" si="64"/>
        <v>0</v>
      </c>
      <c r="AB97" s="50">
        <f t="shared" si="65"/>
        <v>0</v>
      </c>
      <c r="AC97" s="43">
        <f t="shared" si="66"/>
        <v>0</v>
      </c>
      <c r="AD97" s="43">
        <f t="shared" si="67"/>
        <v>0</v>
      </c>
      <c r="AE97" s="43">
        <f t="shared" si="68"/>
        <v>0</v>
      </c>
      <c r="AF97" s="51" t="e">
        <f>HLOOKUP(I97,GasAvoidedCostsWOCC!$A$5:$G$50,G97+1,FALSE)</f>
        <v>#N/A</v>
      </c>
      <c r="AG97" s="43" t="e">
        <f t="shared" si="69"/>
        <v>#N/A</v>
      </c>
      <c r="AH97" s="51" t="e">
        <f>HLOOKUP(I97,GasAvoidedCostsWOCC!$A$5:$Q$50,T97+1,FALSE)</f>
        <v>#N/A</v>
      </c>
      <c r="AI97" s="43" t="e">
        <f t="shared" si="70"/>
        <v>#N/A</v>
      </c>
      <c r="AJ97" s="43" t="e">
        <f t="shared" si="71"/>
        <v>#N/A</v>
      </c>
      <c r="AK97" s="43" t="e">
        <f>HLOOKUP(I97,GasAvoidedCostsWOCC!$A$5:$Q$50,G97+1,FALSE)*J97*L97</f>
        <v>#N/A</v>
      </c>
      <c r="AL97" s="43" t="e">
        <f t="shared" si="7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73"/>
        <v>0</v>
      </c>
      <c r="AO97" s="46">
        <f t="shared" si="74"/>
        <v>0</v>
      </c>
      <c r="AP97" s="46" t="e">
        <f t="shared" si="75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7"/>
        <v>0</v>
      </c>
      <c r="U98" s="46">
        <f t="shared" si="58"/>
        <v>0</v>
      </c>
      <c r="V98" s="47">
        <f t="shared" si="59"/>
        <v>0</v>
      </c>
      <c r="W98" s="48">
        <f t="shared" si="60"/>
        <v>0</v>
      </c>
      <c r="X98" s="43">
        <f t="shared" si="61"/>
        <v>0</v>
      </c>
      <c r="Y98" s="43">
        <f t="shared" si="62"/>
        <v>0</v>
      </c>
      <c r="Z98" s="43">
        <f t="shared" si="63"/>
        <v>0</v>
      </c>
      <c r="AA98" s="49">
        <f t="shared" si="64"/>
        <v>0</v>
      </c>
      <c r="AB98" s="50">
        <f t="shared" si="65"/>
        <v>0</v>
      </c>
      <c r="AC98" s="43">
        <f t="shared" si="66"/>
        <v>0</v>
      </c>
      <c r="AD98" s="43">
        <f t="shared" si="67"/>
        <v>0</v>
      </c>
      <c r="AE98" s="43">
        <f t="shared" si="68"/>
        <v>0</v>
      </c>
      <c r="AF98" s="51" t="e">
        <f>HLOOKUP(I98,GasAvoidedCostsWOCC!$A$5:$G$50,G98+1,FALSE)</f>
        <v>#N/A</v>
      </c>
      <c r="AG98" s="43" t="e">
        <f t="shared" si="69"/>
        <v>#N/A</v>
      </c>
      <c r="AH98" s="51" t="e">
        <f>HLOOKUP(I98,GasAvoidedCostsWOCC!$A$5:$Q$50,T98+1,FALSE)</f>
        <v>#N/A</v>
      </c>
      <c r="AI98" s="43" t="e">
        <f t="shared" si="70"/>
        <v>#N/A</v>
      </c>
      <c r="AJ98" s="43" t="e">
        <f t="shared" si="71"/>
        <v>#N/A</v>
      </c>
      <c r="AK98" s="43" t="e">
        <f>HLOOKUP(I98,GasAvoidedCostsWOCC!$A$5:$Q$50,G98+1,FALSE)*J98*L98</f>
        <v>#N/A</v>
      </c>
      <c r="AL98" s="43" t="e">
        <f t="shared" si="7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73"/>
        <v>0</v>
      </c>
      <c r="AO98" s="46">
        <f t="shared" si="74"/>
        <v>0</v>
      </c>
      <c r="AP98" s="46" t="e">
        <f t="shared" si="75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7"/>
        <v>0</v>
      </c>
      <c r="U99" s="46">
        <f t="shared" si="58"/>
        <v>0</v>
      </c>
      <c r="V99" s="47">
        <f t="shared" si="59"/>
        <v>0</v>
      </c>
      <c r="W99" s="48">
        <f t="shared" si="60"/>
        <v>0</v>
      </c>
      <c r="X99" s="43">
        <f t="shared" si="61"/>
        <v>0</v>
      </c>
      <c r="Y99" s="43">
        <f t="shared" si="62"/>
        <v>0</v>
      </c>
      <c r="Z99" s="43">
        <f t="shared" si="63"/>
        <v>0</v>
      </c>
      <c r="AA99" s="49">
        <f t="shared" si="64"/>
        <v>0</v>
      </c>
      <c r="AB99" s="50">
        <f t="shared" si="65"/>
        <v>0</v>
      </c>
      <c r="AC99" s="43">
        <f t="shared" si="66"/>
        <v>0</v>
      </c>
      <c r="AD99" s="43">
        <f t="shared" si="67"/>
        <v>0</v>
      </c>
      <c r="AE99" s="43">
        <f t="shared" si="68"/>
        <v>0</v>
      </c>
      <c r="AF99" s="51" t="e">
        <f>HLOOKUP(I99,GasAvoidedCostsWOCC!$A$5:$G$50,G99+1,FALSE)</f>
        <v>#N/A</v>
      </c>
      <c r="AG99" s="43" t="e">
        <f t="shared" si="69"/>
        <v>#N/A</v>
      </c>
      <c r="AH99" s="51" t="e">
        <f>HLOOKUP(I99,GasAvoidedCostsWOCC!$A$5:$Q$50,T99+1,FALSE)</f>
        <v>#N/A</v>
      </c>
      <c r="AI99" s="43" t="e">
        <f t="shared" si="70"/>
        <v>#N/A</v>
      </c>
      <c r="AJ99" s="43" t="e">
        <f t="shared" si="71"/>
        <v>#N/A</v>
      </c>
      <c r="AK99" s="43" t="e">
        <f>HLOOKUP(I99,GasAvoidedCostsWOCC!$A$5:$Q$50,G99+1,FALSE)*J99*L99</f>
        <v>#N/A</v>
      </c>
      <c r="AL99" s="43" t="e">
        <f t="shared" si="7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73"/>
        <v>0</v>
      </c>
      <c r="AO99" s="46">
        <f t="shared" si="74"/>
        <v>0</v>
      </c>
      <c r="AP99" s="46" t="e">
        <f t="shared" si="75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7"/>
        <v>0</v>
      </c>
      <c r="U100" s="46">
        <f t="shared" si="58"/>
        <v>0</v>
      </c>
      <c r="V100" s="47">
        <f t="shared" si="59"/>
        <v>0</v>
      </c>
      <c r="W100" s="48">
        <f t="shared" si="60"/>
        <v>0</v>
      </c>
      <c r="X100" s="43">
        <f t="shared" si="61"/>
        <v>0</v>
      </c>
      <c r="Y100" s="43">
        <f t="shared" si="62"/>
        <v>0</v>
      </c>
      <c r="Z100" s="43">
        <f t="shared" si="63"/>
        <v>0</v>
      </c>
      <c r="AA100" s="49">
        <f t="shared" si="64"/>
        <v>0</v>
      </c>
      <c r="AB100" s="50">
        <f t="shared" si="65"/>
        <v>0</v>
      </c>
      <c r="AC100" s="43">
        <f t="shared" si="66"/>
        <v>0</v>
      </c>
      <c r="AD100" s="43">
        <f t="shared" si="67"/>
        <v>0</v>
      </c>
      <c r="AE100" s="43">
        <f t="shared" si="68"/>
        <v>0</v>
      </c>
      <c r="AF100" s="51" t="e">
        <f>HLOOKUP(I100,GasAvoidedCostsWOCC!$A$5:$G$50,G100+1,FALSE)</f>
        <v>#N/A</v>
      </c>
      <c r="AG100" s="43" t="e">
        <f t="shared" si="69"/>
        <v>#N/A</v>
      </c>
      <c r="AH100" s="51" t="e">
        <f>HLOOKUP(I100,GasAvoidedCostsWOCC!$A$5:$Q$50,T100+1,FALSE)</f>
        <v>#N/A</v>
      </c>
      <c r="AI100" s="43" t="e">
        <f t="shared" si="70"/>
        <v>#N/A</v>
      </c>
      <c r="AJ100" s="43" t="e">
        <f t="shared" si="71"/>
        <v>#N/A</v>
      </c>
      <c r="AK100" s="43" t="e">
        <f>HLOOKUP(I100,GasAvoidedCostsWOCC!$A$5:$Q$50,G100+1,FALSE)*J100*L100</f>
        <v>#N/A</v>
      </c>
      <c r="AL100" s="43" t="e">
        <f t="shared" si="7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73"/>
        <v>0</v>
      </c>
      <c r="AO100" s="46">
        <f t="shared" si="74"/>
        <v>0</v>
      </c>
      <c r="AP100" s="46" t="e">
        <f t="shared" si="75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7"/>
        <v>0</v>
      </c>
      <c r="U101" s="46">
        <f t="shared" si="58"/>
        <v>0</v>
      </c>
      <c r="V101" s="47">
        <f t="shared" si="59"/>
        <v>0</v>
      </c>
      <c r="W101" s="48">
        <f t="shared" si="60"/>
        <v>0</v>
      </c>
      <c r="X101" s="43">
        <f t="shared" si="61"/>
        <v>0</v>
      </c>
      <c r="Y101" s="43">
        <f t="shared" si="62"/>
        <v>0</v>
      </c>
      <c r="Z101" s="43">
        <f t="shared" si="63"/>
        <v>0</v>
      </c>
      <c r="AA101" s="49">
        <f t="shared" si="64"/>
        <v>0</v>
      </c>
      <c r="AB101" s="50">
        <f t="shared" si="65"/>
        <v>0</v>
      </c>
      <c r="AC101" s="43">
        <f t="shared" si="66"/>
        <v>0</v>
      </c>
      <c r="AD101" s="43">
        <f t="shared" si="67"/>
        <v>0</v>
      </c>
      <c r="AE101" s="43">
        <f t="shared" si="68"/>
        <v>0</v>
      </c>
      <c r="AF101" s="51" t="e">
        <f>HLOOKUP(I101,GasAvoidedCostsWOCC!$A$5:$G$50,G101+1,FALSE)</f>
        <v>#N/A</v>
      </c>
      <c r="AG101" s="43" t="e">
        <f t="shared" si="69"/>
        <v>#N/A</v>
      </c>
      <c r="AH101" s="51" t="e">
        <f>HLOOKUP(I101,GasAvoidedCostsWOCC!$A$5:$Q$50,T101+1,FALSE)</f>
        <v>#N/A</v>
      </c>
      <c r="AI101" s="43" t="e">
        <f t="shared" si="70"/>
        <v>#N/A</v>
      </c>
      <c r="AJ101" s="43" t="e">
        <f t="shared" si="71"/>
        <v>#N/A</v>
      </c>
      <c r="AK101" s="43" t="e">
        <f>HLOOKUP(I101,GasAvoidedCostsWOCC!$A$5:$Q$50,G101+1,FALSE)*J101*L101</f>
        <v>#N/A</v>
      </c>
      <c r="AL101" s="43" t="e">
        <f t="shared" si="7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73"/>
        <v>0</v>
      </c>
      <c r="AO101" s="46">
        <f t="shared" si="74"/>
        <v>0</v>
      </c>
      <c r="AP101" s="46" t="e">
        <f t="shared" si="75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7"/>
        <v>0</v>
      </c>
      <c r="U102" s="46">
        <f t="shared" si="58"/>
        <v>0</v>
      </c>
      <c r="V102" s="47">
        <f t="shared" si="59"/>
        <v>0</v>
      </c>
      <c r="W102" s="48">
        <f t="shared" si="60"/>
        <v>0</v>
      </c>
      <c r="X102" s="43">
        <f t="shared" si="61"/>
        <v>0</v>
      </c>
      <c r="Y102" s="43">
        <f t="shared" si="62"/>
        <v>0</v>
      </c>
      <c r="Z102" s="43">
        <f t="shared" si="63"/>
        <v>0</v>
      </c>
      <c r="AA102" s="49">
        <f t="shared" si="64"/>
        <v>0</v>
      </c>
      <c r="AB102" s="50">
        <f t="shared" si="65"/>
        <v>0</v>
      </c>
      <c r="AC102" s="43">
        <f t="shared" si="66"/>
        <v>0</v>
      </c>
      <c r="AD102" s="43">
        <f t="shared" si="67"/>
        <v>0</v>
      </c>
      <c r="AE102" s="43">
        <f t="shared" si="68"/>
        <v>0</v>
      </c>
      <c r="AF102" s="51" t="e">
        <f>HLOOKUP(I102,GasAvoidedCostsWOCC!$A$5:$G$50,G102+1,FALSE)</f>
        <v>#N/A</v>
      </c>
      <c r="AG102" s="43" t="e">
        <f t="shared" si="69"/>
        <v>#N/A</v>
      </c>
      <c r="AH102" s="51" t="e">
        <f>HLOOKUP(I102,GasAvoidedCostsWOCC!$A$5:$Q$50,T102+1,FALSE)</f>
        <v>#N/A</v>
      </c>
      <c r="AI102" s="43" t="e">
        <f t="shared" si="70"/>
        <v>#N/A</v>
      </c>
      <c r="AJ102" s="43" t="e">
        <f t="shared" si="71"/>
        <v>#N/A</v>
      </c>
      <c r="AK102" s="43" t="e">
        <f>HLOOKUP(I102,GasAvoidedCostsWOCC!$A$5:$Q$50,G102+1,FALSE)*J102*L102</f>
        <v>#N/A</v>
      </c>
      <c r="AL102" s="43" t="e">
        <f t="shared" si="7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73"/>
        <v>0</v>
      </c>
      <c r="AO102" s="46">
        <f t="shared" si="74"/>
        <v>0</v>
      </c>
      <c r="AP102" s="46" t="e">
        <f t="shared" si="75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7"/>
        <v>0</v>
      </c>
      <c r="U103" s="46">
        <f t="shared" si="58"/>
        <v>0</v>
      </c>
      <c r="V103" s="47">
        <f t="shared" si="59"/>
        <v>0</v>
      </c>
      <c r="W103" s="48">
        <f t="shared" si="60"/>
        <v>0</v>
      </c>
      <c r="X103" s="43">
        <f t="shared" si="61"/>
        <v>0</v>
      </c>
      <c r="Y103" s="43">
        <f t="shared" si="62"/>
        <v>0</v>
      </c>
      <c r="Z103" s="43">
        <f t="shared" si="63"/>
        <v>0</v>
      </c>
      <c r="AA103" s="49">
        <f t="shared" si="64"/>
        <v>0</v>
      </c>
      <c r="AB103" s="50">
        <f t="shared" si="65"/>
        <v>0</v>
      </c>
      <c r="AC103" s="43">
        <f t="shared" si="66"/>
        <v>0</v>
      </c>
      <c r="AD103" s="43">
        <f t="shared" si="67"/>
        <v>0</v>
      </c>
      <c r="AE103" s="43">
        <f t="shared" si="68"/>
        <v>0</v>
      </c>
      <c r="AF103" s="51" t="e">
        <f>HLOOKUP(I103,GasAvoidedCostsWOCC!$A$5:$G$50,G103+1,FALSE)</f>
        <v>#N/A</v>
      </c>
      <c r="AG103" s="43" t="e">
        <f t="shared" si="69"/>
        <v>#N/A</v>
      </c>
      <c r="AH103" s="51" t="e">
        <f>HLOOKUP(I103,GasAvoidedCostsWOCC!$A$5:$Q$50,T103+1,FALSE)</f>
        <v>#N/A</v>
      </c>
      <c r="AI103" s="43" t="e">
        <f t="shared" si="70"/>
        <v>#N/A</v>
      </c>
      <c r="AJ103" s="43" t="e">
        <f t="shared" si="71"/>
        <v>#N/A</v>
      </c>
      <c r="AK103" s="43" t="e">
        <f>HLOOKUP(I103,GasAvoidedCostsWOCC!$A$5:$Q$50,G103+1,FALSE)*J103*L103</f>
        <v>#N/A</v>
      </c>
      <c r="AL103" s="43" t="e">
        <f t="shared" si="7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73"/>
        <v>0</v>
      </c>
      <c r="AO103" s="46">
        <f t="shared" si="74"/>
        <v>0</v>
      </c>
      <c r="AP103" s="46" t="e">
        <f t="shared" si="75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7"/>
        <v>0</v>
      </c>
      <c r="U104" s="46">
        <f t="shared" si="58"/>
        <v>0</v>
      </c>
      <c r="V104" s="47">
        <f t="shared" si="59"/>
        <v>0</v>
      </c>
      <c r="W104" s="48">
        <f t="shared" si="60"/>
        <v>0</v>
      </c>
      <c r="X104" s="43">
        <f t="shared" si="61"/>
        <v>0</v>
      </c>
      <c r="Y104" s="43">
        <f t="shared" si="62"/>
        <v>0</v>
      </c>
      <c r="Z104" s="43">
        <f t="shared" si="63"/>
        <v>0</v>
      </c>
      <c r="AA104" s="49">
        <f t="shared" si="64"/>
        <v>0</v>
      </c>
      <c r="AB104" s="50">
        <f t="shared" si="65"/>
        <v>0</v>
      </c>
      <c r="AC104" s="43">
        <f t="shared" si="66"/>
        <v>0</v>
      </c>
      <c r="AD104" s="43">
        <f t="shared" si="67"/>
        <v>0</v>
      </c>
      <c r="AE104" s="43">
        <f t="shared" si="68"/>
        <v>0</v>
      </c>
      <c r="AF104" s="51" t="e">
        <f>HLOOKUP(I104,GasAvoidedCostsWOCC!$A$5:$G$50,G104+1,FALSE)</f>
        <v>#N/A</v>
      </c>
      <c r="AG104" s="43" t="e">
        <f t="shared" si="69"/>
        <v>#N/A</v>
      </c>
      <c r="AH104" s="51" t="e">
        <f>HLOOKUP(I104,GasAvoidedCostsWOCC!$A$5:$Q$50,T104+1,FALSE)</f>
        <v>#N/A</v>
      </c>
      <c r="AI104" s="43" t="e">
        <f t="shared" si="70"/>
        <v>#N/A</v>
      </c>
      <c r="AJ104" s="43" t="e">
        <f t="shared" si="71"/>
        <v>#N/A</v>
      </c>
      <c r="AK104" s="43" t="e">
        <f>HLOOKUP(I104,GasAvoidedCostsWOCC!$A$5:$Q$50,G104+1,FALSE)*J104*L104</f>
        <v>#N/A</v>
      </c>
      <c r="AL104" s="43" t="e">
        <f t="shared" si="7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73"/>
        <v>0</v>
      </c>
      <c r="AO104" s="46">
        <f t="shared" si="74"/>
        <v>0</v>
      </c>
      <c r="AP104" s="46" t="e">
        <f t="shared" si="75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7"/>
        <v>0</v>
      </c>
      <c r="U105" s="46">
        <f t="shared" si="58"/>
        <v>0</v>
      </c>
      <c r="V105" s="47">
        <f t="shared" si="59"/>
        <v>0</v>
      </c>
      <c r="W105" s="48">
        <f t="shared" si="60"/>
        <v>0</v>
      </c>
      <c r="X105" s="43">
        <f t="shared" si="61"/>
        <v>0</v>
      </c>
      <c r="Y105" s="43">
        <f t="shared" si="62"/>
        <v>0</v>
      </c>
      <c r="Z105" s="43">
        <f t="shared" si="63"/>
        <v>0</v>
      </c>
      <c r="AA105" s="49">
        <f t="shared" si="64"/>
        <v>0</v>
      </c>
      <c r="AB105" s="50">
        <f t="shared" si="65"/>
        <v>0</v>
      </c>
      <c r="AC105" s="43">
        <f t="shared" si="66"/>
        <v>0</v>
      </c>
      <c r="AD105" s="43">
        <f t="shared" si="67"/>
        <v>0</v>
      </c>
      <c r="AE105" s="43">
        <f t="shared" si="68"/>
        <v>0</v>
      </c>
      <c r="AF105" s="51" t="e">
        <f>HLOOKUP(I105,GasAvoidedCostsWOCC!$A$5:$G$50,G105+1,FALSE)</f>
        <v>#N/A</v>
      </c>
      <c r="AG105" s="43" t="e">
        <f t="shared" si="69"/>
        <v>#N/A</v>
      </c>
      <c r="AH105" s="51" t="e">
        <f>HLOOKUP(I105,GasAvoidedCostsWOCC!$A$5:$Q$50,T105+1,FALSE)</f>
        <v>#N/A</v>
      </c>
      <c r="AI105" s="43" t="e">
        <f t="shared" si="70"/>
        <v>#N/A</v>
      </c>
      <c r="AJ105" s="43" t="e">
        <f t="shared" si="71"/>
        <v>#N/A</v>
      </c>
      <c r="AK105" s="43" t="e">
        <f>HLOOKUP(I105,GasAvoidedCostsWOCC!$A$5:$Q$50,G105+1,FALSE)*J105*L105</f>
        <v>#N/A</v>
      </c>
      <c r="AL105" s="43" t="e">
        <f t="shared" si="7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73"/>
        <v>0</v>
      </c>
      <c r="AO105" s="46">
        <f t="shared" si="74"/>
        <v>0</v>
      </c>
      <c r="AP105" s="46" t="e">
        <f t="shared" si="75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7"/>
        <v>0</v>
      </c>
      <c r="U106" s="46">
        <f t="shared" si="58"/>
        <v>0</v>
      </c>
      <c r="V106" s="47">
        <f t="shared" si="59"/>
        <v>0</v>
      </c>
      <c r="W106" s="48">
        <f t="shared" si="60"/>
        <v>0</v>
      </c>
      <c r="X106" s="43">
        <f t="shared" si="61"/>
        <v>0</v>
      </c>
      <c r="Y106" s="43">
        <f t="shared" si="62"/>
        <v>0</v>
      </c>
      <c r="Z106" s="43">
        <f t="shared" si="63"/>
        <v>0</v>
      </c>
      <c r="AA106" s="49">
        <f t="shared" si="64"/>
        <v>0</v>
      </c>
      <c r="AB106" s="50">
        <f t="shared" si="65"/>
        <v>0</v>
      </c>
      <c r="AC106" s="43">
        <f t="shared" si="66"/>
        <v>0</v>
      </c>
      <c r="AD106" s="43">
        <f t="shared" si="67"/>
        <v>0</v>
      </c>
      <c r="AE106" s="43">
        <f t="shared" si="68"/>
        <v>0</v>
      </c>
      <c r="AF106" s="51" t="e">
        <f>HLOOKUP(I106,GasAvoidedCostsWOCC!$A$5:$G$50,G106+1,FALSE)</f>
        <v>#N/A</v>
      </c>
      <c r="AG106" s="43" t="e">
        <f t="shared" si="69"/>
        <v>#N/A</v>
      </c>
      <c r="AH106" s="51" t="e">
        <f>HLOOKUP(I106,GasAvoidedCostsWOCC!$A$5:$Q$50,T106+1,FALSE)</f>
        <v>#N/A</v>
      </c>
      <c r="AI106" s="43" t="e">
        <f t="shared" si="70"/>
        <v>#N/A</v>
      </c>
      <c r="AJ106" s="43" t="e">
        <f t="shared" si="71"/>
        <v>#N/A</v>
      </c>
      <c r="AK106" s="43" t="e">
        <f>HLOOKUP(I106,GasAvoidedCostsWOCC!$A$5:$Q$50,G106+1,FALSE)*J106*L106</f>
        <v>#N/A</v>
      </c>
      <c r="AL106" s="43" t="e">
        <f t="shared" si="7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73"/>
        <v>0</v>
      </c>
      <c r="AO106" s="46">
        <f t="shared" si="74"/>
        <v>0</v>
      </c>
      <c r="AP106" s="46" t="e">
        <f t="shared" si="75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7"/>
        <v>0</v>
      </c>
      <c r="U107" s="46">
        <f t="shared" si="58"/>
        <v>0</v>
      </c>
      <c r="V107" s="47">
        <f t="shared" si="59"/>
        <v>0</v>
      </c>
      <c r="W107" s="48">
        <f t="shared" si="60"/>
        <v>0</v>
      </c>
      <c r="X107" s="43">
        <f t="shared" si="61"/>
        <v>0</v>
      </c>
      <c r="Y107" s="43">
        <f t="shared" si="62"/>
        <v>0</v>
      </c>
      <c r="Z107" s="43">
        <f t="shared" si="63"/>
        <v>0</v>
      </c>
      <c r="AA107" s="49">
        <f t="shared" si="64"/>
        <v>0</v>
      </c>
      <c r="AB107" s="50">
        <f t="shared" si="65"/>
        <v>0</v>
      </c>
      <c r="AC107" s="43">
        <f t="shared" si="66"/>
        <v>0</v>
      </c>
      <c r="AD107" s="43">
        <f t="shared" si="67"/>
        <v>0</v>
      </c>
      <c r="AE107" s="43">
        <f t="shared" si="68"/>
        <v>0</v>
      </c>
      <c r="AF107" s="51" t="e">
        <f>HLOOKUP(I107,GasAvoidedCostsWOCC!$A$5:$G$50,G107+1,FALSE)</f>
        <v>#N/A</v>
      </c>
      <c r="AG107" s="43" t="e">
        <f t="shared" si="69"/>
        <v>#N/A</v>
      </c>
      <c r="AH107" s="51" t="e">
        <f>HLOOKUP(I107,GasAvoidedCostsWOCC!$A$5:$Q$50,T107+1,FALSE)</f>
        <v>#N/A</v>
      </c>
      <c r="AI107" s="43" t="e">
        <f t="shared" si="70"/>
        <v>#N/A</v>
      </c>
      <c r="AJ107" s="43" t="e">
        <f t="shared" si="71"/>
        <v>#N/A</v>
      </c>
      <c r="AK107" s="43" t="e">
        <f>HLOOKUP(I107,GasAvoidedCostsWOCC!$A$5:$Q$50,G107+1,FALSE)*J107*L107</f>
        <v>#N/A</v>
      </c>
      <c r="AL107" s="43" t="e">
        <f t="shared" si="7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73"/>
        <v>0</v>
      </c>
      <c r="AO107" s="46">
        <f t="shared" si="74"/>
        <v>0</v>
      </c>
      <c r="AP107" s="46" t="e">
        <f t="shared" si="75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7"/>
        <v>0</v>
      </c>
      <c r="U108" s="46">
        <f t="shared" si="58"/>
        <v>0</v>
      </c>
      <c r="V108" s="47">
        <f t="shared" si="59"/>
        <v>0</v>
      </c>
      <c r="W108" s="48">
        <f t="shared" si="60"/>
        <v>0</v>
      </c>
      <c r="X108" s="43">
        <f t="shared" si="61"/>
        <v>0</v>
      </c>
      <c r="Y108" s="43">
        <f t="shared" si="62"/>
        <v>0</v>
      </c>
      <c r="Z108" s="43">
        <f t="shared" si="63"/>
        <v>0</v>
      </c>
      <c r="AA108" s="49">
        <f t="shared" si="64"/>
        <v>0</v>
      </c>
      <c r="AB108" s="50">
        <f t="shared" si="65"/>
        <v>0</v>
      </c>
      <c r="AC108" s="43">
        <f t="shared" si="66"/>
        <v>0</v>
      </c>
      <c r="AD108" s="43">
        <f t="shared" si="67"/>
        <v>0</v>
      </c>
      <c r="AE108" s="43">
        <f t="shared" si="68"/>
        <v>0</v>
      </c>
      <c r="AF108" s="51" t="e">
        <f>HLOOKUP(I108,GasAvoidedCostsWOCC!$A$5:$G$50,G108+1,FALSE)</f>
        <v>#N/A</v>
      </c>
      <c r="AG108" s="43" t="e">
        <f t="shared" si="69"/>
        <v>#N/A</v>
      </c>
      <c r="AH108" s="51" t="e">
        <f>HLOOKUP(I108,GasAvoidedCostsWOCC!$A$5:$Q$50,T108+1,FALSE)</f>
        <v>#N/A</v>
      </c>
      <c r="AI108" s="43" t="e">
        <f t="shared" si="70"/>
        <v>#N/A</v>
      </c>
      <c r="AJ108" s="43" t="e">
        <f t="shared" si="71"/>
        <v>#N/A</v>
      </c>
      <c r="AK108" s="43" t="e">
        <f>HLOOKUP(I108,GasAvoidedCostsWOCC!$A$5:$Q$50,G108+1,FALSE)*J108*L108</f>
        <v>#N/A</v>
      </c>
      <c r="AL108" s="43" t="e">
        <f t="shared" si="7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73"/>
        <v>0</v>
      </c>
      <c r="AO108" s="46">
        <f t="shared" si="74"/>
        <v>0</v>
      </c>
      <c r="AP108" s="46" t="e">
        <f t="shared" si="75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7"/>
        <v>0</v>
      </c>
      <c r="U109" s="46">
        <f t="shared" si="58"/>
        <v>0</v>
      </c>
      <c r="V109" s="47">
        <f t="shared" si="59"/>
        <v>0</v>
      </c>
      <c r="W109" s="48">
        <f t="shared" si="60"/>
        <v>0</v>
      </c>
      <c r="X109" s="43">
        <f t="shared" si="61"/>
        <v>0</v>
      </c>
      <c r="Y109" s="43">
        <f t="shared" si="62"/>
        <v>0</v>
      </c>
      <c r="Z109" s="43">
        <f t="shared" si="63"/>
        <v>0</v>
      </c>
      <c r="AA109" s="49">
        <f t="shared" si="64"/>
        <v>0</v>
      </c>
      <c r="AB109" s="50">
        <f t="shared" si="65"/>
        <v>0</v>
      </c>
      <c r="AC109" s="43">
        <f t="shared" si="66"/>
        <v>0</v>
      </c>
      <c r="AD109" s="43">
        <f t="shared" si="67"/>
        <v>0</v>
      </c>
      <c r="AE109" s="43">
        <f t="shared" si="68"/>
        <v>0</v>
      </c>
      <c r="AF109" s="51" t="e">
        <f>HLOOKUP(I109,GasAvoidedCostsWOCC!$A$5:$G$50,G109+1,FALSE)</f>
        <v>#N/A</v>
      </c>
      <c r="AG109" s="43" t="e">
        <f t="shared" si="69"/>
        <v>#N/A</v>
      </c>
      <c r="AH109" s="51" t="e">
        <f>HLOOKUP(I109,GasAvoidedCostsWOCC!$A$5:$Q$50,T109+1,FALSE)</f>
        <v>#N/A</v>
      </c>
      <c r="AI109" s="43" t="e">
        <f t="shared" si="70"/>
        <v>#N/A</v>
      </c>
      <c r="AJ109" s="43" t="e">
        <f t="shared" si="71"/>
        <v>#N/A</v>
      </c>
      <c r="AK109" s="43" t="e">
        <f>HLOOKUP(I109,GasAvoidedCostsWOCC!$A$5:$Q$50,G109+1,FALSE)*J109*L109</f>
        <v>#N/A</v>
      </c>
      <c r="AL109" s="43" t="e">
        <f t="shared" si="7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73"/>
        <v>0</v>
      </c>
      <c r="AO109" s="46">
        <f t="shared" si="74"/>
        <v>0</v>
      </c>
      <c r="AP109" s="46" t="e">
        <f t="shared" si="75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7"/>
        <v>0</v>
      </c>
      <c r="U110" s="46">
        <f t="shared" si="58"/>
        <v>0</v>
      </c>
      <c r="V110" s="47">
        <f t="shared" si="59"/>
        <v>0</v>
      </c>
      <c r="W110" s="48">
        <f t="shared" si="60"/>
        <v>0</v>
      </c>
      <c r="X110" s="43">
        <f t="shared" si="61"/>
        <v>0</v>
      </c>
      <c r="Y110" s="43">
        <f t="shared" si="62"/>
        <v>0</v>
      </c>
      <c r="Z110" s="43">
        <f t="shared" si="63"/>
        <v>0</v>
      </c>
      <c r="AA110" s="49">
        <f t="shared" si="64"/>
        <v>0</v>
      </c>
      <c r="AB110" s="50">
        <f t="shared" si="65"/>
        <v>0</v>
      </c>
      <c r="AC110" s="43">
        <f t="shared" si="66"/>
        <v>0</v>
      </c>
      <c r="AD110" s="43">
        <f t="shared" si="67"/>
        <v>0</v>
      </c>
      <c r="AE110" s="43">
        <f t="shared" si="68"/>
        <v>0</v>
      </c>
      <c r="AF110" s="51" t="e">
        <f>HLOOKUP(I110,GasAvoidedCostsWOCC!$A$5:$G$50,G110+1,FALSE)</f>
        <v>#N/A</v>
      </c>
      <c r="AG110" s="43" t="e">
        <f t="shared" si="69"/>
        <v>#N/A</v>
      </c>
      <c r="AH110" s="51" t="e">
        <f>HLOOKUP(I110,GasAvoidedCostsWOCC!$A$5:$Q$50,T110+1,FALSE)</f>
        <v>#N/A</v>
      </c>
      <c r="AI110" s="43" t="e">
        <f t="shared" si="70"/>
        <v>#N/A</v>
      </c>
      <c r="AJ110" s="43" t="e">
        <f t="shared" si="71"/>
        <v>#N/A</v>
      </c>
      <c r="AK110" s="43" t="e">
        <f>HLOOKUP(I110,GasAvoidedCostsWOCC!$A$5:$Q$50,G110+1,FALSE)*J110*L110</f>
        <v>#N/A</v>
      </c>
      <c r="AL110" s="43" t="e">
        <f t="shared" si="7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73"/>
        <v>0</v>
      </c>
      <c r="AO110" s="46">
        <f t="shared" si="74"/>
        <v>0</v>
      </c>
      <c r="AP110" s="46" t="e">
        <f t="shared" si="75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7"/>
        <v>0</v>
      </c>
      <c r="U111" s="46">
        <f t="shared" si="58"/>
        <v>0</v>
      </c>
      <c r="V111" s="47">
        <f t="shared" si="59"/>
        <v>0</v>
      </c>
      <c r="W111" s="48">
        <f t="shared" si="60"/>
        <v>0</v>
      </c>
      <c r="X111" s="43">
        <f t="shared" si="61"/>
        <v>0</v>
      </c>
      <c r="Y111" s="43">
        <f t="shared" si="62"/>
        <v>0</v>
      </c>
      <c r="Z111" s="43">
        <f t="shared" si="63"/>
        <v>0</v>
      </c>
      <c r="AA111" s="49">
        <f t="shared" si="64"/>
        <v>0</v>
      </c>
      <c r="AB111" s="50">
        <f t="shared" si="65"/>
        <v>0</v>
      </c>
      <c r="AC111" s="43">
        <f t="shared" si="66"/>
        <v>0</v>
      </c>
      <c r="AD111" s="43">
        <f t="shared" si="67"/>
        <v>0</v>
      </c>
      <c r="AE111" s="43">
        <f t="shared" si="68"/>
        <v>0</v>
      </c>
      <c r="AF111" s="51" t="e">
        <f>HLOOKUP(I111,GasAvoidedCostsWOCC!$A$5:$G$50,G111+1,FALSE)</f>
        <v>#N/A</v>
      </c>
      <c r="AG111" s="43" t="e">
        <f t="shared" si="69"/>
        <v>#N/A</v>
      </c>
      <c r="AH111" s="51" t="e">
        <f>HLOOKUP(I111,GasAvoidedCostsWOCC!$A$5:$Q$50,T111+1,FALSE)</f>
        <v>#N/A</v>
      </c>
      <c r="AI111" s="43" t="e">
        <f t="shared" si="70"/>
        <v>#N/A</v>
      </c>
      <c r="AJ111" s="43" t="e">
        <f t="shared" si="71"/>
        <v>#N/A</v>
      </c>
      <c r="AK111" s="43" t="e">
        <f>HLOOKUP(I111,GasAvoidedCostsWOCC!$A$5:$Q$50,G111+1,FALSE)*J111*L111</f>
        <v>#N/A</v>
      </c>
      <c r="AL111" s="43" t="e">
        <f t="shared" si="7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73"/>
        <v>0</v>
      </c>
      <c r="AO111" s="46">
        <f t="shared" si="74"/>
        <v>0</v>
      </c>
      <c r="AP111" s="46" t="e">
        <f t="shared" si="75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57"/>
        <v>0</v>
      </c>
      <c r="U112" s="46">
        <f t="shared" si="58"/>
        <v>0</v>
      </c>
      <c r="V112" s="47">
        <f t="shared" si="59"/>
        <v>0</v>
      </c>
      <c r="W112" s="48">
        <f t="shared" si="60"/>
        <v>0</v>
      </c>
      <c r="X112" s="43">
        <f t="shared" si="61"/>
        <v>0</v>
      </c>
      <c r="Y112" s="43">
        <f t="shared" si="62"/>
        <v>0</v>
      </c>
      <c r="Z112" s="43">
        <f t="shared" si="63"/>
        <v>0</v>
      </c>
      <c r="AA112" s="49">
        <f t="shared" si="64"/>
        <v>0</v>
      </c>
      <c r="AB112" s="50">
        <f t="shared" si="65"/>
        <v>0</v>
      </c>
      <c r="AC112" s="43">
        <f t="shared" si="66"/>
        <v>0</v>
      </c>
      <c r="AD112" s="43">
        <f t="shared" si="67"/>
        <v>0</v>
      </c>
      <c r="AE112" s="43">
        <f t="shared" si="68"/>
        <v>0</v>
      </c>
      <c r="AF112" s="51" t="e">
        <f>HLOOKUP(I112,GasAvoidedCostsWOCC!$A$5:$G$50,G112+1,FALSE)</f>
        <v>#N/A</v>
      </c>
      <c r="AG112" s="43" t="e">
        <f t="shared" si="69"/>
        <v>#N/A</v>
      </c>
      <c r="AH112" s="51" t="e">
        <f>HLOOKUP(I112,GasAvoidedCostsWOCC!$A$5:$Q$50,T112+1,FALSE)</f>
        <v>#N/A</v>
      </c>
      <c r="AI112" s="43" t="e">
        <f t="shared" si="70"/>
        <v>#N/A</v>
      </c>
      <c r="AJ112" s="43" t="e">
        <f t="shared" si="71"/>
        <v>#N/A</v>
      </c>
      <c r="AK112" s="43" t="e">
        <f>HLOOKUP(I112,GasAvoidedCostsWOCC!$A$5:$Q$50,G112+1,FALSE)*J112*L112</f>
        <v>#N/A</v>
      </c>
      <c r="AL112" s="43" t="e">
        <f t="shared" si="7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73"/>
        <v>0</v>
      </c>
      <c r="AO112" s="46">
        <f t="shared" si="74"/>
        <v>0</v>
      </c>
      <c r="AP112" s="46" t="e">
        <f t="shared" si="75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57"/>
        <v>0</v>
      </c>
      <c r="U113" s="46">
        <f t="shared" si="58"/>
        <v>0</v>
      </c>
      <c r="V113" s="47">
        <f t="shared" si="59"/>
        <v>0</v>
      </c>
      <c r="W113" s="48">
        <f t="shared" si="60"/>
        <v>0</v>
      </c>
      <c r="X113" s="43">
        <f t="shared" si="61"/>
        <v>0</v>
      </c>
      <c r="Y113" s="43">
        <f t="shared" si="62"/>
        <v>0</v>
      </c>
      <c r="Z113" s="43">
        <f t="shared" si="63"/>
        <v>0</v>
      </c>
      <c r="AA113" s="49">
        <f t="shared" si="64"/>
        <v>0</v>
      </c>
      <c r="AB113" s="50">
        <f t="shared" si="65"/>
        <v>0</v>
      </c>
      <c r="AC113" s="43">
        <f t="shared" si="66"/>
        <v>0</v>
      </c>
      <c r="AD113" s="43">
        <f t="shared" si="67"/>
        <v>0</v>
      </c>
      <c r="AE113" s="43">
        <f t="shared" si="68"/>
        <v>0</v>
      </c>
      <c r="AF113" s="51" t="e">
        <f>HLOOKUP(I113,GasAvoidedCostsWOCC!$A$5:$G$50,G113+1,FALSE)</f>
        <v>#N/A</v>
      </c>
      <c r="AG113" s="43" t="e">
        <f t="shared" si="69"/>
        <v>#N/A</v>
      </c>
      <c r="AH113" s="51" t="e">
        <f>HLOOKUP(I113,GasAvoidedCostsWOCC!$A$5:$Q$50,T113+1,FALSE)</f>
        <v>#N/A</v>
      </c>
      <c r="AI113" s="43" t="e">
        <f t="shared" si="70"/>
        <v>#N/A</v>
      </c>
      <c r="AJ113" s="43" t="e">
        <f t="shared" si="71"/>
        <v>#N/A</v>
      </c>
      <c r="AK113" s="43" t="e">
        <f>HLOOKUP(I113,GasAvoidedCostsWOCC!$A$5:$Q$50,G113+1,FALSE)*J113*L113</f>
        <v>#N/A</v>
      </c>
      <c r="AL113" s="43" t="e">
        <f t="shared" si="7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73"/>
        <v>0</v>
      </c>
      <c r="AO113" s="46">
        <f t="shared" si="74"/>
        <v>0</v>
      </c>
      <c r="AP113" s="46" t="e">
        <f t="shared" si="75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57"/>
        <v>0</v>
      </c>
      <c r="U114" s="46">
        <f t="shared" si="58"/>
        <v>0</v>
      </c>
      <c r="V114" s="47">
        <f t="shared" si="59"/>
        <v>0</v>
      </c>
      <c r="W114" s="48">
        <f t="shared" si="60"/>
        <v>0</v>
      </c>
      <c r="X114" s="43">
        <f t="shared" si="61"/>
        <v>0</v>
      </c>
      <c r="Y114" s="43">
        <f t="shared" si="62"/>
        <v>0</v>
      </c>
      <c r="Z114" s="43">
        <f t="shared" si="63"/>
        <v>0</v>
      </c>
      <c r="AA114" s="49">
        <f t="shared" si="64"/>
        <v>0</v>
      </c>
      <c r="AB114" s="50">
        <f t="shared" si="65"/>
        <v>0</v>
      </c>
      <c r="AC114" s="43">
        <f t="shared" si="66"/>
        <v>0</v>
      </c>
      <c r="AD114" s="43">
        <f t="shared" si="67"/>
        <v>0</v>
      </c>
      <c r="AE114" s="43">
        <f t="shared" si="68"/>
        <v>0</v>
      </c>
      <c r="AF114" s="51" t="e">
        <f>HLOOKUP(I114,GasAvoidedCostsWOCC!$A$5:$G$50,G114+1,FALSE)</f>
        <v>#N/A</v>
      </c>
      <c r="AG114" s="43" t="e">
        <f t="shared" si="69"/>
        <v>#N/A</v>
      </c>
      <c r="AH114" s="51" t="e">
        <f>HLOOKUP(I114,GasAvoidedCostsWOCC!$A$5:$Q$50,T114+1,FALSE)</f>
        <v>#N/A</v>
      </c>
      <c r="AI114" s="43" t="e">
        <f t="shared" si="70"/>
        <v>#N/A</v>
      </c>
      <c r="AJ114" s="43" t="e">
        <f t="shared" si="71"/>
        <v>#N/A</v>
      </c>
      <c r="AK114" s="43" t="e">
        <f>HLOOKUP(I114,GasAvoidedCostsWOCC!$A$5:$Q$50,G114+1,FALSE)*J114*L114</f>
        <v>#N/A</v>
      </c>
      <c r="AL114" s="43" t="e">
        <f t="shared" si="7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73"/>
        <v>0</v>
      </c>
      <c r="AO114" s="46">
        <f t="shared" si="74"/>
        <v>0</v>
      </c>
      <c r="AP114" s="46" t="e">
        <f t="shared" si="75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57"/>
        <v>0</v>
      </c>
      <c r="U115" s="46">
        <f t="shared" si="58"/>
        <v>0</v>
      </c>
      <c r="V115" s="47">
        <f t="shared" si="59"/>
        <v>0</v>
      </c>
      <c r="W115" s="48">
        <f t="shared" si="60"/>
        <v>0</v>
      </c>
      <c r="X115" s="43">
        <f t="shared" si="61"/>
        <v>0</v>
      </c>
      <c r="Y115" s="43">
        <f t="shared" si="62"/>
        <v>0</v>
      </c>
      <c r="Z115" s="43">
        <f t="shared" si="63"/>
        <v>0</v>
      </c>
      <c r="AA115" s="49">
        <f t="shared" si="64"/>
        <v>0</v>
      </c>
      <c r="AB115" s="50">
        <f t="shared" si="65"/>
        <v>0</v>
      </c>
      <c r="AC115" s="43">
        <f t="shared" si="66"/>
        <v>0</v>
      </c>
      <c r="AD115" s="43">
        <f t="shared" si="67"/>
        <v>0</v>
      </c>
      <c r="AE115" s="43">
        <f t="shared" si="68"/>
        <v>0</v>
      </c>
      <c r="AF115" s="51" t="e">
        <f>HLOOKUP(I115,GasAvoidedCostsWOCC!$A$5:$G$50,G115+1,FALSE)</f>
        <v>#N/A</v>
      </c>
      <c r="AG115" s="43" t="e">
        <f t="shared" si="69"/>
        <v>#N/A</v>
      </c>
      <c r="AH115" s="51" t="e">
        <f>HLOOKUP(I115,GasAvoidedCostsWOCC!$A$5:$Q$50,T115+1,FALSE)</f>
        <v>#N/A</v>
      </c>
      <c r="AI115" s="43" t="e">
        <f t="shared" si="70"/>
        <v>#N/A</v>
      </c>
      <c r="AJ115" s="43" t="e">
        <f t="shared" si="71"/>
        <v>#N/A</v>
      </c>
      <c r="AK115" s="43" t="e">
        <f>HLOOKUP(I115,GasAvoidedCostsWOCC!$A$5:$Q$50,G115+1,FALSE)*J115*L115</f>
        <v>#N/A</v>
      </c>
      <c r="AL115" s="43" t="e">
        <f t="shared" si="7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73"/>
        <v>0</v>
      </c>
      <c r="AO115" s="46">
        <f t="shared" si="74"/>
        <v>0</v>
      </c>
      <c r="AP115" s="46" t="e">
        <f t="shared" si="75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57"/>
        <v>0</v>
      </c>
      <c r="U116" s="46">
        <f t="shared" si="58"/>
        <v>0</v>
      </c>
      <c r="V116" s="47">
        <f t="shared" si="59"/>
        <v>0</v>
      </c>
      <c r="W116" s="48">
        <f t="shared" si="60"/>
        <v>0</v>
      </c>
      <c r="X116" s="43">
        <f t="shared" si="61"/>
        <v>0</v>
      </c>
      <c r="Y116" s="43">
        <f t="shared" si="62"/>
        <v>0</v>
      </c>
      <c r="Z116" s="43">
        <f t="shared" si="63"/>
        <v>0</v>
      </c>
      <c r="AA116" s="49">
        <f t="shared" si="64"/>
        <v>0</v>
      </c>
      <c r="AB116" s="50">
        <f t="shared" si="65"/>
        <v>0</v>
      </c>
      <c r="AC116" s="43">
        <f t="shared" si="66"/>
        <v>0</v>
      </c>
      <c r="AD116" s="43">
        <f t="shared" si="67"/>
        <v>0</v>
      </c>
      <c r="AE116" s="43">
        <f t="shared" si="68"/>
        <v>0</v>
      </c>
      <c r="AF116" s="51" t="e">
        <f>HLOOKUP(I116,GasAvoidedCostsWOCC!$A$5:$G$50,G116+1,FALSE)</f>
        <v>#N/A</v>
      </c>
      <c r="AG116" s="43" t="e">
        <f t="shared" si="69"/>
        <v>#N/A</v>
      </c>
      <c r="AH116" s="51" t="e">
        <f>HLOOKUP(I116,GasAvoidedCostsWOCC!$A$5:$Q$50,T116+1,FALSE)</f>
        <v>#N/A</v>
      </c>
      <c r="AI116" s="43" t="e">
        <f t="shared" si="70"/>
        <v>#N/A</v>
      </c>
      <c r="AJ116" s="43" t="e">
        <f t="shared" si="71"/>
        <v>#N/A</v>
      </c>
      <c r="AK116" s="43" t="e">
        <f>HLOOKUP(I116,GasAvoidedCostsWOCC!$A$5:$Q$50,G116+1,FALSE)*J116*L116</f>
        <v>#N/A</v>
      </c>
      <c r="AL116" s="43" t="e">
        <f t="shared" si="7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73"/>
        <v>0</v>
      </c>
      <c r="AO116" s="46">
        <f t="shared" si="74"/>
        <v>0</v>
      </c>
      <c r="AP116" s="46" t="e">
        <f t="shared" si="75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57"/>
        <v>0</v>
      </c>
      <c r="U117" s="46">
        <f t="shared" si="58"/>
        <v>0</v>
      </c>
      <c r="V117" s="47">
        <f t="shared" si="59"/>
        <v>0</v>
      </c>
      <c r="W117" s="48">
        <f t="shared" si="60"/>
        <v>0</v>
      </c>
      <c r="X117" s="43">
        <f t="shared" si="61"/>
        <v>0</v>
      </c>
      <c r="Y117" s="43">
        <f t="shared" si="62"/>
        <v>0</v>
      </c>
      <c r="Z117" s="43">
        <f t="shared" si="63"/>
        <v>0</v>
      </c>
      <c r="AA117" s="49">
        <f t="shared" si="64"/>
        <v>0</v>
      </c>
      <c r="AB117" s="50">
        <f t="shared" si="65"/>
        <v>0</v>
      </c>
      <c r="AC117" s="43">
        <f t="shared" si="66"/>
        <v>0</v>
      </c>
      <c r="AD117" s="43">
        <f t="shared" si="67"/>
        <v>0</v>
      </c>
      <c r="AE117" s="43">
        <f t="shared" si="68"/>
        <v>0</v>
      </c>
      <c r="AF117" s="51" t="e">
        <f>HLOOKUP(I117,GasAvoidedCostsWOCC!$A$5:$G$50,G117+1,FALSE)</f>
        <v>#N/A</v>
      </c>
      <c r="AG117" s="43" t="e">
        <f t="shared" si="69"/>
        <v>#N/A</v>
      </c>
      <c r="AH117" s="51" t="e">
        <f>HLOOKUP(I117,GasAvoidedCostsWOCC!$A$5:$Q$50,T117+1,FALSE)</f>
        <v>#N/A</v>
      </c>
      <c r="AI117" s="43" t="e">
        <f t="shared" si="70"/>
        <v>#N/A</v>
      </c>
      <c r="AJ117" s="43" t="e">
        <f t="shared" si="71"/>
        <v>#N/A</v>
      </c>
      <c r="AK117" s="43" t="e">
        <f>HLOOKUP(I117,GasAvoidedCostsWOCC!$A$5:$Q$50,G117+1,FALSE)*J117*L117</f>
        <v>#N/A</v>
      </c>
      <c r="AL117" s="43" t="e">
        <f t="shared" si="7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73"/>
        <v>0</v>
      </c>
      <c r="AO117" s="46">
        <f t="shared" si="74"/>
        <v>0</v>
      </c>
      <c r="AP117" s="46" t="e">
        <f t="shared" si="75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57"/>
        <v>0</v>
      </c>
      <c r="U118" s="46">
        <f t="shared" si="58"/>
        <v>0</v>
      </c>
      <c r="V118" s="47">
        <f t="shared" si="59"/>
        <v>0</v>
      </c>
      <c r="W118" s="48">
        <f t="shared" si="60"/>
        <v>0</v>
      </c>
      <c r="X118" s="43">
        <f t="shared" si="61"/>
        <v>0</v>
      </c>
      <c r="Y118" s="43">
        <f t="shared" si="62"/>
        <v>0</v>
      </c>
      <c r="Z118" s="43">
        <f t="shared" si="63"/>
        <v>0</v>
      </c>
      <c r="AA118" s="49">
        <f t="shared" si="64"/>
        <v>0</v>
      </c>
      <c r="AB118" s="50">
        <f t="shared" si="65"/>
        <v>0</v>
      </c>
      <c r="AC118" s="43">
        <f t="shared" si="66"/>
        <v>0</v>
      </c>
      <c r="AD118" s="43">
        <f t="shared" si="67"/>
        <v>0</v>
      </c>
      <c r="AE118" s="43">
        <f t="shared" si="68"/>
        <v>0</v>
      </c>
      <c r="AF118" s="51" t="e">
        <f>HLOOKUP(I118,GasAvoidedCostsWOCC!$A$5:$G$50,G118+1,FALSE)</f>
        <v>#N/A</v>
      </c>
      <c r="AG118" s="43" t="e">
        <f t="shared" si="69"/>
        <v>#N/A</v>
      </c>
      <c r="AH118" s="51" t="e">
        <f>HLOOKUP(I118,GasAvoidedCostsWOCC!$A$5:$Q$50,T118+1,FALSE)</f>
        <v>#N/A</v>
      </c>
      <c r="AI118" s="43" t="e">
        <f t="shared" si="70"/>
        <v>#N/A</v>
      </c>
      <c r="AJ118" s="43" t="e">
        <f t="shared" si="71"/>
        <v>#N/A</v>
      </c>
      <c r="AK118" s="43" t="e">
        <f>HLOOKUP(I118,GasAvoidedCostsWOCC!$A$5:$Q$50,G118+1,FALSE)*J118*L118</f>
        <v>#N/A</v>
      </c>
      <c r="AL118" s="43" t="e">
        <f t="shared" si="7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73"/>
        <v>0</v>
      </c>
      <c r="AO118" s="46">
        <f t="shared" si="74"/>
        <v>0</v>
      </c>
      <c r="AP118" s="46" t="e">
        <f t="shared" si="75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57"/>
        <v>0</v>
      </c>
      <c r="U119" s="46">
        <f t="shared" si="58"/>
        <v>0</v>
      </c>
      <c r="V119" s="47">
        <f t="shared" si="59"/>
        <v>0</v>
      </c>
      <c r="W119" s="48">
        <f t="shared" si="60"/>
        <v>0</v>
      </c>
      <c r="X119" s="43">
        <f t="shared" si="61"/>
        <v>0</v>
      </c>
      <c r="Y119" s="43">
        <f t="shared" si="62"/>
        <v>0</v>
      </c>
      <c r="Z119" s="43">
        <f t="shared" si="63"/>
        <v>0</v>
      </c>
      <c r="AA119" s="49">
        <f t="shared" si="64"/>
        <v>0</v>
      </c>
      <c r="AB119" s="50">
        <f t="shared" si="65"/>
        <v>0</v>
      </c>
      <c r="AC119" s="43">
        <f t="shared" si="66"/>
        <v>0</v>
      </c>
      <c r="AD119" s="43">
        <f t="shared" si="67"/>
        <v>0</v>
      </c>
      <c r="AE119" s="43">
        <f t="shared" si="68"/>
        <v>0</v>
      </c>
      <c r="AF119" s="51" t="e">
        <f>HLOOKUP(I119,GasAvoidedCostsWOCC!$A$5:$G$50,G119+1,FALSE)</f>
        <v>#N/A</v>
      </c>
      <c r="AG119" s="43" t="e">
        <f t="shared" si="69"/>
        <v>#N/A</v>
      </c>
      <c r="AH119" s="51" t="e">
        <f>HLOOKUP(I119,GasAvoidedCostsWOCC!$A$5:$Q$50,T119+1,FALSE)</f>
        <v>#N/A</v>
      </c>
      <c r="AI119" s="43" t="e">
        <f t="shared" si="70"/>
        <v>#N/A</v>
      </c>
      <c r="AJ119" s="43" t="e">
        <f t="shared" si="71"/>
        <v>#N/A</v>
      </c>
      <c r="AK119" s="43" t="e">
        <f>HLOOKUP(I119,GasAvoidedCostsWOCC!$A$5:$Q$50,G119+1,FALSE)*J119*L119</f>
        <v>#N/A</v>
      </c>
      <c r="AL119" s="43" t="e">
        <f t="shared" si="7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73"/>
        <v>0</v>
      </c>
      <c r="AO119" s="46">
        <f t="shared" si="74"/>
        <v>0</v>
      </c>
      <c r="AP119" s="46" t="e">
        <f t="shared" si="75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57"/>
        <v>0</v>
      </c>
      <c r="U120" s="46">
        <f t="shared" si="58"/>
        <v>0</v>
      </c>
      <c r="V120" s="47">
        <f t="shared" si="59"/>
        <v>0</v>
      </c>
      <c r="W120" s="48">
        <f t="shared" si="60"/>
        <v>0</v>
      </c>
      <c r="X120" s="43">
        <f t="shared" si="61"/>
        <v>0</v>
      </c>
      <c r="Y120" s="43">
        <f t="shared" si="62"/>
        <v>0</v>
      </c>
      <c r="Z120" s="43">
        <f t="shared" si="63"/>
        <v>0</v>
      </c>
      <c r="AA120" s="49">
        <f t="shared" si="64"/>
        <v>0</v>
      </c>
      <c r="AB120" s="50">
        <f t="shared" si="65"/>
        <v>0</v>
      </c>
      <c r="AC120" s="43">
        <f t="shared" si="66"/>
        <v>0</v>
      </c>
      <c r="AD120" s="43">
        <f t="shared" si="67"/>
        <v>0</v>
      </c>
      <c r="AE120" s="43">
        <f t="shared" si="68"/>
        <v>0</v>
      </c>
      <c r="AF120" s="51" t="e">
        <f>HLOOKUP(I120,GasAvoidedCostsWOCC!$A$5:$G$50,G120+1,FALSE)</f>
        <v>#N/A</v>
      </c>
      <c r="AG120" s="43" t="e">
        <f t="shared" si="69"/>
        <v>#N/A</v>
      </c>
      <c r="AH120" s="51" t="e">
        <f>HLOOKUP(I120,GasAvoidedCostsWOCC!$A$5:$Q$50,T120+1,FALSE)</f>
        <v>#N/A</v>
      </c>
      <c r="AI120" s="43" t="e">
        <f t="shared" si="70"/>
        <v>#N/A</v>
      </c>
      <c r="AJ120" s="43" t="e">
        <f t="shared" si="71"/>
        <v>#N/A</v>
      </c>
      <c r="AK120" s="43" t="e">
        <f>HLOOKUP(I120,GasAvoidedCostsWOCC!$A$5:$Q$50,G120+1,FALSE)*J120*L120</f>
        <v>#N/A</v>
      </c>
      <c r="AL120" s="43" t="e">
        <f t="shared" si="7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73"/>
        <v>0</v>
      </c>
      <c r="AO120" s="46">
        <f t="shared" si="74"/>
        <v>0</v>
      </c>
      <c r="AP120" s="46" t="e">
        <f t="shared" si="75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57"/>
        <v>0</v>
      </c>
      <c r="U121" s="46">
        <f t="shared" si="58"/>
        <v>0</v>
      </c>
      <c r="V121" s="47">
        <f t="shared" si="59"/>
        <v>0</v>
      </c>
      <c r="W121" s="48">
        <f t="shared" si="60"/>
        <v>0</v>
      </c>
      <c r="X121" s="43">
        <f t="shared" si="61"/>
        <v>0</v>
      </c>
      <c r="Y121" s="43">
        <f t="shared" si="62"/>
        <v>0</v>
      </c>
      <c r="Z121" s="43">
        <f t="shared" si="63"/>
        <v>0</v>
      </c>
      <c r="AA121" s="49">
        <f t="shared" si="64"/>
        <v>0</v>
      </c>
      <c r="AB121" s="50">
        <f t="shared" si="65"/>
        <v>0</v>
      </c>
      <c r="AC121" s="43">
        <f t="shared" si="66"/>
        <v>0</v>
      </c>
      <c r="AD121" s="43">
        <f t="shared" si="67"/>
        <v>0</v>
      </c>
      <c r="AE121" s="43">
        <f t="shared" si="68"/>
        <v>0</v>
      </c>
      <c r="AF121" s="51" t="e">
        <f>HLOOKUP(I121,GasAvoidedCostsWOCC!$A$5:$G$50,G121+1,FALSE)</f>
        <v>#N/A</v>
      </c>
      <c r="AG121" s="43" t="e">
        <f t="shared" si="69"/>
        <v>#N/A</v>
      </c>
      <c r="AH121" s="51" t="e">
        <f>HLOOKUP(I121,GasAvoidedCostsWOCC!$A$5:$Q$50,T121+1,FALSE)</f>
        <v>#N/A</v>
      </c>
      <c r="AI121" s="43" t="e">
        <f t="shared" si="70"/>
        <v>#N/A</v>
      </c>
      <c r="AJ121" s="43" t="e">
        <f t="shared" si="71"/>
        <v>#N/A</v>
      </c>
      <c r="AK121" s="43" t="e">
        <f>HLOOKUP(I121,GasAvoidedCostsWOCC!$A$5:$Q$50,G121+1,FALSE)*J121*L121</f>
        <v>#N/A</v>
      </c>
      <c r="AL121" s="43" t="e">
        <f t="shared" si="7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73"/>
        <v>0</v>
      </c>
      <c r="AO121" s="46">
        <f t="shared" si="74"/>
        <v>0</v>
      </c>
      <c r="AP121" s="46" t="e">
        <f t="shared" si="75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57"/>
        <v>0</v>
      </c>
      <c r="U122" s="46">
        <f t="shared" si="58"/>
        <v>0</v>
      </c>
      <c r="V122" s="47">
        <f t="shared" si="59"/>
        <v>0</v>
      </c>
      <c r="W122" s="48">
        <f t="shared" si="60"/>
        <v>0</v>
      </c>
      <c r="X122" s="43">
        <f t="shared" si="61"/>
        <v>0</v>
      </c>
      <c r="Y122" s="43">
        <f t="shared" si="62"/>
        <v>0</v>
      </c>
      <c r="Z122" s="43">
        <f t="shared" si="63"/>
        <v>0</v>
      </c>
      <c r="AA122" s="49">
        <f t="shared" si="64"/>
        <v>0</v>
      </c>
      <c r="AB122" s="50">
        <f t="shared" si="65"/>
        <v>0</v>
      </c>
      <c r="AC122" s="43">
        <f t="shared" si="66"/>
        <v>0</v>
      </c>
      <c r="AD122" s="43">
        <f t="shared" si="67"/>
        <v>0</v>
      </c>
      <c r="AE122" s="43">
        <f t="shared" si="68"/>
        <v>0</v>
      </c>
      <c r="AF122" s="51" t="e">
        <f>HLOOKUP(I122,GasAvoidedCostsWOCC!$A$5:$G$50,G122+1,FALSE)</f>
        <v>#N/A</v>
      </c>
      <c r="AG122" s="43" t="e">
        <f t="shared" si="69"/>
        <v>#N/A</v>
      </c>
      <c r="AH122" s="51" t="e">
        <f>HLOOKUP(I122,GasAvoidedCostsWOCC!$A$5:$Q$50,T122+1,FALSE)</f>
        <v>#N/A</v>
      </c>
      <c r="AI122" s="43" t="e">
        <f t="shared" si="70"/>
        <v>#N/A</v>
      </c>
      <c r="AJ122" s="43" t="e">
        <f t="shared" si="71"/>
        <v>#N/A</v>
      </c>
      <c r="AK122" s="43" t="e">
        <f>HLOOKUP(I122,GasAvoidedCostsWOCC!$A$5:$Q$50,G122+1,FALSE)*J122*L122</f>
        <v>#N/A</v>
      </c>
      <c r="AL122" s="43" t="e">
        <f t="shared" si="7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73"/>
        <v>0</v>
      </c>
      <c r="AO122" s="46">
        <f t="shared" si="74"/>
        <v>0</v>
      </c>
      <c r="AP122" s="46" t="e">
        <f t="shared" si="75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57"/>
        <v>0</v>
      </c>
      <c r="U123" s="46">
        <f t="shared" si="58"/>
        <v>0</v>
      </c>
      <c r="V123" s="47">
        <f t="shared" si="59"/>
        <v>0</v>
      </c>
      <c r="W123" s="48">
        <f t="shared" si="60"/>
        <v>0</v>
      </c>
      <c r="X123" s="43">
        <f t="shared" si="61"/>
        <v>0</v>
      </c>
      <c r="Y123" s="43">
        <f t="shared" si="62"/>
        <v>0</v>
      </c>
      <c r="Z123" s="43">
        <f t="shared" si="63"/>
        <v>0</v>
      </c>
      <c r="AA123" s="49">
        <f t="shared" si="64"/>
        <v>0</v>
      </c>
      <c r="AB123" s="50">
        <f t="shared" si="65"/>
        <v>0</v>
      </c>
      <c r="AC123" s="43">
        <f t="shared" si="66"/>
        <v>0</v>
      </c>
      <c r="AD123" s="43">
        <f t="shared" si="67"/>
        <v>0</v>
      </c>
      <c r="AE123" s="43">
        <f t="shared" si="68"/>
        <v>0</v>
      </c>
      <c r="AF123" s="51" t="e">
        <f>HLOOKUP(I123,GasAvoidedCostsWOCC!$A$5:$G$50,G123+1,FALSE)</f>
        <v>#N/A</v>
      </c>
      <c r="AG123" s="43" t="e">
        <f t="shared" si="69"/>
        <v>#N/A</v>
      </c>
      <c r="AH123" s="51" t="e">
        <f>HLOOKUP(I123,GasAvoidedCostsWOCC!$A$5:$Q$50,T123+1,FALSE)</f>
        <v>#N/A</v>
      </c>
      <c r="AI123" s="43" t="e">
        <f t="shared" si="70"/>
        <v>#N/A</v>
      </c>
      <c r="AJ123" s="43" t="e">
        <f t="shared" si="71"/>
        <v>#N/A</v>
      </c>
      <c r="AK123" s="43" t="e">
        <f>HLOOKUP(I123,GasAvoidedCostsWOCC!$A$5:$Q$50,G123+1,FALSE)*J123*L123</f>
        <v>#N/A</v>
      </c>
      <c r="AL123" s="43" t="e">
        <f t="shared" si="7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73"/>
        <v>0</v>
      </c>
      <c r="AO123" s="46">
        <f t="shared" si="74"/>
        <v>0</v>
      </c>
      <c r="AP123" s="46" t="e">
        <f t="shared" si="75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57"/>
        <v>0</v>
      </c>
      <c r="U124" s="46">
        <f t="shared" si="58"/>
        <v>0</v>
      </c>
      <c r="V124" s="47">
        <f t="shared" si="59"/>
        <v>0</v>
      </c>
      <c r="W124" s="48">
        <f t="shared" si="60"/>
        <v>0</v>
      </c>
      <c r="X124" s="43">
        <f t="shared" si="61"/>
        <v>0</v>
      </c>
      <c r="Y124" s="43">
        <f t="shared" si="62"/>
        <v>0</v>
      </c>
      <c r="Z124" s="43">
        <f t="shared" si="63"/>
        <v>0</v>
      </c>
      <c r="AA124" s="49">
        <f t="shared" si="64"/>
        <v>0</v>
      </c>
      <c r="AB124" s="50">
        <f t="shared" si="65"/>
        <v>0</v>
      </c>
      <c r="AC124" s="43">
        <f t="shared" si="66"/>
        <v>0</v>
      </c>
      <c r="AD124" s="43">
        <f t="shared" si="67"/>
        <v>0</v>
      </c>
      <c r="AE124" s="43">
        <f t="shared" si="68"/>
        <v>0</v>
      </c>
      <c r="AF124" s="51" t="e">
        <f>HLOOKUP(I124,GasAvoidedCostsWOCC!$A$5:$G$50,G124+1,FALSE)</f>
        <v>#N/A</v>
      </c>
      <c r="AG124" s="43" t="e">
        <f t="shared" si="69"/>
        <v>#N/A</v>
      </c>
      <c r="AH124" s="51" t="e">
        <f>HLOOKUP(I124,GasAvoidedCostsWOCC!$A$5:$Q$50,T124+1,FALSE)</f>
        <v>#N/A</v>
      </c>
      <c r="AI124" s="43" t="e">
        <f t="shared" si="70"/>
        <v>#N/A</v>
      </c>
      <c r="AJ124" s="43" t="e">
        <f t="shared" si="71"/>
        <v>#N/A</v>
      </c>
      <c r="AK124" s="43" t="e">
        <f>HLOOKUP(I124,GasAvoidedCostsWOCC!$A$5:$Q$50,G124+1,FALSE)*J124*L124</f>
        <v>#N/A</v>
      </c>
      <c r="AL124" s="43" t="e">
        <f t="shared" si="7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73"/>
        <v>0</v>
      </c>
      <c r="AO124" s="46">
        <f t="shared" si="74"/>
        <v>0</v>
      </c>
      <c r="AP124" s="46" t="e">
        <f t="shared" si="75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57"/>
        <v>0</v>
      </c>
      <c r="U125" s="46">
        <f t="shared" si="58"/>
        <v>0</v>
      </c>
      <c r="V125" s="47">
        <f t="shared" si="59"/>
        <v>0</v>
      </c>
      <c r="W125" s="48">
        <f t="shared" si="60"/>
        <v>0</v>
      </c>
      <c r="X125" s="43">
        <f t="shared" si="61"/>
        <v>0</v>
      </c>
      <c r="Y125" s="43">
        <f t="shared" si="62"/>
        <v>0</v>
      </c>
      <c r="Z125" s="43">
        <f t="shared" si="63"/>
        <v>0</v>
      </c>
      <c r="AA125" s="49">
        <f t="shared" si="64"/>
        <v>0</v>
      </c>
      <c r="AB125" s="50">
        <f t="shared" si="65"/>
        <v>0</v>
      </c>
      <c r="AC125" s="43">
        <f t="shared" si="66"/>
        <v>0</v>
      </c>
      <c r="AD125" s="43">
        <f t="shared" si="67"/>
        <v>0</v>
      </c>
      <c r="AE125" s="43">
        <f t="shared" si="68"/>
        <v>0</v>
      </c>
      <c r="AF125" s="51" t="e">
        <f>HLOOKUP(I125,GasAvoidedCostsWOCC!$A$5:$G$50,G125+1,FALSE)</f>
        <v>#N/A</v>
      </c>
      <c r="AG125" s="43" t="e">
        <f t="shared" si="69"/>
        <v>#N/A</v>
      </c>
      <c r="AH125" s="51" t="e">
        <f>HLOOKUP(I125,GasAvoidedCostsWOCC!$A$5:$Q$50,T125+1,FALSE)</f>
        <v>#N/A</v>
      </c>
      <c r="AI125" s="43" t="e">
        <f t="shared" si="70"/>
        <v>#N/A</v>
      </c>
      <c r="AJ125" s="43" t="e">
        <f t="shared" si="71"/>
        <v>#N/A</v>
      </c>
      <c r="AK125" s="43" t="e">
        <f>HLOOKUP(I125,GasAvoidedCostsWOCC!$A$5:$Q$50,G125+1,FALSE)*J125*L125</f>
        <v>#N/A</v>
      </c>
      <c r="AL125" s="43" t="e">
        <f t="shared" si="7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73"/>
        <v>0</v>
      </c>
      <c r="AO125" s="46">
        <f t="shared" si="74"/>
        <v>0</v>
      </c>
      <c r="AP125" s="46" t="e">
        <f t="shared" si="75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57"/>
        <v>0</v>
      </c>
      <c r="U126" s="46">
        <f t="shared" si="58"/>
        <v>0</v>
      </c>
      <c r="V126" s="47">
        <f t="shared" si="59"/>
        <v>0</v>
      </c>
      <c r="W126" s="48">
        <f t="shared" si="60"/>
        <v>0</v>
      </c>
      <c r="X126" s="43">
        <f t="shared" si="61"/>
        <v>0</v>
      </c>
      <c r="Y126" s="43">
        <f t="shared" si="62"/>
        <v>0</v>
      </c>
      <c r="Z126" s="43">
        <f t="shared" si="63"/>
        <v>0</v>
      </c>
      <c r="AA126" s="49">
        <f t="shared" si="64"/>
        <v>0</v>
      </c>
      <c r="AB126" s="50">
        <f t="shared" si="65"/>
        <v>0</v>
      </c>
      <c r="AC126" s="43">
        <f t="shared" si="66"/>
        <v>0</v>
      </c>
      <c r="AD126" s="43">
        <f t="shared" si="67"/>
        <v>0</v>
      </c>
      <c r="AE126" s="43">
        <f t="shared" si="68"/>
        <v>0</v>
      </c>
      <c r="AF126" s="51" t="e">
        <f>HLOOKUP(I126,GasAvoidedCostsWOCC!$A$5:$G$50,G126+1,FALSE)</f>
        <v>#N/A</v>
      </c>
      <c r="AG126" s="43" t="e">
        <f t="shared" si="69"/>
        <v>#N/A</v>
      </c>
      <c r="AH126" s="51" t="e">
        <f>HLOOKUP(I126,GasAvoidedCostsWOCC!$A$5:$Q$50,T126+1,FALSE)</f>
        <v>#N/A</v>
      </c>
      <c r="AI126" s="43" t="e">
        <f t="shared" si="70"/>
        <v>#N/A</v>
      </c>
      <c r="AJ126" s="43" t="e">
        <f t="shared" si="71"/>
        <v>#N/A</v>
      </c>
      <c r="AK126" s="43" t="e">
        <f>HLOOKUP(I126,GasAvoidedCostsWOCC!$A$5:$Q$50,G126+1,FALSE)*J126*L126</f>
        <v>#N/A</v>
      </c>
      <c r="AL126" s="43" t="e">
        <f t="shared" si="7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73"/>
        <v>0</v>
      </c>
      <c r="AO126" s="46">
        <f t="shared" si="74"/>
        <v>0</v>
      </c>
      <c r="AP126" s="46" t="e">
        <f t="shared" si="75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57"/>
        <v>0</v>
      </c>
      <c r="U127" s="46">
        <f t="shared" si="58"/>
        <v>0</v>
      </c>
      <c r="V127" s="47">
        <f t="shared" si="59"/>
        <v>0</v>
      </c>
      <c r="W127" s="48">
        <f t="shared" si="60"/>
        <v>0</v>
      </c>
      <c r="X127" s="43">
        <f t="shared" si="61"/>
        <v>0</v>
      </c>
      <c r="Y127" s="43">
        <f t="shared" si="62"/>
        <v>0</v>
      </c>
      <c r="Z127" s="43">
        <f t="shared" si="63"/>
        <v>0</v>
      </c>
      <c r="AA127" s="49">
        <f t="shared" si="64"/>
        <v>0</v>
      </c>
      <c r="AB127" s="50">
        <f t="shared" si="65"/>
        <v>0</v>
      </c>
      <c r="AC127" s="43">
        <f t="shared" si="66"/>
        <v>0</v>
      </c>
      <c r="AD127" s="43">
        <f t="shared" si="67"/>
        <v>0</v>
      </c>
      <c r="AE127" s="43">
        <f t="shared" si="68"/>
        <v>0</v>
      </c>
      <c r="AF127" s="51" t="e">
        <f>HLOOKUP(I127,GasAvoidedCostsWOCC!$A$5:$G$50,G127+1,FALSE)</f>
        <v>#N/A</v>
      </c>
      <c r="AG127" s="43" t="e">
        <f t="shared" si="69"/>
        <v>#N/A</v>
      </c>
      <c r="AH127" s="51" t="e">
        <f>HLOOKUP(I127,GasAvoidedCostsWOCC!$A$5:$Q$50,T127+1,FALSE)</f>
        <v>#N/A</v>
      </c>
      <c r="AI127" s="43" t="e">
        <f t="shared" si="70"/>
        <v>#N/A</v>
      </c>
      <c r="AJ127" s="43" t="e">
        <f t="shared" si="71"/>
        <v>#N/A</v>
      </c>
      <c r="AK127" s="43" t="e">
        <f>HLOOKUP(I127,GasAvoidedCostsWOCC!$A$5:$Q$50,G127+1,FALSE)*J127*L127</f>
        <v>#N/A</v>
      </c>
      <c r="AL127" s="43" t="e">
        <f t="shared" si="7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73"/>
        <v>0</v>
      </c>
      <c r="AO127" s="46">
        <f t="shared" si="74"/>
        <v>0</v>
      </c>
      <c r="AP127" s="46" t="e">
        <f t="shared" si="75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57"/>
        <v>0</v>
      </c>
      <c r="U128" s="46">
        <f t="shared" si="58"/>
        <v>0</v>
      </c>
      <c r="V128" s="47">
        <f t="shared" si="59"/>
        <v>0</v>
      </c>
      <c r="W128" s="48">
        <f t="shared" si="60"/>
        <v>0</v>
      </c>
      <c r="X128" s="43">
        <f t="shared" si="61"/>
        <v>0</v>
      </c>
      <c r="Y128" s="43">
        <f t="shared" si="62"/>
        <v>0</v>
      </c>
      <c r="Z128" s="43">
        <f t="shared" si="63"/>
        <v>0</v>
      </c>
      <c r="AA128" s="49">
        <f t="shared" si="64"/>
        <v>0</v>
      </c>
      <c r="AB128" s="50">
        <f t="shared" si="65"/>
        <v>0</v>
      </c>
      <c r="AC128" s="43">
        <f t="shared" si="66"/>
        <v>0</v>
      </c>
      <c r="AD128" s="43">
        <f t="shared" si="67"/>
        <v>0</v>
      </c>
      <c r="AE128" s="43">
        <f t="shared" si="68"/>
        <v>0</v>
      </c>
      <c r="AF128" s="51" t="e">
        <f>HLOOKUP(I128,GasAvoidedCostsWOCC!$A$5:$G$50,G128+1,FALSE)</f>
        <v>#N/A</v>
      </c>
      <c r="AG128" s="43" t="e">
        <f t="shared" si="69"/>
        <v>#N/A</v>
      </c>
      <c r="AH128" s="51" t="e">
        <f>HLOOKUP(I128,GasAvoidedCostsWOCC!$A$5:$Q$50,T128+1,FALSE)</f>
        <v>#N/A</v>
      </c>
      <c r="AI128" s="43" t="e">
        <f t="shared" si="70"/>
        <v>#N/A</v>
      </c>
      <c r="AJ128" s="43" t="e">
        <f t="shared" si="71"/>
        <v>#N/A</v>
      </c>
      <c r="AK128" s="43" t="e">
        <f>HLOOKUP(I128,GasAvoidedCostsWOCC!$A$5:$Q$50,G128+1,FALSE)*J128*L128</f>
        <v>#N/A</v>
      </c>
      <c r="AL128" s="43" t="e">
        <f t="shared" si="7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73"/>
        <v>0</v>
      </c>
      <c r="AO128" s="46">
        <f t="shared" si="74"/>
        <v>0</v>
      </c>
      <c r="AP128" s="46" t="e">
        <f t="shared" si="75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57"/>
        <v>0</v>
      </c>
      <c r="U129" s="46">
        <f t="shared" si="58"/>
        <v>0</v>
      </c>
      <c r="V129" s="47">
        <f t="shared" si="59"/>
        <v>0</v>
      </c>
      <c r="W129" s="48">
        <f t="shared" si="60"/>
        <v>0</v>
      </c>
      <c r="X129" s="43">
        <f t="shared" si="61"/>
        <v>0</v>
      </c>
      <c r="Y129" s="43">
        <f t="shared" si="62"/>
        <v>0</v>
      </c>
      <c r="Z129" s="43">
        <f t="shared" si="63"/>
        <v>0</v>
      </c>
      <c r="AA129" s="49">
        <f t="shared" si="64"/>
        <v>0</v>
      </c>
      <c r="AB129" s="50">
        <f t="shared" si="65"/>
        <v>0</v>
      </c>
      <c r="AC129" s="43">
        <f t="shared" si="66"/>
        <v>0</v>
      </c>
      <c r="AD129" s="43">
        <f t="shared" si="67"/>
        <v>0</v>
      </c>
      <c r="AE129" s="43">
        <f t="shared" si="68"/>
        <v>0</v>
      </c>
      <c r="AF129" s="51" t="e">
        <f>HLOOKUP(I129,GasAvoidedCostsWOCC!$A$5:$G$50,G129+1,FALSE)</f>
        <v>#N/A</v>
      </c>
      <c r="AG129" s="43" t="e">
        <f t="shared" si="69"/>
        <v>#N/A</v>
      </c>
      <c r="AH129" s="51" t="e">
        <f>HLOOKUP(I129,GasAvoidedCostsWOCC!$A$5:$Q$50,T129+1,FALSE)</f>
        <v>#N/A</v>
      </c>
      <c r="AI129" s="43" t="e">
        <f t="shared" si="70"/>
        <v>#N/A</v>
      </c>
      <c r="AJ129" s="43" t="e">
        <f t="shared" si="71"/>
        <v>#N/A</v>
      </c>
      <c r="AK129" s="43" t="e">
        <f>HLOOKUP(I129,GasAvoidedCostsWOCC!$A$5:$Q$50,G129+1,FALSE)*J129*L129</f>
        <v>#N/A</v>
      </c>
      <c r="AL129" s="43" t="e">
        <f t="shared" si="7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73"/>
        <v>0</v>
      </c>
      <c r="AO129" s="46">
        <f t="shared" si="74"/>
        <v>0</v>
      </c>
      <c r="AP129" s="46" t="e">
        <f t="shared" si="75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57"/>
        <v>0</v>
      </c>
      <c r="U130" s="46">
        <f t="shared" si="58"/>
        <v>0</v>
      </c>
      <c r="V130" s="47">
        <f t="shared" si="59"/>
        <v>0</v>
      </c>
      <c r="W130" s="48">
        <f t="shared" si="60"/>
        <v>0</v>
      </c>
      <c r="X130" s="43">
        <f t="shared" si="61"/>
        <v>0</v>
      </c>
      <c r="Y130" s="43">
        <f t="shared" si="62"/>
        <v>0</v>
      </c>
      <c r="Z130" s="43">
        <f t="shared" si="63"/>
        <v>0</v>
      </c>
      <c r="AA130" s="49">
        <f t="shared" si="64"/>
        <v>0</v>
      </c>
      <c r="AB130" s="50">
        <f t="shared" si="65"/>
        <v>0</v>
      </c>
      <c r="AC130" s="43">
        <f t="shared" si="66"/>
        <v>0</v>
      </c>
      <c r="AD130" s="43">
        <f t="shared" si="67"/>
        <v>0</v>
      </c>
      <c r="AE130" s="43">
        <f t="shared" si="68"/>
        <v>0</v>
      </c>
      <c r="AF130" s="51" t="e">
        <f>HLOOKUP(I130,GasAvoidedCostsWOCC!$A$5:$G$50,G130+1,FALSE)</f>
        <v>#N/A</v>
      </c>
      <c r="AG130" s="43" t="e">
        <f t="shared" si="69"/>
        <v>#N/A</v>
      </c>
      <c r="AH130" s="51" t="e">
        <f>HLOOKUP(I130,GasAvoidedCostsWOCC!$A$5:$Q$50,T130+1,FALSE)</f>
        <v>#N/A</v>
      </c>
      <c r="AI130" s="43" t="e">
        <f t="shared" si="70"/>
        <v>#N/A</v>
      </c>
      <c r="AJ130" s="43" t="e">
        <f t="shared" si="71"/>
        <v>#N/A</v>
      </c>
      <c r="AK130" s="43" t="e">
        <f>HLOOKUP(I130,GasAvoidedCostsWOCC!$A$5:$Q$50,G130+1,FALSE)*J130*L130</f>
        <v>#N/A</v>
      </c>
      <c r="AL130" s="43" t="e">
        <f t="shared" si="7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73"/>
        <v>0</v>
      </c>
      <c r="AO130" s="46">
        <f t="shared" si="74"/>
        <v>0</v>
      </c>
      <c r="AP130" s="46" t="e">
        <f t="shared" si="75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57"/>
        <v>0</v>
      </c>
      <c r="U131" s="46">
        <f t="shared" si="58"/>
        <v>0</v>
      </c>
      <c r="V131" s="47">
        <f t="shared" si="59"/>
        <v>0</v>
      </c>
      <c r="W131" s="48">
        <f t="shared" si="60"/>
        <v>0</v>
      </c>
      <c r="X131" s="43">
        <f t="shared" si="61"/>
        <v>0</v>
      </c>
      <c r="Y131" s="43">
        <f t="shared" si="62"/>
        <v>0</v>
      </c>
      <c r="Z131" s="43">
        <f t="shared" si="63"/>
        <v>0</v>
      </c>
      <c r="AA131" s="49">
        <f t="shared" si="64"/>
        <v>0</v>
      </c>
      <c r="AB131" s="50">
        <f t="shared" si="65"/>
        <v>0</v>
      </c>
      <c r="AC131" s="43">
        <f t="shared" si="66"/>
        <v>0</v>
      </c>
      <c r="AD131" s="43">
        <f t="shared" si="67"/>
        <v>0</v>
      </c>
      <c r="AE131" s="43">
        <f t="shared" si="68"/>
        <v>0</v>
      </c>
      <c r="AF131" s="51" t="e">
        <f>HLOOKUP(I131,GasAvoidedCostsWOCC!$A$5:$G$50,G131+1,FALSE)</f>
        <v>#N/A</v>
      </c>
      <c r="AG131" s="43" t="e">
        <f t="shared" si="69"/>
        <v>#N/A</v>
      </c>
      <c r="AH131" s="51" t="e">
        <f>HLOOKUP(I131,GasAvoidedCostsWOCC!$A$5:$Q$50,T131+1,FALSE)</f>
        <v>#N/A</v>
      </c>
      <c r="AI131" s="43" t="e">
        <f t="shared" si="70"/>
        <v>#N/A</v>
      </c>
      <c r="AJ131" s="43" t="e">
        <f t="shared" si="71"/>
        <v>#N/A</v>
      </c>
      <c r="AK131" s="43" t="e">
        <f>HLOOKUP(I131,GasAvoidedCostsWOCC!$A$5:$Q$50,G131+1,FALSE)*J131*L131</f>
        <v>#N/A</v>
      </c>
      <c r="AL131" s="43" t="e">
        <f t="shared" si="7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73"/>
        <v>0</v>
      </c>
      <c r="AO131" s="46">
        <f t="shared" si="74"/>
        <v>0</v>
      </c>
      <c r="AP131" s="46" t="e">
        <f t="shared" si="75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57"/>
        <v>0</v>
      </c>
      <c r="U132" s="46">
        <f t="shared" si="58"/>
        <v>0</v>
      </c>
      <c r="V132" s="47">
        <f t="shared" si="59"/>
        <v>0</v>
      </c>
      <c r="W132" s="48">
        <f t="shared" si="60"/>
        <v>0</v>
      </c>
      <c r="X132" s="43">
        <f t="shared" si="61"/>
        <v>0</v>
      </c>
      <c r="Y132" s="43">
        <f t="shared" si="62"/>
        <v>0</v>
      </c>
      <c r="Z132" s="43">
        <f t="shared" si="63"/>
        <v>0</v>
      </c>
      <c r="AA132" s="49">
        <f t="shared" si="64"/>
        <v>0</v>
      </c>
      <c r="AB132" s="50">
        <f t="shared" si="65"/>
        <v>0</v>
      </c>
      <c r="AC132" s="43">
        <f t="shared" si="66"/>
        <v>0</v>
      </c>
      <c r="AD132" s="43">
        <f t="shared" si="67"/>
        <v>0</v>
      </c>
      <c r="AE132" s="43">
        <f t="shared" si="68"/>
        <v>0</v>
      </c>
      <c r="AF132" s="51" t="e">
        <f>HLOOKUP(I132,GasAvoidedCostsWOCC!$A$5:$G$50,G132+1,FALSE)</f>
        <v>#N/A</v>
      </c>
      <c r="AG132" s="43" t="e">
        <f t="shared" si="69"/>
        <v>#N/A</v>
      </c>
      <c r="AH132" s="51" t="e">
        <f>HLOOKUP(I132,GasAvoidedCostsWOCC!$A$5:$Q$50,T132+1,FALSE)</f>
        <v>#N/A</v>
      </c>
      <c r="AI132" s="43" t="e">
        <f t="shared" si="70"/>
        <v>#N/A</v>
      </c>
      <c r="AJ132" s="43" t="e">
        <f t="shared" si="71"/>
        <v>#N/A</v>
      </c>
      <c r="AK132" s="43" t="e">
        <f>HLOOKUP(I132,GasAvoidedCostsWOCC!$A$5:$Q$50,G132+1,FALSE)*J132*L132</f>
        <v>#N/A</v>
      </c>
      <c r="AL132" s="43" t="e">
        <f t="shared" si="72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73"/>
        <v>0</v>
      </c>
      <c r="AO132" s="46">
        <f t="shared" si="74"/>
        <v>0</v>
      </c>
      <c r="AP132" s="46" t="e">
        <f t="shared" si="75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HLOOKUP(I133,GasAvoidedCostsWOCC!$A$5:$G$50,G133+1,FALSE)</f>
        <v>#N/A</v>
      </c>
      <c r="AG133" s="43" t="e">
        <f t="shared" si="69"/>
        <v>#N/A</v>
      </c>
      <c r="AH133" s="51" t="e">
        <f>HLOOKUP(I133,GasAvoidedCostsWOCC!$A$5:$Q$50,T133+1,FALSE)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HLOOKUP(I133,GasAvoidedCostsWOCC!$A$5:$Q$50,G133+1,FALSE)*J133*L133</f>
        <v>#N/A</v>
      </c>
      <c r="AL133" s="43" t="e">
        <f t="shared" si="72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HLOOKUP(I134,GasAvoidedCostsWOCC!$A$5:$G$50,G134+1,FALSE)</f>
        <v>#N/A</v>
      </c>
      <c r="AG134" s="43" t="e">
        <f t="shared" si="69"/>
        <v>#N/A</v>
      </c>
      <c r="AH134" s="51" t="e">
        <f>HLOOKUP(I134,GasAvoidedCostsWOCC!$A$5:$Q$50,T134+1,FALSE)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HLOOKUP(I134,GasAvoidedCostsWOCC!$A$5:$Q$50,G134+1,FALSE)*J134*L134</f>
        <v>#N/A</v>
      </c>
      <c r="AL134" s="43" t="e">
        <f t="shared" si="72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HLOOKUP(I135,GasAvoidedCostsWOCC!$A$5:$G$50,G135+1,FALSE)</f>
        <v>#N/A</v>
      </c>
      <c r="AG135" s="43" t="e">
        <f t="shared" si="69"/>
        <v>#N/A</v>
      </c>
      <c r="AH135" s="51" t="e">
        <f>HLOOKUP(I135,GasAvoidedCostsWOCC!$A$5:$Q$50,T135+1,FALSE)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HLOOKUP(I135,GasAvoidedCostsWOCC!$A$5:$Q$50,G135+1,FALSE)*J135*L135</f>
        <v>#N/A</v>
      </c>
      <c r="AL135" s="43" t="e">
        <f t="shared" si="72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HLOOKUP(I136,GasAvoidedCostsWOCC!$A$5:$G$50,G136+1,FALSE)</f>
        <v>#N/A</v>
      </c>
      <c r="AG136" s="43" t="e">
        <f t="shared" si="69"/>
        <v>#N/A</v>
      </c>
      <c r="AH136" s="51" t="e">
        <f>HLOOKUP(I136,GasAvoidedCostsWOCC!$A$5:$Q$50,T136+1,FALSE)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HLOOKUP(I136,GasAvoidedCostsWOCC!$A$5:$Q$50,G136+1,FALSE)*J136*L136</f>
        <v>#N/A</v>
      </c>
      <c r="AL136" s="43" t="e">
        <f t="shared" si="72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HLOOKUP(I137,GasAvoidedCostsWOCC!$A$5:$G$50,G137+1,FALSE)</f>
        <v>#N/A</v>
      </c>
      <c r="AG137" s="43" t="e">
        <f t="shared" si="69"/>
        <v>#N/A</v>
      </c>
      <c r="AH137" s="51" t="e">
        <f>HLOOKUP(I137,GasAvoidedCostsWOCC!$A$5:$Q$50,T137+1,FALSE)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HLOOKUP(I137,GasAvoidedCostsWOCC!$A$5:$Q$50,G137+1,FALSE)*J137*L137</f>
        <v>#N/A</v>
      </c>
      <c r="AL137" s="43" t="e">
        <f t="shared" si="72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HLOOKUP(I138,GasAvoidedCostsWOCC!$A$5:$G$50,G138+1,FALSE)</f>
        <v>#N/A</v>
      </c>
      <c r="AG138" s="43" t="e">
        <f t="shared" si="69"/>
        <v>#N/A</v>
      </c>
      <c r="AH138" s="51" t="e">
        <f>HLOOKUP(I138,GasAvoidedCostsWOCC!$A$5:$Q$50,T138+1,FALSE)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HLOOKUP(I138,GasAvoidedCostsWOCC!$A$5:$Q$50,G138+1,FALSE)*J138*L138</f>
        <v>#N/A</v>
      </c>
      <c r="AL138" s="43" t="e">
        <f t="shared" si="72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HLOOKUP(I139,GasAvoidedCostsWOCC!$A$5:$G$50,G139+1,FALSE)</f>
        <v>#N/A</v>
      </c>
      <c r="AG139" s="43" t="e">
        <f t="shared" si="69"/>
        <v>#N/A</v>
      </c>
      <c r="AH139" s="51" t="e">
        <f>HLOOKUP(I139,GasAvoidedCostsWOCC!$A$5:$Q$50,T139+1,FALSE)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HLOOKUP(I139,GasAvoidedCostsWOCC!$A$5:$Q$50,G139+1,FALSE)*J139*L139</f>
        <v>#N/A</v>
      </c>
      <c r="AL139" s="43" t="e">
        <f t="shared" si="72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ref="T140:T193" si="76">G140+H140</f>
        <v>0</v>
      </c>
      <c r="U140" s="46">
        <f t="shared" ref="U140:U193" si="77">(O140/$A$10)*T140</f>
        <v>0</v>
      </c>
      <c r="V140" s="47">
        <f t="shared" ref="V140:V193" si="78">N140-M140</f>
        <v>0</v>
      </c>
      <c r="W140" s="48">
        <f t="shared" ref="W140:W193" si="79">(O140/A$10)</f>
        <v>0</v>
      </c>
      <c r="X140" s="43">
        <f t="shared" ref="X140:X193" si="80">W140*A$8</f>
        <v>0</v>
      </c>
      <c r="Y140" s="43">
        <f t="shared" ref="Y140:Y193" si="81">Q140-P140</f>
        <v>0</v>
      </c>
      <c r="Z140" s="43">
        <f t="shared" ref="Z140:Z193" si="82">X140+(A$6*W140)</f>
        <v>0</v>
      </c>
      <c r="AA140" s="49">
        <f t="shared" ref="AA140:AA193" si="83">Q140+X140</f>
        <v>0</v>
      </c>
      <c r="AB140" s="50">
        <f t="shared" ref="AB140:AB193" si="84">Z140/(1+GasDiscountRate)^1</f>
        <v>0</v>
      </c>
      <c r="AC140" s="43">
        <f t="shared" ref="AC140:AC193" si="85">AA140/(1+GasDiscountRate)^1</f>
        <v>0</v>
      </c>
      <c r="AD140" s="43">
        <f t="shared" ref="AD140:AD193" si="86">-PV(GasDiscountRate,T140,R140)*J140</f>
        <v>0</v>
      </c>
      <c r="AE140" s="43">
        <f t="shared" ref="AE140:AE193" si="87">-PV(GasDiscountRate,T140,S140)*J140</f>
        <v>0</v>
      </c>
      <c r="AF140" s="51" t="e">
        <f>HLOOKUP(I140,GasAvoidedCostsWOCC!$A$5:$G$50,G140+1,FALSE)</f>
        <v>#N/A</v>
      </c>
      <c r="AG140" s="43" t="e">
        <f t="shared" ref="AG140:AG193" si="88">AF140*J140*K140</f>
        <v>#N/A</v>
      </c>
      <c r="AH140" s="51" t="e">
        <f>HLOOKUP(I140,GasAvoidedCostsWOCC!$A$5:$Q$50,T140+1,FALSE)</f>
        <v>#N/A</v>
      </c>
      <c r="AI140" s="43" t="e">
        <f t="shared" ref="AI140:AI193" si="89">AH140*J140*L140</f>
        <v>#N/A</v>
      </c>
      <c r="AJ140" s="43" t="e">
        <f t="shared" ref="AJ140:AJ193" si="90">AG140+AI140</f>
        <v>#N/A</v>
      </c>
      <c r="AK140" s="43" t="e">
        <f>HLOOKUP(I140,GasAvoidedCostsWOCC!$A$5:$Q$50,G140+1,FALSE)*J140*L140</f>
        <v>#N/A</v>
      </c>
      <c r="AL140" s="43" t="e">
        <f t="shared" ref="AL140:AL193" si="91">AG140+AI140-AK140</f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ref="AN140:AN193" si="92">AM140*1.1+AD140+AE140</f>
        <v>0</v>
      </c>
      <c r="AO140" s="46">
        <f t="shared" ref="AO140:AO193" si="93">IFERROR(AM140/AB140,0)</f>
        <v>0</v>
      </c>
      <c r="AP140" s="46" t="e">
        <f t="shared" ref="AP140:AP193" si="94">AN140/AC140</f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76"/>
        <v>0</v>
      </c>
      <c r="U141" s="46">
        <f t="shared" si="77"/>
        <v>0</v>
      </c>
      <c r="V141" s="47">
        <f t="shared" si="78"/>
        <v>0</v>
      </c>
      <c r="W141" s="48">
        <f t="shared" si="79"/>
        <v>0</v>
      </c>
      <c r="X141" s="43">
        <f t="shared" si="80"/>
        <v>0</v>
      </c>
      <c r="Y141" s="43">
        <f t="shared" si="81"/>
        <v>0</v>
      </c>
      <c r="Z141" s="43">
        <f t="shared" si="82"/>
        <v>0</v>
      </c>
      <c r="AA141" s="49">
        <f t="shared" si="83"/>
        <v>0</v>
      </c>
      <c r="AB141" s="50">
        <f t="shared" si="84"/>
        <v>0</v>
      </c>
      <c r="AC141" s="43">
        <f t="shared" si="85"/>
        <v>0</v>
      </c>
      <c r="AD141" s="43">
        <f t="shared" si="86"/>
        <v>0</v>
      </c>
      <c r="AE141" s="43">
        <f t="shared" si="87"/>
        <v>0</v>
      </c>
      <c r="AF141" s="51" t="e">
        <f>HLOOKUP(I141,GasAvoidedCostsWOCC!$A$5:$G$50,G141+1,FALSE)</f>
        <v>#N/A</v>
      </c>
      <c r="AG141" s="43" t="e">
        <f t="shared" si="88"/>
        <v>#N/A</v>
      </c>
      <c r="AH141" s="51" t="e">
        <f>HLOOKUP(I141,GasAvoidedCostsWOCC!$A$5:$Q$50,T141+1,FALSE)</f>
        <v>#N/A</v>
      </c>
      <c r="AI141" s="43" t="e">
        <f t="shared" si="89"/>
        <v>#N/A</v>
      </c>
      <c r="AJ141" s="43" t="e">
        <f t="shared" si="90"/>
        <v>#N/A</v>
      </c>
      <c r="AK141" s="43" t="e">
        <f>HLOOKUP(I141,GasAvoidedCostsWOCC!$A$5:$Q$50,G141+1,FALSE)*J141*L141</f>
        <v>#N/A</v>
      </c>
      <c r="AL141" s="43" t="e">
        <f t="shared" si="91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92"/>
        <v>0</v>
      </c>
      <c r="AO141" s="46">
        <f t="shared" si="93"/>
        <v>0</v>
      </c>
      <c r="AP141" s="46" t="e">
        <f t="shared" si="94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76"/>
        <v>0</v>
      </c>
      <c r="U142" s="46">
        <f t="shared" si="77"/>
        <v>0</v>
      </c>
      <c r="V142" s="47">
        <f t="shared" si="78"/>
        <v>0</v>
      </c>
      <c r="W142" s="48">
        <f t="shared" si="79"/>
        <v>0</v>
      </c>
      <c r="X142" s="43">
        <f t="shared" si="80"/>
        <v>0</v>
      </c>
      <c r="Y142" s="43">
        <f t="shared" si="81"/>
        <v>0</v>
      </c>
      <c r="Z142" s="43">
        <f t="shared" si="82"/>
        <v>0</v>
      </c>
      <c r="AA142" s="49">
        <f t="shared" si="83"/>
        <v>0</v>
      </c>
      <c r="AB142" s="50">
        <f t="shared" si="84"/>
        <v>0</v>
      </c>
      <c r="AC142" s="43">
        <f t="shared" si="85"/>
        <v>0</v>
      </c>
      <c r="AD142" s="43">
        <f t="shared" si="86"/>
        <v>0</v>
      </c>
      <c r="AE142" s="43">
        <f t="shared" si="87"/>
        <v>0</v>
      </c>
      <c r="AF142" s="51" t="e">
        <f>HLOOKUP(I142,GasAvoidedCostsWOCC!$A$5:$G$50,G142+1,FALSE)</f>
        <v>#N/A</v>
      </c>
      <c r="AG142" s="43" t="e">
        <f t="shared" si="88"/>
        <v>#N/A</v>
      </c>
      <c r="AH142" s="51" t="e">
        <f>HLOOKUP(I142,GasAvoidedCostsWOCC!$A$5:$Q$50,T142+1,FALSE)</f>
        <v>#N/A</v>
      </c>
      <c r="AI142" s="43" t="e">
        <f t="shared" si="89"/>
        <v>#N/A</v>
      </c>
      <c r="AJ142" s="43" t="e">
        <f t="shared" si="90"/>
        <v>#N/A</v>
      </c>
      <c r="AK142" s="43" t="e">
        <f>HLOOKUP(I142,GasAvoidedCostsWOCC!$A$5:$Q$50,G142+1,FALSE)*J142*L142</f>
        <v>#N/A</v>
      </c>
      <c r="AL142" s="43" t="e">
        <f t="shared" si="91"/>
        <v>#N/A</v>
      </c>
      <c r="AM142" s="47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7">
        <f t="shared" si="92"/>
        <v>0</v>
      </c>
      <c r="AO142" s="46">
        <f t="shared" si="93"/>
        <v>0</v>
      </c>
      <c r="AP142" s="46" t="e">
        <f t="shared" si="94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76"/>
        <v>0</v>
      </c>
      <c r="U143" s="46">
        <f t="shared" si="77"/>
        <v>0</v>
      </c>
      <c r="V143" s="47">
        <f t="shared" si="78"/>
        <v>0</v>
      </c>
      <c r="W143" s="48">
        <f t="shared" si="79"/>
        <v>0</v>
      </c>
      <c r="X143" s="43">
        <f t="shared" si="80"/>
        <v>0</v>
      </c>
      <c r="Y143" s="43">
        <f t="shared" si="81"/>
        <v>0</v>
      </c>
      <c r="Z143" s="43">
        <f t="shared" si="82"/>
        <v>0</v>
      </c>
      <c r="AA143" s="49">
        <f t="shared" si="83"/>
        <v>0</v>
      </c>
      <c r="AB143" s="50">
        <f t="shared" si="84"/>
        <v>0</v>
      </c>
      <c r="AC143" s="43">
        <f t="shared" si="85"/>
        <v>0</v>
      </c>
      <c r="AD143" s="43">
        <f t="shared" si="86"/>
        <v>0</v>
      </c>
      <c r="AE143" s="43">
        <f t="shared" si="87"/>
        <v>0</v>
      </c>
      <c r="AF143" s="51" t="e">
        <f>HLOOKUP(I143,GasAvoidedCostsWOCC!$A$5:$G$50,G143+1,FALSE)</f>
        <v>#N/A</v>
      </c>
      <c r="AG143" s="43" t="e">
        <f t="shared" si="88"/>
        <v>#N/A</v>
      </c>
      <c r="AH143" s="51" t="e">
        <f>HLOOKUP(I143,GasAvoidedCostsWOCC!$A$5:$Q$50,T143+1,FALSE)</f>
        <v>#N/A</v>
      </c>
      <c r="AI143" s="43" t="e">
        <f t="shared" si="89"/>
        <v>#N/A</v>
      </c>
      <c r="AJ143" s="43" t="e">
        <f t="shared" si="90"/>
        <v>#N/A</v>
      </c>
      <c r="AK143" s="43" t="e">
        <f>HLOOKUP(I143,GasAvoidedCostsWOCC!$A$5:$Q$50,G143+1,FALSE)*J143*L143</f>
        <v>#N/A</v>
      </c>
      <c r="AL143" s="43" t="e">
        <f t="shared" si="91"/>
        <v>#N/A</v>
      </c>
      <c r="AM143" s="47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7">
        <f t="shared" si="92"/>
        <v>0</v>
      </c>
      <c r="AO143" s="46">
        <f t="shared" si="93"/>
        <v>0</v>
      </c>
      <c r="AP143" s="46" t="e">
        <f t="shared" si="94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76"/>
        <v>0</v>
      </c>
      <c r="U144" s="46">
        <f t="shared" si="77"/>
        <v>0</v>
      </c>
      <c r="V144" s="47">
        <f t="shared" si="78"/>
        <v>0</v>
      </c>
      <c r="W144" s="48">
        <f t="shared" si="79"/>
        <v>0</v>
      </c>
      <c r="X144" s="43">
        <f t="shared" si="80"/>
        <v>0</v>
      </c>
      <c r="Y144" s="43">
        <f t="shared" si="81"/>
        <v>0</v>
      </c>
      <c r="Z144" s="43">
        <f t="shared" si="82"/>
        <v>0</v>
      </c>
      <c r="AA144" s="49">
        <f t="shared" si="83"/>
        <v>0</v>
      </c>
      <c r="AB144" s="50">
        <f t="shared" si="84"/>
        <v>0</v>
      </c>
      <c r="AC144" s="43">
        <f t="shared" si="85"/>
        <v>0</v>
      </c>
      <c r="AD144" s="43">
        <f t="shared" si="86"/>
        <v>0</v>
      </c>
      <c r="AE144" s="43">
        <f t="shared" si="87"/>
        <v>0</v>
      </c>
      <c r="AF144" s="51" t="e">
        <f>HLOOKUP(I144,GasAvoidedCostsWOCC!$A$5:$G$50,G144+1,FALSE)</f>
        <v>#N/A</v>
      </c>
      <c r="AG144" s="43" t="e">
        <f t="shared" si="88"/>
        <v>#N/A</v>
      </c>
      <c r="AH144" s="51" t="e">
        <f>HLOOKUP(I144,GasAvoidedCostsWOCC!$A$5:$Q$50,T144+1,FALSE)</f>
        <v>#N/A</v>
      </c>
      <c r="AI144" s="43" t="e">
        <f t="shared" si="89"/>
        <v>#N/A</v>
      </c>
      <c r="AJ144" s="43" t="e">
        <f t="shared" si="90"/>
        <v>#N/A</v>
      </c>
      <c r="AK144" s="43" t="e">
        <f>HLOOKUP(I144,GasAvoidedCostsWOCC!$A$5:$Q$50,G144+1,FALSE)*J144*L144</f>
        <v>#N/A</v>
      </c>
      <c r="AL144" s="43" t="e">
        <f t="shared" si="91"/>
        <v>#N/A</v>
      </c>
      <c r="AM144" s="47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7">
        <f t="shared" si="92"/>
        <v>0</v>
      </c>
      <c r="AO144" s="46">
        <f t="shared" si="93"/>
        <v>0</v>
      </c>
      <c r="AP144" s="46" t="e">
        <f t="shared" si="94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76"/>
        <v>0</v>
      </c>
      <c r="U145" s="46">
        <f t="shared" si="77"/>
        <v>0</v>
      </c>
      <c r="V145" s="47">
        <f t="shared" si="78"/>
        <v>0</v>
      </c>
      <c r="W145" s="48">
        <f t="shared" si="79"/>
        <v>0</v>
      </c>
      <c r="X145" s="43">
        <f t="shared" si="80"/>
        <v>0</v>
      </c>
      <c r="Y145" s="43">
        <f t="shared" si="81"/>
        <v>0</v>
      </c>
      <c r="Z145" s="43">
        <f t="shared" si="82"/>
        <v>0</v>
      </c>
      <c r="AA145" s="49">
        <f t="shared" si="83"/>
        <v>0</v>
      </c>
      <c r="AB145" s="50">
        <f t="shared" si="84"/>
        <v>0</v>
      </c>
      <c r="AC145" s="43">
        <f t="shared" si="85"/>
        <v>0</v>
      </c>
      <c r="AD145" s="43">
        <f t="shared" si="86"/>
        <v>0</v>
      </c>
      <c r="AE145" s="43">
        <f t="shared" si="87"/>
        <v>0</v>
      </c>
      <c r="AF145" s="51" t="e">
        <f>HLOOKUP(I145,GasAvoidedCostsWOCC!$A$5:$G$50,G145+1,FALSE)</f>
        <v>#N/A</v>
      </c>
      <c r="AG145" s="43" t="e">
        <f t="shared" si="88"/>
        <v>#N/A</v>
      </c>
      <c r="AH145" s="51" t="e">
        <f>HLOOKUP(I145,GasAvoidedCostsWOCC!$A$5:$Q$50,T145+1,FALSE)</f>
        <v>#N/A</v>
      </c>
      <c r="AI145" s="43" t="e">
        <f t="shared" si="89"/>
        <v>#N/A</v>
      </c>
      <c r="AJ145" s="43" t="e">
        <f t="shared" si="90"/>
        <v>#N/A</v>
      </c>
      <c r="AK145" s="43" t="e">
        <f>HLOOKUP(I145,GasAvoidedCostsWOCC!$A$5:$Q$50,G145+1,FALSE)*J145*L145</f>
        <v>#N/A</v>
      </c>
      <c r="AL145" s="43" t="e">
        <f t="shared" si="91"/>
        <v>#N/A</v>
      </c>
      <c r="AM145" s="47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7">
        <f t="shared" si="92"/>
        <v>0</v>
      </c>
      <c r="AO145" s="46">
        <f t="shared" si="93"/>
        <v>0</v>
      </c>
      <c r="AP145" s="46" t="e">
        <f t="shared" si="94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76"/>
        <v>0</v>
      </c>
      <c r="U146" s="46">
        <f t="shared" si="77"/>
        <v>0</v>
      </c>
      <c r="V146" s="47">
        <f t="shared" si="78"/>
        <v>0</v>
      </c>
      <c r="W146" s="48">
        <f t="shared" si="79"/>
        <v>0</v>
      </c>
      <c r="X146" s="43">
        <f t="shared" si="80"/>
        <v>0</v>
      </c>
      <c r="Y146" s="43">
        <f t="shared" si="81"/>
        <v>0</v>
      </c>
      <c r="Z146" s="43">
        <f t="shared" si="82"/>
        <v>0</v>
      </c>
      <c r="AA146" s="49">
        <f t="shared" si="83"/>
        <v>0</v>
      </c>
      <c r="AB146" s="50">
        <f t="shared" si="84"/>
        <v>0</v>
      </c>
      <c r="AC146" s="43">
        <f t="shared" si="85"/>
        <v>0</v>
      </c>
      <c r="AD146" s="43">
        <f t="shared" si="86"/>
        <v>0</v>
      </c>
      <c r="AE146" s="43">
        <f t="shared" si="87"/>
        <v>0</v>
      </c>
      <c r="AF146" s="51" t="e">
        <f>HLOOKUP(I146,GasAvoidedCostsWOCC!$A$5:$G$50,G146+1,FALSE)</f>
        <v>#N/A</v>
      </c>
      <c r="AG146" s="43" t="e">
        <f t="shared" si="88"/>
        <v>#N/A</v>
      </c>
      <c r="AH146" s="51" t="e">
        <f>HLOOKUP(I146,GasAvoidedCostsWOCC!$A$5:$Q$50,T146+1,FALSE)</f>
        <v>#N/A</v>
      </c>
      <c r="AI146" s="43" t="e">
        <f t="shared" si="89"/>
        <v>#N/A</v>
      </c>
      <c r="AJ146" s="43" t="e">
        <f t="shared" si="90"/>
        <v>#N/A</v>
      </c>
      <c r="AK146" s="43" t="e">
        <f>HLOOKUP(I146,GasAvoidedCostsWOCC!$A$5:$Q$50,G146+1,FALSE)*J146*L146</f>
        <v>#N/A</v>
      </c>
      <c r="AL146" s="43" t="e">
        <f t="shared" si="91"/>
        <v>#N/A</v>
      </c>
      <c r="AM146" s="47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7">
        <f t="shared" si="92"/>
        <v>0</v>
      </c>
      <c r="AO146" s="46">
        <f t="shared" si="93"/>
        <v>0</v>
      </c>
      <c r="AP146" s="46" t="e">
        <f t="shared" si="94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76"/>
        <v>0</v>
      </c>
      <c r="U147" s="46">
        <f t="shared" si="77"/>
        <v>0</v>
      </c>
      <c r="V147" s="47">
        <f t="shared" si="78"/>
        <v>0</v>
      </c>
      <c r="W147" s="48">
        <f t="shared" si="79"/>
        <v>0</v>
      </c>
      <c r="X147" s="43">
        <f t="shared" si="80"/>
        <v>0</v>
      </c>
      <c r="Y147" s="43">
        <f t="shared" si="81"/>
        <v>0</v>
      </c>
      <c r="Z147" s="43">
        <f t="shared" si="82"/>
        <v>0</v>
      </c>
      <c r="AA147" s="49">
        <f t="shared" si="83"/>
        <v>0</v>
      </c>
      <c r="AB147" s="50">
        <f t="shared" si="84"/>
        <v>0</v>
      </c>
      <c r="AC147" s="43">
        <f t="shared" si="85"/>
        <v>0</v>
      </c>
      <c r="AD147" s="43">
        <f t="shared" si="86"/>
        <v>0</v>
      </c>
      <c r="AE147" s="43">
        <f t="shared" si="87"/>
        <v>0</v>
      </c>
      <c r="AF147" s="51" t="e">
        <f>HLOOKUP(I147,GasAvoidedCostsWOCC!$A$5:$G$50,G147+1,FALSE)</f>
        <v>#N/A</v>
      </c>
      <c r="AG147" s="43" t="e">
        <f t="shared" si="88"/>
        <v>#N/A</v>
      </c>
      <c r="AH147" s="51" t="e">
        <f>HLOOKUP(I147,GasAvoidedCostsWOCC!$A$5:$Q$50,T147+1,FALSE)</f>
        <v>#N/A</v>
      </c>
      <c r="AI147" s="43" t="e">
        <f t="shared" si="89"/>
        <v>#N/A</v>
      </c>
      <c r="AJ147" s="43" t="e">
        <f t="shared" si="90"/>
        <v>#N/A</v>
      </c>
      <c r="AK147" s="43" t="e">
        <f>HLOOKUP(I147,GasAvoidedCostsWOCC!$A$5:$Q$50,G147+1,FALSE)*J147*L147</f>
        <v>#N/A</v>
      </c>
      <c r="AL147" s="43" t="e">
        <f t="shared" si="91"/>
        <v>#N/A</v>
      </c>
      <c r="AM147" s="47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7">
        <f t="shared" si="92"/>
        <v>0</v>
      </c>
      <c r="AO147" s="46">
        <f t="shared" si="93"/>
        <v>0</v>
      </c>
      <c r="AP147" s="46" t="e">
        <f t="shared" si="94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76"/>
        <v>0</v>
      </c>
      <c r="U148" s="46">
        <f t="shared" si="77"/>
        <v>0</v>
      </c>
      <c r="V148" s="47">
        <f t="shared" si="78"/>
        <v>0</v>
      </c>
      <c r="W148" s="48">
        <f t="shared" si="79"/>
        <v>0</v>
      </c>
      <c r="X148" s="43">
        <f t="shared" si="80"/>
        <v>0</v>
      </c>
      <c r="Y148" s="43">
        <f t="shared" si="81"/>
        <v>0</v>
      </c>
      <c r="Z148" s="43">
        <f t="shared" si="82"/>
        <v>0</v>
      </c>
      <c r="AA148" s="49">
        <f t="shared" si="83"/>
        <v>0</v>
      </c>
      <c r="AB148" s="50">
        <f t="shared" si="84"/>
        <v>0</v>
      </c>
      <c r="AC148" s="43">
        <f t="shared" si="85"/>
        <v>0</v>
      </c>
      <c r="AD148" s="43">
        <f t="shared" si="86"/>
        <v>0</v>
      </c>
      <c r="AE148" s="43">
        <f t="shared" si="87"/>
        <v>0</v>
      </c>
      <c r="AF148" s="51" t="e">
        <f>HLOOKUP(I148,GasAvoidedCostsWOCC!$A$5:$G$50,G148+1,FALSE)</f>
        <v>#N/A</v>
      </c>
      <c r="AG148" s="43" t="e">
        <f t="shared" si="88"/>
        <v>#N/A</v>
      </c>
      <c r="AH148" s="51" t="e">
        <f>HLOOKUP(I148,GasAvoidedCostsWOCC!$A$5:$Q$50,T148+1,FALSE)</f>
        <v>#N/A</v>
      </c>
      <c r="AI148" s="43" t="e">
        <f t="shared" si="89"/>
        <v>#N/A</v>
      </c>
      <c r="AJ148" s="43" t="e">
        <f t="shared" si="90"/>
        <v>#N/A</v>
      </c>
      <c r="AK148" s="43" t="e">
        <f>HLOOKUP(I148,GasAvoidedCostsWOCC!$A$5:$Q$50,G148+1,FALSE)*J148*L148</f>
        <v>#N/A</v>
      </c>
      <c r="AL148" s="43" t="e">
        <f t="shared" si="91"/>
        <v>#N/A</v>
      </c>
      <c r="AM148" s="47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7">
        <f t="shared" si="92"/>
        <v>0</v>
      </c>
      <c r="AO148" s="46">
        <f t="shared" si="93"/>
        <v>0</v>
      </c>
      <c r="AP148" s="46" t="e">
        <f t="shared" si="94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76"/>
        <v>0</v>
      </c>
      <c r="U149" s="46">
        <f t="shared" si="77"/>
        <v>0</v>
      </c>
      <c r="V149" s="47">
        <f t="shared" si="78"/>
        <v>0</v>
      </c>
      <c r="W149" s="48">
        <f t="shared" si="79"/>
        <v>0</v>
      </c>
      <c r="X149" s="43">
        <f t="shared" si="80"/>
        <v>0</v>
      </c>
      <c r="Y149" s="43">
        <f t="shared" si="81"/>
        <v>0</v>
      </c>
      <c r="Z149" s="43">
        <f t="shared" si="82"/>
        <v>0</v>
      </c>
      <c r="AA149" s="49">
        <f t="shared" si="83"/>
        <v>0</v>
      </c>
      <c r="AB149" s="50">
        <f t="shared" si="84"/>
        <v>0</v>
      </c>
      <c r="AC149" s="43">
        <f t="shared" si="85"/>
        <v>0</v>
      </c>
      <c r="AD149" s="43">
        <f t="shared" si="86"/>
        <v>0</v>
      </c>
      <c r="AE149" s="43">
        <f t="shared" si="87"/>
        <v>0</v>
      </c>
      <c r="AF149" s="51" t="e">
        <f>HLOOKUP(I149,GasAvoidedCostsWOCC!$A$5:$G$50,G149+1,FALSE)</f>
        <v>#N/A</v>
      </c>
      <c r="AG149" s="43" t="e">
        <f t="shared" si="88"/>
        <v>#N/A</v>
      </c>
      <c r="AH149" s="51" t="e">
        <f>HLOOKUP(I149,GasAvoidedCostsWOCC!$A$5:$Q$50,T149+1,FALSE)</f>
        <v>#N/A</v>
      </c>
      <c r="AI149" s="43" t="e">
        <f t="shared" si="89"/>
        <v>#N/A</v>
      </c>
      <c r="AJ149" s="43" t="e">
        <f t="shared" si="90"/>
        <v>#N/A</v>
      </c>
      <c r="AK149" s="43" t="e">
        <f>HLOOKUP(I149,GasAvoidedCostsWOCC!$A$5:$Q$50,G149+1,FALSE)*J149*L149</f>
        <v>#N/A</v>
      </c>
      <c r="AL149" s="43" t="e">
        <f t="shared" si="91"/>
        <v>#N/A</v>
      </c>
      <c r="AM149" s="47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7">
        <f t="shared" si="92"/>
        <v>0</v>
      </c>
      <c r="AO149" s="46">
        <f t="shared" si="93"/>
        <v>0</v>
      </c>
      <c r="AP149" s="46" t="e">
        <f t="shared" si="94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76"/>
        <v>0</v>
      </c>
      <c r="U150" s="46">
        <f t="shared" si="77"/>
        <v>0</v>
      </c>
      <c r="V150" s="47">
        <f t="shared" si="78"/>
        <v>0</v>
      </c>
      <c r="W150" s="48">
        <f t="shared" si="79"/>
        <v>0</v>
      </c>
      <c r="X150" s="43">
        <f t="shared" si="80"/>
        <v>0</v>
      </c>
      <c r="Y150" s="43">
        <f t="shared" si="81"/>
        <v>0</v>
      </c>
      <c r="Z150" s="43">
        <f t="shared" si="82"/>
        <v>0</v>
      </c>
      <c r="AA150" s="49">
        <f t="shared" si="83"/>
        <v>0</v>
      </c>
      <c r="AB150" s="50">
        <f t="shared" si="84"/>
        <v>0</v>
      </c>
      <c r="AC150" s="43">
        <f t="shared" si="85"/>
        <v>0</v>
      </c>
      <c r="AD150" s="43">
        <f t="shared" si="86"/>
        <v>0</v>
      </c>
      <c r="AE150" s="43">
        <f t="shared" si="87"/>
        <v>0</v>
      </c>
      <c r="AF150" s="51" t="e">
        <f>HLOOKUP(I150,GasAvoidedCostsWOCC!$A$5:$G$50,G150+1,FALSE)</f>
        <v>#N/A</v>
      </c>
      <c r="AG150" s="43" t="e">
        <f t="shared" si="88"/>
        <v>#N/A</v>
      </c>
      <c r="AH150" s="51" t="e">
        <f>HLOOKUP(I150,GasAvoidedCostsWOCC!$A$5:$Q$50,T150+1,FALSE)</f>
        <v>#N/A</v>
      </c>
      <c r="AI150" s="43" t="e">
        <f t="shared" si="89"/>
        <v>#N/A</v>
      </c>
      <c r="AJ150" s="43" t="e">
        <f t="shared" si="90"/>
        <v>#N/A</v>
      </c>
      <c r="AK150" s="43" t="e">
        <f>HLOOKUP(I150,GasAvoidedCostsWOCC!$A$5:$Q$50,G150+1,FALSE)*J150*L150</f>
        <v>#N/A</v>
      </c>
      <c r="AL150" s="43" t="e">
        <f t="shared" si="91"/>
        <v>#N/A</v>
      </c>
      <c r="AM150" s="47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7">
        <f t="shared" si="92"/>
        <v>0</v>
      </c>
      <c r="AO150" s="46">
        <f t="shared" si="93"/>
        <v>0</v>
      </c>
      <c r="AP150" s="46" t="e">
        <f t="shared" si="94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76"/>
        <v>0</v>
      </c>
      <c r="U151" s="46">
        <f t="shared" si="77"/>
        <v>0</v>
      </c>
      <c r="V151" s="47">
        <f t="shared" si="78"/>
        <v>0</v>
      </c>
      <c r="W151" s="48">
        <f t="shared" si="79"/>
        <v>0</v>
      </c>
      <c r="X151" s="43">
        <f t="shared" si="80"/>
        <v>0</v>
      </c>
      <c r="Y151" s="43">
        <f t="shared" si="81"/>
        <v>0</v>
      </c>
      <c r="Z151" s="43">
        <f t="shared" si="82"/>
        <v>0</v>
      </c>
      <c r="AA151" s="49">
        <f t="shared" si="83"/>
        <v>0</v>
      </c>
      <c r="AB151" s="50">
        <f t="shared" si="84"/>
        <v>0</v>
      </c>
      <c r="AC151" s="43">
        <f t="shared" si="85"/>
        <v>0</v>
      </c>
      <c r="AD151" s="43">
        <f t="shared" si="86"/>
        <v>0</v>
      </c>
      <c r="AE151" s="43">
        <f t="shared" si="87"/>
        <v>0</v>
      </c>
      <c r="AF151" s="51" t="e">
        <f>HLOOKUP(I151,GasAvoidedCostsWOCC!$A$5:$G$50,G151+1,FALSE)</f>
        <v>#N/A</v>
      </c>
      <c r="AG151" s="43" t="e">
        <f t="shared" si="88"/>
        <v>#N/A</v>
      </c>
      <c r="AH151" s="51" t="e">
        <f>HLOOKUP(I151,GasAvoidedCostsWOCC!$A$5:$Q$50,T151+1,FALSE)</f>
        <v>#N/A</v>
      </c>
      <c r="AI151" s="43" t="e">
        <f t="shared" si="89"/>
        <v>#N/A</v>
      </c>
      <c r="AJ151" s="43" t="e">
        <f t="shared" si="90"/>
        <v>#N/A</v>
      </c>
      <c r="AK151" s="43" t="e">
        <f>HLOOKUP(I151,GasAvoidedCostsWOCC!$A$5:$Q$50,G151+1,FALSE)*J151*L151</f>
        <v>#N/A</v>
      </c>
      <c r="AL151" s="43" t="e">
        <f t="shared" si="91"/>
        <v>#N/A</v>
      </c>
      <c r="AM151" s="47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7">
        <f t="shared" si="92"/>
        <v>0</v>
      </c>
      <c r="AO151" s="46">
        <f t="shared" si="93"/>
        <v>0</v>
      </c>
      <c r="AP151" s="46" t="e">
        <f t="shared" si="94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76"/>
        <v>0</v>
      </c>
      <c r="U152" s="46">
        <f t="shared" si="77"/>
        <v>0</v>
      </c>
      <c r="V152" s="47">
        <f t="shared" si="78"/>
        <v>0</v>
      </c>
      <c r="W152" s="48">
        <f t="shared" si="79"/>
        <v>0</v>
      </c>
      <c r="X152" s="43">
        <f t="shared" si="80"/>
        <v>0</v>
      </c>
      <c r="Y152" s="43">
        <f t="shared" si="81"/>
        <v>0</v>
      </c>
      <c r="Z152" s="43">
        <f t="shared" si="82"/>
        <v>0</v>
      </c>
      <c r="AA152" s="49">
        <f t="shared" si="83"/>
        <v>0</v>
      </c>
      <c r="AB152" s="50">
        <f t="shared" si="84"/>
        <v>0</v>
      </c>
      <c r="AC152" s="43">
        <f t="shared" si="85"/>
        <v>0</v>
      </c>
      <c r="AD152" s="43">
        <f t="shared" si="86"/>
        <v>0</v>
      </c>
      <c r="AE152" s="43">
        <f t="shared" si="87"/>
        <v>0</v>
      </c>
      <c r="AF152" s="51" t="e">
        <f>HLOOKUP(I152,GasAvoidedCostsWOCC!$A$5:$G$50,G152+1,FALSE)</f>
        <v>#N/A</v>
      </c>
      <c r="AG152" s="43" t="e">
        <f t="shared" si="88"/>
        <v>#N/A</v>
      </c>
      <c r="AH152" s="51" t="e">
        <f>HLOOKUP(I152,GasAvoidedCostsWOCC!$A$5:$Q$50,T152+1,FALSE)</f>
        <v>#N/A</v>
      </c>
      <c r="AI152" s="43" t="e">
        <f t="shared" si="89"/>
        <v>#N/A</v>
      </c>
      <c r="AJ152" s="43" t="e">
        <f t="shared" si="90"/>
        <v>#N/A</v>
      </c>
      <c r="AK152" s="43" t="e">
        <f>HLOOKUP(I152,GasAvoidedCostsWOCC!$A$5:$Q$50,G152+1,FALSE)*J152*L152</f>
        <v>#N/A</v>
      </c>
      <c r="AL152" s="43" t="e">
        <f t="shared" si="91"/>
        <v>#N/A</v>
      </c>
      <c r="AM152" s="47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7">
        <f t="shared" si="92"/>
        <v>0</v>
      </c>
      <c r="AO152" s="46">
        <f t="shared" si="93"/>
        <v>0</v>
      </c>
      <c r="AP152" s="46" t="e">
        <f t="shared" si="94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76"/>
        <v>0</v>
      </c>
      <c r="U153" s="46">
        <f t="shared" si="77"/>
        <v>0</v>
      </c>
      <c r="V153" s="47">
        <f t="shared" si="78"/>
        <v>0</v>
      </c>
      <c r="W153" s="48">
        <f t="shared" si="79"/>
        <v>0</v>
      </c>
      <c r="X153" s="43">
        <f t="shared" si="80"/>
        <v>0</v>
      </c>
      <c r="Y153" s="43">
        <f t="shared" si="81"/>
        <v>0</v>
      </c>
      <c r="Z153" s="43">
        <f t="shared" si="82"/>
        <v>0</v>
      </c>
      <c r="AA153" s="49">
        <f t="shared" si="83"/>
        <v>0</v>
      </c>
      <c r="AB153" s="50">
        <f t="shared" si="84"/>
        <v>0</v>
      </c>
      <c r="AC153" s="43">
        <f t="shared" si="85"/>
        <v>0</v>
      </c>
      <c r="AD153" s="43">
        <f t="shared" si="86"/>
        <v>0</v>
      </c>
      <c r="AE153" s="43">
        <f t="shared" si="87"/>
        <v>0</v>
      </c>
      <c r="AF153" s="51" t="e">
        <f>HLOOKUP(I153,GasAvoidedCostsWOCC!$A$5:$G$50,G153+1,FALSE)</f>
        <v>#N/A</v>
      </c>
      <c r="AG153" s="43" t="e">
        <f t="shared" si="88"/>
        <v>#N/A</v>
      </c>
      <c r="AH153" s="51" t="e">
        <f>HLOOKUP(I153,GasAvoidedCostsWOCC!$A$5:$Q$50,T153+1,FALSE)</f>
        <v>#N/A</v>
      </c>
      <c r="AI153" s="43" t="e">
        <f t="shared" si="89"/>
        <v>#N/A</v>
      </c>
      <c r="AJ153" s="43" t="e">
        <f t="shared" si="90"/>
        <v>#N/A</v>
      </c>
      <c r="AK153" s="43" t="e">
        <f>HLOOKUP(I153,GasAvoidedCostsWOCC!$A$5:$Q$50,G153+1,FALSE)*J153*L153</f>
        <v>#N/A</v>
      </c>
      <c r="AL153" s="43" t="e">
        <f t="shared" si="91"/>
        <v>#N/A</v>
      </c>
      <c r="AM153" s="47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7">
        <f t="shared" si="92"/>
        <v>0</v>
      </c>
      <c r="AO153" s="46">
        <f t="shared" si="93"/>
        <v>0</v>
      </c>
      <c r="AP153" s="46" t="e">
        <f t="shared" si="94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76"/>
        <v>0</v>
      </c>
      <c r="U154" s="46">
        <f t="shared" si="77"/>
        <v>0</v>
      </c>
      <c r="V154" s="47">
        <f t="shared" si="78"/>
        <v>0</v>
      </c>
      <c r="W154" s="48">
        <f t="shared" si="79"/>
        <v>0</v>
      </c>
      <c r="X154" s="43">
        <f t="shared" si="80"/>
        <v>0</v>
      </c>
      <c r="Y154" s="43">
        <f t="shared" si="81"/>
        <v>0</v>
      </c>
      <c r="Z154" s="43">
        <f t="shared" si="82"/>
        <v>0</v>
      </c>
      <c r="AA154" s="49">
        <f t="shared" si="83"/>
        <v>0</v>
      </c>
      <c r="AB154" s="50">
        <f t="shared" si="84"/>
        <v>0</v>
      </c>
      <c r="AC154" s="43">
        <f t="shared" si="85"/>
        <v>0</v>
      </c>
      <c r="AD154" s="43">
        <f t="shared" si="86"/>
        <v>0</v>
      </c>
      <c r="AE154" s="43">
        <f t="shared" si="87"/>
        <v>0</v>
      </c>
      <c r="AF154" s="51" t="e">
        <f>HLOOKUP(I154,GasAvoidedCostsWOCC!$A$5:$G$50,G154+1,FALSE)</f>
        <v>#N/A</v>
      </c>
      <c r="AG154" s="43" t="e">
        <f t="shared" si="88"/>
        <v>#N/A</v>
      </c>
      <c r="AH154" s="51" t="e">
        <f>HLOOKUP(I154,GasAvoidedCostsWOCC!$A$5:$Q$50,T154+1,FALSE)</f>
        <v>#N/A</v>
      </c>
      <c r="AI154" s="43" t="e">
        <f t="shared" si="89"/>
        <v>#N/A</v>
      </c>
      <c r="AJ154" s="43" t="e">
        <f t="shared" si="90"/>
        <v>#N/A</v>
      </c>
      <c r="AK154" s="43" t="e">
        <f>HLOOKUP(I154,GasAvoidedCostsWOCC!$A$5:$Q$50,G154+1,FALSE)*J154*L154</f>
        <v>#N/A</v>
      </c>
      <c r="AL154" s="43" t="e">
        <f t="shared" si="91"/>
        <v>#N/A</v>
      </c>
      <c r="AM154" s="47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7">
        <f t="shared" si="92"/>
        <v>0</v>
      </c>
      <c r="AO154" s="46">
        <f t="shared" si="93"/>
        <v>0</v>
      </c>
      <c r="AP154" s="46" t="e">
        <f t="shared" si="94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76"/>
        <v>0</v>
      </c>
      <c r="U155" s="46">
        <f t="shared" si="77"/>
        <v>0</v>
      </c>
      <c r="V155" s="47">
        <f t="shared" si="78"/>
        <v>0</v>
      </c>
      <c r="W155" s="48">
        <f t="shared" si="79"/>
        <v>0</v>
      </c>
      <c r="X155" s="43">
        <f t="shared" si="80"/>
        <v>0</v>
      </c>
      <c r="Y155" s="43">
        <f t="shared" si="81"/>
        <v>0</v>
      </c>
      <c r="Z155" s="43">
        <f t="shared" si="82"/>
        <v>0</v>
      </c>
      <c r="AA155" s="49">
        <f t="shared" si="83"/>
        <v>0</v>
      </c>
      <c r="AB155" s="50">
        <f t="shared" si="84"/>
        <v>0</v>
      </c>
      <c r="AC155" s="43">
        <f t="shared" si="85"/>
        <v>0</v>
      </c>
      <c r="AD155" s="43">
        <f t="shared" si="86"/>
        <v>0</v>
      </c>
      <c r="AE155" s="43">
        <f t="shared" si="87"/>
        <v>0</v>
      </c>
      <c r="AF155" s="51" t="e">
        <f>HLOOKUP(I155,GasAvoidedCostsWOCC!$A$5:$G$50,G155+1,FALSE)</f>
        <v>#N/A</v>
      </c>
      <c r="AG155" s="43" t="e">
        <f t="shared" si="88"/>
        <v>#N/A</v>
      </c>
      <c r="AH155" s="51" t="e">
        <f>HLOOKUP(I155,GasAvoidedCostsWOCC!$A$5:$Q$50,T155+1,FALSE)</f>
        <v>#N/A</v>
      </c>
      <c r="AI155" s="43" t="e">
        <f t="shared" si="89"/>
        <v>#N/A</v>
      </c>
      <c r="AJ155" s="43" t="e">
        <f t="shared" si="90"/>
        <v>#N/A</v>
      </c>
      <c r="AK155" s="43" t="e">
        <f>HLOOKUP(I155,GasAvoidedCostsWOCC!$A$5:$Q$50,G155+1,FALSE)*J155*L155</f>
        <v>#N/A</v>
      </c>
      <c r="AL155" s="43" t="e">
        <f t="shared" si="91"/>
        <v>#N/A</v>
      </c>
      <c r="AM155" s="47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7">
        <f t="shared" si="92"/>
        <v>0</v>
      </c>
      <c r="AO155" s="46">
        <f t="shared" si="93"/>
        <v>0</v>
      </c>
      <c r="AP155" s="46" t="e">
        <f t="shared" si="94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76"/>
        <v>0</v>
      </c>
      <c r="U156" s="46">
        <f t="shared" si="77"/>
        <v>0</v>
      </c>
      <c r="V156" s="47">
        <f t="shared" si="78"/>
        <v>0</v>
      </c>
      <c r="W156" s="48">
        <f t="shared" si="79"/>
        <v>0</v>
      </c>
      <c r="X156" s="43">
        <f t="shared" si="80"/>
        <v>0</v>
      </c>
      <c r="Y156" s="43">
        <f t="shared" si="81"/>
        <v>0</v>
      </c>
      <c r="Z156" s="43">
        <f t="shared" si="82"/>
        <v>0</v>
      </c>
      <c r="AA156" s="49">
        <f t="shared" si="83"/>
        <v>0</v>
      </c>
      <c r="AB156" s="50">
        <f t="shared" si="84"/>
        <v>0</v>
      </c>
      <c r="AC156" s="43">
        <f t="shared" si="85"/>
        <v>0</v>
      </c>
      <c r="AD156" s="43">
        <f t="shared" si="86"/>
        <v>0</v>
      </c>
      <c r="AE156" s="43">
        <f t="shared" si="87"/>
        <v>0</v>
      </c>
      <c r="AF156" s="51" t="e">
        <f>HLOOKUP(I156,GasAvoidedCostsWOCC!$A$5:$G$50,G156+1,FALSE)</f>
        <v>#N/A</v>
      </c>
      <c r="AG156" s="43" t="e">
        <f t="shared" si="88"/>
        <v>#N/A</v>
      </c>
      <c r="AH156" s="51" t="e">
        <f>HLOOKUP(I156,GasAvoidedCostsWOCC!$A$5:$Q$50,T156+1,FALSE)</f>
        <v>#N/A</v>
      </c>
      <c r="AI156" s="43" t="e">
        <f t="shared" si="89"/>
        <v>#N/A</v>
      </c>
      <c r="AJ156" s="43" t="e">
        <f t="shared" si="90"/>
        <v>#N/A</v>
      </c>
      <c r="AK156" s="43" t="e">
        <f>HLOOKUP(I156,GasAvoidedCostsWOCC!$A$5:$Q$50,G156+1,FALSE)*J156*L156</f>
        <v>#N/A</v>
      </c>
      <c r="AL156" s="43" t="e">
        <f t="shared" si="91"/>
        <v>#N/A</v>
      </c>
      <c r="AM156" s="47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7">
        <f t="shared" si="92"/>
        <v>0</v>
      </c>
      <c r="AO156" s="46">
        <f t="shared" si="93"/>
        <v>0</v>
      </c>
      <c r="AP156" s="46" t="e">
        <f t="shared" si="94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76"/>
        <v>0</v>
      </c>
      <c r="U157" s="46">
        <f t="shared" si="77"/>
        <v>0</v>
      </c>
      <c r="V157" s="47">
        <f t="shared" si="78"/>
        <v>0</v>
      </c>
      <c r="W157" s="48">
        <f t="shared" si="79"/>
        <v>0</v>
      </c>
      <c r="X157" s="43">
        <f t="shared" si="80"/>
        <v>0</v>
      </c>
      <c r="Y157" s="43">
        <f t="shared" si="81"/>
        <v>0</v>
      </c>
      <c r="Z157" s="43">
        <f t="shared" si="82"/>
        <v>0</v>
      </c>
      <c r="AA157" s="49">
        <f t="shared" si="83"/>
        <v>0</v>
      </c>
      <c r="AB157" s="50">
        <f t="shared" si="84"/>
        <v>0</v>
      </c>
      <c r="AC157" s="43">
        <f t="shared" si="85"/>
        <v>0</v>
      </c>
      <c r="AD157" s="43">
        <f t="shared" si="86"/>
        <v>0</v>
      </c>
      <c r="AE157" s="43">
        <f t="shared" si="87"/>
        <v>0</v>
      </c>
      <c r="AF157" s="51" t="e">
        <f>HLOOKUP(I157,GasAvoidedCostsWOCC!$A$5:$G$50,G157+1,FALSE)</f>
        <v>#N/A</v>
      </c>
      <c r="AG157" s="43" t="e">
        <f t="shared" si="88"/>
        <v>#N/A</v>
      </c>
      <c r="AH157" s="51" t="e">
        <f>HLOOKUP(I157,GasAvoidedCostsWOCC!$A$5:$Q$50,T157+1,FALSE)</f>
        <v>#N/A</v>
      </c>
      <c r="AI157" s="43" t="e">
        <f t="shared" si="89"/>
        <v>#N/A</v>
      </c>
      <c r="AJ157" s="43" t="e">
        <f t="shared" si="90"/>
        <v>#N/A</v>
      </c>
      <c r="AK157" s="43" t="e">
        <f>HLOOKUP(I157,GasAvoidedCostsWOCC!$A$5:$Q$50,G157+1,FALSE)*J157*L157</f>
        <v>#N/A</v>
      </c>
      <c r="AL157" s="43" t="e">
        <f t="shared" si="91"/>
        <v>#N/A</v>
      </c>
      <c r="AM157" s="47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7">
        <f t="shared" si="92"/>
        <v>0</v>
      </c>
      <c r="AO157" s="46">
        <f t="shared" si="93"/>
        <v>0</v>
      </c>
      <c r="AP157" s="46" t="e">
        <f t="shared" si="94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76"/>
        <v>0</v>
      </c>
      <c r="U158" s="46">
        <f t="shared" si="77"/>
        <v>0</v>
      </c>
      <c r="V158" s="47">
        <f t="shared" si="78"/>
        <v>0</v>
      </c>
      <c r="W158" s="48">
        <f t="shared" si="79"/>
        <v>0</v>
      </c>
      <c r="X158" s="43">
        <f t="shared" si="80"/>
        <v>0</v>
      </c>
      <c r="Y158" s="43">
        <f t="shared" si="81"/>
        <v>0</v>
      </c>
      <c r="Z158" s="43">
        <f t="shared" si="82"/>
        <v>0</v>
      </c>
      <c r="AA158" s="49">
        <f t="shared" si="83"/>
        <v>0</v>
      </c>
      <c r="AB158" s="50">
        <f t="shared" si="84"/>
        <v>0</v>
      </c>
      <c r="AC158" s="43">
        <f t="shared" si="85"/>
        <v>0</v>
      </c>
      <c r="AD158" s="43">
        <f t="shared" si="86"/>
        <v>0</v>
      </c>
      <c r="AE158" s="43">
        <f t="shared" si="87"/>
        <v>0</v>
      </c>
      <c r="AF158" s="51" t="e">
        <f>HLOOKUP(I158,GasAvoidedCostsWOCC!$A$5:$G$50,G158+1,FALSE)</f>
        <v>#N/A</v>
      </c>
      <c r="AG158" s="43" t="e">
        <f t="shared" si="88"/>
        <v>#N/A</v>
      </c>
      <c r="AH158" s="51" t="e">
        <f>HLOOKUP(I158,GasAvoidedCostsWOCC!$A$5:$Q$50,T158+1,FALSE)</f>
        <v>#N/A</v>
      </c>
      <c r="AI158" s="43" t="e">
        <f t="shared" si="89"/>
        <v>#N/A</v>
      </c>
      <c r="AJ158" s="43" t="e">
        <f t="shared" si="90"/>
        <v>#N/A</v>
      </c>
      <c r="AK158" s="43" t="e">
        <f>HLOOKUP(I158,GasAvoidedCostsWOCC!$A$5:$Q$50,G158+1,FALSE)*J158*L158</f>
        <v>#N/A</v>
      </c>
      <c r="AL158" s="43" t="e">
        <f t="shared" si="91"/>
        <v>#N/A</v>
      </c>
      <c r="AM158" s="47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7">
        <f t="shared" si="92"/>
        <v>0</v>
      </c>
      <c r="AO158" s="46">
        <f t="shared" si="93"/>
        <v>0</v>
      </c>
      <c r="AP158" s="46" t="e">
        <f t="shared" si="94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76"/>
        <v>0</v>
      </c>
      <c r="U159" s="46">
        <f t="shared" si="77"/>
        <v>0</v>
      </c>
      <c r="V159" s="47">
        <f t="shared" si="78"/>
        <v>0</v>
      </c>
      <c r="W159" s="48">
        <f t="shared" si="79"/>
        <v>0</v>
      </c>
      <c r="X159" s="43">
        <f t="shared" si="80"/>
        <v>0</v>
      </c>
      <c r="Y159" s="43">
        <f t="shared" si="81"/>
        <v>0</v>
      </c>
      <c r="Z159" s="43">
        <f t="shared" si="82"/>
        <v>0</v>
      </c>
      <c r="AA159" s="49">
        <f t="shared" si="83"/>
        <v>0</v>
      </c>
      <c r="AB159" s="50">
        <f t="shared" si="84"/>
        <v>0</v>
      </c>
      <c r="AC159" s="43">
        <f t="shared" si="85"/>
        <v>0</v>
      </c>
      <c r="AD159" s="43">
        <f t="shared" si="86"/>
        <v>0</v>
      </c>
      <c r="AE159" s="43">
        <f t="shared" si="87"/>
        <v>0</v>
      </c>
      <c r="AF159" s="51" t="e">
        <f>HLOOKUP(I159,GasAvoidedCostsWOCC!$A$5:$G$50,G159+1,FALSE)</f>
        <v>#N/A</v>
      </c>
      <c r="AG159" s="43" t="e">
        <f t="shared" si="88"/>
        <v>#N/A</v>
      </c>
      <c r="AH159" s="51" t="e">
        <f>HLOOKUP(I159,GasAvoidedCostsWOCC!$A$5:$Q$50,T159+1,FALSE)</f>
        <v>#N/A</v>
      </c>
      <c r="AI159" s="43" t="e">
        <f t="shared" si="89"/>
        <v>#N/A</v>
      </c>
      <c r="AJ159" s="43" t="e">
        <f t="shared" si="90"/>
        <v>#N/A</v>
      </c>
      <c r="AK159" s="43" t="e">
        <f>HLOOKUP(I159,GasAvoidedCostsWOCC!$A$5:$Q$50,G159+1,FALSE)*J159*L159</f>
        <v>#N/A</v>
      </c>
      <c r="AL159" s="43" t="e">
        <f t="shared" si="91"/>
        <v>#N/A</v>
      </c>
      <c r="AM159" s="47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7">
        <f t="shared" si="92"/>
        <v>0</v>
      </c>
      <c r="AO159" s="46">
        <f t="shared" si="93"/>
        <v>0</v>
      </c>
      <c r="AP159" s="46" t="e">
        <f t="shared" si="94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76"/>
        <v>0</v>
      </c>
      <c r="U160" s="46">
        <f t="shared" si="77"/>
        <v>0</v>
      </c>
      <c r="V160" s="47">
        <f t="shared" si="78"/>
        <v>0</v>
      </c>
      <c r="W160" s="48">
        <f t="shared" si="79"/>
        <v>0</v>
      </c>
      <c r="X160" s="43">
        <f t="shared" si="80"/>
        <v>0</v>
      </c>
      <c r="Y160" s="43">
        <f t="shared" si="81"/>
        <v>0</v>
      </c>
      <c r="Z160" s="43">
        <f t="shared" si="82"/>
        <v>0</v>
      </c>
      <c r="AA160" s="49">
        <f t="shared" si="83"/>
        <v>0</v>
      </c>
      <c r="AB160" s="50">
        <f t="shared" si="84"/>
        <v>0</v>
      </c>
      <c r="AC160" s="43">
        <f t="shared" si="85"/>
        <v>0</v>
      </c>
      <c r="AD160" s="43">
        <f t="shared" si="86"/>
        <v>0</v>
      </c>
      <c r="AE160" s="43">
        <f t="shared" si="87"/>
        <v>0</v>
      </c>
      <c r="AF160" s="51" t="e">
        <f>HLOOKUP(I160,GasAvoidedCostsWOCC!$A$5:$G$50,G160+1,FALSE)</f>
        <v>#N/A</v>
      </c>
      <c r="AG160" s="43" t="e">
        <f t="shared" si="88"/>
        <v>#N/A</v>
      </c>
      <c r="AH160" s="51" t="e">
        <f>HLOOKUP(I160,GasAvoidedCostsWOCC!$A$5:$Q$50,T160+1,FALSE)</f>
        <v>#N/A</v>
      </c>
      <c r="AI160" s="43" t="e">
        <f t="shared" si="89"/>
        <v>#N/A</v>
      </c>
      <c r="AJ160" s="43" t="e">
        <f t="shared" si="90"/>
        <v>#N/A</v>
      </c>
      <c r="AK160" s="43" t="e">
        <f>HLOOKUP(I160,GasAvoidedCostsWOCC!$A$5:$Q$50,G160+1,FALSE)*J160*L160</f>
        <v>#N/A</v>
      </c>
      <c r="AL160" s="43" t="e">
        <f t="shared" si="91"/>
        <v>#N/A</v>
      </c>
      <c r="AM160" s="47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7">
        <f t="shared" si="92"/>
        <v>0</v>
      </c>
      <c r="AO160" s="46">
        <f t="shared" si="93"/>
        <v>0</v>
      </c>
      <c r="AP160" s="46" t="e">
        <f t="shared" si="94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76"/>
        <v>0</v>
      </c>
      <c r="U161" s="46">
        <f t="shared" si="77"/>
        <v>0</v>
      </c>
      <c r="V161" s="47">
        <f t="shared" si="78"/>
        <v>0</v>
      </c>
      <c r="W161" s="48">
        <f t="shared" si="79"/>
        <v>0</v>
      </c>
      <c r="X161" s="43">
        <f t="shared" si="80"/>
        <v>0</v>
      </c>
      <c r="Y161" s="43">
        <f t="shared" si="81"/>
        <v>0</v>
      </c>
      <c r="Z161" s="43">
        <f t="shared" si="82"/>
        <v>0</v>
      </c>
      <c r="AA161" s="49">
        <f t="shared" si="83"/>
        <v>0</v>
      </c>
      <c r="AB161" s="50">
        <f t="shared" si="84"/>
        <v>0</v>
      </c>
      <c r="AC161" s="43">
        <f t="shared" si="85"/>
        <v>0</v>
      </c>
      <c r="AD161" s="43">
        <f t="shared" si="86"/>
        <v>0</v>
      </c>
      <c r="AE161" s="43">
        <f t="shared" si="87"/>
        <v>0</v>
      </c>
      <c r="AF161" s="51" t="e">
        <f>HLOOKUP(I161,GasAvoidedCostsWOCC!$A$5:$G$50,G161+1,FALSE)</f>
        <v>#N/A</v>
      </c>
      <c r="AG161" s="43" t="e">
        <f t="shared" si="88"/>
        <v>#N/A</v>
      </c>
      <c r="AH161" s="51" t="e">
        <f>HLOOKUP(I161,GasAvoidedCostsWOCC!$A$5:$Q$50,T161+1,FALSE)</f>
        <v>#N/A</v>
      </c>
      <c r="AI161" s="43" t="e">
        <f t="shared" si="89"/>
        <v>#N/A</v>
      </c>
      <c r="AJ161" s="43" t="e">
        <f t="shared" si="90"/>
        <v>#N/A</v>
      </c>
      <c r="AK161" s="43" t="e">
        <f>HLOOKUP(I161,GasAvoidedCostsWOCC!$A$5:$Q$50,G161+1,FALSE)*J161*L161</f>
        <v>#N/A</v>
      </c>
      <c r="AL161" s="43" t="e">
        <f t="shared" si="91"/>
        <v>#N/A</v>
      </c>
      <c r="AM161" s="47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7">
        <f t="shared" si="92"/>
        <v>0</v>
      </c>
      <c r="AO161" s="46">
        <f t="shared" si="93"/>
        <v>0</v>
      </c>
      <c r="AP161" s="46" t="e">
        <f t="shared" si="94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76"/>
        <v>0</v>
      </c>
      <c r="U162" s="46">
        <f t="shared" si="77"/>
        <v>0</v>
      </c>
      <c r="V162" s="47">
        <f t="shared" si="78"/>
        <v>0</v>
      </c>
      <c r="W162" s="48">
        <f t="shared" si="79"/>
        <v>0</v>
      </c>
      <c r="X162" s="43">
        <f t="shared" si="80"/>
        <v>0</v>
      </c>
      <c r="Y162" s="43">
        <f t="shared" si="81"/>
        <v>0</v>
      </c>
      <c r="Z162" s="43">
        <f t="shared" si="82"/>
        <v>0</v>
      </c>
      <c r="AA162" s="49">
        <f t="shared" si="83"/>
        <v>0</v>
      </c>
      <c r="AB162" s="50">
        <f t="shared" si="84"/>
        <v>0</v>
      </c>
      <c r="AC162" s="43">
        <f t="shared" si="85"/>
        <v>0</v>
      </c>
      <c r="AD162" s="43">
        <f t="shared" si="86"/>
        <v>0</v>
      </c>
      <c r="AE162" s="43">
        <f t="shared" si="87"/>
        <v>0</v>
      </c>
      <c r="AF162" s="51" t="e">
        <f>HLOOKUP(I162,GasAvoidedCostsWOCC!$A$5:$G$50,G162+1,FALSE)</f>
        <v>#N/A</v>
      </c>
      <c r="AG162" s="43" t="e">
        <f t="shared" si="88"/>
        <v>#N/A</v>
      </c>
      <c r="AH162" s="51" t="e">
        <f>HLOOKUP(I162,GasAvoidedCostsWOCC!$A$5:$Q$50,T162+1,FALSE)</f>
        <v>#N/A</v>
      </c>
      <c r="AI162" s="43" t="e">
        <f t="shared" si="89"/>
        <v>#N/A</v>
      </c>
      <c r="AJ162" s="43" t="e">
        <f t="shared" si="90"/>
        <v>#N/A</v>
      </c>
      <c r="AK162" s="43" t="e">
        <f>HLOOKUP(I162,GasAvoidedCostsWOCC!$A$5:$Q$50,G162+1,FALSE)*J162*L162</f>
        <v>#N/A</v>
      </c>
      <c r="AL162" s="43" t="e">
        <f t="shared" si="91"/>
        <v>#N/A</v>
      </c>
      <c r="AM162" s="47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7">
        <f t="shared" si="92"/>
        <v>0</v>
      </c>
      <c r="AO162" s="46">
        <f t="shared" si="93"/>
        <v>0</v>
      </c>
      <c r="AP162" s="46" t="e">
        <f t="shared" si="94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76"/>
        <v>0</v>
      </c>
      <c r="U163" s="46">
        <f t="shared" si="77"/>
        <v>0</v>
      </c>
      <c r="V163" s="47">
        <f t="shared" si="78"/>
        <v>0</v>
      </c>
      <c r="W163" s="48">
        <f t="shared" si="79"/>
        <v>0</v>
      </c>
      <c r="X163" s="43">
        <f t="shared" si="80"/>
        <v>0</v>
      </c>
      <c r="Y163" s="43">
        <f t="shared" si="81"/>
        <v>0</v>
      </c>
      <c r="Z163" s="43">
        <f t="shared" si="82"/>
        <v>0</v>
      </c>
      <c r="AA163" s="49">
        <f t="shared" si="83"/>
        <v>0</v>
      </c>
      <c r="AB163" s="50">
        <f t="shared" si="84"/>
        <v>0</v>
      </c>
      <c r="AC163" s="43">
        <f t="shared" si="85"/>
        <v>0</v>
      </c>
      <c r="AD163" s="43">
        <f t="shared" si="86"/>
        <v>0</v>
      </c>
      <c r="AE163" s="43">
        <f t="shared" si="87"/>
        <v>0</v>
      </c>
      <c r="AF163" s="51" t="e">
        <f>HLOOKUP(I163,GasAvoidedCostsWOCC!$A$5:$G$50,G163+1,FALSE)</f>
        <v>#N/A</v>
      </c>
      <c r="AG163" s="43" t="e">
        <f t="shared" si="88"/>
        <v>#N/A</v>
      </c>
      <c r="AH163" s="51" t="e">
        <f>HLOOKUP(I163,GasAvoidedCostsWOCC!$A$5:$Q$50,T163+1,FALSE)</f>
        <v>#N/A</v>
      </c>
      <c r="AI163" s="43" t="e">
        <f t="shared" si="89"/>
        <v>#N/A</v>
      </c>
      <c r="AJ163" s="43" t="e">
        <f t="shared" si="90"/>
        <v>#N/A</v>
      </c>
      <c r="AK163" s="43" t="e">
        <f>HLOOKUP(I163,GasAvoidedCostsWOCC!$A$5:$Q$50,G163+1,FALSE)*J163*L163</f>
        <v>#N/A</v>
      </c>
      <c r="AL163" s="43" t="e">
        <f t="shared" si="91"/>
        <v>#N/A</v>
      </c>
      <c r="AM163" s="47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7">
        <f t="shared" si="92"/>
        <v>0</v>
      </c>
      <c r="AO163" s="46">
        <f t="shared" si="93"/>
        <v>0</v>
      </c>
      <c r="AP163" s="46" t="e">
        <f t="shared" si="94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76"/>
        <v>0</v>
      </c>
      <c r="U164" s="46">
        <f t="shared" si="77"/>
        <v>0</v>
      </c>
      <c r="V164" s="47">
        <f t="shared" si="78"/>
        <v>0</v>
      </c>
      <c r="W164" s="48">
        <f t="shared" si="79"/>
        <v>0</v>
      </c>
      <c r="X164" s="43">
        <f t="shared" si="80"/>
        <v>0</v>
      </c>
      <c r="Y164" s="43">
        <f t="shared" si="81"/>
        <v>0</v>
      </c>
      <c r="Z164" s="43">
        <f t="shared" si="82"/>
        <v>0</v>
      </c>
      <c r="AA164" s="49">
        <f t="shared" si="83"/>
        <v>0</v>
      </c>
      <c r="AB164" s="50">
        <f t="shared" si="84"/>
        <v>0</v>
      </c>
      <c r="AC164" s="43">
        <f t="shared" si="85"/>
        <v>0</v>
      </c>
      <c r="AD164" s="43">
        <f t="shared" si="86"/>
        <v>0</v>
      </c>
      <c r="AE164" s="43">
        <f t="shared" si="87"/>
        <v>0</v>
      </c>
      <c r="AF164" s="51" t="e">
        <f>HLOOKUP(I164,GasAvoidedCostsWOCC!$A$5:$G$50,G164+1,FALSE)</f>
        <v>#N/A</v>
      </c>
      <c r="AG164" s="43" t="e">
        <f t="shared" si="88"/>
        <v>#N/A</v>
      </c>
      <c r="AH164" s="51" t="e">
        <f>HLOOKUP(I164,GasAvoidedCostsWOCC!$A$5:$Q$50,T164+1,FALSE)</f>
        <v>#N/A</v>
      </c>
      <c r="AI164" s="43" t="e">
        <f t="shared" si="89"/>
        <v>#N/A</v>
      </c>
      <c r="AJ164" s="43" t="e">
        <f t="shared" si="90"/>
        <v>#N/A</v>
      </c>
      <c r="AK164" s="43" t="e">
        <f>HLOOKUP(I164,GasAvoidedCostsWOCC!$A$5:$Q$50,G164+1,FALSE)*J164*L164</f>
        <v>#N/A</v>
      </c>
      <c r="AL164" s="43" t="e">
        <f t="shared" si="91"/>
        <v>#N/A</v>
      </c>
      <c r="AM164" s="47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7">
        <f t="shared" si="92"/>
        <v>0</v>
      </c>
      <c r="AO164" s="46">
        <f t="shared" si="93"/>
        <v>0</v>
      </c>
      <c r="AP164" s="46" t="e">
        <f t="shared" si="94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76"/>
        <v>0</v>
      </c>
      <c r="U165" s="46">
        <f t="shared" si="77"/>
        <v>0</v>
      </c>
      <c r="V165" s="47">
        <f t="shared" si="78"/>
        <v>0</v>
      </c>
      <c r="W165" s="48">
        <f t="shared" si="79"/>
        <v>0</v>
      </c>
      <c r="X165" s="43">
        <f t="shared" si="80"/>
        <v>0</v>
      </c>
      <c r="Y165" s="43">
        <f t="shared" si="81"/>
        <v>0</v>
      </c>
      <c r="Z165" s="43">
        <f t="shared" si="82"/>
        <v>0</v>
      </c>
      <c r="AA165" s="49">
        <f t="shared" si="83"/>
        <v>0</v>
      </c>
      <c r="AB165" s="50">
        <f t="shared" si="84"/>
        <v>0</v>
      </c>
      <c r="AC165" s="43">
        <f t="shared" si="85"/>
        <v>0</v>
      </c>
      <c r="AD165" s="43">
        <f t="shared" si="86"/>
        <v>0</v>
      </c>
      <c r="AE165" s="43">
        <f t="shared" si="87"/>
        <v>0</v>
      </c>
      <c r="AF165" s="51" t="e">
        <f>HLOOKUP(I165,GasAvoidedCostsWOCC!$A$5:$G$50,G165+1,FALSE)</f>
        <v>#N/A</v>
      </c>
      <c r="AG165" s="43" t="e">
        <f t="shared" si="88"/>
        <v>#N/A</v>
      </c>
      <c r="AH165" s="51" t="e">
        <f>HLOOKUP(I165,GasAvoidedCostsWOCC!$A$5:$Q$50,T165+1,FALSE)</f>
        <v>#N/A</v>
      </c>
      <c r="AI165" s="43" t="e">
        <f t="shared" si="89"/>
        <v>#N/A</v>
      </c>
      <c r="AJ165" s="43" t="e">
        <f t="shared" si="90"/>
        <v>#N/A</v>
      </c>
      <c r="AK165" s="43" t="e">
        <f>HLOOKUP(I165,GasAvoidedCostsWOCC!$A$5:$Q$50,G165+1,FALSE)*J165*L165</f>
        <v>#N/A</v>
      </c>
      <c r="AL165" s="43" t="e">
        <f t="shared" si="91"/>
        <v>#N/A</v>
      </c>
      <c r="AM165" s="47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7">
        <f t="shared" si="92"/>
        <v>0</v>
      </c>
      <c r="AO165" s="46">
        <f t="shared" si="93"/>
        <v>0</v>
      </c>
      <c r="AP165" s="46" t="e">
        <f t="shared" si="94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76"/>
        <v>0</v>
      </c>
      <c r="U166" s="46">
        <f t="shared" si="77"/>
        <v>0</v>
      </c>
      <c r="V166" s="47">
        <f t="shared" si="78"/>
        <v>0</v>
      </c>
      <c r="W166" s="48">
        <f t="shared" si="79"/>
        <v>0</v>
      </c>
      <c r="X166" s="43">
        <f t="shared" si="80"/>
        <v>0</v>
      </c>
      <c r="Y166" s="43">
        <f t="shared" si="81"/>
        <v>0</v>
      </c>
      <c r="Z166" s="43">
        <f t="shared" si="82"/>
        <v>0</v>
      </c>
      <c r="AA166" s="49">
        <f t="shared" si="83"/>
        <v>0</v>
      </c>
      <c r="AB166" s="50">
        <f t="shared" si="84"/>
        <v>0</v>
      </c>
      <c r="AC166" s="43">
        <f t="shared" si="85"/>
        <v>0</v>
      </c>
      <c r="AD166" s="43">
        <f t="shared" si="86"/>
        <v>0</v>
      </c>
      <c r="AE166" s="43">
        <f t="shared" si="87"/>
        <v>0</v>
      </c>
      <c r="AF166" s="51" t="e">
        <f>HLOOKUP(I166,GasAvoidedCostsWOCC!$A$5:$G$50,G166+1,FALSE)</f>
        <v>#N/A</v>
      </c>
      <c r="AG166" s="43" t="e">
        <f t="shared" si="88"/>
        <v>#N/A</v>
      </c>
      <c r="AH166" s="51" t="e">
        <f>HLOOKUP(I166,GasAvoidedCostsWOCC!$A$5:$Q$50,T166+1,FALSE)</f>
        <v>#N/A</v>
      </c>
      <c r="AI166" s="43" t="e">
        <f t="shared" si="89"/>
        <v>#N/A</v>
      </c>
      <c r="AJ166" s="43" t="e">
        <f t="shared" si="90"/>
        <v>#N/A</v>
      </c>
      <c r="AK166" s="43" t="e">
        <f>HLOOKUP(I166,GasAvoidedCostsWOCC!$A$5:$Q$50,G166+1,FALSE)*J166*L166</f>
        <v>#N/A</v>
      </c>
      <c r="AL166" s="43" t="e">
        <f t="shared" si="91"/>
        <v>#N/A</v>
      </c>
      <c r="AM166" s="47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7">
        <f t="shared" si="92"/>
        <v>0</v>
      </c>
      <c r="AO166" s="46">
        <f t="shared" si="93"/>
        <v>0</v>
      </c>
      <c r="AP166" s="46" t="e">
        <f t="shared" si="94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76"/>
        <v>0</v>
      </c>
      <c r="U167" s="46">
        <f t="shared" si="77"/>
        <v>0</v>
      </c>
      <c r="V167" s="47">
        <f t="shared" si="78"/>
        <v>0</v>
      </c>
      <c r="W167" s="48">
        <f t="shared" si="79"/>
        <v>0</v>
      </c>
      <c r="X167" s="43">
        <f t="shared" si="80"/>
        <v>0</v>
      </c>
      <c r="Y167" s="43">
        <f t="shared" si="81"/>
        <v>0</v>
      </c>
      <c r="Z167" s="43">
        <f t="shared" si="82"/>
        <v>0</v>
      </c>
      <c r="AA167" s="49">
        <f t="shared" si="83"/>
        <v>0</v>
      </c>
      <c r="AB167" s="50">
        <f t="shared" si="84"/>
        <v>0</v>
      </c>
      <c r="AC167" s="43">
        <f t="shared" si="85"/>
        <v>0</v>
      </c>
      <c r="AD167" s="43">
        <f t="shared" si="86"/>
        <v>0</v>
      </c>
      <c r="AE167" s="43">
        <f t="shared" si="87"/>
        <v>0</v>
      </c>
      <c r="AF167" s="51" t="e">
        <f>HLOOKUP(I167,GasAvoidedCostsWOCC!$A$5:$G$50,G167+1,FALSE)</f>
        <v>#N/A</v>
      </c>
      <c r="AG167" s="43" t="e">
        <f t="shared" si="88"/>
        <v>#N/A</v>
      </c>
      <c r="AH167" s="51" t="e">
        <f>HLOOKUP(I167,GasAvoidedCostsWOCC!$A$5:$Q$50,T167+1,FALSE)</f>
        <v>#N/A</v>
      </c>
      <c r="AI167" s="43" t="e">
        <f t="shared" si="89"/>
        <v>#N/A</v>
      </c>
      <c r="AJ167" s="43" t="e">
        <f t="shared" si="90"/>
        <v>#N/A</v>
      </c>
      <c r="AK167" s="43" t="e">
        <f>HLOOKUP(I167,GasAvoidedCostsWOCC!$A$5:$Q$50,G167+1,FALSE)*J167*L167</f>
        <v>#N/A</v>
      </c>
      <c r="AL167" s="43" t="e">
        <f t="shared" si="91"/>
        <v>#N/A</v>
      </c>
      <c r="AM167" s="47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7">
        <f t="shared" si="92"/>
        <v>0</v>
      </c>
      <c r="AO167" s="46">
        <f t="shared" si="93"/>
        <v>0</v>
      </c>
      <c r="AP167" s="46" t="e">
        <f t="shared" si="94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76"/>
        <v>0</v>
      </c>
      <c r="U168" s="46">
        <f t="shared" si="77"/>
        <v>0</v>
      </c>
      <c r="V168" s="47">
        <f t="shared" si="78"/>
        <v>0</v>
      </c>
      <c r="W168" s="48">
        <f t="shared" si="79"/>
        <v>0</v>
      </c>
      <c r="X168" s="43">
        <f t="shared" si="80"/>
        <v>0</v>
      </c>
      <c r="Y168" s="43">
        <f t="shared" si="81"/>
        <v>0</v>
      </c>
      <c r="Z168" s="43">
        <f t="shared" si="82"/>
        <v>0</v>
      </c>
      <c r="AA168" s="49">
        <f t="shared" si="83"/>
        <v>0</v>
      </c>
      <c r="AB168" s="50">
        <f t="shared" si="84"/>
        <v>0</v>
      </c>
      <c r="AC168" s="43">
        <f t="shared" si="85"/>
        <v>0</v>
      </c>
      <c r="AD168" s="43">
        <f t="shared" si="86"/>
        <v>0</v>
      </c>
      <c r="AE168" s="43">
        <f t="shared" si="87"/>
        <v>0</v>
      </c>
      <c r="AF168" s="51" t="e">
        <f>HLOOKUP(I168,GasAvoidedCostsWOCC!$A$5:$G$50,G168+1,FALSE)</f>
        <v>#N/A</v>
      </c>
      <c r="AG168" s="43" t="e">
        <f t="shared" si="88"/>
        <v>#N/A</v>
      </c>
      <c r="AH168" s="51" t="e">
        <f>HLOOKUP(I168,GasAvoidedCostsWOCC!$A$5:$Q$50,T168+1,FALSE)</f>
        <v>#N/A</v>
      </c>
      <c r="AI168" s="43" t="e">
        <f t="shared" si="89"/>
        <v>#N/A</v>
      </c>
      <c r="AJ168" s="43" t="e">
        <f t="shared" si="90"/>
        <v>#N/A</v>
      </c>
      <c r="AK168" s="43" t="e">
        <f>HLOOKUP(I168,GasAvoidedCostsWOCC!$A$5:$Q$50,G168+1,FALSE)*J168*L168</f>
        <v>#N/A</v>
      </c>
      <c r="AL168" s="43" t="e">
        <f t="shared" si="91"/>
        <v>#N/A</v>
      </c>
      <c r="AM168" s="47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7">
        <f t="shared" si="92"/>
        <v>0</v>
      </c>
      <c r="AO168" s="46">
        <f t="shared" si="93"/>
        <v>0</v>
      </c>
      <c r="AP168" s="46" t="e">
        <f t="shared" si="94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76"/>
        <v>0</v>
      </c>
      <c r="U169" s="46">
        <f t="shared" si="77"/>
        <v>0</v>
      </c>
      <c r="V169" s="47">
        <f t="shared" si="78"/>
        <v>0</v>
      </c>
      <c r="W169" s="48">
        <f t="shared" si="79"/>
        <v>0</v>
      </c>
      <c r="X169" s="43">
        <f t="shared" si="80"/>
        <v>0</v>
      </c>
      <c r="Y169" s="43">
        <f t="shared" si="81"/>
        <v>0</v>
      </c>
      <c r="Z169" s="43">
        <f t="shared" si="82"/>
        <v>0</v>
      </c>
      <c r="AA169" s="49">
        <f t="shared" si="83"/>
        <v>0</v>
      </c>
      <c r="AB169" s="50">
        <f t="shared" si="84"/>
        <v>0</v>
      </c>
      <c r="AC169" s="43">
        <f t="shared" si="85"/>
        <v>0</v>
      </c>
      <c r="AD169" s="43">
        <f t="shared" si="86"/>
        <v>0</v>
      </c>
      <c r="AE169" s="43">
        <f t="shared" si="87"/>
        <v>0</v>
      </c>
      <c r="AF169" s="51" t="e">
        <f>HLOOKUP(I169,GasAvoidedCostsWOCC!$A$5:$G$50,G169+1,FALSE)</f>
        <v>#N/A</v>
      </c>
      <c r="AG169" s="43" t="e">
        <f t="shared" si="88"/>
        <v>#N/A</v>
      </c>
      <c r="AH169" s="51" t="e">
        <f>HLOOKUP(I169,GasAvoidedCostsWOCC!$A$5:$Q$50,T169+1,FALSE)</f>
        <v>#N/A</v>
      </c>
      <c r="AI169" s="43" t="e">
        <f t="shared" si="89"/>
        <v>#N/A</v>
      </c>
      <c r="AJ169" s="43" t="e">
        <f t="shared" si="90"/>
        <v>#N/A</v>
      </c>
      <c r="AK169" s="43" t="e">
        <f>HLOOKUP(I169,GasAvoidedCostsWOCC!$A$5:$Q$50,G169+1,FALSE)*J169*L169</f>
        <v>#N/A</v>
      </c>
      <c r="AL169" s="43" t="e">
        <f t="shared" si="91"/>
        <v>#N/A</v>
      </c>
      <c r="AM169" s="47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7">
        <f t="shared" si="92"/>
        <v>0</v>
      </c>
      <c r="AO169" s="46">
        <f t="shared" si="93"/>
        <v>0</v>
      </c>
      <c r="AP169" s="46" t="e">
        <f t="shared" si="94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76"/>
        <v>0</v>
      </c>
      <c r="U170" s="46">
        <f t="shared" si="77"/>
        <v>0</v>
      </c>
      <c r="V170" s="47">
        <f t="shared" si="78"/>
        <v>0</v>
      </c>
      <c r="W170" s="48">
        <f t="shared" si="79"/>
        <v>0</v>
      </c>
      <c r="X170" s="43">
        <f t="shared" si="80"/>
        <v>0</v>
      </c>
      <c r="Y170" s="43">
        <f t="shared" si="81"/>
        <v>0</v>
      </c>
      <c r="Z170" s="43">
        <f t="shared" si="82"/>
        <v>0</v>
      </c>
      <c r="AA170" s="49">
        <f t="shared" si="83"/>
        <v>0</v>
      </c>
      <c r="AB170" s="50">
        <f t="shared" si="84"/>
        <v>0</v>
      </c>
      <c r="AC170" s="43">
        <f t="shared" si="85"/>
        <v>0</v>
      </c>
      <c r="AD170" s="43">
        <f t="shared" si="86"/>
        <v>0</v>
      </c>
      <c r="AE170" s="43">
        <f t="shared" si="87"/>
        <v>0</v>
      </c>
      <c r="AF170" s="51" t="e">
        <f>HLOOKUP(I170,GasAvoidedCostsWOCC!$A$5:$G$50,G170+1,FALSE)</f>
        <v>#N/A</v>
      </c>
      <c r="AG170" s="43" t="e">
        <f t="shared" si="88"/>
        <v>#N/A</v>
      </c>
      <c r="AH170" s="51" t="e">
        <f>HLOOKUP(I170,GasAvoidedCostsWOCC!$A$5:$Q$50,T170+1,FALSE)</f>
        <v>#N/A</v>
      </c>
      <c r="AI170" s="43" t="e">
        <f t="shared" si="89"/>
        <v>#N/A</v>
      </c>
      <c r="AJ170" s="43" t="e">
        <f t="shared" si="90"/>
        <v>#N/A</v>
      </c>
      <c r="AK170" s="43" t="e">
        <f>HLOOKUP(I170,GasAvoidedCostsWOCC!$A$5:$Q$50,G170+1,FALSE)*J170*L170</f>
        <v>#N/A</v>
      </c>
      <c r="AL170" s="43" t="e">
        <f t="shared" si="91"/>
        <v>#N/A</v>
      </c>
      <c r="AM170" s="47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7">
        <f t="shared" si="92"/>
        <v>0</v>
      </c>
      <c r="AO170" s="46">
        <f t="shared" si="93"/>
        <v>0</v>
      </c>
      <c r="AP170" s="46" t="e">
        <f t="shared" si="94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76"/>
        <v>0</v>
      </c>
      <c r="U171" s="46">
        <f t="shared" si="77"/>
        <v>0</v>
      </c>
      <c r="V171" s="47">
        <f t="shared" si="78"/>
        <v>0</v>
      </c>
      <c r="W171" s="48">
        <f t="shared" si="79"/>
        <v>0</v>
      </c>
      <c r="X171" s="43">
        <f t="shared" si="80"/>
        <v>0</v>
      </c>
      <c r="Y171" s="43">
        <f t="shared" si="81"/>
        <v>0</v>
      </c>
      <c r="Z171" s="43">
        <f t="shared" si="82"/>
        <v>0</v>
      </c>
      <c r="AA171" s="49">
        <f t="shared" si="83"/>
        <v>0</v>
      </c>
      <c r="AB171" s="50">
        <f t="shared" si="84"/>
        <v>0</v>
      </c>
      <c r="AC171" s="43">
        <f t="shared" si="85"/>
        <v>0</v>
      </c>
      <c r="AD171" s="43">
        <f t="shared" si="86"/>
        <v>0</v>
      </c>
      <c r="AE171" s="43">
        <f t="shared" si="87"/>
        <v>0</v>
      </c>
      <c r="AF171" s="51" t="e">
        <f>HLOOKUP(I171,GasAvoidedCostsWOCC!$A$5:$G$50,G171+1,FALSE)</f>
        <v>#N/A</v>
      </c>
      <c r="AG171" s="43" t="e">
        <f t="shared" si="88"/>
        <v>#N/A</v>
      </c>
      <c r="AH171" s="51" t="e">
        <f>HLOOKUP(I171,GasAvoidedCostsWOCC!$A$5:$Q$50,T171+1,FALSE)</f>
        <v>#N/A</v>
      </c>
      <c r="AI171" s="43" t="e">
        <f t="shared" si="89"/>
        <v>#N/A</v>
      </c>
      <c r="AJ171" s="43" t="e">
        <f t="shared" si="90"/>
        <v>#N/A</v>
      </c>
      <c r="AK171" s="43" t="e">
        <f>HLOOKUP(I171,GasAvoidedCostsWOCC!$A$5:$Q$50,G171+1,FALSE)*J171*L171</f>
        <v>#N/A</v>
      </c>
      <c r="AL171" s="43" t="e">
        <f t="shared" si="91"/>
        <v>#N/A</v>
      </c>
      <c r="AM171" s="47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7">
        <f t="shared" si="92"/>
        <v>0</v>
      </c>
      <c r="AO171" s="46">
        <f t="shared" si="93"/>
        <v>0</v>
      </c>
      <c r="AP171" s="46" t="e">
        <f t="shared" si="94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76"/>
        <v>0</v>
      </c>
      <c r="U172" s="46">
        <f t="shared" si="77"/>
        <v>0</v>
      </c>
      <c r="V172" s="47">
        <f t="shared" si="78"/>
        <v>0</v>
      </c>
      <c r="W172" s="48">
        <f t="shared" si="79"/>
        <v>0</v>
      </c>
      <c r="X172" s="43">
        <f t="shared" si="80"/>
        <v>0</v>
      </c>
      <c r="Y172" s="43">
        <f t="shared" si="81"/>
        <v>0</v>
      </c>
      <c r="Z172" s="43">
        <f t="shared" si="82"/>
        <v>0</v>
      </c>
      <c r="AA172" s="49">
        <f t="shared" si="83"/>
        <v>0</v>
      </c>
      <c r="AB172" s="50">
        <f t="shared" si="84"/>
        <v>0</v>
      </c>
      <c r="AC172" s="43">
        <f t="shared" si="85"/>
        <v>0</v>
      </c>
      <c r="AD172" s="43">
        <f t="shared" si="86"/>
        <v>0</v>
      </c>
      <c r="AE172" s="43">
        <f t="shared" si="87"/>
        <v>0</v>
      </c>
      <c r="AF172" s="51" t="e">
        <f>HLOOKUP(I172,GasAvoidedCostsWOCC!$A$5:$G$50,G172+1,FALSE)</f>
        <v>#N/A</v>
      </c>
      <c r="AG172" s="43" t="e">
        <f t="shared" si="88"/>
        <v>#N/A</v>
      </c>
      <c r="AH172" s="51" t="e">
        <f>HLOOKUP(I172,GasAvoidedCostsWOCC!$A$5:$Q$50,T172+1,FALSE)</f>
        <v>#N/A</v>
      </c>
      <c r="AI172" s="43" t="e">
        <f t="shared" si="89"/>
        <v>#N/A</v>
      </c>
      <c r="AJ172" s="43" t="e">
        <f t="shared" si="90"/>
        <v>#N/A</v>
      </c>
      <c r="AK172" s="43" t="e">
        <f>HLOOKUP(I172,GasAvoidedCostsWOCC!$A$5:$Q$50,G172+1,FALSE)*J172*L172</f>
        <v>#N/A</v>
      </c>
      <c r="AL172" s="43" t="e">
        <f t="shared" si="91"/>
        <v>#N/A</v>
      </c>
      <c r="AM172" s="47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7">
        <f t="shared" si="92"/>
        <v>0</v>
      </c>
      <c r="AO172" s="46">
        <f t="shared" si="93"/>
        <v>0</v>
      </c>
      <c r="AP172" s="46" t="e">
        <f t="shared" si="94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76"/>
        <v>0</v>
      </c>
      <c r="U173" s="46">
        <f t="shared" si="77"/>
        <v>0</v>
      </c>
      <c r="V173" s="47">
        <f t="shared" si="78"/>
        <v>0</v>
      </c>
      <c r="W173" s="48">
        <f t="shared" si="79"/>
        <v>0</v>
      </c>
      <c r="X173" s="43">
        <f t="shared" si="80"/>
        <v>0</v>
      </c>
      <c r="Y173" s="43">
        <f t="shared" si="81"/>
        <v>0</v>
      </c>
      <c r="Z173" s="43">
        <f t="shared" si="82"/>
        <v>0</v>
      </c>
      <c r="AA173" s="49">
        <f t="shared" si="83"/>
        <v>0</v>
      </c>
      <c r="AB173" s="50">
        <f t="shared" si="84"/>
        <v>0</v>
      </c>
      <c r="AC173" s="43">
        <f t="shared" si="85"/>
        <v>0</v>
      </c>
      <c r="AD173" s="43">
        <f t="shared" si="86"/>
        <v>0</v>
      </c>
      <c r="AE173" s="43">
        <f t="shared" si="87"/>
        <v>0</v>
      </c>
      <c r="AF173" s="51" t="e">
        <f>HLOOKUP(I173,GasAvoidedCostsWOCC!$A$5:$G$50,G173+1,FALSE)</f>
        <v>#N/A</v>
      </c>
      <c r="AG173" s="43" t="e">
        <f t="shared" si="88"/>
        <v>#N/A</v>
      </c>
      <c r="AH173" s="51" t="e">
        <f>HLOOKUP(I173,GasAvoidedCostsWOCC!$A$5:$Q$50,T173+1,FALSE)</f>
        <v>#N/A</v>
      </c>
      <c r="AI173" s="43" t="e">
        <f t="shared" si="89"/>
        <v>#N/A</v>
      </c>
      <c r="AJ173" s="43" t="e">
        <f t="shared" si="90"/>
        <v>#N/A</v>
      </c>
      <c r="AK173" s="43" t="e">
        <f>HLOOKUP(I173,GasAvoidedCostsWOCC!$A$5:$Q$50,G173+1,FALSE)*J173*L173</f>
        <v>#N/A</v>
      </c>
      <c r="AL173" s="43" t="e">
        <f t="shared" si="91"/>
        <v>#N/A</v>
      </c>
      <c r="AM173" s="47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7">
        <f t="shared" si="92"/>
        <v>0</v>
      </c>
      <c r="AO173" s="46">
        <f t="shared" si="93"/>
        <v>0</v>
      </c>
      <c r="AP173" s="46" t="e">
        <f t="shared" si="94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76"/>
        <v>0</v>
      </c>
      <c r="U174" s="46">
        <f t="shared" si="77"/>
        <v>0</v>
      </c>
      <c r="V174" s="47">
        <f t="shared" si="78"/>
        <v>0</v>
      </c>
      <c r="W174" s="48">
        <f t="shared" si="79"/>
        <v>0</v>
      </c>
      <c r="X174" s="43">
        <f t="shared" si="80"/>
        <v>0</v>
      </c>
      <c r="Y174" s="43">
        <f t="shared" si="81"/>
        <v>0</v>
      </c>
      <c r="Z174" s="43">
        <f t="shared" si="82"/>
        <v>0</v>
      </c>
      <c r="AA174" s="49">
        <f t="shared" si="83"/>
        <v>0</v>
      </c>
      <c r="AB174" s="50">
        <f t="shared" si="84"/>
        <v>0</v>
      </c>
      <c r="AC174" s="43">
        <f t="shared" si="85"/>
        <v>0</v>
      </c>
      <c r="AD174" s="43">
        <f t="shared" si="86"/>
        <v>0</v>
      </c>
      <c r="AE174" s="43">
        <f t="shared" si="87"/>
        <v>0</v>
      </c>
      <c r="AF174" s="51" t="e">
        <f>HLOOKUP(I174,GasAvoidedCostsWOCC!$A$5:$G$50,G174+1,FALSE)</f>
        <v>#N/A</v>
      </c>
      <c r="AG174" s="43" t="e">
        <f t="shared" si="88"/>
        <v>#N/A</v>
      </c>
      <c r="AH174" s="51" t="e">
        <f>HLOOKUP(I174,GasAvoidedCostsWOCC!$A$5:$Q$50,T174+1,FALSE)</f>
        <v>#N/A</v>
      </c>
      <c r="AI174" s="43" t="e">
        <f t="shared" si="89"/>
        <v>#N/A</v>
      </c>
      <c r="AJ174" s="43" t="e">
        <f t="shared" si="90"/>
        <v>#N/A</v>
      </c>
      <c r="AK174" s="43" t="e">
        <f>HLOOKUP(I174,GasAvoidedCostsWOCC!$A$5:$Q$50,G174+1,FALSE)*J174*L174</f>
        <v>#N/A</v>
      </c>
      <c r="AL174" s="43" t="e">
        <f t="shared" si="91"/>
        <v>#N/A</v>
      </c>
      <c r="AM174" s="47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7">
        <f t="shared" si="92"/>
        <v>0</v>
      </c>
      <c r="AO174" s="46">
        <f t="shared" si="93"/>
        <v>0</v>
      </c>
      <c r="AP174" s="46" t="e">
        <f t="shared" si="94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76"/>
        <v>0</v>
      </c>
      <c r="U175" s="46">
        <f t="shared" si="77"/>
        <v>0</v>
      </c>
      <c r="V175" s="47">
        <f t="shared" si="78"/>
        <v>0</v>
      </c>
      <c r="W175" s="48">
        <f t="shared" si="79"/>
        <v>0</v>
      </c>
      <c r="X175" s="43">
        <f t="shared" si="80"/>
        <v>0</v>
      </c>
      <c r="Y175" s="43">
        <f t="shared" si="81"/>
        <v>0</v>
      </c>
      <c r="Z175" s="43">
        <f t="shared" si="82"/>
        <v>0</v>
      </c>
      <c r="AA175" s="49">
        <f t="shared" si="83"/>
        <v>0</v>
      </c>
      <c r="AB175" s="50">
        <f t="shared" si="84"/>
        <v>0</v>
      </c>
      <c r="AC175" s="43">
        <f t="shared" si="85"/>
        <v>0</v>
      </c>
      <c r="AD175" s="43">
        <f t="shared" si="86"/>
        <v>0</v>
      </c>
      <c r="AE175" s="43">
        <f t="shared" si="87"/>
        <v>0</v>
      </c>
      <c r="AF175" s="51" t="e">
        <f>HLOOKUP(I175,GasAvoidedCostsWOCC!$A$5:$G$50,G175+1,FALSE)</f>
        <v>#N/A</v>
      </c>
      <c r="AG175" s="43" t="e">
        <f t="shared" si="88"/>
        <v>#N/A</v>
      </c>
      <c r="AH175" s="51" t="e">
        <f>HLOOKUP(I175,GasAvoidedCostsWOCC!$A$5:$Q$50,T175+1,FALSE)</f>
        <v>#N/A</v>
      </c>
      <c r="AI175" s="43" t="e">
        <f t="shared" si="89"/>
        <v>#N/A</v>
      </c>
      <c r="AJ175" s="43" t="e">
        <f t="shared" si="90"/>
        <v>#N/A</v>
      </c>
      <c r="AK175" s="43" t="e">
        <f>HLOOKUP(I175,GasAvoidedCostsWOCC!$A$5:$Q$50,G175+1,FALSE)*J175*L175</f>
        <v>#N/A</v>
      </c>
      <c r="AL175" s="43" t="e">
        <f t="shared" si="91"/>
        <v>#N/A</v>
      </c>
      <c r="AM175" s="47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7">
        <f t="shared" si="92"/>
        <v>0</v>
      </c>
      <c r="AO175" s="46">
        <f t="shared" si="93"/>
        <v>0</v>
      </c>
      <c r="AP175" s="46" t="e">
        <f t="shared" si="94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76"/>
        <v>0</v>
      </c>
      <c r="U176" s="46">
        <f t="shared" si="77"/>
        <v>0</v>
      </c>
      <c r="V176" s="47">
        <f t="shared" si="78"/>
        <v>0</v>
      </c>
      <c r="W176" s="48">
        <f t="shared" si="79"/>
        <v>0</v>
      </c>
      <c r="X176" s="43">
        <f t="shared" si="80"/>
        <v>0</v>
      </c>
      <c r="Y176" s="43">
        <f t="shared" si="81"/>
        <v>0</v>
      </c>
      <c r="Z176" s="43">
        <f t="shared" si="82"/>
        <v>0</v>
      </c>
      <c r="AA176" s="49">
        <f t="shared" si="83"/>
        <v>0</v>
      </c>
      <c r="AB176" s="50">
        <f t="shared" si="84"/>
        <v>0</v>
      </c>
      <c r="AC176" s="43">
        <f t="shared" si="85"/>
        <v>0</v>
      </c>
      <c r="AD176" s="43">
        <f t="shared" si="86"/>
        <v>0</v>
      </c>
      <c r="AE176" s="43">
        <f t="shared" si="87"/>
        <v>0</v>
      </c>
      <c r="AF176" s="51" t="e">
        <f>HLOOKUP(I176,GasAvoidedCostsWOCC!$A$5:$G$50,G176+1,FALSE)</f>
        <v>#N/A</v>
      </c>
      <c r="AG176" s="43" t="e">
        <f t="shared" si="88"/>
        <v>#N/A</v>
      </c>
      <c r="AH176" s="51" t="e">
        <f>HLOOKUP(I176,GasAvoidedCostsWOCC!$A$5:$Q$50,T176+1,FALSE)</f>
        <v>#N/A</v>
      </c>
      <c r="AI176" s="43" t="e">
        <f t="shared" si="89"/>
        <v>#N/A</v>
      </c>
      <c r="AJ176" s="43" t="e">
        <f t="shared" si="90"/>
        <v>#N/A</v>
      </c>
      <c r="AK176" s="43" t="e">
        <f>HLOOKUP(I176,GasAvoidedCostsWOCC!$A$5:$Q$50,G176+1,FALSE)*J176*L176</f>
        <v>#N/A</v>
      </c>
      <c r="AL176" s="43" t="e">
        <f t="shared" si="91"/>
        <v>#N/A</v>
      </c>
      <c r="AM176" s="47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7">
        <f t="shared" si="92"/>
        <v>0</v>
      </c>
      <c r="AO176" s="46">
        <f t="shared" si="93"/>
        <v>0</v>
      </c>
      <c r="AP176" s="46" t="e">
        <f t="shared" si="94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76"/>
        <v>0</v>
      </c>
      <c r="U177" s="46">
        <f t="shared" si="77"/>
        <v>0</v>
      </c>
      <c r="V177" s="47">
        <f t="shared" si="78"/>
        <v>0</v>
      </c>
      <c r="W177" s="48">
        <f t="shared" si="79"/>
        <v>0</v>
      </c>
      <c r="X177" s="43">
        <f t="shared" si="80"/>
        <v>0</v>
      </c>
      <c r="Y177" s="43">
        <f t="shared" si="81"/>
        <v>0</v>
      </c>
      <c r="Z177" s="43">
        <f t="shared" si="82"/>
        <v>0</v>
      </c>
      <c r="AA177" s="49">
        <f t="shared" si="83"/>
        <v>0</v>
      </c>
      <c r="AB177" s="50">
        <f t="shared" si="84"/>
        <v>0</v>
      </c>
      <c r="AC177" s="43">
        <f t="shared" si="85"/>
        <v>0</v>
      </c>
      <c r="AD177" s="43">
        <f t="shared" si="86"/>
        <v>0</v>
      </c>
      <c r="AE177" s="43">
        <f t="shared" si="87"/>
        <v>0</v>
      </c>
      <c r="AF177" s="51" t="e">
        <f>HLOOKUP(I177,GasAvoidedCostsWOCC!$A$5:$G$50,G177+1,FALSE)</f>
        <v>#N/A</v>
      </c>
      <c r="AG177" s="43" t="e">
        <f t="shared" si="88"/>
        <v>#N/A</v>
      </c>
      <c r="AH177" s="51" t="e">
        <f>HLOOKUP(I177,GasAvoidedCostsWOCC!$A$5:$Q$50,T177+1,FALSE)</f>
        <v>#N/A</v>
      </c>
      <c r="AI177" s="43" t="e">
        <f t="shared" si="89"/>
        <v>#N/A</v>
      </c>
      <c r="AJ177" s="43" t="e">
        <f t="shared" si="90"/>
        <v>#N/A</v>
      </c>
      <c r="AK177" s="43" t="e">
        <f>HLOOKUP(I177,GasAvoidedCostsWOCC!$A$5:$Q$50,G177+1,FALSE)*J177*L177</f>
        <v>#N/A</v>
      </c>
      <c r="AL177" s="43" t="e">
        <f t="shared" si="91"/>
        <v>#N/A</v>
      </c>
      <c r="AM177" s="47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7">
        <f t="shared" si="92"/>
        <v>0</v>
      </c>
      <c r="AO177" s="46">
        <f t="shared" si="93"/>
        <v>0</v>
      </c>
      <c r="AP177" s="46" t="e">
        <f t="shared" si="94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76"/>
        <v>0</v>
      </c>
      <c r="U178" s="46">
        <f t="shared" si="77"/>
        <v>0</v>
      </c>
      <c r="V178" s="47">
        <f t="shared" si="78"/>
        <v>0</v>
      </c>
      <c r="W178" s="48">
        <f t="shared" si="79"/>
        <v>0</v>
      </c>
      <c r="X178" s="43">
        <f t="shared" si="80"/>
        <v>0</v>
      </c>
      <c r="Y178" s="43">
        <f t="shared" si="81"/>
        <v>0</v>
      </c>
      <c r="Z178" s="43">
        <f t="shared" si="82"/>
        <v>0</v>
      </c>
      <c r="AA178" s="49">
        <f t="shared" si="83"/>
        <v>0</v>
      </c>
      <c r="AB178" s="50">
        <f t="shared" si="84"/>
        <v>0</v>
      </c>
      <c r="AC178" s="43">
        <f t="shared" si="85"/>
        <v>0</v>
      </c>
      <c r="AD178" s="43">
        <f t="shared" si="86"/>
        <v>0</v>
      </c>
      <c r="AE178" s="43">
        <f t="shared" si="87"/>
        <v>0</v>
      </c>
      <c r="AF178" s="51" t="e">
        <f>HLOOKUP(I178,GasAvoidedCostsWOCC!$A$5:$G$50,G178+1,FALSE)</f>
        <v>#N/A</v>
      </c>
      <c r="AG178" s="43" t="e">
        <f t="shared" si="88"/>
        <v>#N/A</v>
      </c>
      <c r="AH178" s="51" t="e">
        <f>HLOOKUP(I178,GasAvoidedCostsWOCC!$A$5:$Q$50,T178+1,FALSE)</f>
        <v>#N/A</v>
      </c>
      <c r="AI178" s="43" t="e">
        <f t="shared" si="89"/>
        <v>#N/A</v>
      </c>
      <c r="AJ178" s="43" t="e">
        <f t="shared" si="90"/>
        <v>#N/A</v>
      </c>
      <c r="AK178" s="43" t="e">
        <f>HLOOKUP(I178,GasAvoidedCostsWOCC!$A$5:$Q$50,G178+1,FALSE)*J178*L178</f>
        <v>#N/A</v>
      </c>
      <c r="AL178" s="43" t="e">
        <f t="shared" si="91"/>
        <v>#N/A</v>
      </c>
      <c r="AM178" s="47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7">
        <f t="shared" si="92"/>
        <v>0</v>
      </c>
      <c r="AO178" s="46">
        <f t="shared" si="93"/>
        <v>0</v>
      </c>
      <c r="AP178" s="46" t="e">
        <f t="shared" si="94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HLOOKUP(I179,GasAvoidedCostsWOCC!$A$5:$G$50,G179+1,FALSE)</f>
        <v>#N/A</v>
      </c>
      <c r="AG179" s="43" t="e">
        <f t="shared" si="88"/>
        <v>#N/A</v>
      </c>
      <c r="AH179" s="51" t="e">
        <f>HLOOKUP(I179,GasAvoidedCostsWOCC!$A$5:$Q$50,T179+1,FALSE)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HLOOKUP(I179,GasAvoidedCostsWOCC!$A$5:$Q$50,G179+1,FALSE)*J179*L179</f>
        <v>#N/A</v>
      </c>
      <c r="AL179" s="43" t="e">
        <f t="shared" si="91"/>
        <v>#N/A</v>
      </c>
      <c r="AM179" s="47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HLOOKUP(I180,GasAvoidedCostsWOCC!$A$5:$G$50,G180+1,FALSE)</f>
        <v>#N/A</v>
      </c>
      <c r="AG180" s="43" t="e">
        <f t="shared" si="88"/>
        <v>#N/A</v>
      </c>
      <c r="AH180" s="51" t="e">
        <f>HLOOKUP(I180,GasAvoidedCostsWOCC!$A$5:$Q$50,T180+1,FALSE)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HLOOKUP(I180,GasAvoidedCostsWOCC!$A$5:$Q$50,G180+1,FALSE)*J180*L180</f>
        <v>#N/A</v>
      </c>
      <c r="AL180" s="43" t="e">
        <f t="shared" si="91"/>
        <v>#N/A</v>
      </c>
      <c r="AM180" s="47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HLOOKUP(I181,GasAvoidedCostsWOCC!$A$5:$G$50,G181+1,FALSE)</f>
        <v>#N/A</v>
      </c>
      <c r="AG181" s="43" t="e">
        <f t="shared" si="88"/>
        <v>#N/A</v>
      </c>
      <c r="AH181" s="51" t="e">
        <f>HLOOKUP(I181,GasAvoidedCostsWOCC!$A$5:$Q$50,T181+1,FALSE)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HLOOKUP(I181,GasAvoidedCostsWOCC!$A$5:$Q$50,G181+1,FALSE)*J181*L181</f>
        <v>#N/A</v>
      </c>
      <c r="AL181" s="43" t="e">
        <f t="shared" si="91"/>
        <v>#N/A</v>
      </c>
      <c r="AM181" s="47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HLOOKUP(I182,GasAvoidedCostsWOCC!$A$5:$G$50,G182+1,FALSE)</f>
        <v>#N/A</v>
      </c>
      <c r="AG182" s="43" t="e">
        <f t="shared" si="88"/>
        <v>#N/A</v>
      </c>
      <c r="AH182" s="51" t="e">
        <f>HLOOKUP(I182,GasAvoidedCostsWOCC!$A$5:$Q$50,T182+1,FALSE)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HLOOKUP(I182,GasAvoidedCostsWOCC!$A$5:$Q$50,G182+1,FALSE)*J182*L182</f>
        <v>#N/A</v>
      </c>
      <c r="AL182" s="43" t="e">
        <f t="shared" si="91"/>
        <v>#N/A</v>
      </c>
      <c r="AM182" s="47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HLOOKUP(I183,GasAvoidedCostsWOCC!$A$5:$G$50,G183+1,FALSE)</f>
        <v>#N/A</v>
      </c>
      <c r="AG183" s="43" t="e">
        <f t="shared" si="88"/>
        <v>#N/A</v>
      </c>
      <c r="AH183" s="51" t="e">
        <f>HLOOKUP(I183,GasAvoidedCostsWOCC!$A$5:$Q$50,T183+1,FALSE)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HLOOKUP(I183,GasAvoidedCostsWOCC!$A$5:$Q$50,G183+1,FALSE)*J183*L183</f>
        <v>#N/A</v>
      </c>
      <c r="AL183" s="43" t="e">
        <f t="shared" si="91"/>
        <v>#N/A</v>
      </c>
      <c r="AM183" s="47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HLOOKUP(I184,GasAvoidedCostsWOCC!$A$5:$G$50,G184+1,FALSE)</f>
        <v>#N/A</v>
      </c>
      <c r="AG184" s="43" t="e">
        <f t="shared" si="88"/>
        <v>#N/A</v>
      </c>
      <c r="AH184" s="51" t="e">
        <f>HLOOKUP(I184,GasAvoidedCostsWOCC!$A$5:$Q$50,T184+1,FALSE)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HLOOKUP(I184,GasAvoidedCostsWOCC!$A$5:$Q$50,G184+1,FALSE)*J184*L184</f>
        <v>#N/A</v>
      </c>
      <c r="AL184" s="43" t="e">
        <f t="shared" si="91"/>
        <v>#N/A</v>
      </c>
      <c r="AM184" s="47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HLOOKUP(I185,GasAvoidedCostsWOCC!$A$5:$G$50,G185+1,FALSE)</f>
        <v>#N/A</v>
      </c>
      <c r="AG185" s="43" t="e">
        <f t="shared" si="88"/>
        <v>#N/A</v>
      </c>
      <c r="AH185" s="51" t="e">
        <f>HLOOKUP(I185,GasAvoidedCostsWOCC!$A$5:$Q$50,T185+1,FALSE)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HLOOKUP(I185,GasAvoidedCostsWOCC!$A$5:$Q$50,G185+1,FALSE)*J185*L185</f>
        <v>#N/A</v>
      </c>
      <c r="AL185" s="43" t="e">
        <f t="shared" si="91"/>
        <v>#N/A</v>
      </c>
      <c r="AM185" s="47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HLOOKUP(I186,GasAvoidedCostsWOCC!$A$5:$G$50,G186+1,FALSE)</f>
        <v>#N/A</v>
      </c>
      <c r="AG186" s="43" t="e">
        <f t="shared" si="88"/>
        <v>#N/A</v>
      </c>
      <c r="AH186" s="51" t="e">
        <f>HLOOKUP(I186,GasAvoidedCostsWOCC!$A$5:$Q$50,T186+1,FALSE)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HLOOKUP(I186,GasAvoidedCostsWOCC!$A$5:$Q$50,G186+1,FALSE)*J186*L186</f>
        <v>#N/A</v>
      </c>
      <c r="AL186" s="43" t="e">
        <f t="shared" si="91"/>
        <v>#N/A</v>
      </c>
      <c r="AM186" s="47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HLOOKUP(I187,GasAvoidedCostsWOCC!$A$5:$G$50,G187+1,FALSE)</f>
        <v>#N/A</v>
      </c>
      <c r="AG187" s="43" t="e">
        <f t="shared" si="88"/>
        <v>#N/A</v>
      </c>
      <c r="AH187" s="51" t="e">
        <f>HLOOKUP(I187,GasAvoidedCostsWOCC!$A$5:$Q$50,T187+1,FALSE)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HLOOKUP(I187,GasAvoidedCostsWOCC!$A$5:$Q$50,G187+1,FALSE)*J187*L187</f>
        <v>#N/A</v>
      </c>
      <c r="AL187" s="43" t="e">
        <f t="shared" si="91"/>
        <v>#N/A</v>
      </c>
      <c r="AM187" s="47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HLOOKUP(I188,GasAvoidedCostsWOCC!$A$5:$G$50,G188+1,FALSE)</f>
        <v>#N/A</v>
      </c>
      <c r="AG188" s="43" t="e">
        <f t="shared" si="88"/>
        <v>#N/A</v>
      </c>
      <c r="AH188" s="51" t="e">
        <f>HLOOKUP(I188,GasAvoidedCostsWOCC!$A$5:$Q$50,T188+1,FALSE)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HLOOKUP(I188,GasAvoidedCostsWOCC!$A$5:$Q$50,G188+1,FALSE)*J188*L188</f>
        <v>#N/A</v>
      </c>
      <c r="AL188" s="43" t="e">
        <f t="shared" si="91"/>
        <v>#N/A</v>
      </c>
      <c r="AM188" s="47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HLOOKUP(I189,GasAvoidedCostsWOCC!$A$5:$G$50,G189+1,FALSE)</f>
        <v>#N/A</v>
      </c>
      <c r="AG189" s="43" t="e">
        <f t="shared" si="88"/>
        <v>#N/A</v>
      </c>
      <c r="AH189" s="51" t="e">
        <f>HLOOKUP(I189,GasAvoidedCostsWOCC!$A$5:$Q$50,T189+1,FALSE)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HLOOKUP(I189,GasAvoidedCostsWOCC!$A$5:$Q$50,G189+1,FALSE)*J189*L189</f>
        <v>#N/A</v>
      </c>
      <c r="AL189" s="43" t="e">
        <f t="shared" si="91"/>
        <v>#N/A</v>
      </c>
      <c r="AM189" s="47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HLOOKUP(I190,GasAvoidedCostsWOCC!$A$5:$G$50,G190+1,FALSE)</f>
        <v>#N/A</v>
      </c>
      <c r="AG190" s="43" t="e">
        <f t="shared" si="88"/>
        <v>#N/A</v>
      </c>
      <c r="AH190" s="51" t="e">
        <f>HLOOKUP(I190,GasAvoidedCostsWOCC!$A$5:$Q$50,T190+1,FALSE)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HLOOKUP(I190,GasAvoidedCostsWOCC!$A$5:$Q$50,G190+1,FALSE)*J190*L190</f>
        <v>#N/A</v>
      </c>
      <c r="AL190" s="43" t="e">
        <f t="shared" si="91"/>
        <v>#N/A</v>
      </c>
      <c r="AM190" s="47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HLOOKUP(I191,GasAvoidedCostsWOCC!$A$5:$G$50,G191+1,FALSE)</f>
        <v>#N/A</v>
      </c>
      <c r="AG191" s="43" t="e">
        <f t="shared" si="88"/>
        <v>#N/A</v>
      </c>
      <c r="AH191" s="51" t="e">
        <f>HLOOKUP(I191,GasAvoidedCostsWOCC!$A$5:$Q$50,T191+1,FALSE)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HLOOKUP(I191,GasAvoidedCostsWOCC!$A$5:$Q$50,G191+1,FALSE)*J191*L191</f>
        <v>#N/A</v>
      </c>
      <c r="AL191" s="43" t="e">
        <f t="shared" si="91"/>
        <v>#N/A</v>
      </c>
      <c r="AM191" s="47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HLOOKUP(I192,GasAvoidedCostsWOCC!$A$5:$G$50,G192+1,FALSE)</f>
        <v>#N/A</v>
      </c>
      <c r="AG192" s="43" t="e">
        <f t="shared" si="88"/>
        <v>#N/A</v>
      </c>
      <c r="AH192" s="51" t="e">
        <f>HLOOKUP(I192,GasAvoidedCostsWOCC!$A$5:$Q$50,T192+1,FALSE)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HLOOKUP(I192,GasAvoidedCostsWOCC!$A$5:$Q$50,G192+1,FALSE)*J192*L192</f>
        <v>#N/A</v>
      </c>
      <c r="AL192" s="43" t="e">
        <f t="shared" si="91"/>
        <v>#N/A</v>
      </c>
      <c r="AM192" s="47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HLOOKUP(I193,GasAvoidedCostsWOCC!$A$5:$G$50,G193+1,FALSE)</f>
        <v>#N/A</v>
      </c>
      <c r="AG193" s="43" t="e">
        <f t="shared" si="88"/>
        <v>#N/A</v>
      </c>
      <c r="AH193" s="51" t="e">
        <f>HLOOKUP(I193,GasAvoidedCostsWOCC!$A$5:$Q$50,T193+1,FALSE)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HLOOKUP(I193,GasAvoidedCostsWOCC!$A$5:$Q$50,G193+1,FALSE)*J193*L193</f>
        <v>#N/A</v>
      </c>
      <c r="AL193" s="43" t="e">
        <f t="shared" si="91"/>
        <v>#N/A</v>
      </c>
      <c r="AM193" s="47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</sheetData>
  <conditionalFormatting sqref="J5:L193">
    <cfRule type="expression" dxfId="79" priority="9">
      <formula>ISTEXT(J5)</formula>
    </cfRule>
    <cfRule type="notContainsBlanks" dxfId="78" priority="10">
      <formula>LEN(TRIM(J5))&gt;0</formula>
    </cfRule>
  </conditionalFormatting>
  <conditionalFormatting sqref="M5:N193 R5:S193">
    <cfRule type="expression" dxfId="77" priority="7">
      <formula>ISTEXT(M5)</formula>
    </cfRule>
  </conditionalFormatting>
  <conditionalFormatting sqref="M5:N193 R5:S193">
    <cfRule type="notContainsBlanks" dxfId="76" priority="8">
      <formula>LEN(TRIM(M5))&gt;0</formula>
    </cfRule>
  </conditionalFormatting>
  <conditionalFormatting sqref="R5:S193">
    <cfRule type="expression" dxfId="75" priority="6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3" sqref="J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18230673</v>
      </c>
      <c r="D2" s="19" t="s">
        <v>98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97</v>
      </c>
      <c r="C5" s="89">
        <v>18230673</v>
      </c>
      <c r="D5" s="60" t="s">
        <v>98</v>
      </c>
      <c r="E5" s="37" t="s">
        <v>492</v>
      </c>
      <c r="F5" s="38" t="s">
        <v>2018</v>
      </c>
      <c r="G5" s="38">
        <v>15</v>
      </c>
      <c r="H5" s="38"/>
      <c r="I5" s="39" t="s">
        <v>273</v>
      </c>
      <c r="J5" s="40">
        <v>1</v>
      </c>
      <c r="K5" s="40">
        <v>7200</v>
      </c>
      <c r="L5" s="40"/>
      <c r="M5" s="41"/>
      <c r="N5" s="41"/>
      <c r="O5" s="42">
        <v>7200</v>
      </c>
      <c r="P5" s="43">
        <v>51450</v>
      </c>
      <c r="Q5" s="43">
        <v>51450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20839</v>
      </c>
      <c r="Y5" s="43">
        <f t="shared" ref="Y5:Y24" si="5">Q5-P5</f>
        <v>0</v>
      </c>
      <c r="Z5" s="43">
        <f t="shared" ref="Z5:Z24" si="6">X5+(A$6*W5)</f>
        <v>72289</v>
      </c>
      <c r="AA5" s="49">
        <f t="shared" ref="AA5:AA24" si="7">Q5+X5</f>
        <v>72289</v>
      </c>
      <c r="AB5" s="50">
        <f t="shared" ref="AB5:AB24" si="8">Z5/(1+GasDiscountRate)^1</f>
        <v>67686.329588014982</v>
      </c>
      <c r="AC5" s="43">
        <f t="shared" ref="AC5:AC24" si="9">AA5/(1+GasDiscountRate)^1</f>
        <v>67686.329588014982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111473.85307063242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111473.85307063242</v>
      </c>
      <c r="AK5" s="43">
        <f>HLOOKUP(I5,GasAvoidedCostsWOCC!$A$5:$Q$50,G5+1,FALSE)*J5*L5</f>
        <v>0</v>
      </c>
      <c r="AL5" s="43">
        <f>AG5+AI5-AK5</f>
        <v>111473.85307063242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111473.85307063242</v>
      </c>
      <c r="AN5" s="47">
        <f>AM5*1.1+AD5+AE5</f>
        <v>122621.23837769567</v>
      </c>
      <c r="AO5" s="46">
        <f>IFERROR(AM5/AB5,0)</f>
        <v>1.6469182735884496</v>
      </c>
      <c r="AP5" s="46">
        <f>AN5/AC5</f>
        <v>1.8116101009472945</v>
      </c>
    </row>
    <row r="6" spans="1:42" ht="13.5" customHeight="1" x14ac:dyDescent="0.25">
      <c r="A6" s="52">
        <f>SUMIF('Program Costs'!D:D,C2,'Program Costs'!L:L)</f>
        <v>51450</v>
      </c>
      <c r="B6" s="88" t="s">
        <v>97</v>
      </c>
      <c r="C6" s="89">
        <v>18230673</v>
      </c>
      <c r="D6" s="60" t="s">
        <v>98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97</v>
      </c>
      <c r="C7" s="89">
        <v>18230673</v>
      </c>
      <c r="D7" s="60" t="s">
        <v>98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20839</v>
      </c>
      <c r="B8" s="88" t="s">
        <v>97</v>
      </c>
      <c r="C8" s="89">
        <v>18230673</v>
      </c>
      <c r="D8" s="60" t="s">
        <v>98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7200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51450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72289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72289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1.6469182735884496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1.8116101009472945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O14" sqref="O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18230440</v>
      </c>
      <c r="D2" s="19" t="s">
        <v>50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18230440</v>
      </c>
      <c r="D5" s="91" t="s">
        <v>50</v>
      </c>
      <c r="E5" s="37" t="s">
        <v>1452</v>
      </c>
      <c r="F5" s="38" t="s">
        <v>1453</v>
      </c>
      <c r="G5" s="38">
        <v>1</v>
      </c>
      <c r="H5" s="38">
        <v>0</v>
      </c>
      <c r="I5" s="39" t="s">
        <v>238</v>
      </c>
      <c r="J5" s="40">
        <v>1</v>
      </c>
      <c r="K5" s="40">
        <v>140173</v>
      </c>
      <c r="L5" s="40">
        <v>0</v>
      </c>
      <c r="M5" s="41">
        <v>133883</v>
      </c>
      <c r="N5" s="41">
        <v>0</v>
      </c>
      <c r="O5" s="42">
        <v>140173</v>
      </c>
      <c r="P5" s="43">
        <v>133883</v>
      </c>
      <c r="Q5" s="43">
        <v>0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-133883</v>
      </c>
      <c r="W5" s="48">
        <f t="shared" ref="W5:W24" si="3">(O5/A$10)</f>
        <v>1</v>
      </c>
      <c r="X5" s="43">
        <f t="shared" ref="X5:X24" si="4">W5*A$8</f>
        <v>32389.299999999988</v>
      </c>
      <c r="Y5" s="43">
        <f t="shared" ref="Y5:Y24" si="5">Q5-P5</f>
        <v>-133883</v>
      </c>
      <c r="Z5" s="43">
        <f t="shared" ref="Z5:Z24" si="6">X5+(A$6*W5)</f>
        <v>166272.29999999999</v>
      </c>
      <c r="AA5" s="49">
        <f t="shared" ref="AA5:AA24" si="7">Q5+X5</f>
        <v>32389.299999999988</v>
      </c>
      <c r="AB5" s="50">
        <f t="shared" ref="AB5:AC20" si="8">Z5/(1+ElecDiscountRate)^1</f>
        <v>155685.67415730335</v>
      </c>
      <c r="AC5" s="43">
        <f t="shared" si="8"/>
        <v>30327.059925093621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18911.482820766039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18911.482820766039</v>
      </c>
      <c r="AK5" s="43">
        <f>HLOOKUP(I5,ElecAvoidedCostsWOCC!$A$5:$Q$50,G5+1,FALSE)*J5*L5</f>
        <v>0</v>
      </c>
      <c r="AL5" s="43">
        <f>AG5+AI5-AK5</f>
        <v>18911.482820766039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18911.482820766039</v>
      </c>
      <c r="AN5" s="47">
        <f>AM5*1.1+AD5+AE5</f>
        <v>20802.631102842646</v>
      </c>
      <c r="AO5" s="46">
        <f>IFERROR(AM5/AB5,0)</f>
        <v>0.1214722094574871</v>
      </c>
      <c r="AP5" s="46">
        <f>AN5/AC5</f>
        <v>0.68594288909720047</v>
      </c>
    </row>
    <row r="6" spans="1:42" ht="13.5" customHeight="1" x14ac:dyDescent="0.25">
      <c r="A6" s="52">
        <f>SUMIF('Program Costs'!D:D,C2,'Program Costs'!L:L)</f>
        <v>133883</v>
      </c>
      <c r="B6" s="88" t="s">
        <v>17</v>
      </c>
      <c r="C6" s="91">
        <v>18230441</v>
      </c>
      <c r="D6" s="91" t="s">
        <v>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240</v>
      </c>
      <c r="C7" s="91">
        <v>18230442</v>
      </c>
      <c r="D7" s="91" t="s">
        <v>50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32389.299999999988</v>
      </c>
      <c r="B8" s="88" t="s">
        <v>38</v>
      </c>
      <c r="C8" s="91">
        <v>18230443</v>
      </c>
      <c r="D8" s="91" t="s">
        <v>50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91">
        <v>18230444</v>
      </c>
      <c r="D9" s="91" t="s">
        <v>50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140173</v>
      </c>
      <c r="B10" s="88" t="s">
        <v>163</v>
      </c>
      <c r="C10" s="91">
        <v>18230445</v>
      </c>
      <c r="D10" s="91" t="s">
        <v>50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243</v>
      </c>
      <c r="C11" s="91">
        <v>18230446</v>
      </c>
      <c r="D11" s="91" t="s">
        <v>50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133883</v>
      </c>
      <c r="B12" s="88" t="s">
        <v>244</v>
      </c>
      <c r="C12" s="91">
        <v>18230447</v>
      </c>
      <c r="D12" s="91" t="s">
        <v>50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246</v>
      </c>
      <c r="C13" s="91">
        <v>18230448</v>
      </c>
      <c r="D13" s="91" t="s">
        <v>50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-133883</v>
      </c>
      <c r="B14" s="88" t="s">
        <v>247</v>
      </c>
      <c r="C14" s="91">
        <v>18230449</v>
      </c>
      <c r="D14" s="91" t="s">
        <v>50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249</v>
      </c>
      <c r="C15" s="91">
        <v>18230450</v>
      </c>
      <c r="D15" s="91" t="s">
        <v>50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88" t="s">
        <v>250</v>
      </c>
      <c r="C16" s="91">
        <v>18230451</v>
      </c>
      <c r="D16" s="91" t="s">
        <v>50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252</v>
      </c>
      <c r="C17" s="91">
        <v>18230452</v>
      </c>
      <c r="D17" s="91" t="s">
        <v>50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166272.29999999999</v>
      </c>
      <c r="B18" s="88" t="s">
        <v>253</v>
      </c>
      <c r="C18" s="91">
        <v>18230453</v>
      </c>
      <c r="D18" s="91" t="s">
        <v>50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254</v>
      </c>
      <c r="C19" s="91">
        <v>18230454</v>
      </c>
      <c r="D19" s="91" t="s">
        <v>50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32389.299999999988</v>
      </c>
      <c r="B20" s="88" t="s">
        <v>255</v>
      </c>
      <c r="C20" s="91">
        <v>18230455</v>
      </c>
      <c r="D20" s="91" t="s">
        <v>50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256</v>
      </c>
      <c r="C21" s="91">
        <v>18230456</v>
      </c>
      <c r="D21" s="91" t="s">
        <v>50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0.1214722094574871</v>
      </c>
      <c r="B22" s="88" t="s">
        <v>257</v>
      </c>
      <c r="C22" s="91">
        <v>18230457</v>
      </c>
      <c r="D22" s="91" t="s">
        <v>50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258</v>
      </c>
      <c r="C23" s="91">
        <v>18230458</v>
      </c>
      <c r="D23" s="91" t="s">
        <v>50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0.68594288909720047</v>
      </c>
      <c r="B24" s="88"/>
      <c r="C24" s="92"/>
      <c r="D24" s="92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R5:S24">
    <cfRule type="expression" dxfId="339" priority="1">
      <formula>"istext($AB17)"</formula>
    </cfRule>
  </conditionalFormatting>
  <conditionalFormatting sqref="J5:L24">
    <cfRule type="expression" dxfId="338" priority="4">
      <formula>ISTEXT(J5)</formula>
    </cfRule>
    <cfRule type="notContainsBlanks" dxfId="337" priority="5">
      <formula>LEN(TRIM(J5))&gt;0</formula>
    </cfRule>
  </conditionalFormatting>
  <conditionalFormatting sqref="M5:N24 R5:S24">
    <cfRule type="expression" dxfId="336" priority="2">
      <formula>ISTEXT(M5)</formula>
    </cfRule>
  </conditionalFormatting>
  <conditionalFormatting sqref="M5:N24 R5:S24">
    <cfRule type="notContainsBlanks" dxfId="33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O6" sqref="O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18230731</v>
      </c>
      <c r="D2" s="19" t="s">
        <v>135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89">
        <v>18230731</v>
      </c>
      <c r="D5" s="60" t="s">
        <v>135</v>
      </c>
      <c r="E5" s="37" t="s">
        <v>492</v>
      </c>
      <c r="F5" s="38" t="s">
        <v>2018</v>
      </c>
      <c r="G5" s="38">
        <v>18.16</v>
      </c>
      <c r="H5" s="38"/>
      <c r="I5" s="39" t="s">
        <v>260</v>
      </c>
      <c r="J5" s="40">
        <v>1</v>
      </c>
      <c r="K5" s="40">
        <v>580000</v>
      </c>
      <c r="L5" s="40"/>
      <c r="M5" s="41"/>
      <c r="N5" s="41"/>
      <c r="O5" s="42">
        <f>K5*J5</f>
        <v>580000</v>
      </c>
      <c r="P5" s="43">
        <v>3360500</v>
      </c>
      <c r="Q5" s="43">
        <f>P5*3.26</f>
        <v>10955230</v>
      </c>
      <c r="R5" s="44"/>
      <c r="S5" s="45"/>
      <c r="T5" s="38">
        <f t="shared" ref="T5:T24" si="0">G5+H5</f>
        <v>18.16</v>
      </c>
      <c r="U5" s="46">
        <f t="shared" ref="U5:U24" si="1">(O5/$A$10)*T5</f>
        <v>18.16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1504576</v>
      </c>
      <c r="Y5" s="43">
        <f t="shared" ref="Y5:Y24" si="5">Q5-P5</f>
        <v>7594730</v>
      </c>
      <c r="Z5" s="43">
        <f t="shared" ref="Z5:Z24" si="6">X5+(A$6*W5)</f>
        <v>4865076</v>
      </c>
      <c r="AA5" s="49">
        <f t="shared" ref="AA5:AA24" si="7">Q5+X5</f>
        <v>12459806</v>
      </c>
      <c r="AB5" s="50">
        <f t="shared" ref="AB5:AB24" si="8">Z5/(1+GasDiscountRate)^1</f>
        <v>4555314.6067415727</v>
      </c>
      <c r="AC5" s="43">
        <f t="shared" ref="AC5:AC24" si="9">AA5/(1+GasDiscountRate)^1</f>
        <v>11666485.018726591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17.06146079087577</v>
      </c>
      <c r="AG5" s="43">
        <f t="shared" ref="AG5:AG24" si="11">AF5*J5*K5</f>
        <v>9895647.2587079462</v>
      </c>
      <c r="AH5" s="51">
        <f>HLOOKUP(I5,GasAvoidedCostsWOCC!$A$5:$Q$50,T5+1,FALSE)</f>
        <v>17.06146079087577</v>
      </c>
      <c r="AI5" s="43">
        <f t="shared" ref="AI5:AI24" si="12">AH5*J5*L5</f>
        <v>0</v>
      </c>
      <c r="AJ5" s="43">
        <f>AG5+AI5</f>
        <v>9895647.2587079462</v>
      </c>
      <c r="AK5" s="43">
        <f>HLOOKUP(I5,GasAvoidedCostsWOCC!$A$5:$Q$50,G5+1,FALSE)*J5*L5</f>
        <v>0</v>
      </c>
      <c r="AL5" s="43">
        <f>AG5+AI5-AK5</f>
        <v>9895647.2587079462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9895647.2587079462</v>
      </c>
      <c r="AN5" s="47">
        <f>AM5*1.1+AD5+AE5</f>
        <v>10885211.984578742</v>
      </c>
      <c r="AO5" s="46">
        <f>IFERROR(AM5/AB5,0)</f>
        <v>2.1723301490665485</v>
      </c>
      <c r="AP5" s="46">
        <f>AN5/AC5</f>
        <v>0.93303269726110483</v>
      </c>
    </row>
    <row r="6" spans="1:42" ht="13.5" customHeight="1" x14ac:dyDescent="0.25">
      <c r="A6" s="52">
        <f>SUMIF('Program Costs'!D:D,C2,'Program Costs'!L:L)</f>
        <v>3360500</v>
      </c>
      <c r="B6" s="88" t="s">
        <v>134</v>
      </c>
      <c r="C6" s="89">
        <v>18230731</v>
      </c>
      <c r="D6" s="60" t="s">
        <v>135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134</v>
      </c>
      <c r="C7" s="89">
        <v>18230731</v>
      </c>
      <c r="D7" s="60" t="s">
        <v>135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1504576</v>
      </c>
      <c r="B8" s="88" t="s">
        <v>134</v>
      </c>
      <c r="C8" s="89">
        <v>18230731</v>
      </c>
      <c r="D8" s="60" t="s">
        <v>135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134</v>
      </c>
      <c r="C9" s="89">
        <v>18230731</v>
      </c>
      <c r="D9" s="60" t="s">
        <v>135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580000</v>
      </c>
      <c r="B10" s="88" t="s">
        <v>134</v>
      </c>
      <c r="C10" s="89">
        <v>18230731</v>
      </c>
      <c r="D10" s="60" t="s">
        <v>135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134</v>
      </c>
      <c r="C11" s="89">
        <v>18230731</v>
      </c>
      <c r="D11" s="60" t="s">
        <v>135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3360500</v>
      </c>
      <c r="B12" s="88" t="s">
        <v>134</v>
      </c>
      <c r="C12" s="89">
        <v>18230731</v>
      </c>
      <c r="D12" s="60" t="s">
        <v>135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134</v>
      </c>
      <c r="C13" s="89">
        <v>18230731</v>
      </c>
      <c r="D13" s="60" t="s">
        <v>135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7594730</v>
      </c>
      <c r="B14" s="88" t="s">
        <v>134</v>
      </c>
      <c r="C14" s="89">
        <v>18230731</v>
      </c>
      <c r="D14" s="60" t="s">
        <v>135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134</v>
      </c>
      <c r="C15" s="89">
        <v>18230731</v>
      </c>
      <c r="D15" s="60" t="s">
        <v>135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18.16</v>
      </c>
      <c r="B16" s="88" t="s">
        <v>134</v>
      </c>
      <c r="C16" s="89">
        <v>18230731</v>
      </c>
      <c r="D16" s="60" t="s">
        <v>135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134</v>
      </c>
      <c r="C17" s="89">
        <v>18230731</v>
      </c>
      <c r="D17" s="60" t="s">
        <v>135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4865076</v>
      </c>
      <c r="B18" s="88" t="s">
        <v>134</v>
      </c>
      <c r="C18" s="89">
        <v>18230731</v>
      </c>
      <c r="D18" s="60" t="s">
        <v>135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134</v>
      </c>
      <c r="C19" s="89">
        <v>18230731</v>
      </c>
      <c r="D19" s="60" t="s">
        <v>135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12459806</v>
      </c>
      <c r="B20" s="88" t="s">
        <v>134</v>
      </c>
      <c r="C20" s="89">
        <v>18230731</v>
      </c>
      <c r="D20" s="60" t="s">
        <v>135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134</v>
      </c>
      <c r="C21" s="89">
        <v>18230731</v>
      </c>
      <c r="D21" s="60" t="s">
        <v>135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2.1723301490665485</v>
      </c>
      <c r="B22" s="88" t="s">
        <v>134</v>
      </c>
      <c r="C22" s="89">
        <v>18230731</v>
      </c>
      <c r="D22" s="60" t="s">
        <v>135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134</v>
      </c>
      <c r="C23" s="89">
        <v>18230731</v>
      </c>
      <c r="D23" s="60" t="s">
        <v>135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0.93303269726110483</v>
      </c>
      <c r="B24" s="88" t="s">
        <v>134</v>
      </c>
      <c r="C24" s="89">
        <v>18230731</v>
      </c>
      <c r="D24" s="60" t="s">
        <v>135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134</v>
      </c>
      <c r="C25" s="89">
        <v>18230731</v>
      </c>
      <c r="D25" s="60" t="s">
        <v>135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5" si="19">G25+H25</f>
        <v>0</v>
      </c>
      <c r="U25" s="46">
        <f t="shared" ref="U25:U55" si="20">(O25/$A$10)*T25</f>
        <v>0</v>
      </c>
      <c r="V25" s="47">
        <f t="shared" ref="V25:V55" si="21">N25-M25</f>
        <v>0</v>
      </c>
      <c r="W25" s="48">
        <f t="shared" ref="W25:W55" si="22">(O25/A$10)</f>
        <v>0</v>
      </c>
      <c r="X25" s="43">
        <f t="shared" ref="X25:X55" si="23">W25*A$8</f>
        <v>0</v>
      </c>
      <c r="Y25" s="43">
        <f t="shared" ref="Y25:Y55" si="24">Q25-P25</f>
        <v>0</v>
      </c>
      <c r="Z25" s="43">
        <f t="shared" ref="Z25:Z55" si="25">X25+(A$6*W25)</f>
        <v>0</v>
      </c>
      <c r="AA25" s="49">
        <f t="shared" ref="AA25:AA55" si="26">Q25+X25</f>
        <v>0</v>
      </c>
      <c r="AB25" s="50">
        <f t="shared" ref="AB25:AB55" si="27">Z25/(1+GasDiscountRate)^1</f>
        <v>0</v>
      </c>
      <c r="AC25" s="43">
        <f t="shared" ref="AC25:AC55" si="28">AA25/(1+GasDiscountRate)^1</f>
        <v>0</v>
      </c>
      <c r="AD25" s="43">
        <f t="shared" ref="AD25:AD55" si="29">-PV(GasDiscountRate,T25,R25)*J25</f>
        <v>0</v>
      </c>
      <c r="AE25" s="43">
        <f t="shared" ref="AE25:AE55" si="30">-PV(GasDiscountRate,T25,S25)*J25</f>
        <v>0</v>
      </c>
      <c r="AF25" s="51" t="e">
        <f>HLOOKUP(I25,GasAvoidedCostsWOCC!$A$5:$G$50,G25+1,FALSE)</f>
        <v>#N/A</v>
      </c>
      <c r="AG25" s="43" t="e">
        <f t="shared" ref="AG25:AG55" si="31">AF25*J25*K25</f>
        <v>#N/A</v>
      </c>
      <c r="AH25" s="51" t="e">
        <f>HLOOKUP(I25,GasAvoidedCostsWOCC!$A$5:$Q$50,T25+1,FALSE)</f>
        <v>#N/A</v>
      </c>
      <c r="AI25" s="43" t="e">
        <f t="shared" ref="AI25:AI55" si="32">AH25*J25*L25</f>
        <v>#N/A</v>
      </c>
      <c r="AJ25" s="43" t="e">
        <f t="shared" ref="AJ25:AJ55" si="33">AG25+AI25</f>
        <v>#N/A</v>
      </c>
      <c r="AK25" s="43" t="e">
        <f>HLOOKUP(I25,GasAvoidedCostsWOCC!$A$5:$Q$50,G25+1,FALSE)*J25*L25</f>
        <v>#N/A</v>
      </c>
      <c r="AL25" s="43" t="e">
        <f t="shared" ref="AL25:AL55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5" si="35">AM25*1.1+AD25+AE25</f>
        <v>0</v>
      </c>
      <c r="AO25" s="46">
        <f t="shared" ref="AO25:AO55" si="36">IFERROR(AM25/AB25,0)</f>
        <v>0</v>
      </c>
      <c r="AP25" s="46" t="e">
        <f t="shared" ref="AP25:AP55" si="37">AN25/AC25</f>
        <v>#DIV/0!</v>
      </c>
    </row>
    <row r="26" spans="1:42" ht="13.5" customHeight="1" x14ac:dyDescent="0.25">
      <c r="B26" s="88" t="s">
        <v>134</v>
      </c>
      <c r="C26" s="89">
        <v>18230731</v>
      </c>
      <c r="D26" s="60" t="s">
        <v>135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134</v>
      </c>
      <c r="C27" s="89">
        <v>18230731</v>
      </c>
      <c r="D27" s="60" t="s">
        <v>135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134</v>
      </c>
      <c r="C28" s="89">
        <v>18230731</v>
      </c>
      <c r="D28" s="60" t="s">
        <v>135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134</v>
      </c>
      <c r="C29" s="89">
        <v>18230731</v>
      </c>
      <c r="D29" s="60" t="s">
        <v>135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18230220</v>
      </c>
      <c r="D2" s="19" t="s">
        <v>320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18230220</v>
      </c>
      <c r="D5" s="91" t="s">
        <v>320</v>
      </c>
      <c r="E5" s="37" t="s">
        <v>492</v>
      </c>
      <c r="F5" s="38" t="s">
        <v>2018</v>
      </c>
      <c r="G5" s="38">
        <v>5</v>
      </c>
      <c r="H5" s="38"/>
      <c r="I5" s="39" t="s">
        <v>260</v>
      </c>
      <c r="J5" s="40">
        <v>1</v>
      </c>
      <c r="K5" s="42">
        <v>150000</v>
      </c>
      <c r="L5" s="40"/>
      <c r="M5" s="41"/>
      <c r="N5" s="41"/>
      <c r="O5" s="42">
        <v>150000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368884.6</v>
      </c>
      <c r="Y5" s="43">
        <f t="shared" ref="Y5:Y24" si="5">Q5-P5</f>
        <v>0</v>
      </c>
      <c r="Z5" s="43">
        <f t="shared" ref="Z5:Z24" si="6">X5+(A$6*W5)</f>
        <v>368884.6</v>
      </c>
      <c r="AA5" s="49">
        <f t="shared" ref="AA5:AA24" si="7">Q5+X5</f>
        <v>368884.6</v>
      </c>
      <c r="AB5" s="50">
        <f t="shared" ref="AB5:AC24" si="8">Z5/(1+GasDiscountRate)^1</f>
        <v>345397.56554307113</v>
      </c>
      <c r="AC5" s="43">
        <f t="shared" si="8"/>
        <v>345397.56554307113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5.8423316726130547</v>
      </c>
      <c r="AG5" s="43">
        <f t="shared" ref="AG5:AG24" si="10">AF5*J5*K5</f>
        <v>876349.75089195825</v>
      </c>
      <c r="AH5" s="51">
        <f>HLOOKUP(I5,GasAvoidedCostsWOCC!$A$5:$Q$50,T5+1,FALSE)</f>
        <v>5.8423316726130547</v>
      </c>
      <c r="AI5" s="43">
        <f t="shared" ref="AI5:AI24" si="11">AH5*J5*L5</f>
        <v>0</v>
      </c>
      <c r="AJ5" s="43">
        <f>AG5+AI5</f>
        <v>876349.75089195825</v>
      </c>
      <c r="AK5" s="43">
        <f>HLOOKUP(I5,GasAvoidedCostsWOCC!$A$5:$Q$50,G5+1,FALSE)*J5*L5</f>
        <v>0</v>
      </c>
      <c r="AL5" s="43">
        <f>AG5+AI5-AK5</f>
        <v>876349.75089195825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876349.75089195825</v>
      </c>
      <c r="AN5" s="47">
        <f>AM5*1.1+AD5+AE5</f>
        <v>963984.72598115413</v>
      </c>
      <c r="AO5" s="46">
        <f>IFERROR(AM5/AB5,0)</f>
        <v>2.5372204043015389</v>
      </c>
      <c r="AP5" s="46">
        <f>AN5/AC5</f>
        <v>2.7909424447316931</v>
      </c>
    </row>
    <row r="6" spans="1:42" ht="13.5" customHeight="1" x14ac:dyDescent="0.25">
      <c r="A6" s="52">
        <f>SUMIF('Program Costs'!D:D,C2,'Program Costs'!L:L)</f>
        <v>0</v>
      </c>
      <c r="E6" s="37"/>
      <c r="F6" s="38"/>
      <c r="G6" s="38"/>
      <c r="H6" s="38"/>
      <c r="I6" s="39"/>
      <c r="J6" s="40"/>
      <c r="K6" s="42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368884.6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150000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368884.6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368884.6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2.5372204043015389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2.7909424447316931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18231037</v>
      </c>
      <c r="D2" s="19" t="s">
        <v>158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18231037</v>
      </c>
      <c r="D5" s="91" t="s">
        <v>158</v>
      </c>
      <c r="E5" s="37"/>
      <c r="F5" s="38"/>
      <c r="G5" s="38">
        <v>6.7</v>
      </c>
      <c r="H5" s="38"/>
      <c r="I5" s="39" t="s">
        <v>260</v>
      </c>
      <c r="J5" s="40">
        <v>1</v>
      </c>
      <c r="K5" s="40">
        <v>52000</v>
      </c>
      <c r="L5" s="40"/>
      <c r="M5" s="41"/>
      <c r="N5" s="41"/>
      <c r="O5" s="42">
        <v>52000</v>
      </c>
      <c r="P5" s="43">
        <v>103520</v>
      </c>
      <c r="Q5" s="43">
        <f>K5*4.5</f>
        <v>234000</v>
      </c>
      <c r="R5" s="44"/>
      <c r="S5" s="45"/>
      <c r="T5" s="38">
        <f t="shared" ref="T5:T24" si="0">G5+H5</f>
        <v>6.7</v>
      </c>
      <c r="U5" s="46">
        <f t="shared" ref="U5:U24" si="1">(O5/$A$10)*T5</f>
        <v>6.7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269355.40000000002</v>
      </c>
      <c r="Y5" s="43">
        <f t="shared" ref="Y5:Y24" si="5">Q5-P5</f>
        <v>130480</v>
      </c>
      <c r="Z5" s="43">
        <f t="shared" ref="Z5:Z24" si="6">X5+(A$6*W5)</f>
        <v>395995.4</v>
      </c>
      <c r="AA5" s="49">
        <f t="shared" ref="AA5:AA24" si="7">Q5+X5</f>
        <v>503355.4</v>
      </c>
      <c r="AB5" s="50">
        <f t="shared" ref="AB5:AC24" si="8">Z5/(1+GasDiscountRate)^1</f>
        <v>370782.20973782771</v>
      </c>
      <c r="AC5" s="43">
        <f t="shared" si="8"/>
        <v>471306.55430711608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6.8569601049926145</v>
      </c>
      <c r="AG5" s="43">
        <f t="shared" ref="AG5:AG24" si="10">AF5*J5*K5</f>
        <v>356561.92545961594</v>
      </c>
      <c r="AH5" s="51">
        <f>HLOOKUP(I5,GasAvoidedCostsWOCC!$A$5:$Q$50,T5+1,FALSE)</f>
        <v>6.8569601049926145</v>
      </c>
      <c r="AI5" s="43">
        <f t="shared" ref="AI5:AI24" si="11">AH5*J5*L5</f>
        <v>0</v>
      </c>
      <c r="AJ5" s="43">
        <f>AG5+AI5</f>
        <v>356561.92545961594</v>
      </c>
      <c r="AK5" s="43">
        <f>HLOOKUP(I5,GasAvoidedCostsWOCC!$A$5:$Q$50,G5+1,FALSE)*J5*L5</f>
        <v>0</v>
      </c>
      <c r="AL5" s="43">
        <f>AG5+AI5-AK5</f>
        <v>356561.92545961594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356561.92545961594</v>
      </c>
      <c r="AN5" s="47">
        <f>AM5*1.1+AD5+AE5</f>
        <v>392218.11800557759</v>
      </c>
      <c r="AO5" s="46">
        <f>IFERROR(AM5/AB5,0)</f>
        <v>0.96164787871492907</v>
      </c>
      <c r="AP5" s="46">
        <f>AN5/AC5</f>
        <v>0.83219321781380884</v>
      </c>
    </row>
    <row r="6" spans="1:42" ht="13.5" customHeight="1" x14ac:dyDescent="0.25">
      <c r="A6" s="52">
        <f>SUMIF('Program Costs'!D:D,C2,'Program Costs'!L:L)</f>
        <v>126640</v>
      </c>
      <c r="B6" s="88" t="s">
        <v>134</v>
      </c>
      <c r="C6" s="90">
        <v>18231037</v>
      </c>
      <c r="D6" s="91" t="s">
        <v>158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269355.40000000002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52000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103520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130480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6.7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395995.4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503355.4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0.96164787871492907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0.83219321781380884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18230706</v>
      </c>
      <c r="D2" s="19" t="s">
        <v>118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117</v>
      </c>
      <c r="C5" s="89">
        <v>18230706</v>
      </c>
      <c r="D5" s="60" t="s">
        <v>118</v>
      </c>
      <c r="E5" s="37"/>
      <c r="F5" s="38"/>
      <c r="G5" s="38">
        <v>19.309999999999999</v>
      </c>
      <c r="H5" s="38"/>
      <c r="I5" s="39" t="s">
        <v>260</v>
      </c>
      <c r="J5" s="40">
        <v>1</v>
      </c>
      <c r="K5" s="40">
        <v>40000</v>
      </c>
      <c r="L5" s="40"/>
      <c r="M5" s="41"/>
      <c r="N5" s="41"/>
      <c r="O5" s="42">
        <v>40000</v>
      </c>
      <c r="P5" s="43">
        <v>292000</v>
      </c>
      <c r="Q5" s="43">
        <f>P5*1.47</f>
        <v>429240</v>
      </c>
      <c r="R5" s="44"/>
      <c r="S5" s="45"/>
      <c r="T5" s="38">
        <f t="shared" ref="T5:T24" si="0">G5+H5</f>
        <v>19.309999999999999</v>
      </c>
      <c r="U5" s="46">
        <f t="shared" ref="U5:U24" si="1">(O5/$A$10)*T5</f>
        <v>19.309999999999999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228989.09999999998</v>
      </c>
      <c r="Y5" s="43">
        <f t="shared" ref="Y5:Y24" si="5">Q5-P5</f>
        <v>137240</v>
      </c>
      <c r="Z5" s="43">
        <f t="shared" ref="Z5:Z24" si="6">X5+(A$6*W5)</f>
        <v>520989.1</v>
      </c>
      <c r="AA5" s="49">
        <f t="shared" ref="AA5:AA24" si="7">Q5+X5</f>
        <v>658229.1</v>
      </c>
      <c r="AB5" s="50">
        <f t="shared" ref="AB5:AB24" si="8">Z5/(1+GasDiscountRate)^1</f>
        <v>487817.50936329586</v>
      </c>
      <c r="AC5" s="43">
        <f t="shared" ref="AC5:AC24" si="9">AA5/(1+GasDiscountRate)^1</f>
        <v>616319.38202247187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17.812040690966928</v>
      </c>
      <c r="AG5" s="43">
        <f t="shared" ref="AG5:AG24" si="11">AF5*J5*K5</f>
        <v>712481.62763867714</v>
      </c>
      <c r="AH5" s="51">
        <f>HLOOKUP(I5,GasAvoidedCostsWOCC!$A$5:$Q$50,T5+1,FALSE)</f>
        <v>17.812040690966928</v>
      </c>
      <c r="AI5" s="43">
        <f t="shared" ref="AI5:AI24" si="12">AH5*J5*L5</f>
        <v>0</v>
      </c>
      <c r="AJ5" s="43">
        <f>AG5+AI5</f>
        <v>712481.62763867714</v>
      </c>
      <c r="AK5" s="43">
        <f>HLOOKUP(I5,GasAvoidedCostsWOCC!$A$5:$Q$50,G5+1,FALSE)*J5*L5</f>
        <v>0</v>
      </c>
      <c r="AL5" s="43">
        <f>AG5+AI5-AK5</f>
        <v>712481.62763867714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712481.62763867714</v>
      </c>
      <c r="AN5" s="47">
        <f>AM5*1.1+AD5+AE5</f>
        <v>783729.7904025449</v>
      </c>
      <c r="AO5" s="46">
        <f>IFERROR(AM5/AB5,0)</f>
        <v>1.4605495169056459</v>
      </c>
      <c r="AP5" s="46">
        <f>AN5/AC5</f>
        <v>1.2716293098404765</v>
      </c>
    </row>
    <row r="6" spans="1:42" ht="13.5" customHeight="1" x14ac:dyDescent="0.25">
      <c r="A6" s="52">
        <f>SUMIF('Program Costs'!D:D,C2,'Program Costs'!L:L)</f>
        <v>292000</v>
      </c>
      <c r="B6" s="88" t="s">
        <v>117</v>
      </c>
      <c r="C6" s="89">
        <v>18230706</v>
      </c>
      <c r="D6" s="60" t="s">
        <v>118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117</v>
      </c>
      <c r="C7" s="89">
        <v>18230706</v>
      </c>
      <c r="D7" s="60" t="s">
        <v>118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228989.09999999998</v>
      </c>
      <c r="B8" s="88" t="s">
        <v>117</v>
      </c>
      <c r="C8" s="89">
        <v>18230706</v>
      </c>
      <c r="D8" s="60" t="s">
        <v>118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117</v>
      </c>
      <c r="C9" s="89">
        <v>18230706</v>
      </c>
      <c r="D9" s="60" t="s">
        <v>118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40000</v>
      </c>
      <c r="B10" s="88" t="s">
        <v>117</v>
      </c>
      <c r="C10" s="89">
        <v>18230706</v>
      </c>
      <c r="D10" s="60" t="s">
        <v>118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117</v>
      </c>
      <c r="C11" s="89">
        <v>18230706</v>
      </c>
      <c r="D11" s="60" t="s">
        <v>118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292000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137240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19.309999999999999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520989.1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658229.1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1.4605495169056459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1.2716293098404765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D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18230691</v>
      </c>
      <c r="D2" s="19" t="s">
        <v>107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18230691</v>
      </c>
      <c r="D5" s="60" t="s">
        <v>107</v>
      </c>
      <c r="E5" s="37"/>
      <c r="F5" s="38"/>
      <c r="G5" s="38">
        <v>3</v>
      </c>
      <c r="H5" s="38"/>
      <c r="I5" s="39" t="s">
        <v>260</v>
      </c>
      <c r="J5" s="40"/>
      <c r="K5" s="40">
        <v>740000</v>
      </c>
      <c r="L5" s="40"/>
      <c r="M5" s="41"/>
      <c r="N5" s="41"/>
      <c r="O5" s="42">
        <v>740000</v>
      </c>
      <c r="P5" s="43">
        <v>345000</v>
      </c>
      <c r="Q5" s="43">
        <f>P5*1.29</f>
        <v>445050</v>
      </c>
      <c r="R5" s="44"/>
      <c r="S5" s="45"/>
      <c r="T5" s="38">
        <f t="shared" ref="T5:T24" si="0">G5+H5</f>
        <v>3</v>
      </c>
      <c r="U5" s="46">
        <f t="shared" ref="U5:U24" si="1">(O5/$A$10)*T5</f>
        <v>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1223842.8999999999</v>
      </c>
      <c r="Y5" s="43">
        <f t="shared" ref="Y5:Y24" si="5">Q5-P5</f>
        <v>100050</v>
      </c>
      <c r="Z5" s="43">
        <f t="shared" ref="Z5:Z24" si="6">X5+(A$6*W5)</f>
        <v>1568842.9</v>
      </c>
      <c r="AA5" s="49">
        <f t="shared" ref="AA5:AA24" si="7">Q5+X5</f>
        <v>1668892.9</v>
      </c>
      <c r="AB5" s="50">
        <f t="shared" ref="AB5:AB24" si="8">Z5/(1+GasDiscountRate)^1</f>
        <v>1468954.0262172283</v>
      </c>
      <c r="AC5" s="43">
        <f t="shared" ref="AC5:AC24" si="9">AA5/(1+GasDiscountRate)^1</f>
        <v>1562633.8014981272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3.6704308803943571</v>
      </c>
      <c r="AG5" s="43">
        <f t="shared" ref="AG5:AG24" si="11">AF5*J5*K5</f>
        <v>0</v>
      </c>
      <c r="AH5" s="51">
        <f>HLOOKUP(I5,GasAvoidedCostsWOCC!$A$5:$Q$50,T5+1,FALSE)</f>
        <v>3.6704308803943571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>
        <f>AN5/AC5</f>
        <v>0</v>
      </c>
    </row>
    <row r="6" spans="1:42" ht="13.5" customHeight="1" x14ac:dyDescent="0.25">
      <c r="A6" s="52">
        <f>SUMIF('Program Costs'!D:D,C2,'Program Costs'!L:L)</f>
        <v>345000</v>
      </c>
      <c r="B6" s="88" t="s">
        <v>106</v>
      </c>
      <c r="C6" s="89">
        <v>18230691</v>
      </c>
      <c r="D6" s="60" t="s">
        <v>107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106</v>
      </c>
      <c r="C7" s="89">
        <v>18230691</v>
      </c>
      <c r="D7" s="60" t="s">
        <v>107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1223842.8999999999</v>
      </c>
      <c r="B8" s="88" t="s">
        <v>106</v>
      </c>
      <c r="C8" s="89">
        <v>18230691</v>
      </c>
      <c r="D8" s="60" t="s">
        <v>107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106</v>
      </c>
      <c r="C9" s="89">
        <v>18230691</v>
      </c>
      <c r="D9" s="60" t="s">
        <v>107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740000</v>
      </c>
      <c r="B10" s="88" t="s">
        <v>106</v>
      </c>
      <c r="C10" s="89">
        <v>18230691</v>
      </c>
      <c r="D10" s="60" t="s">
        <v>107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106</v>
      </c>
      <c r="C11" s="89">
        <v>18230691</v>
      </c>
      <c r="D11" s="60" t="s">
        <v>107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345000</v>
      </c>
      <c r="B12" s="88" t="s">
        <v>106</v>
      </c>
      <c r="C12" s="89">
        <v>18230691</v>
      </c>
      <c r="D12" s="60" t="s">
        <v>107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106</v>
      </c>
      <c r="C13" s="89">
        <v>18230691</v>
      </c>
      <c r="D13" s="60" t="s">
        <v>107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100050</v>
      </c>
      <c r="B14" s="88" t="s">
        <v>106</v>
      </c>
      <c r="C14" s="89">
        <v>18230691</v>
      </c>
      <c r="D14" s="60" t="s">
        <v>107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1568842.9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1668892.9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18231039</v>
      </c>
      <c r="D2" s="19" t="s">
        <v>321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18231039</v>
      </c>
      <c r="D5" s="60" t="s">
        <v>321</v>
      </c>
      <c r="E5" s="37" t="s">
        <v>492</v>
      </c>
      <c r="F5" s="38" t="s">
        <v>2018</v>
      </c>
      <c r="G5" s="38">
        <v>16</v>
      </c>
      <c r="H5" s="38"/>
      <c r="I5" s="39" t="s">
        <v>260</v>
      </c>
      <c r="J5" s="40">
        <v>1</v>
      </c>
      <c r="K5" s="40">
        <v>26004</v>
      </c>
      <c r="L5" s="40"/>
      <c r="M5" s="41"/>
      <c r="N5" s="41"/>
      <c r="O5" s="42">
        <v>26004</v>
      </c>
      <c r="P5" s="43">
        <v>182028</v>
      </c>
      <c r="Q5" s="43">
        <f>P5*2.3</f>
        <v>418664.39999999997</v>
      </c>
      <c r="R5" s="44"/>
      <c r="S5" s="45"/>
      <c r="T5" s="38">
        <f t="shared" ref="T5:T24" si="0">G5+H5</f>
        <v>16</v>
      </c>
      <c r="U5" s="46">
        <f t="shared" ref="U5:U24" si="1">(O5/$A$10)*T5</f>
        <v>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173467.5</v>
      </c>
      <c r="Y5" s="43">
        <f t="shared" ref="Y5:Y24" si="5">Q5-P5</f>
        <v>236636.39999999997</v>
      </c>
      <c r="Z5" s="43">
        <f t="shared" ref="Z5:Z24" si="6">X5+(A$6*W5)</f>
        <v>381499.5</v>
      </c>
      <c r="AA5" s="49">
        <f t="shared" ref="AA5:AA24" si="7">Q5+X5</f>
        <v>592131.89999999991</v>
      </c>
      <c r="AB5" s="50">
        <f t="shared" ref="AB5:AB24" si="8">Z5/(1+GasDiscountRate)^1</f>
        <v>357209.26966292132</v>
      </c>
      <c r="AC5" s="43">
        <f t="shared" ref="AC5:AC24" si="9">AA5/(1+GasDiscountRate)^1</f>
        <v>554430.61797752802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15.521186052358718</v>
      </c>
      <c r="AG5" s="43">
        <f t="shared" ref="AG5:AG24" si="11">AF5*J5*K5</f>
        <v>403612.9221055361</v>
      </c>
      <c r="AH5" s="51">
        <f>HLOOKUP(I5,GasAvoidedCostsWOCC!$A$5:$Q$50,T5+1,FALSE)</f>
        <v>15.521186052358718</v>
      </c>
      <c r="AI5" s="43">
        <f t="shared" ref="AI5:AI24" si="12">AH5*J5*L5</f>
        <v>0</v>
      </c>
      <c r="AJ5" s="43">
        <f>AG5+AI5</f>
        <v>403612.9221055361</v>
      </c>
      <c r="AK5" s="43">
        <f>HLOOKUP(I5,GasAvoidedCostsWOCC!$A$5:$Q$50,G5+1,FALSE)*J5*L5</f>
        <v>0</v>
      </c>
      <c r="AL5" s="43">
        <f>AG5+AI5-AK5</f>
        <v>403612.9221055361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403612.9221055361</v>
      </c>
      <c r="AN5" s="47">
        <f>AM5*1.1+AD5+AE5</f>
        <v>443974.21431608975</v>
      </c>
      <c r="AO5" s="46">
        <f>IFERROR(AM5/AB5,0)</f>
        <v>1.1299060701487489</v>
      </c>
      <c r="AP5" s="46">
        <f>AN5/AC5</f>
        <v>0.80077506530147069</v>
      </c>
    </row>
    <row r="6" spans="1:42" ht="13.5" customHeight="1" x14ac:dyDescent="0.25">
      <c r="A6" s="52">
        <f>SUMIF('Program Costs'!D:D,C2,'Program Costs'!L:L)</f>
        <v>208032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173467.5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26004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182028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236636.39999999997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381499.5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592131.89999999991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1.1299060701487489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0.80077506530147069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18231027</v>
      </c>
      <c r="D2" s="19" t="s">
        <v>554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18231027</v>
      </c>
      <c r="D5" s="60" t="s">
        <v>554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184710</v>
      </c>
      <c r="L5" s="40">
        <v>0</v>
      </c>
      <c r="M5" s="41">
        <v>724517</v>
      </c>
      <c r="N5" s="41">
        <v>641265</v>
      </c>
      <c r="O5" s="42">
        <v>184710</v>
      </c>
      <c r="P5" s="43">
        <v>724517</v>
      </c>
      <c r="Q5" s="43">
        <v>641265</v>
      </c>
      <c r="R5" s="44">
        <v>419749</v>
      </c>
      <c r="S5" s="45"/>
      <c r="T5" s="38">
        <f t="shared" ref="T5:T24" si="0">G5+H5</f>
        <v>12</v>
      </c>
      <c r="U5" s="46">
        <f t="shared" ref="U5:U24" si="1">(O5/$A$10)*T5</f>
        <v>6.8347826086956527</v>
      </c>
      <c r="V5" s="47">
        <f t="shared" ref="V5:V24" si="2">N5-M5</f>
        <v>-83252</v>
      </c>
      <c r="W5" s="48">
        <f t="shared" ref="W5:W24" si="3">(O5/A$10)</f>
        <v>0.56956521739130439</v>
      </c>
      <c r="X5" s="43">
        <f t="shared" ref="X5:X24" si="4">W5*A$8</f>
        <v>936738.59586956515</v>
      </c>
      <c r="Y5" s="43">
        <f t="shared" ref="Y5:Y24" si="5">Q5-P5</f>
        <v>-83252</v>
      </c>
      <c r="Z5" s="43">
        <f t="shared" ref="Z5:Z24" si="6">X5+(A$6*W5)</f>
        <v>1689718.6219565216</v>
      </c>
      <c r="AA5" s="49">
        <f t="shared" ref="AA5:AA24" si="7">Q5+X5</f>
        <v>1578003.5958695651</v>
      </c>
      <c r="AB5" s="50">
        <f t="shared" ref="AB5:AB24" si="8">Z5/(1+GasDiscountRate)^1</f>
        <v>1582133.5411577916</v>
      </c>
      <c r="AC5" s="43">
        <f t="shared" ref="AC5:AC24" si="9">AA5/(1+GasDiscountRate)^1</f>
        <v>1477531.4568067088</v>
      </c>
      <c r="AD5" s="43">
        <f t="shared" ref="AD5:AD24" si="10">-PV(GasDiscountRate,T5,R5)*J5</f>
        <v>3369762.4542093403</v>
      </c>
      <c r="AE5" s="43">
        <v>0</v>
      </c>
      <c r="AF5" s="51">
        <f>HLOOKUP(I5,GasAvoidedCostsWOCC!$A$5:$G$50,G5+1,FALSE)</f>
        <v>12.316974764501182</v>
      </c>
      <c r="AG5" s="43">
        <f t="shared" ref="AG5:AG24" si="11">AF5*J5*K5</f>
        <v>2275068.4087510132</v>
      </c>
      <c r="AH5" s="51">
        <f>HLOOKUP(I5,GasAvoidedCostsWOCC!$A$5:$Q$50,T5+1,FALSE)</f>
        <v>12.316974764501182</v>
      </c>
      <c r="AI5" s="43">
        <f t="shared" ref="AI5:AI24" si="12">AH5*J5*L5</f>
        <v>0</v>
      </c>
      <c r="AJ5" s="43">
        <f>AG5+AI5</f>
        <v>2275068.4087510132</v>
      </c>
      <c r="AK5" s="43">
        <f>HLOOKUP(I5,GasAvoidedCostsWOCC!$A$5:$Q$50,G5+1,FALSE)*J5*L5</f>
        <v>0</v>
      </c>
      <c r="AL5" s="43">
        <f>AG5+AI5-AK5</f>
        <v>2275068.4087510132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2275068.4087510132</v>
      </c>
      <c r="AN5" s="47">
        <f>AM5*1.1+AD5+AE5</f>
        <v>5872337.7038354557</v>
      </c>
      <c r="AO5" s="46">
        <f>IFERROR(AM5/AB5,0)</f>
        <v>1.4379749556956727</v>
      </c>
      <c r="AP5" s="46">
        <f>AN5/AC5</f>
        <v>3.9744248264784505</v>
      </c>
    </row>
    <row r="6" spans="1:42" ht="13.5" customHeight="1" x14ac:dyDescent="0.25">
      <c r="A6" s="52">
        <f>SUMIF('Program Costs'!D:D,C2,'Program Costs'!L:L)</f>
        <v>1322026</v>
      </c>
      <c r="B6" s="88" t="s">
        <v>31</v>
      </c>
      <c r="C6" s="89">
        <v>18231027</v>
      </c>
      <c r="D6" s="60" t="s">
        <v>554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98590</v>
      </c>
      <c r="L6" s="40">
        <v>0</v>
      </c>
      <c r="M6" s="41">
        <v>362544</v>
      </c>
      <c r="N6" s="41">
        <v>320885</v>
      </c>
      <c r="O6" s="42">
        <v>98590</v>
      </c>
      <c r="P6" s="43">
        <v>362544</v>
      </c>
      <c r="Q6" s="43">
        <v>320885</v>
      </c>
      <c r="R6" s="44">
        <v>120353</v>
      </c>
      <c r="S6" s="45"/>
      <c r="T6" s="38">
        <f t="shared" si="0"/>
        <v>12</v>
      </c>
      <c r="U6" s="46">
        <f t="shared" si="1"/>
        <v>3.6481036077705831</v>
      </c>
      <c r="V6" s="47">
        <f t="shared" si="2"/>
        <v>-41659</v>
      </c>
      <c r="W6" s="48">
        <f t="shared" si="3"/>
        <v>0.3040086339808819</v>
      </c>
      <c r="X6" s="43">
        <f t="shared" si="4"/>
        <v>499989.48712457594</v>
      </c>
      <c r="Y6" s="43">
        <f t="shared" si="5"/>
        <v>-41659</v>
      </c>
      <c r="Z6" s="43">
        <f t="shared" si="6"/>
        <v>901896.80547178537</v>
      </c>
      <c r="AA6" s="49">
        <f t="shared" si="7"/>
        <v>820874.487124576</v>
      </c>
      <c r="AB6" s="50">
        <f t="shared" si="8"/>
        <v>844472.6642994245</v>
      </c>
      <c r="AC6" s="43">
        <f t="shared" si="9"/>
        <v>768609.0703413632</v>
      </c>
      <c r="AD6" s="43">
        <f t="shared" si="10"/>
        <v>966198.89660596382</v>
      </c>
      <c r="AE6" s="43">
        <v>0</v>
      </c>
      <c r="AF6" s="51">
        <f>HLOOKUP(I6,GasAvoidedCostsWOCC!$A$5:$G$50,G6+1,FALSE)</f>
        <v>12.316974764501182</v>
      </c>
      <c r="AG6" s="43">
        <f t="shared" si="11"/>
        <v>1214330.5420321715</v>
      </c>
      <c r="AH6" s="51">
        <f>HLOOKUP(I6,GasAvoidedCostsWOCC!$A$5:$Q$50,T6+1,FALSE)</f>
        <v>12.316974764501182</v>
      </c>
      <c r="AI6" s="43">
        <f t="shared" si="12"/>
        <v>0</v>
      </c>
      <c r="AJ6" s="43">
        <f t="shared" ref="AJ6:AJ24" si="13">AG6+AI6</f>
        <v>1214330.5420321715</v>
      </c>
      <c r="AK6" s="43">
        <f>HLOOKUP(I6,GasAvoidedCostsWOCC!$A$5:$Q$50,G6+1,FALSE)*J6*L6</f>
        <v>0</v>
      </c>
      <c r="AL6" s="43">
        <f t="shared" ref="AL6:AL24" si="14">AG6+AI6-AK6</f>
        <v>1214330.5420321715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1214330.5420321715</v>
      </c>
      <c r="AN6" s="47">
        <f t="shared" ref="AN6:AN24" si="15">AM6*1.1+AD6+AE6</f>
        <v>2301962.4928413527</v>
      </c>
      <c r="AO6" s="46">
        <f t="shared" ref="AO6:AO24" si="16">IFERROR(AM6/AB6,0)</f>
        <v>1.4379749556956725</v>
      </c>
      <c r="AP6" s="46">
        <f t="shared" ref="AP6:AP24" si="17">AN6/AC6</f>
        <v>2.9949718025302245</v>
      </c>
    </row>
    <row r="7" spans="1:42" ht="13.5" customHeight="1" x14ac:dyDescent="0.25">
      <c r="A7" s="35" t="s">
        <v>239</v>
      </c>
      <c r="B7" s="88" t="s">
        <v>31</v>
      </c>
      <c r="C7" s="89">
        <v>18231027</v>
      </c>
      <c r="D7" s="60" t="s">
        <v>554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20762</v>
      </c>
      <c r="N7" s="41">
        <v>0</v>
      </c>
      <c r="O7" s="42">
        <v>0</v>
      </c>
      <c r="P7" s="43">
        <v>20762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-20762</v>
      </c>
      <c r="W7" s="48">
        <f t="shared" si="3"/>
        <v>0</v>
      </c>
      <c r="X7" s="43">
        <f t="shared" si="4"/>
        <v>0</v>
      </c>
      <c r="Y7" s="43">
        <f t="shared" si="5"/>
        <v>-20762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1.2701980187759467</v>
      </c>
      <c r="AG7" s="43">
        <f t="shared" si="11"/>
        <v>0</v>
      </c>
      <c r="AH7" s="51">
        <f>HLOOKUP(I7,GasAvoidedCostsWOCC!$A$5:$Q$50,T7+1,FALSE)</f>
        <v>1.2701980187759467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1644655.5499999998</v>
      </c>
      <c r="B8" s="88" t="s">
        <v>31</v>
      </c>
      <c r="C8" s="89">
        <v>18231027</v>
      </c>
      <c r="D8" s="60" t="s">
        <v>554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9203</v>
      </c>
      <c r="N8" s="41">
        <v>0</v>
      </c>
      <c r="O8" s="42">
        <v>0</v>
      </c>
      <c r="P8" s="43">
        <v>9203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-9203</v>
      </c>
      <c r="W8" s="48">
        <f t="shared" si="3"/>
        <v>0</v>
      </c>
      <c r="X8" s="43">
        <f t="shared" si="4"/>
        <v>0</v>
      </c>
      <c r="Y8" s="43">
        <f t="shared" si="5"/>
        <v>-9203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1.2701980187759467</v>
      </c>
      <c r="AG8" s="43">
        <f t="shared" si="11"/>
        <v>0</v>
      </c>
      <c r="AH8" s="51">
        <f>HLOOKUP(I8,GasAvoidedCostsWOCC!$A$5:$Q$50,T8+1,FALSE)</f>
        <v>1.2701980187759467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18231027</v>
      </c>
      <c r="D9" s="60" t="s">
        <v>554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30000</v>
      </c>
      <c r="L9" s="40">
        <v>0</v>
      </c>
      <c r="M9" s="41">
        <v>137000</v>
      </c>
      <c r="N9" s="41">
        <v>120000</v>
      </c>
      <c r="O9" s="42">
        <v>30000</v>
      </c>
      <c r="P9" s="43">
        <v>137000</v>
      </c>
      <c r="Q9" s="43">
        <v>120000</v>
      </c>
      <c r="R9" s="44">
        <v>70000</v>
      </c>
      <c r="S9" s="45"/>
      <c r="T9" s="38">
        <f t="shared" si="0"/>
        <v>12</v>
      </c>
      <c r="U9" s="46">
        <f t="shared" si="1"/>
        <v>1.1100832562442182</v>
      </c>
      <c r="V9" s="47">
        <f t="shared" si="2"/>
        <v>-17000</v>
      </c>
      <c r="W9" s="48">
        <f t="shared" si="3"/>
        <v>9.2506938020351523E-2</v>
      </c>
      <c r="X9" s="43">
        <f t="shared" si="4"/>
        <v>152142.04902867714</v>
      </c>
      <c r="Y9" s="43">
        <f t="shared" si="5"/>
        <v>-17000</v>
      </c>
      <c r="Z9" s="43">
        <f t="shared" si="6"/>
        <v>274438.6262719704</v>
      </c>
      <c r="AA9" s="49">
        <f t="shared" si="7"/>
        <v>272142.04902867717</v>
      </c>
      <c r="AB9" s="50">
        <f t="shared" si="8"/>
        <v>256965.00587263145</v>
      </c>
      <c r="AC9" s="43">
        <f t="shared" si="9"/>
        <v>254814.65264857412</v>
      </c>
      <c r="AD9" s="43">
        <f t="shared" si="10"/>
        <v>561962.91544388153</v>
      </c>
      <c r="AE9" s="43">
        <f t="shared" ref="AE9:AE24" si="18">-PV(GasDiscountRate,T9,S9)*J9</f>
        <v>0</v>
      </c>
      <c r="AF9" s="51">
        <f>HLOOKUP(I9,GasAvoidedCostsWOCC!$A$5:$G$50,G9+1,FALSE)</f>
        <v>12.316974764501182</v>
      </c>
      <c r="AG9" s="43">
        <f t="shared" si="11"/>
        <v>369509.24293503549</v>
      </c>
      <c r="AH9" s="51">
        <f>HLOOKUP(I9,GasAvoidedCostsWOCC!$A$5:$Q$50,T9+1,FALSE)</f>
        <v>12.316974764501182</v>
      </c>
      <c r="AI9" s="43">
        <f t="shared" si="12"/>
        <v>0</v>
      </c>
      <c r="AJ9" s="43">
        <f t="shared" si="13"/>
        <v>369509.24293503549</v>
      </c>
      <c r="AK9" s="43">
        <f>HLOOKUP(I9,GasAvoidedCostsWOCC!$A$5:$Q$50,G9+1,FALSE)*J9*L9</f>
        <v>0</v>
      </c>
      <c r="AL9" s="43">
        <f t="shared" si="14"/>
        <v>369509.24293503549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369509.24293503549</v>
      </c>
      <c r="AN9" s="47">
        <f t="shared" si="15"/>
        <v>968423.08267242066</v>
      </c>
      <c r="AO9" s="46">
        <f t="shared" si="16"/>
        <v>1.4379749556956727</v>
      </c>
      <c r="AP9" s="46">
        <f t="shared" si="17"/>
        <v>3.8004999814826768</v>
      </c>
    </row>
    <row r="10" spans="1:42" ht="13.5" customHeight="1" x14ac:dyDescent="0.25">
      <c r="A10" s="53">
        <f>SUM(O5:O999)</f>
        <v>324300</v>
      </c>
      <c r="B10" s="88" t="s">
        <v>31</v>
      </c>
      <c r="C10" s="89">
        <v>18231027</v>
      </c>
      <c r="D10" s="60" t="s">
        <v>554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11000</v>
      </c>
      <c r="L10" s="40">
        <v>0</v>
      </c>
      <c r="M10" s="41">
        <v>68000</v>
      </c>
      <c r="N10" s="41">
        <v>55000</v>
      </c>
      <c r="O10" s="42">
        <v>11000</v>
      </c>
      <c r="P10" s="43">
        <v>68000</v>
      </c>
      <c r="Q10" s="43">
        <v>55000</v>
      </c>
      <c r="R10" s="44">
        <v>14000</v>
      </c>
      <c r="S10" s="45"/>
      <c r="T10" s="38">
        <f t="shared" si="0"/>
        <v>12</v>
      </c>
      <c r="U10" s="46">
        <f t="shared" si="1"/>
        <v>0.4070305272895467</v>
      </c>
      <c r="V10" s="47">
        <f t="shared" si="2"/>
        <v>-13000</v>
      </c>
      <c r="W10" s="48">
        <f t="shared" si="3"/>
        <v>3.3919210607462225E-2</v>
      </c>
      <c r="X10" s="43">
        <f t="shared" si="4"/>
        <v>55785.417977181613</v>
      </c>
      <c r="Y10" s="43">
        <f t="shared" si="5"/>
        <v>-13000</v>
      </c>
      <c r="Z10" s="43">
        <f t="shared" si="6"/>
        <v>100627.49629972246</v>
      </c>
      <c r="AA10" s="49">
        <f t="shared" si="7"/>
        <v>110785.41797718161</v>
      </c>
      <c r="AB10" s="50">
        <f t="shared" si="8"/>
        <v>94220.502153298177</v>
      </c>
      <c r="AC10" s="43">
        <f t="shared" si="9"/>
        <v>103731.66477264195</v>
      </c>
      <c r="AD10" s="43">
        <f t="shared" si="10"/>
        <v>112392.58308877629</v>
      </c>
      <c r="AE10" s="43">
        <f t="shared" si="18"/>
        <v>0</v>
      </c>
      <c r="AF10" s="51">
        <f>HLOOKUP(I10,GasAvoidedCostsWOCC!$A$5:$G$50,G10+1,FALSE)</f>
        <v>12.316974764501182</v>
      </c>
      <c r="AG10" s="43">
        <f t="shared" si="11"/>
        <v>135486.72240951299</v>
      </c>
      <c r="AH10" s="51">
        <f>HLOOKUP(I10,GasAvoidedCostsWOCC!$A$5:$Q$50,T10+1,FALSE)</f>
        <v>12.316974764501182</v>
      </c>
      <c r="AI10" s="43">
        <f t="shared" si="12"/>
        <v>0</v>
      </c>
      <c r="AJ10" s="43">
        <f t="shared" si="13"/>
        <v>135486.72240951299</v>
      </c>
      <c r="AK10" s="43">
        <f>HLOOKUP(I10,GasAvoidedCostsWOCC!$A$5:$Q$50,G10+1,FALSE)*J10*L10</f>
        <v>0</v>
      </c>
      <c r="AL10" s="43">
        <f t="shared" si="14"/>
        <v>135486.72240951299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135486.72240951299</v>
      </c>
      <c r="AN10" s="47">
        <f t="shared" si="15"/>
        <v>261427.97773924057</v>
      </c>
      <c r="AO10" s="46">
        <f t="shared" si="16"/>
        <v>1.4379749556956729</v>
      </c>
      <c r="AP10" s="46">
        <f t="shared" si="17"/>
        <v>2.5202331256539252</v>
      </c>
    </row>
    <row r="11" spans="1:42" ht="13.5" customHeight="1" x14ac:dyDescent="0.25">
      <c r="A11" s="35" t="s">
        <v>242</v>
      </c>
      <c r="B11" s="88" t="s">
        <v>31</v>
      </c>
      <c r="C11" s="89">
        <v>18231027</v>
      </c>
      <c r="D11" s="60" t="s">
        <v>554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1322026</v>
      </c>
      <c r="B12" s="88" t="s">
        <v>31</v>
      </c>
      <c r="C12" s="89">
        <v>18231027</v>
      </c>
      <c r="D12" s="60" t="s">
        <v>554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18231027</v>
      </c>
      <c r="D13" s="60" t="s">
        <v>554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-184876</v>
      </c>
      <c r="B14" s="88" t="s">
        <v>31</v>
      </c>
      <c r="C14" s="89">
        <v>18231027</v>
      </c>
      <c r="D14" s="60" t="s">
        <v>554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31</v>
      </c>
      <c r="C15" s="89">
        <v>18231027</v>
      </c>
      <c r="D15" s="60" t="s">
        <v>554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12</v>
      </c>
      <c r="B16" s="88" t="s">
        <v>31</v>
      </c>
      <c r="C16" s="89">
        <v>18231027</v>
      </c>
      <c r="D16" s="60" t="s">
        <v>554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31</v>
      </c>
      <c r="C17" s="89">
        <v>18231027</v>
      </c>
      <c r="D17" s="60" t="s">
        <v>554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2966681.55</v>
      </c>
      <c r="B18" s="88" t="s">
        <v>31</v>
      </c>
      <c r="C18" s="89">
        <v>18231027</v>
      </c>
      <c r="D18" s="60" t="s">
        <v>554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31</v>
      </c>
      <c r="C19" s="89">
        <v>18231027</v>
      </c>
      <c r="D19" s="60" t="s">
        <v>554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2781805.55</v>
      </c>
      <c r="B20" s="88" t="s">
        <v>31</v>
      </c>
      <c r="C20" s="89">
        <v>18231027</v>
      </c>
      <c r="D20" s="60" t="s">
        <v>554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31</v>
      </c>
      <c r="C21" s="89">
        <v>18231027</v>
      </c>
      <c r="D21" s="60" t="s">
        <v>554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1.4379749556956725</v>
      </c>
      <c r="B22" s="88" t="s">
        <v>31</v>
      </c>
      <c r="C22" s="89">
        <v>18231027</v>
      </c>
      <c r="D22" s="60" t="s">
        <v>554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31</v>
      </c>
      <c r="C23" s="89">
        <v>18231027</v>
      </c>
      <c r="D23" s="60" t="s">
        <v>554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3.6104728968458941</v>
      </c>
      <c r="B24" s="88" t="s">
        <v>31</v>
      </c>
      <c r="C24" s="89">
        <v>18231027</v>
      </c>
      <c r="D24" s="60" t="s">
        <v>554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31</v>
      </c>
      <c r="C25" s="89">
        <v>18231027</v>
      </c>
      <c r="D25" s="60" t="s">
        <v>554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48" si="19">G25+H25</f>
        <v>0</v>
      </c>
      <c r="U25" s="46">
        <f t="shared" ref="U25:U48" si="20">(O25/$A$10)*T25</f>
        <v>0</v>
      </c>
      <c r="V25" s="47">
        <f t="shared" ref="V25:V48" si="21">N25-M25</f>
        <v>0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Z25/(1+GasDiscountRate)^1</f>
        <v>0</v>
      </c>
      <c r="AC25" s="43">
        <f t="shared" ref="AC25:AC48" si="28">AA25/(1+GasDiscountRate)^1</f>
        <v>0</v>
      </c>
      <c r="AD25" s="43">
        <f t="shared" ref="AD25:AD48" si="29">-PV(GasDiscountRate,T25,R25)*J25</f>
        <v>0</v>
      </c>
      <c r="AE25" s="43">
        <f t="shared" ref="AE25:AE48" si="30">-PV(GasDiscountRate,T25,S25)*J25</f>
        <v>0</v>
      </c>
      <c r="AF25" s="51" t="e">
        <f>HLOOKUP(I25,GasAvoidedCostsWOCC!$A$5:$G$50,G25+1,FALSE)</f>
        <v>#N/A</v>
      </c>
      <c r="AG25" s="43" t="e">
        <f t="shared" ref="AG25:AG48" si="31">AF25*J25*K25</f>
        <v>#N/A</v>
      </c>
      <c r="AH25" s="51" t="e">
        <f>HLOOKUP(I25,GasAvoidedCostsWOCC!$A$5:$Q$50,T25+1,FALSE)</f>
        <v>#N/A</v>
      </c>
      <c r="AI25" s="43" t="e">
        <f t="shared" ref="AI25:AI48" si="32">AH25*J25*L25</f>
        <v>#N/A</v>
      </c>
      <c r="AJ25" s="43" t="e">
        <f t="shared" ref="AJ25:AJ48" si="33">AG25+AI25</f>
        <v>#N/A</v>
      </c>
      <c r="AK25" s="43" t="e">
        <f>HLOOKUP(I25,GasAvoidedCostsWOCC!$A$5:$Q$50,G25+1,FALSE)*J25*L25</f>
        <v>#N/A</v>
      </c>
      <c r="AL25" s="43" t="e">
        <f t="shared" ref="AL25:AL4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31</v>
      </c>
      <c r="C26" s="89">
        <v>18231027</v>
      </c>
      <c r="D26" s="60" t="s">
        <v>554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31</v>
      </c>
      <c r="C27" s="89">
        <v>18231027</v>
      </c>
      <c r="D27" s="60" t="s">
        <v>554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31</v>
      </c>
      <c r="C28" s="89">
        <v>18231027</v>
      </c>
      <c r="D28" s="60" t="s">
        <v>554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31</v>
      </c>
      <c r="C29" s="89">
        <v>18231027</v>
      </c>
      <c r="D29" s="60" t="s">
        <v>554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31</v>
      </c>
      <c r="C30" s="89">
        <v>18231027</v>
      </c>
      <c r="D30" s="60" t="s">
        <v>554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31</v>
      </c>
      <c r="C31" s="89">
        <v>18231027</v>
      </c>
      <c r="D31" s="60" t="s">
        <v>554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31</v>
      </c>
      <c r="C32" s="89">
        <v>18231027</v>
      </c>
      <c r="D32" s="60" t="s">
        <v>554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31</v>
      </c>
      <c r="C33" s="89">
        <v>18231027</v>
      </c>
      <c r="D33" s="60" t="s">
        <v>554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31</v>
      </c>
      <c r="C34" s="89">
        <v>18231027</v>
      </c>
      <c r="D34" s="60" t="s">
        <v>554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31</v>
      </c>
      <c r="C35" s="89">
        <v>18231027</v>
      </c>
      <c r="D35" s="60" t="s">
        <v>554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31</v>
      </c>
      <c r="C36" s="89">
        <v>18231027</v>
      </c>
      <c r="D36" s="60" t="s">
        <v>554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31</v>
      </c>
      <c r="C37" s="89">
        <v>18231027</v>
      </c>
      <c r="D37" s="60" t="s">
        <v>554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31</v>
      </c>
      <c r="C38" s="89">
        <v>18231027</v>
      </c>
      <c r="D38" s="60" t="s">
        <v>554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31</v>
      </c>
      <c r="C39" s="89">
        <v>18231027</v>
      </c>
      <c r="D39" s="60" t="s">
        <v>554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31</v>
      </c>
      <c r="C40" s="89">
        <v>18231027</v>
      </c>
      <c r="D40" s="60" t="s">
        <v>554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31</v>
      </c>
      <c r="C41" s="89">
        <v>18231027</v>
      </c>
      <c r="D41" s="60" t="s">
        <v>554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31</v>
      </c>
      <c r="C42" s="89">
        <v>18231027</v>
      </c>
      <c r="D42" s="60" t="s">
        <v>554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31</v>
      </c>
      <c r="C43" s="89">
        <v>18231027</v>
      </c>
      <c r="D43" s="60" t="s">
        <v>554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31</v>
      </c>
      <c r="C44" s="89">
        <v>18231027</v>
      </c>
      <c r="D44" s="60" t="s">
        <v>554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31</v>
      </c>
      <c r="C45" s="89">
        <v>18231027</v>
      </c>
      <c r="D45" s="60" t="s">
        <v>554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31</v>
      </c>
      <c r="C46" s="89">
        <v>18231027</v>
      </c>
      <c r="D46" s="60" t="s">
        <v>554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31</v>
      </c>
      <c r="C47" s="89">
        <v>18231027</v>
      </c>
      <c r="D47" s="60" t="s">
        <v>554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31</v>
      </c>
      <c r="C48" s="89">
        <v>18231027</v>
      </c>
      <c r="D48" s="60" t="s">
        <v>554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31</v>
      </c>
      <c r="C49" s="89">
        <v>18231027</v>
      </c>
      <c r="D49" s="60" t="s">
        <v>554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ref="T49:T88" si="38">G49+H49</f>
        <v>0</v>
      </c>
      <c r="U49" s="46">
        <f t="shared" ref="U49:U88" si="39">(O49/$A$10)*T49</f>
        <v>0</v>
      </c>
      <c r="V49" s="47">
        <f t="shared" ref="V49:V88" si="40">N49-M49</f>
        <v>0</v>
      </c>
      <c r="W49" s="48">
        <f t="shared" ref="W49:W88" si="41">(O49/A$10)</f>
        <v>0</v>
      </c>
      <c r="X49" s="43">
        <f t="shared" ref="X49:X88" si="42">W49*A$8</f>
        <v>0</v>
      </c>
      <c r="Y49" s="43">
        <f t="shared" ref="Y49:Y88" si="43">Q49-P49</f>
        <v>0</v>
      </c>
      <c r="Z49" s="43">
        <f t="shared" ref="Z49:Z88" si="44">X49+(A$6*W49)</f>
        <v>0</v>
      </c>
      <c r="AA49" s="49">
        <f t="shared" ref="AA49:AA88" si="45">Q49+X49</f>
        <v>0</v>
      </c>
      <c r="AB49" s="50">
        <f t="shared" ref="AB49:AB88" si="46">Z49/(1+GasDiscountRate)^1</f>
        <v>0</v>
      </c>
      <c r="AC49" s="43">
        <f t="shared" ref="AC49:AC88" si="47">AA49/(1+GasDiscountRate)^1</f>
        <v>0</v>
      </c>
      <c r="AD49" s="43">
        <f t="shared" ref="AD49:AD88" si="48">-PV(GasDiscountRate,T49,R49)*J49</f>
        <v>0</v>
      </c>
      <c r="AE49" s="43">
        <f t="shared" ref="AE49:AE88" si="49">-PV(GasDiscountRate,T49,S49)*J49</f>
        <v>0</v>
      </c>
      <c r="AF49" s="51" t="e">
        <f>HLOOKUP(I49,GasAvoidedCostsWOCC!$A$5:$G$50,G49+1,FALSE)</f>
        <v>#N/A</v>
      </c>
      <c r="AG49" s="43" t="e">
        <f t="shared" ref="AG49:AG88" si="50">AF49*J49*K49</f>
        <v>#N/A</v>
      </c>
      <c r="AH49" s="51" t="e">
        <f>HLOOKUP(I49,GasAvoidedCostsWOCC!$A$5:$Q$50,T49+1,FALSE)</f>
        <v>#N/A</v>
      </c>
      <c r="AI49" s="43" t="e">
        <f t="shared" ref="AI49:AI88" si="51">AH49*J49*L49</f>
        <v>#N/A</v>
      </c>
      <c r="AJ49" s="43" t="e">
        <f t="shared" ref="AJ49:AJ88" si="52">AG49+AI49</f>
        <v>#N/A</v>
      </c>
      <c r="AK49" s="43" t="e">
        <f>HLOOKUP(I49,GasAvoidedCostsWOCC!$A$5:$Q$50,G49+1,FALSE)*J49*L49</f>
        <v>#N/A</v>
      </c>
      <c r="AL49" s="43" t="e">
        <f t="shared" ref="AL49:AL88" si="53">AG49+AI49-AK49</f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ref="AN49:AN88" si="54">AM49*1.1+AD49+AE49</f>
        <v>0</v>
      </c>
      <c r="AO49" s="46">
        <f t="shared" ref="AO49:AO88" si="55">IFERROR(AM49/AB49,0)</f>
        <v>0</v>
      </c>
      <c r="AP49" s="46" t="e">
        <f t="shared" ref="AP49:AP88" si="56">AN49/AC49</f>
        <v>#DIV/0!</v>
      </c>
    </row>
    <row r="50" spans="2:42" x14ac:dyDescent="0.25">
      <c r="B50" s="88" t="s">
        <v>31</v>
      </c>
      <c r="C50" s="89">
        <v>18231027</v>
      </c>
      <c r="D50" s="60" t="s">
        <v>554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HLOOKUP(I50,GasAvoidedCostsWOCC!$A$5:$G$50,G50+1,FALSE)</f>
        <v>#N/A</v>
      </c>
      <c r="AG50" s="43" t="e">
        <f t="shared" si="50"/>
        <v>#N/A</v>
      </c>
      <c r="AH50" s="51" t="e">
        <f>HLOOKUP(I50,GasAvoidedCostsWOCC!$A$5:$Q$50,T50+1,FALSE)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HLOOKUP(I50,GasAvoidedCostsWOCC!$A$5:$Q$50,G50+1,FALSE)*J50*L50</f>
        <v>#N/A</v>
      </c>
      <c r="AL50" s="43" t="e">
        <f t="shared" si="5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88" t="s">
        <v>31</v>
      </c>
      <c r="C51" s="89">
        <v>18231027</v>
      </c>
      <c r="D51" s="60" t="s">
        <v>554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HLOOKUP(I51,GasAvoidedCostsWOCC!$A$5:$G$50,G51+1,FALSE)</f>
        <v>#N/A</v>
      </c>
      <c r="AG51" s="43" t="e">
        <f t="shared" si="50"/>
        <v>#N/A</v>
      </c>
      <c r="AH51" s="51" t="e">
        <f>HLOOKUP(I51,GasAvoidedCostsWOCC!$A$5:$Q$50,T51+1,FALSE)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HLOOKUP(I51,GasAvoidedCostsWOCC!$A$5:$Q$50,G51+1,FALSE)*J51*L51</f>
        <v>#N/A</v>
      </c>
      <c r="AL51" s="43" t="e">
        <f t="shared" si="5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88" t="s">
        <v>31</v>
      </c>
      <c r="C52" s="89">
        <v>18231027</v>
      </c>
      <c r="D52" s="60" t="s">
        <v>554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HLOOKUP(I52,GasAvoidedCostsWOCC!$A$5:$G$50,G52+1,FALSE)</f>
        <v>#N/A</v>
      </c>
      <c r="AG52" s="43" t="e">
        <f t="shared" si="50"/>
        <v>#N/A</v>
      </c>
      <c r="AH52" s="51" t="e">
        <f>HLOOKUP(I52,GasAvoidedCostsWOCC!$A$5:$Q$50,T52+1,FALSE)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HLOOKUP(I52,GasAvoidedCostsWOCC!$A$5:$Q$50,G52+1,FALSE)*J52*L52</f>
        <v>#N/A</v>
      </c>
      <c r="AL52" s="43" t="e">
        <f t="shared" si="5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  <row r="53" spans="2:42" x14ac:dyDescent="0.25">
      <c r="B53" s="88" t="s">
        <v>31</v>
      </c>
      <c r="C53" s="89">
        <v>18231027</v>
      </c>
      <c r="D53" s="60" t="s">
        <v>554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8"/>
        <v>0</v>
      </c>
      <c r="U53" s="46">
        <f t="shared" si="39"/>
        <v>0</v>
      </c>
      <c r="V53" s="47">
        <f t="shared" si="40"/>
        <v>0</v>
      </c>
      <c r="W53" s="48">
        <f t="shared" si="41"/>
        <v>0</v>
      </c>
      <c r="X53" s="43">
        <f t="shared" si="42"/>
        <v>0</v>
      </c>
      <c r="Y53" s="43">
        <f t="shared" si="43"/>
        <v>0</v>
      </c>
      <c r="Z53" s="43">
        <f t="shared" si="44"/>
        <v>0</v>
      </c>
      <c r="AA53" s="49">
        <f t="shared" si="45"/>
        <v>0</v>
      </c>
      <c r="AB53" s="50">
        <f t="shared" si="46"/>
        <v>0</v>
      </c>
      <c r="AC53" s="43">
        <f t="shared" si="47"/>
        <v>0</v>
      </c>
      <c r="AD53" s="43">
        <f t="shared" si="48"/>
        <v>0</v>
      </c>
      <c r="AE53" s="43">
        <f t="shared" si="49"/>
        <v>0</v>
      </c>
      <c r="AF53" s="51" t="e">
        <f>HLOOKUP(I53,GasAvoidedCostsWOCC!$A$5:$G$50,G53+1,FALSE)</f>
        <v>#N/A</v>
      </c>
      <c r="AG53" s="43" t="e">
        <f t="shared" si="50"/>
        <v>#N/A</v>
      </c>
      <c r="AH53" s="51" t="e">
        <f>HLOOKUP(I53,GasAvoidedCostsWOCC!$A$5:$Q$50,T53+1,FALSE)</f>
        <v>#N/A</v>
      </c>
      <c r="AI53" s="43" t="e">
        <f t="shared" si="51"/>
        <v>#N/A</v>
      </c>
      <c r="AJ53" s="43" t="e">
        <f t="shared" si="52"/>
        <v>#N/A</v>
      </c>
      <c r="AK53" s="43" t="e">
        <f>HLOOKUP(I53,GasAvoidedCostsWOCC!$A$5:$Q$50,G53+1,FALSE)*J53*L53</f>
        <v>#N/A</v>
      </c>
      <c r="AL53" s="43" t="e">
        <f t="shared" si="5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54"/>
        <v>0</v>
      </c>
      <c r="AO53" s="46">
        <f t="shared" si="55"/>
        <v>0</v>
      </c>
      <c r="AP53" s="46" t="e">
        <f t="shared" si="5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38"/>
        <v>0</v>
      </c>
      <c r="U54" s="46">
        <f t="shared" si="39"/>
        <v>0</v>
      </c>
      <c r="V54" s="47">
        <f t="shared" si="40"/>
        <v>0</v>
      </c>
      <c r="W54" s="48">
        <f t="shared" si="41"/>
        <v>0</v>
      </c>
      <c r="X54" s="43">
        <f t="shared" si="42"/>
        <v>0</v>
      </c>
      <c r="Y54" s="43">
        <f t="shared" si="43"/>
        <v>0</v>
      </c>
      <c r="Z54" s="43">
        <f t="shared" si="44"/>
        <v>0</v>
      </c>
      <c r="AA54" s="49">
        <f t="shared" si="45"/>
        <v>0</v>
      </c>
      <c r="AB54" s="50">
        <f t="shared" si="46"/>
        <v>0</v>
      </c>
      <c r="AC54" s="43">
        <f t="shared" si="47"/>
        <v>0</v>
      </c>
      <c r="AD54" s="43">
        <f t="shared" si="48"/>
        <v>0</v>
      </c>
      <c r="AE54" s="43">
        <f t="shared" si="49"/>
        <v>0</v>
      </c>
      <c r="AF54" s="51" t="e">
        <f>HLOOKUP(I54,GasAvoidedCostsWOCC!$A$5:$G$50,G54+1,FALSE)</f>
        <v>#N/A</v>
      </c>
      <c r="AG54" s="43" t="e">
        <f t="shared" si="50"/>
        <v>#N/A</v>
      </c>
      <c r="AH54" s="51" t="e">
        <f>HLOOKUP(I54,GasAvoidedCostsWOCC!$A$5:$Q$50,T54+1,FALSE)</f>
        <v>#N/A</v>
      </c>
      <c r="AI54" s="43" t="e">
        <f t="shared" si="51"/>
        <v>#N/A</v>
      </c>
      <c r="AJ54" s="43" t="e">
        <f t="shared" si="52"/>
        <v>#N/A</v>
      </c>
      <c r="AK54" s="43" t="e">
        <f>HLOOKUP(I54,GasAvoidedCostsWOCC!$A$5:$Q$50,G54+1,FALSE)*J54*L54</f>
        <v>#N/A</v>
      </c>
      <c r="AL54" s="43" t="e">
        <f t="shared" si="5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54"/>
        <v>0</v>
      </c>
      <c r="AO54" s="46">
        <f t="shared" si="55"/>
        <v>0</v>
      </c>
      <c r="AP54" s="46" t="e">
        <f t="shared" si="5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38"/>
        <v>0</v>
      </c>
      <c r="U55" s="46">
        <f t="shared" si="39"/>
        <v>0</v>
      </c>
      <c r="V55" s="47">
        <f t="shared" si="40"/>
        <v>0</v>
      </c>
      <c r="W55" s="48">
        <f t="shared" si="41"/>
        <v>0</v>
      </c>
      <c r="X55" s="43">
        <f t="shared" si="42"/>
        <v>0</v>
      </c>
      <c r="Y55" s="43">
        <f t="shared" si="43"/>
        <v>0</v>
      </c>
      <c r="Z55" s="43">
        <f t="shared" si="44"/>
        <v>0</v>
      </c>
      <c r="AA55" s="49">
        <f t="shared" si="45"/>
        <v>0</v>
      </c>
      <c r="AB55" s="50">
        <f t="shared" si="46"/>
        <v>0</v>
      </c>
      <c r="AC55" s="43">
        <f t="shared" si="47"/>
        <v>0</v>
      </c>
      <c r="AD55" s="43">
        <f t="shared" si="48"/>
        <v>0</v>
      </c>
      <c r="AE55" s="43">
        <f t="shared" si="49"/>
        <v>0</v>
      </c>
      <c r="AF55" s="51" t="e">
        <f>HLOOKUP(I55,GasAvoidedCostsWOCC!$A$5:$G$50,G55+1,FALSE)</f>
        <v>#N/A</v>
      </c>
      <c r="AG55" s="43" t="e">
        <f t="shared" si="50"/>
        <v>#N/A</v>
      </c>
      <c r="AH55" s="51" t="e">
        <f>HLOOKUP(I55,GasAvoidedCostsWOCC!$A$5:$Q$50,T55+1,FALSE)</f>
        <v>#N/A</v>
      </c>
      <c r="AI55" s="43" t="e">
        <f t="shared" si="51"/>
        <v>#N/A</v>
      </c>
      <c r="AJ55" s="43" t="e">
        <f t="shared" si="52"/>
        <v>#N/A</v>
      </c>
      <c r="AK55" s="43" t="e">
        <f>HLOOKUP(I55,GasAvoidedCostsWOCC!$A$5:$Q$50,G55+1,FALSE)*J55*L55</f>
        <v>#N/A</v>
      </c>
      <c r="AL55" s="43" t="e">
        <f t="shared" si="5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54"/>
        <v>0</v>
      </c>
      <c r="AO55" s="46">
        <f t="shared" si="55"/>
        <v>0</v>
      </c>
      <c r="AP55" s="46" t="e">
        <f t="shared" si="5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38"/>
        <v>0</v>
      </c>
      <c r="U56" s="46">
        <f t="shared" si="39"/>
        <v>0</v>
      </c>
      <c r="V56" s="47">
        <f t="shared" si="40"/>
        <v>0</v>
      </c>
      <c r="W56" s="48">
        <f t="shared" si="41"/>
        <v>0</v>
      </c>
      <c r="X56" s="43">
        <f t="shared" si="42"/>
        <v>0</v>
      </c>
      <c r="Y56" s="43">
        <f t="shared" si="43"/>
        <v>0</v>
      </c>
      <c r="Z56" s="43">
        <f t="shared" si="44"/>
        <v>0</v>
      </c>
      <c r="AA56" s="49">
        <f t="shared" si="45"/>
        <v>0</v>
      </c>
      <c r="AB56" s="50">
        <f t="shared" si="46"/>
        <v>0</v>
      </c>
      <c r="AC56" s="43">
        <f t="shared" si="47"/>
        <v>0</v>
      </c>
      <c r="AD56" s="43">
        <f t="shared" si="48"/>
        <v>0</v>
      </c>
      <c r="AE56" s="43">
        <f t="shared" si="49"/>
        <v>0</v>
      </c>
      <c r="AF56" s="51" t="e">
        <f>HLOOKUP(I56,GasAvoidedCostsWOCC!$A$5:$G$50,G56+1,FALSE)</f>
        <v>#N/A</v>
      </c>
      <c r="AG56" s="43" t="e">
        <f t="shared" si="50"/>
        <v>#N/A</v>
      </c>
      <c r="AH56" s="51" t="e">
        <f>HLOOKUP(I56,GasAvoidedCostsWOCC!$A$5:$Q$50,T56+1,FALSE)</f>
        <v>#N/A</v>
      </c>
      <c r="AI56" s="43" t="e">
        <f t="shared" si="51"/>
        <v>#N/A</v>
      </c>
      <c r="AJ56" s="43" t="e">
        <f t="shared" si="52"/>
        <v>#N/A</v>
      </c>
      <c r="AK56" s="43" t="e">
        <f>HLOOKUP(I56,GasAvoidedCostsWOCC!$A$5:$Q$50,G56+1,FALSE)*J56*L56</f>
        <v>#N/A</v>
      </c>
      <c r="AL56" s="43" t="e">
        <f t="shared" si="5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54"/>
        <v>0</v>
      </c>
      <c r="AO56" s="46">
        <f t="shared" si="55"/>
        <v>0</v>
      </c>
      <c r="AP56" s="46" t="e">
        <f t="shared" si="5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38"/>
        <v>0</v>
      </c>
      <c r="U57" s="46">
        <f t="shared" si="39"/>
        <v>0</v>
      </c>
      <c r="V57" s="47">
        <f t="shared" si="40"/>
        <v>0</v>
      </c>
      <c r="W57" s="48">
        <f t="shared" si="41"/>
        <v>0</v>
      </c>
      <c r="X57" s="43">
        <f t="shared" si="42"/>
        <v>0</v>
      </c>
      <c r="Y57" s="43">
        <f t="shared" si="43"/>
        <v>0</v>
      </c>
      <c r="Z57" s="43">
        <f t="shared" si="44"/>
        <v>0</v>
      </c>
      <c r="AA57" s="49">
        <f t="shared" si="45"/>
        <v>0</v>
      </c>
      <c r="AB57" s="50">
        <f t="shared" si="46"/>
        <v>0</v>
      </c>
      <c r="AC57" s="43">
        <f t="shared" si="47"/>
        <v>0</v>
      </c>
      <c r="AD57" s="43">
        <f t="shared" si="48"/>
        <v>0</v>
      </c>
      <c r="AE57" s="43">
        <f t="shared" si="49"/>
        <v>0</v>
      </c>
      <c r="AF57" s="51" t="e">
        <f>HLOOKUP(I57,GasAvoidedCostsWOCC!$A$5:$G$50,G57+1,FALSE)</f>
        <v>#N/A</v>
      </c>
      <c r="AG57" s="43" t="e">
        <f t="shared" si="50"/>
        <v>#N/A</v>
      </c>
      <c r="AH57" s="51" t="e">
        <f>HLOOKUP(I57,GasAvoidedCostsWOCC!$A$5:$Q$50,T57+1,FALSE)</f>
        <v>#N/A</v>
      </c>
      <c r="AI57" s="43" t="e">
        <f t="shared" si="51"/>
        <v>#N/A</v>
      </c>
      <c r="AJ57" s="43" t="e">
        <f t="shared" si="52"/>
        <v>#N/A</v>
      </c>
      <c r="AK57" s="43" t="e">
        <f>HLOOKUP(I57,GasAvoidedCostsWOCC!$A$5:$Q$50,G57+1,FALSE)*J57*L57</f>
        <v>#N/A</v>
      </c>
      <c r="AL57" s="43" t="e">
        <f t="shared" si="5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54"/>
        <v>0</v>
      </c>
      <c r="AO57" s="46">
        <f t="shared" si="55"/>
        <v>0</v>
      </c>
      <c r="AP57" s="46" t="e">
        <f t="shared" si="5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38"/>
        <v>0</v>
      </c>
      <c r="U58" s="46">
        <f t="shared" si="39"/>
        <v>0</v>
      </c>
      <c r="V58" s="47">
        <f t="shared" si="40"/>
        <v>0</v>
      </c>
      <c r="W58" s="48">
        <f t="shared" si="41"/>
        <v>0</v>
      </c>
      <c r="X58" s="43">
        <f t="shared" si="42"/>
        <v>0</v>
      </c>
      <c r="Y58" s="43">
        <f t="shared" si="43"/>
        <v>0</v>
      </c>
      <c r="Z58" s="43">
        <f t="shared" si="44"/>
        <v>0</v>
      </c>
      <c r="AA58" s="49">
        <f t="shared" si="45"/>
        <v>0</v>
      </c>
      <c r="AB58" s="50">
        <f t="shared" si="46"/>
        <v>0</v>
      </c>
      <c r="AC58" s="43">
        <f t="shared" si="47"/>
        <v>0</v>
      </c>
      <c r="AD58" s="43">
        <f t="shared" si="48"/>
        <v>0</v>
      </c>
      <c r="AE58" s="43">
        <f t="shared" si="49"/>
        <v>0</v>
      </c>
      <c r="AF58" s="51" t="e">
        <f>HLOOKUP(I58,GasAvoidedCostsWOCC!$A$5:$G$50,G58+1,FALSE)</f>
        <v>#N/A</v>
      </c>
      <c r="AG58" s="43" t="e">
        <f t="shared" si="50"/>
        <v>#N/A</v>
      </c>
      <c r="AH58" s="51" t="e">
        <f>HLOOKUP(I58,GasAvoidedCostsWOCC!$A$5:$Q$50,T58+1,FALSE)</f>
        <v>#N/A</v>
      </c>
      <c r="AI58" s="43" t="e">
        <f t="shared" si="51"/>
        <v>#N/A</v>
      </c>
      <c r="AJ58" s="43" t="e">
        <f t="shared" si="52"/>
        <v>#N/A</v>
      </c>
      <c r="AK58" s="43" t="e">
        <f>HLOOKUP(I58,GasAvoidedCostsWOCC!$A$5:$Q$50,G58+1,FALSE)*J58*L58</f>
        <v>#N/A</v>
      </c>
      <c r="AL58" s="43" t="e">
        <f t="shared" si="5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54"/>
        <v>0</v>
      </c>
      <c r="AO58" s="46">
        <f t="shared" si="55"/>
        <v>0</v>
      </c>
      <c r="AP58" s="46" t="e">
        <f t="shared" si="5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38"/>
        <v>0</v>
      </c>
      <c r="U59" s="46">
        <f t="shared" si="39"/>
        <v>0</v>
      </c>
      <c r="V59" s="47">
        <f t="shared" si="40"/>
        <v>0</v>
      </c>
      <c r="W59" s="48">
        <f t="shared" si="41"/>
        <v>0</v>
      </c>
      <c r="X59" s="43">
        <f t="shared" si="42"/>
        <v>0</v>
      </c>
      <c r="Y59" s="43">
        <f t="shared" si="43"/>
        <v>0</v>
      </c>
      <c r="Z59" s="43">
        <f t="shared" si="44"/>
        <v>0</v>
      </c>
      <c r="AA59" s="49">
        <f t="shared" si="45"/>
        <v>0</v>
      </c>
      <c r="AB59" s="50">
        <f t="shared" si="46"/>
        <v>0</v>
      </c>
      <c r="AC59" s="43">
        <f t="shared" si="47"/>
        <v>0</v>
      </c>
      <c r="AD59" s="43">
        <f t="shared" si="48"/>
        <v>0</v>
      </c>
      <c r="AE59" s="43">
        <f t="shared" si="49"/>
        <v>0</v>
      </c>
      <c r="AF59" s="51" t="e">
        <f>HLOOKUP(I59,GasAvoidedCostsWOCC!$A$5:$G$50,G59+1,FALSE)</f>
        <v>#N/A</v>
      </c>
      <c r="AG59" s="43" t="e">
        <f t="shared" si="50"/>
        <v>#N/A</v>
      </c>
      <c r="AH59" s="51" t="e">
        <f>HLOOKUP(I59,GasAvoidedCostsWOCC!$A$5:$Q$50,T59+1,FALSE)</f>
        <v>#N/A</v>
      </c>
      <c r="AI59" s="43" t="e">
        <f t="shared" si="51"/>
        <v>#N/A</v>
      </c>
      <c r="AJ59" s="43" t="e">
        <f t="shared" si="52"/>
        <v>#N/A</v>
      </c>
      <c r="AK59" s="43" t="e">
        <f>HLOOKUP(I59,GasAvoidedCostsWOCC!$A$5:$Q$50,G59+1,FALSE)*J59*L59</f>
        <v>#N/A</v>
      </c>
      <c r="AL59" s="43" t="e">
        <f t="shared" si="5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54"/>
        <v>0</v>
      </c>
      <c r="AO59" s="46">
        <f t="shared" si="55"/>
        <v>0</v>
      </c>
      <c r="AP59" s="46" t="e">
        <f t="shared" si="5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38"/>
        <v>0</v>
      </c>
      <c r="U60" s="46">
        <f t="shared" si="39"/>
        <v>0</v>
      </c>
      <c r="V60" s="47">
        <f t="shared" si="40"/>
        <v>0</v>
      </c>
      <c r="W60" s="48">
        <f t="shared" si="41"/>
        <v>0</v>
      </c>
      <c r="X60" s="43">
        <f t="shared" si="42"/>
        <v>0</v>
      </c>
      <c r="Y60" s="43">
        <f t="shared" si="43"/>
        <v>0</v>
      </c>
      <c r="Z60" s="43">
        <f t="shared" si="44"/>
        <v>0</v>
      </c>
      <c r="AA60" s="49">
        <f t="shared" si="45"/>
        <v>0</v>
      </c>
      <c r="AB60" s="50">
        <f t="shared" si="46"/>
        <v>0</v>
      </c>
      <c r="AC60" s="43">
        <f t="shared" si="47"/>
        <v>0</v>
      </c>
      <c r="AD60" s="43">
        <f t="shared" si="48"/>
        <v>0</v>
      </c>
      <c r="AE60" s="43">
        <f t="shared" si="49"/>
        <v>0</v>
      </c>
      <c r="AF60" s="51" t="e">
        <f>HLOOKUP(I60,GasAvoidedCostsWOCC!$A$5:$G$50,G60+1,FALSE)</f>
        <v>#N/A</v>
      </c>
      <c r="AG60" s="43" t="e">
        <f t="shared" si="50"/>
        <v>#N/A</v>
      </c>
      <c r="AH60" s="51" t="e">
        <f>HLOOKUP(I60,GasAvoidedCostsWOCC!$A$5:$Q$50,T60+1,FALSE)</f>
        <v>#N/A</v>
      </c>
      <c r="AI60" s="43" t="e">
        <f t="shared" si="51"/>
        <v>#N/A</v>
      </c>
      <c r="AJ60" s="43" t="e">
        <f t="shared" si="52"/>
        <v>#N/A</v>
      </c>
      <c r="AK60" s="43" t="e">
        <f>HLOOKUP(I60,GasAvoidedCostsWOCC!$A$5:$Q$50,G60+1,FALSE)*J60*L60</f>
        <v>#N/A</v>
      </c>
      <c r="AL60" s="43" t="e">
        <f t="shared" si="5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54"/>
        <v>0</v>
      </c>
      <c r="AO60" s="46">
        <f t="shared" si="55"/>
        <v>0</v>
      </c>
      <c r="AP60" s="46" t="e">
        <f t="shared" si="5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38"/>
        <v>0</v>
      </c>
      <c r="U61" s="46">
        <f t="shared" si="39"/>
        <v>0</v>
      </c>
      <c r="V61" s="47">
        <f t="shared" si="40"/>
        <v>0</v>
      </c>
      <c r="W61" s="48">
        <f t="shared" si="41"/>
        <v>0</v>
      </c>
      <c r="X61" s="43">
        <f t="shared" si="42"/>
        <v>0</v>
      </c>
      <c r="Y61" s="43">
        <f t="shared" si="43"/>
        <v>0</v>
      </c>
      <c r="Z61" s="43">
        <f t="shared" si="44"/>
        <v>0</v>
      </c>
      <c r="AA61" s="49">
        <f t="shared" si="45"/>
        <v>0</v>
      </c>
      <c r="AB61" s="50">
        <f t="shared" si="46"/>
        <v>0</v>
      </c>
      <c r="AC61" s="43">
        <f t="shared" si="47"/>
        <v>0</v>
      </c>
      <c r="AD61" s="43">
        <f t="shared" si="48"/>
        <v>0</v>
      </c>
      <c r="AE61" s="43">
        <f t="shared" si="49"/>
        <v>0</v>
      </c>
      <c r="AF61" s="51" t="e">
        <f>HLOOKUP(I61,GasAvoidedCostsWOCC!$A$5:$G$50,G61+1,FALSE)</f>
        <v>#N/A</v>
      </c>
      <c r="AG61" s="43" t="e">
        <f t="shared" si="50"/>
        <v>#N/A</v>
      </c>
      <c r="AH61" s="51" t="e">
        <f>HLOOKUP(I61,GasAvoidedCostsWOCC!$A$5:$Q$50,T61+1,FALSE)</f>
        <v>#N/A</v>
      </c>
      <c r="AI61" s="43" t="e">
        <f t="shared" si="51"/>
        <v>#N/A</v>
      </c>
      <c r="AJ61" s="43" t="e">
        <f t="shared" si="52"/>
        <v>#N/A</v>
      </c>
      <c r="AK61" s="43" t="e">
        <f>HLOOKUP(I61,GasAvoidedCostsWOCC!$A$5:$Q$50,G61+1,FALSE)*J61*L61</f>
        <v>#N/A</v>
      </c>
      <c r="AL61" s="43" t="e">
        <f t="shared" si="5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54"/>
        <v>0</v>
      </c>
      <c r="AO61" s="46">
        <f t="shared" si="55"/>
        <v>0</v>
      </c>
      <c r="AP61" s="46" t="e">
        <f t="shared" si="5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38"/>
        <v>0</v>
      </c>
      <c r="U62" s="46">
        <f t="shared" si="39"/>
        <v>0</v>
      </c>
      <c r="V62" s="47">
        <f t="shared" si="40"/>
        <v>0</v>
      </c>
      <c r="W62" s="48">
        <f t="shared" si="41"/>
        <v>0</v>
      </c>
      <c r="X62" s="43">
        <f t="shared" si="42"/>
        <v>0</v>
      </c>
      <c r="Y62" s="43">
        <f t="shared" si="43"/>
        <v>0</v>
      </c>
      <c r="Z62" s="43">
        <f t="shared" si="44"/>
        <v>0</v>
      </c>
      <c r="AA62" s="49">
        <f t="shared" si="45"/>
        <v>0</v>
      </c>
      <c r="AB62" s="50">
        <f t="shared" si="46"/>
        <v>0</v>
      </c>
      <c r="AC62" s="43">
        <f t="shared" si="47"/>
        <v>0</v>
      </c>
      <c r="AD62" s="43">
        <f t="shared" si="48"/>
        <v>0</v>
      </c>
      <c r="AE62" s="43">
        <f t="shared" si="49"/>
        <v>0</v>
      </c>
      <c r="AF62" s="51" t="e">
        <f>HLOOKUP(I62,GasAvoidedCostsWOCC!$A$5:$G$50,G62+1,FALSE)</f>
        <v>#N/A</v>
      </c>
      <c r="AG62" s="43" t="e">
        <f t="shared" si="50"/>
        <v>#N/A</v>
      </c>
      <c r="AH62" s="51" t="e">
        <f>HLOOKUP(I62,GasAvoidedCostsWOCC!$A$5:$Q$50,T62+1,FALSE)</f>
        <v>#N/A</v>
      </c>
      <c r="AI62" s="43" t="e">
        <f t="shared" si="51"/>
        <v>#N/A</v>
      </c>
      <c r="AJ62" s="43" t="e">
        <f t="shared" si="52"/>
        <v>#N/A</v>
      </c>
      <c r="AK62" s="43" t="e">
        <f>HLOOKUP(I62,GasAvoidedCostsWOCC!$A$5:$Q$50,G62+1,FALSE)*J62*L62</f>
        <v>#N/A</v>
      </c>
      <c r="AL62" s="43" t="e">
        <f t="shared" si="5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54"/>
        <v>0</v>
      </c>
      <c r="AO62" s="46">
        <f t="shared" si="55"/>
        <v>0</v>
      </c>
      <c r="AP62" s="46" t="e">
        <f t="shared" si="5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38"/>
        <v>0</v>
      </c>
      <c r="U63" s="46">
        <f t="shared" si="39"/>
        <v>0</v>
      </c>
      <c r="V63" s="47">
        <f t="shared" si="40"/>
        <v>0</v>
      </c>
      <c r="W63" s="48">
        <f t="shared" si="41"/>
        <v>0</v>
      </c>
      <c r="X63" s="43">
        <f t="shared" si="42"/>
        <v>0</v>
      </c>
      <c r="Y63" s="43">
        <f t="shared" si="43"/>
        <v>0</v>
      </c>
      <c r="Z63" s="43">
        <f t="shared" si="44"/>
        <v>0</v>
      </c>
      <c r="AA63" s="49">
        <f t="shared" si="45"/>
        <v>0</v>
      </c>
      <c r="AB63" s="50">
        <f t="shared" si="46"/>
        <v>0</v>
      </c>
      <c r="AC63" s="43">
        <f t="shared" si="47"/>
        <v>0</v>
      </c>
      <c r="AD63" s="43">
        <f t="shared" si="48"/>
        <v>0</v>
      </c>
      <c r="AE63" s="43">
        <f t="shared" si="49"/>
        <v>0</v>
      </c>
      <c r="AF63" s="51" t="e">
        <f>HLOOKUP(I63,GasAvoidedCostsWOCC!$A$5:$G$50,G63+1,FALSE)</f>
        <v>#N/A</v>
      </c>
      <c r="AG63" s="43" t="e">
        <f t="shared" si="50"/>
        <v>#N/A</v>
      </c>
      <c r="AH63" s="51" t="e">
        <f>HLOOKUP(I63,GasAvoidedCostsWOCC!$A$5:$Q$50,T63+1,FALSE)</f>
        <v>#N/A</v>
      </c>
      <c r="AI63" s="43" t="e">
        <f t="shared" si="51"/>
        <v>#N/A</v>
      </c>
      <c r="AJ63" s="43" t="e">
        <f t="shared" si="52"/>
        <v>#N/A</v>
      </c>
      <c r="AK63" s="43" t="e">
        <f>HLOOKUP(I63,GasAvoidedCostsWOCC!$A$5:$Q$50,G63+1,FALSE)*J63*L63</f>
        <v>#N/A</v>
      </c>
      <c r="AL63" s="43" t="e">
        <f t="shared" si="5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54"/>
        <v>0</v>
      </c>
      <c r="AO63" s="46">
        <f t="shared" si="55"/>
        <v>0</v>
      </c>
      <c r="AP63" s="46" t="e">
        <f t="shared" si="5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38"/>
        <v>0</v>
      </c>
      <c r="U64" s="46">
        <f t="shared" si="39"/>
        <v>0</v>
      </c>
      <c r="V64" s="47">
        <f t="shared" si="40"/>
        <v>0</v>
      </c>
      <c r="W64" s="48">
        <f t="shared" si="41"/>
        <v>0</v>
      </c>
      <c r="X64" s="43">
        <f t="shared" si="42"/>
        <v>0</v>
      </c>
      <c r="Y64" s="43">
        <f t="shared" si="43"/>
        <v>0</v>
      </c>
      <c r="Z64" s="43">
        <f t="shared" si="44"/>
        <v>0</v>
      </c>
      <c r="AA64" s="49">
        <f t="shared" si="45"/>
        <v>0</v>
      </c>
      <c r="AB64" s="50">
        <f t="shared" si="46"/>
        <v>0</v>
      </c>
      <c r="AC64" s="43">
        <f t="shared" si="47"/>
        <v>0</v>
      </c>
      <c r="AD64" s="43">
        <f t="shared" si="48"/>
        <v>0</v>
      </c>
      <c r="AE64" s="43">
        <f t="shared" si="49"/>
        <v>0</v>
      </c>
      <c r="AF64" s="51" t="e">
        <f>HLOOKUP(I64,GasAvoidedCostsWOCC!$A$5:$G$50,G64+1,FALSE)</f>
        <v>#N/A</v>
      </c>
      <c r="AG64" s="43" t="e">
        <f t="shared" si="50"/>
        <v>#N/A</v>
      </c>
      <c r="AH64" s="51" t="e">
        <f>HLOOKUP(I64,GasAvoidedCostsWOCC!$A$5:$Q$50,T64+1,FALSE)</f>
        <v>#N/A</v>
      </c>
      <c r="AI64" s="43" t="e">
        <f t="shared" si="51"/>
        <v>#N/A</v>
      </c>
      <c r="AJ64" s="43" t="e">
        <f t="shared" si="52"/>
        <v>#N/A</v>
      </c>
      <c r="AK64" s="43" t="e">
        <f>HLOOKUP(I64,GasAvoidedCostsWOCC!$A$5:$Q$50,G64+1,FALSE)*J64*L64</f>
        <v>#N/A</v>
      </c>
      <c r="AL64" s="43" t="e">
        <f t="shared" si="5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54"/>
        <v>0</v>
      </c>
      <c r="AO64" s="46">
        <f t="shared" si="55"/>
        <v>0</v>
      </c>
      <c r="AP64" s="46" t="e">
        <f t="shared" si="5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38"/>
        <v>0</v>
      </c>
      <c r="U65" s="46">
        <f t="shared" si="39"/>
        <v>0</v>
      </c>
      <c r="V65" s="47">
        <f t="shared" si="40"/>
        <v>0</v>
      </c>
      <c r="W65" s="48">
        <f t="shared" si="41"/>
        <v>0</v>
      </c>
      <c r="X65" s="43">
        <f t="shared" si="42"/>
        <v>0</v>
      </c>
      <c r="Y65" s="43">
        <f t="shared" si="43"/>
        <v>0</v>
      </c>
      <c r="Z65" s="43">
        <f t="shared" si="44"/>
        <v>0</v>
      </c>
      <c r="AA65" s="49">
        <f t="shared" si="45"/>
        <v>0</v>
      </c>
      <c r="AB65" s="50">
        <f t="shared" si="46"/>
        <v>0</v>
      </c>
      <c r="AC65" s="43">
        <f t="shared" si="47"/>
        <v>0</v>
      </c>
      <c r="AD65" s="43">
        <f t="shared" si="48"/>
        <v>0</v>
      </c>
      <c r="AE65" s="43">
        <f t="shared" si="49"/>
        <v>0</v>
      </c>
      <c r="AF65" s="51" t="e">
        <f>HLOOKUP(I65,GasAvoidedCostsWOCC!$A$5:$G$50,G65+1,FALSE)</f>
        <v>#N/A</v>
      </c>
      <c r="AG65" s="43" t="e">
        <f t="shared" si="50"/>
        <v>#N/A</v>
      </c>
      <c r="AH65" s="51" t="e">
        <f>HLOOKUP(I65,GasAvoidedCostsWOCC!$A$5:$Q$50,T65+1,FALSE)</f>
        <v>#N/A</v>
      </c>
      <c r="AI65" s="43" t="e">
        <f t="shared" si="51"/>
        <v>#N/A</v>
      </c>
      <c r="AJ65" s="43" t="e">
        <f t="shared" si="52"/>
        <v>#N/A</v>
      </c>
      <c r="AK65" s="43" t="e">
        <f>HLOOKUP(I65,GasAvoidedCostsWOCC!$A$5:$Q$50,G65+1,FALSE)*J65*L65</f>
        <v>#N/A</v>
      </c>
      <c r="AL65" s="43" t="e">
        <f t="shared" si="5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54"/>
        <v>0</v>
      </c>
      <c r="AO65" s="46">
        <f t="shared" si="55"/>
        <v>0</v>
      </c>
      <c r="AP65" s="46" t="e">
        <f t="shared" si="5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38"/>
        <v>0</v>
      </c>
      <c r="U66" s="46">
        <f t="shared" si="39"/>
        <v>0</v>
      </c>
      <c r="V66" s="47">
        <f t="shared" si="40"/>
        <v>0</v>
      </c>
      <c r="W66" s="48">
        <f t="shared" si="41"/>
        <v>0</v>
      </c>
      <c r="X66" s="43">
        <f t="shared" si="42"/>
        <v>0</v>
      </c>
      <c r="Y66" s="43">
        <f t="shared" si="43"/>
        <v>0</v>
      </c>
      <c r="Z66" s="43">
        <f t="shared" si="44"/>
        <v>0</v>
      </c>
      <c r="AA66" s="49">
        <f t="shared" si="45"/>
        <v>0</v>
      </c>
      <c r="AB66" s="50">
        <f t="shared" si="46"/>
        <v>0</v>
      </c>
      <c r="AC66" s="43">
        <f t="shared" si="47"/>
        <v>0</v>
      </c>
      <c r="AD66" s="43">
        <f t="shared" si="48"/>
        <v>0</v>
      </c>
      <c r="AE66" s="43">
        <f t="shared" si="49"/>
        <v>0</v>
      </c>
      <c r="AF66" s="51" t="e">
        <f>HLOOKUP(I66,GasAvoidedCostsWOCC!$A$5:$G$50,G66+1,FALSE)</f>
        <v>#N/A</v>
      </c>
      <c r="AG66" s="43" t="e">
        <f t="shared" si="50"/>
        <v>#N/A</v>
      </c>
      <c r="AH66" s="51" t="e">
        <f>HLOOKUP(I66,GasAvoidedCostsWOCC!$A$5:$Q$50,T66+1,FALSE)</f>
        <v>#N/A</v>
      </c>
      <c r="AI66" s="43" t="e">
        <f t="shared" si="51"/>
        <v>#N/A</v>
      </c>
      <c r="AJ66" s="43" t="e">
        <f t="shared" si="52"/>
        <v>#N/A</v>
      </c>
      <c r="AK66" s="43" t="e">
        <f>HLOOKUP(I66,GasAvoidedCostsWOCC!$A$5:$Q$50,G66+1,FALSE)*J66*L66</f>
        <v>#N/A</v>
      </c>
      <c r="AL66" s="43" t="e">
        <f t="shared" si="5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54"/>
        <v>0</v>
      </c>
      <c r="AO66" s="46">
        <f t="shared" si="55"/>
        <v>0</v>
      </c>
      <c r="AP66" s="46" t="e">
        <f t="shared" si="5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38"/>
        <v>0</v>
      </c>
      <c r="U67" s="46">
        <f t="shared" si="39"/>
        <v>0</v>
      </c>
      <c r="V67" s="47">
        <f t="shared" si="40"/>
        <v>0</v>
      </c>
      <c r="W67" s="48">
        <f t="shared" si="41"/>
        <v>0</v>
      </c>
      <c r="X67" s="43">
        <f t="shared" si="42"/>
        <v>0</v>
      </c>
      <c r="Y67" s="43">
        <f t="shared" si="43"/>
        <v>0</v>
      </c>
      <c r="Z67" s="43">
        <f t="shared" si="44"/>
        <v>0</v>
      </c>
      <c r="AA67" s="49">
        <f t="shared" si="45"/>
        <v>0</v>
      </c>
      <c r="AB67" s="50">
        <f t="shared" si="46"/>
        <v>0</v>
      </c>
      <c r="AC67" s="43">
        <f t="shared" si="47"/>
        <v>0</v>
      </c>
      <c r="AD67" s="43">
        <f t="shared" si="48"/>
        <v>0</v>
      </c>
      <c r="AE67" s="43">
        <f t="shared" si="49"/>
        <v>0</v>
      </c>
      <c r="AF67" s="51" t="e">
        <f>HLOOKUP(I67,GasAvoidedCostsWOCC!$A$5:$G$50,G67+1,FALSE)</f>
        <v>#N/A</v>
      </c>
      <c r="AG67" s="43" t="e">
        <f t="shared" si="50"/>
        <v>#N/A</v>
      </c>
      <c r="AH67" s="51" t="e">
        <f>HLOOKUP(I67,GasAvoidedCostsWOCC!$A$5:$Q$50,T67+1,FALSE)</f>
        <v>#N/A</v>
      </c>
      <c r="AI67" s="43" t="e">
        <f t="shared" si="51"/>
        <v>#N/A</v>
      </c>
      <c r="AJ67" s="43" t="e">
        <f t="shared" si="52"/>
        <v>#N/A</v>
      </c>
      <c r="AK67" s="43" t="e">
        <f>HLOOKUP(I67,GasAvoidedCostsWOCC!$A$5:$Q$50,G67+1,FALSE)*J67*L67</f>
        <v>#N/A</v>
      </c>
      <c r="AL67" s="43" t="e">
        <f t="shared" si="5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54"/>
        <v>0</v>
      </c>
      <c r="AO67" s="46">
        <f t="shared" si="55"/>
        <v>0</v>
      </c>
      <c r="AP67" s="46" t="e">
        <f t="shared" si="5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38"/>
        <v>0</v>
      </c>
      <c r="U68" s="46">
        <f t="shared" si="39"/>
        <v>0</v>
      </c>
      <c r="V68" s="47">
        <f t="shared" si="40"/>
        <v>0</v>
      </c>
      <c r="W68" s="48">
        <f t="shared" si="41"/>
        <v>0</v>
      </c>
      <c r="X68" s="43">
        <f t="shared" si="42"/>
        <v>0</v>
      </c>
      <c r="Y68" s="43">
        <f t="shared" si="43"/>
        <v>0</v>
      </c>
      <c r="Z68" s="43">
        <f t="shared" si="44"/>
        <v>0</v>
      </c>
      <c r="AA68" s="49">
        <f t="shared" si="45"/>
        <v>0</v>
      </c>
      <c r="AB68" s="50">
        <f t="shared" si="46"/>
        <v>0</v>
      </c>
      <c r="AC68" s="43">
        <f t="shared" si="47"/>
        <v>0</v>
      </c>
      <c r="AD68" s="43">
        <f t="shared" si="48"/>
        <v>0</v>
      </c>
      <c r="AE68" s="43">
        <f t="shared" si="49"/>
        <v>0</v>
      </c>
      <c r="AF68" s="51" t="e">
        <f>HLOOKUP(I68,GasAvoidedCostsWOCC!$A$5:$G$50,G68+1,FALSE)</f>
        <v>#N/A</v>
      </c>
      <c r="AG68" s="43" t="e">
        <f t="shared" si="50"/>
        <v>#N/A</v>
      </c>
      <c r="AH68" s="51" t="e">
        <f>HLOOKUP(I68,GasAvoidedCostsWOCC!$A$5:$Q$50,T68+1,FALSE)</f>
        <v>#N/A</v>
      </c>
      <c r="AI68" s="43" t="e">
        <f t="shared" si="51"/>
        <v>#N/A</v>
      </c>
      <c r="AJ68" s="43" t="e">
        <f t="shared" si="52"/>
        <v>#N/A</v>
      </c>
      <c r="AK68" s="43" t="e">
        <f>HLOOKUP(I68,GasAvoidedCostsWOCC!$A$5:$Q$50,G68+1,FALSE)*J68*L68</f>
        <v>#N/A</v>
      </c>
      <c r="AL68" s="43" t="e">
        <f t="shared" si="5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54"/>
        <v>0</v>
      </c>
      <c r="AO68" s="46">
        <f t="shared" si="55"/>
        <v>0</v>
      </c>
      <c r="AP68" s="46" t="e">
        <f t="shared" si="5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38"/>
        <v>0</v>
      </c>
      <c r="U69" s="46">
        <f t="shared" si="39"/>
        <v>0</v>
      </c>
      <c r="V69" s="47">
        <f t="shared" si="40"/>
        <v>0</v>
      </c>
      <c r="W69" s="48">
        <f t="shared" si="41"/>
        <v>0</v>
      </c>
      <c r="X69" s="43">
        <f t="shared" si="42"/>
        <v>0</v>
      </c>
      <c r="Y69" s="43">
        <f t="shared" si="43"/>
        <v>0</v>
      </c>
      <c r="Z69" s="43">
        <f t="shared" si="44"/>
        <v>0</v>
      </c>
      <c r="AA69" s="49">
        <f t="shared" si="45"/>
        <v>0</v>
      </c>
      <c r="AB69" s="50">
        <f t="shared" si="46"/>
        <v>0</v>
      </c>
      <c r="AC69" s="43">
        <f t="shared" si="47"/>
        <v>0</v>
      </c>
      <c r="AD69" s="43">
        <f t="shared" si="48"/>
        <v>0</v>
      </c>
      <c r="AE69" s="43">
        <f t="shared" si="49"/>
        <v>0</v>
      </c>
      <c r="AF69" s="51" t="e">
        <f>HLOOKUP(I69,GasAvoidedCostsWOCC!$A$5:$G$50,G69+1,FALSE)</f>
        <v>#N/A</v>
      </c>
      <c r="AG69" s="43" t="e">
        <f t="shared" si="50"/>
        <v>#N/A</v>
      </c>
      <c r="AH69" s="51" t="e">
        <f>HLOOKUP(I69,GasAvoidedCostsWOCC!$A$5:$Q$50,T69+1,FALSE)</f>
        <v>#N/A</v>
      </c>
      <c r="AI69" s="43" t="e">
        <f t="shared" si="51"/>
        <v>#N/A</v>
      </c>
      <c r="AJ69" s="43" t="e">
        <f t="shared" si="52"/>
        <v>#N/A</v>
      </c>
      <c r="AK69" s="43" t="e">
        <f>HLOOKUP(I69,GasAvoidedCostsWOCC!$A$5:$Q$50,G69+1,FALSE)*J69*L69</f>
        <v>#N/A</v>
      </c>
      <c r="AL69" s="43" t="e">
        <f t="shared" si="5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54"/>
        <v>0</v>
      </c>
      <c r="AO69" s="46">
        <f t="shared" si="55"/>
        <v>0</v>
      </c>
      <c r="AP69" s="46" t="e">
        <f t="shared" si="5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38"/>
        <v>0</v>
      </c>
      <c r="U70" s="46">
        <f t="shared" si="39"/>
        <v>0</v>
      </c>
      <c r="V70" s="47">
        <f t="shared" si="40"/>
        <v>0</v>
      </c>
      <c r="W70" s="48">
        <f t="shared" si="41"/>
        <v>0</v>
      </c>
      <c r="X70" s="43">
        <f t="shared" si="42"/>
        <v>0</v>
      </c>
      <c r="Y70" s="43">
        <f t="shared" si="43"/>
        <v>0</v>
      </c>
      <c r="Z70" s="43">
        <f t="shared" si="44"/>
        <v>0</v>
      </c>
      <c r="AA70" s="49">
        <f t="shared" si="45"/>
        <v>0</v>
      </c>
      <c r="AB70" s="50">
        <f t="shared" si="46"/>
        <v>0</v>
      </c>
      <c r="AC70" s="43">
        <f t="shared" si="47"/>
        <v>0</v>
      </c>
      <c r="AD70" s="43">
        <f t="shared" si="48"/>
        <v>0</v>
      </c>
      <c r="AE70" s="43">
        <f t="shared" si="49"/>
        <v>0</v>
      </c>
      <c r="AF70" s="51" t="e">
        <f>HLOOKUP(I70,GasAvoidedCostsWOCC!$A$5:$G$50,G70+1,FALSE)</f>
        <v>#N/A</v>
      </c>
      <c r="AG70" s="43" t="e">
        <f t="shared" si="50"/>
        <v>#N/A</v>
      </c>
      <c r="AH70" s="51" t="e">
        <f>HLOOKUP(I70,GasAvoidedCostsWOCC!$A$5:$Q$50,T70+1,FALSE)</f>
        <v>#N/A</v>
      </c>
      <c r="AI70" s="43" t="e">
        <f t="shared" si="51"/>
        <v>#N/A</v>
      </c>
      <c r="AJ70" s="43" t="e">
        <f t="shared" si="52"/>
        <v>#N/A</v>
      </c>
      <c r="AK70" s="43" t="e">
        <f>HLOOKUP(I70,GasAvoidedCostsWOCC!$A$5:$Q$50,G70+1,FALSE)*J70*L70</f>
        <v>#N/A</v>
      </c>
      <c r="AL70" s="43" t="e">
        <f t="shared" si="5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54"/>
        <v>0</v>
      </c>
      <c r="AO70" s="46">
        <f t="shared" si="55"/>
        <v>0</v>
      </c>
      <c r="AP70" s="46" t="e">
        <f t="shared" si="56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38"/>
        <v>0</v>
      </c>
      <c r="U71" s="46">
        <f t="shared" si="39"/>
        <v>0</v>
      </c>
      <c r="V71" s="47">
        <f t="shared" si="40"/>
        <v>0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 t="e">
        <f>HLOOKUP(I71,GasAvoidedCostsWOCC!$A$5:$G$50,G71+1,FALSE)</f>
        <v>#N/A</v>
      </c>
      <c r="AG71" s="43" t="e">
        <f t="shared" si="50"/>
        <v>#N/A</v>
      </c>
      <c r="AH71" s="51" t="e">
        <f>HLOOKUP(I71,GasAvoidedCostsWOCC!$A$5:$Q$50,T71+1,FALSE)</f>
        <v>#N/A</v>
      </c>
      <c r="AI71" s="43" t="e">
        <f t="shared" si="51"/>
        <v>#N/A</v>
      </c>
      <c r="AJ71" s="43" t="e">
        <f t="shared" si="52"/>
        <v>#N/A</v>
      </c>
      <c r="AK71" s="43" t="e">
        <f>HLOOKUP(I71,GasAvoidedCostsWOCC!$A$5:$Q$50,G71+1,FALSE)*J71*L71</f>
        <v>#N/A</v>
      </c>
      <c r="AL71" s="43" t="e">
        <f t="shared" si="5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38"/>
        <v>0</v>
      </c>
      <c r="U72" s="46">
        <f t="shared" si="39"/>
        <v>0</v>
      </c>
      <c r="V72" s="47">
        <f t="shared" si="40"/>
        <v>0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 t="e">
        <f>HLOOKUP(I72,GasAvoidedCostsWOCC!$A$5:$G$50,G72+1,FALSE)</f>
        <v>#N/A</v>
      </c>
      <c r="AG72" s="43" t="e">
        <f t="shared" si="50"/>
        <v>#N/A</v>
      </c>
      <c r="AH72" s="51" t="e">
        <f>HLOOKUP(I72,GasAvoidedCostsWOCC!$A$5:$Q$50,T72+1,FALSE)</f>
        <v>#N/A</v>
      </c>
      <c r="AI72" s="43" t="e">
        <f t="shared" si="51"/>
        <v>#N/A</v>
      </c>
      <c r="AJ72" s="43" t="e">
        <f t="shared" si="52"/>
        <v>#N/A</v>
      </c>
      <c r="AK72" s="43" t="e">
        <f>HLOOKUP(I72,GasAvoidedCostsWOCC!$A$5:$Q$50,G72+1,FALSE)*J72*L72</f>
        <v>#N/A</v>
      </c>
      <c r="AL72" s="43" t="e">
        <f t="shared" si="5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38"/>
        <v>0</v>
      </c>
      <c r="U73" s="46">
        <f t="shared" si="39"/>
        <v>0</v>
      </c>
      <c r="V73" s="47">
        <f t="shared" si="40"/>
        <v>0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 t="e">
        <f>HLOOKUP(I73,GasAvoidedCostsWOCC!$A$5:$G$50,G73+1,FALSE)</f>
        <v>#N/A</v>
      </c>
      <c r="AG73" s="43" t="e">
        <f t="shared" si="50"/>
        <v>#N/A</v>
      </c>
      <c r="AH73" s="51" t="e">
        <f>HLOOKUP(I73,GasAvoidedCostsWOCC!$A$5:$Q$50,T73+1,FALSE)</f>
        <v>#N/A</v>
      </c>
      <c r="AI73" s="43" t="e">
        <f t="shared" si="51"/>
        <v>#N/A</v>
      </c>
      <c r="AJ73" s="43" t="e">
        <f t="shared" si="52"/>
        <v>#N/A</v>
      </c>
      <c r="AK73" s="43" t="e">
        <f>HLOOKUP(I73,GasAvoidedCostsWOCC!$A$5:$Q$50,G73+1,FALSE)*J73*L73</f>
        <v>#N/A</v>
      </c>
      <c r="AL73" s="43" t="e">
        <f t="shared" si="5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38"/>
        <v>0</v>
      </c>
      <c r="U74" s="46">
        <f t="shared" si="39"/>
        <v>0</v>
      </c>
      <c r="V74" s="47">
        <f t="shared" si="40"/>
        <v>0</v>
      </c>
      <c r="W74" s="48">
        <f t="shared" si="41"/>
        <v>0</v>
      </c>
      <c r="X74" s="43">
        <f t="shared" si="42"/>
        <v>0</v>
      </c>
      <c r="Y74" s="43">
        <f t="shared" si="43"/>
        <v>0</v>
      </c>
      <c r="Z74" s="43">
        <f t="shared" si="44"/>
        <v>0</v>
      </c>
      <c r="AA74" s="49">
        <f t="shared" si="45"/>
        <v>0</v>
      </c>
      <c r="AB74" s="50">
        <f t="shared" si="46"/>
        <v>0</v>
      </c>
      <c r="AC74" s="43">
        <f t="shared" si="47"/>
        <v>0</v>
      </c>
      <c r="AD74" s="43">
        <f t="shared" si="48"/>
        <v>0</v>
      </c>
      <c r="AE74" s="43">
        <f t="shared" si="49"/>
        <v>0</v>
      </c>
      <c r="AF74" s="51" t="e">
        <f>HLOOKUP(I74,GasAvoidedCostsWOCC!$A$5:$G$50,G74+1,FALSE)</f>
        <v>#N/A</v>
      </c>
      <c r="AG74" s="43" t="e">
        <f t="shared" si="50"/>
        <v>#N/A</v>
      </c>
      <c r="AH74" s="51" t="e">
        <f>HLOOKUP(I74,GasAvoidedCostsWOCC!$A$5:$Q$50,T74+1,FALSE)</f>
        <v>#N/A</v>
      </c>
      <c r="AI74" s="43" t="e">
        <f t="shared" si="51"/>
        <v>#N/A</v>
      </c>
      <c r="AJ74" s="43" t="e">
        <f t="shared" si="52"/>
        <v>#N/A</v>
      </c>
      <c r="AK74" s="43" t="e">
        <f>HLOOKUP(I74,GasAvoidedCostsWOCC!$A$5:$Q$50,G74+1,FALSE)*J74*L74</f>
        <v>#N/A</v>
      </c>
      <c r="AL74" s="43" t="e">
        <f t="shared" si="5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54"/>
        <v>0</v>
      </c>
      <c r="AO74" s="46">
        <f t="shared" si="55"/>
        <v>0</v>
      </c>
      <c r="AP74" s="46" t="e">
        <f t="shared" si="56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38"/>
        <v>0</v>
      </c>
      <c r="U76" s="46">
        <f t="shared" si="39"/>
        <v>0</v>
      </c>
      <c r="V76" s="47">
        <f t="shared" si="40"/>
        <v>0</v>
      </c>
      <c r="W76" s="48">
        <f t="shared" si="41"/>
        <v>0</v>
      </c>
      <c r="X76" s="43">
        <f t="shared" si="42"/>
        <v>0</v>
      </c>
      <c r="Y76" s="43">
        <f t="shared" si="43"/>
        <v>0</v>
      </c>
      <c r="Z76" s="43">
        <f t="shared" si="44"/>
        <v>0</v>
      </c>
      <c r="AA76" s="49">
        <f t="shared" si="45"/>
        <v>0</v>
      </c>
      <c r="AB76" s="50">
        <f t="shared" si="46"/>
        <v>0</v>
      </c>
      <c r="AC76" s="43">
        <f t="shared" si="47"/>
        <v>0</v>
      </c>
      <c r="AD76" s="43">
        <f t="shared" si="48"/>
        <v>0</v>
      </c>
      <c r="AE76" s="43">
        <f t="shared" si="49"/>
        <v>0</v>
      </c>
      <c r="AF76" s="51" t="e">
        <f>HLOOKUP(I76,GasAvoidedCostsWOCC!$A$5:$G$50,G76+1,FALSE)</f>
        <v>#N/A</v>
      </c>
      <c r="AG76" s="43" t="e">
        <f t="shared" si="50"/>
        <v>#N/A</v>
      </c>
      <c r="AH76" s="51" t="e">
        <f>HLOOKUP(I76,GasAvoidedCostsWOCC!$A$5:$Q$50,T76+1,FALSE)</f>
        <v>#N/A</v>
      </c>
      <c r="AI76" s="43" t="e">
        <f t="shared" si="51"/>
        <v>#N/A</v>
      </c>
      <c r="AJ76" s="43" t="e">
        <f t="shared" si="52"/>
        <v>#N/A</v>
      </c>
      <c r="AK76" s="43" t="e">
        <f>HLOOKUP(I76,GasAvoidedCostsWOCC!$A$5:$Q$50,G76+1,FALSE)*J76*L76</f>
        <v>#N/A</v>
      </c>
      <c r="AL76" s="43" t="e">
        <f t="shared" si="5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54"/>
        <v>0</v>
      </c>
      <c r="AO76" s="46">
        <f t="shared" si="55"/>
        <v>0</v>
      </c>
      <c r="AP76" s="46" t="e">
        <f t="shared" si="56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38"/>
        <v>0</v>
      </c>
      <c r="U77" s="46">
        <f t="shared" si="39"/>
        <v>0</v>
      </c>
      <c r="V77" s="47">
        <f t="shared" si="40"/>
        <v>0</v>
      </c>
      <c r="W77" s="48">
        <f t="shared" si="41"/>
        <v>0</v>
      </c>
      <c r="X77" s="43">
        <f t="shared" si="42"/>
        <v>0</v>
      </c>
      <c r="Y77" s="43">
        <f t="shared" si="43"/>
        <v>0</v>
      </c>
      <c r="Z77" s="43">
        <f t="shared" si="44"/>
        <v>0</v>
      </c>
      <c r="AA77" s="49">
        <f t="shared" si="45"/>
        <v>0</v>
      </c>
      <c r="AB77" s="50">
        <f t="shared" si="46"/>
        <v>0</v>
      </c>
      <c r="AC77" s="43">
        <f t="shared" si="47"/>
        <v>0</v>
      </c>
      <c r="AD77" s="43">
        <f t="shared" si="48"/>
        <v>0</v>
      </c>
      <c r="AE77" s="43">
        <f t="shared" si="49"/>
        <v>0</v>
      </c>
      <c r="AF77" s="51" t="e">
        <f>HLOOKUP(I77,GasAvoidedCostsWOCC!$A$5:$G$50,G77+1,FALSE)</f>
        <v>#N/A</v>
      </c>
      <c r="AG77" s="43" t="e">
        <f t="shared" si="50"/>
        <v>#N/A</v>
      </c>
      <c r="AH77" s="51" t="e">
        <f>HLOOKUP(I77,GasAvoidedCostsWOCC!$A$5:$Q$50,T77+1,FALSE)</f>
        <v>#N/A</v>
      </c>
      <c r="AI77" s="43" t="e">
        <f t="shared" si="51"/>
        <v>#N/A</v>
      </c>
      <c r="AJ77" s="43" t="e">
        <f t="shared" si="52"/>
        <v>#N/A</v>
      </c>
      <c r="AK77" s="43" t="e">
        <f>HLOOKUP(I77,GasAvoidedCostsWOCC!$A$5:$Q$50,G77+1,FALSE)*J77*L77</f>
        <v>#N/A</v>
      </c>
      <c r="AL77" s="43" t="e">
        <f t="shared" si="5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54"/>
        <v>0</v>
      </c>
      <c r="AO77" s="46">
        <f t="shared" si="55"/>
        <v>0</v>
      </c>
      <c r="AP77" s="46" t="e">
        <f t="shared" si="56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38"/>
        <v>0</v>
      </c>
      <c r="U78" s="46">
        <f t="shared" si="39"/>
        <v>0</v>
      </c>
      <c r="V78" s="47">
        <f t="shared" si="40"/>
        <v>0</v>
      </c>
      <c r="W78" s="48">
        <f t="shared" si="41"/>
        <v>0</v>
      </c>
      <c r="X78" s="43">
        <f t="shared" si="42"/>
        <v>0</v>
      </c>
      <c r="Y78" s="43">
        <f t="shared" si="43"/>
        <v>0</v>
      </c>
      <c r="Z78" s="43">
        <f t="shared" si="44"/>
        <v>0</v>
      </c>
      <c r="AA78" s="49">
        <f t="shared" si="45"/>
        <v>0</v>
      </c>
      <c r="AB78" s="50">
        <f t="shared" si="46"/>
        <v>0</v>
      </c>
      <c r="AC78" s="43">
        <f t="shared" si="47"/>
        <v>0</v>
      </c>
      <c r="AD78" s="43">
        <f t="shared" si="48"/>
        <v>0</v>
      </c>
      <c r="AE78" s="43">
        <f t="shared" si="49"/>
        <v>0</v>
      </c>
      <c r="AF78" s="51" t="e">
        <f>HLOOKUP(I78,GasAvoidedCostsWOCC!$A$5:$G$50,G78+1,FALSE)</f>
        <v>#N/A</v>
      </c>
      <c r="AG78" s="43" t="e">
        <f t="shared" si="50"/>
        <v>#N/A</v>
      </c>
      <c r="AH78" s="51" t="e">
        <f>HLOOKUP(I78,GasAvoidedCostsWOCC!$A$5:$Q$50,T78+1,FALSE)</f>
        <v>#N/A</v>
      </c>
      <c r="AI78" s="43" t="e">
        <f t="shared" si="51"/>
        <v>#N/A</v>
      </c>
      <c r="AJ78" s="43" t="e">
        <f t="shared" si="52"/>
        <v>#N/A</v>
      </c>
      <c r="AK78" s="43" t="e">
        <f>HLOOKUP(I78,GasAvoidedCostsWOCC!$A$5:$Q$50,G78+1,FALSE)*J78*L78</f>
        <v>#N/A</v>
      </c>
      <c r="AL78" s="43" t="e">
        <f t="shared" si="5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54"/>
        <v>0</v>
      </c>
      <c r="AO78" s="46">
        <f t="shared" si="55"/>
        <v>0</v>
      </c>
      <c r="AP78" s="46" t="e">
        <f t="shared" si="56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38"/>
        <v>0</v>
      </c>
      <c r="U79" s="46">
        <f t="shared" si="39"/>
        <v>0</v>
      </c>
      <c r="V79" s="47">
        <f t="shared" si="40"/>
        <v>0</v>
      </c>
      <c r="W79" s="48">
        <f t="shared" si="41"/>
        <v>0</v>
      </c>
      <c r="X79" s="43">
        <f t="shared" si="42"/>
        <v>0</v>
      </c>
      <c r="Y79" s="43">
        <f t="shared" si="43"/>
        <v>0</v>
      </c>
      <c r="Z79" s="43">
        <f t="shared" si="44"/>
        <v>0</v>
      </c>
      <c r="AA79" s="49">
        <f t="shared" si="45"/>
        <v>0</v>
      </c>
      <c r="AB79" s="50">
        <f t="shared" si="46"/>
        <v>0</v>
      </c>
      <c r="AC79" s="43">
        <f t="shared" si="47"/>
        <v>0</v>
      </c>
      <c r="AD79" s="43">
        <f t="shared" si="48"/>
        <v>0</v>
      </c>
      <c r="AE79" s="43">
        <f t="shared" si="49"/>
        <v>0</v>
      </c>
      <c r="AF79" s="51" t="e">
        <f>HLOOKUP(I79,GasAvoidedCostsWOCC!$A$5:$G$50,G79+1,FALSE)</f>
        <v>#N/A</v>
      </c>
      <c r="AG79" s="43" t="e">
        <f t="shared" si="50"/>
        <v>#N/A</v>
      </c>
      <c r="AH79" s="51" t="e">
        <f>HLOOKUP(I79,GasAvoidedCostsWOCC!$A$5:$Q$50,T79+1,FALSE)</f>
        <v>#N/A</v>
      </c>
      <c r="AI79" s="43" t="e">
        <f t="shared" si="51"/>
        <v>#N/A</v>
      </c>
      <c r="AJ79" s="43" t="e">
        <f t="shared" si="52"/>
        <v>#N/A</v>
      </c>
      <c r="AK79" s="43" t="e">
        <f>HLOOKUP(I79,GasAvoidedCostsWOCC!$A$5:$Q$50,G79+1,FALSE)*J79*L79</f>
        <v>#N/A</v>
      </c>
      <c r="AL79" s="43" t="e">
        <f t="shared" si="5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54"/>
        <v>0</v>
      </c>
      <c r="AO79" s="46">
        <f t="shared" si="55"/>
        <v>0</v>
      </c>
      <c r="AP79" s="46" t="e">
        <f t="shared" si="56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HLOOKUP(I80,GasAvoidedCostsWOCC!$A$5:$G$50,G80+1,FALSE)</f>
        <v>#N/A</v>
      </c>
      <c r="AG80" s="43" t="e">
        <f t="shared" si="50"/>
        <v>#N/A</v>
      </c>
      <c r="AH80" s="51" t="e">
        <f>HLOOKUP(I80,GasAvoidedCostsWOCC!$A$5:$Q$50,T80+1,FALSE)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HLOOKUP(I80,GasAvoidedCostsWOCC!$A$5:$Q$50,G80+1,FALSE)*J80*L80</f>
        <v>#N/A</v>
      </c>
      <c r="AL80" s="43" t="e">
        <f t="shared" si="5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HLOOKUP(I81,GasAvoidedCostsWOCC!$A$5:$G$50,G81+1,FALSE)</f>
        <v>#N/A</v>
      </c>
      <c r="AG81" s="43" t="e">
        <f t="shared" si="50"/>
        <v>#N/A</v>
      </c>
      <c r="AH81" s="51" t="e">
        <f>HLOOKUP(I81,GasAvoidedCostsWOCC!$A$5:$Q$50,T81+1,FALSE)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HLOOKUP(I81,GasAvoidedCostsWOCC!$A$5:$Q$50,G81+1,FALSE)*J81*L81</f>
        <v>#N/A</v>
      </c>
      <c r="AL81" s="43" t="e">
        <f t="shared" si="5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HLOOKUP(I82,GasAvoidedCostsWOCC!$A$5:$G$50,G82+1,FALSE)</f>
        <v>#N/A</v>
      </c>
      <c r="AG82" s="43" t="e">
        <f t="shared" si="50"/>
        <v>#N/A</v>
      </c>
      <c r="AH82" s="51" t="e">
        <f>HLOOKUP(I82,GasAvoidedCostsWOCC!$A$5:$Q$50,T82+1,FALSE)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HLOOKUP(I82,GasAvoidedCostsWOCC!$A$5:$Q$50,G82+1,FALSE)*J82*L82</f>
        <v>#N/A</v>
      </c>
      <c r="AL82" s="43" t="e">
        <f t="shared" si="5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HLOOKUP(I83,GasAvoidedCostsWOCC!$A$5:$G$50,G83+1,FALSE)</f>
        <v>#N/A</v>
      </c>
      <c r="AG83" s="43" t="e">
        <f t="shared" si="50"/>
        <v>#N/A</v>
      </c>
      <c r="AH83" s="51" t="e">
        <f>HLOOKUP(I83,GasAvoidedCostsWOCC!$A$5:$Q$50,T83+1,FALSE)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HLOOKUP(I83,GasAvoidedCostsWOCC!$A$5:$Q$50,G83+1,FALSE)*J83*L83</f>
        <v>#N/A</v>
      </c>
      <c r="AL83" s="43" t="e">
        <f t="shared" si="5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HLOOKUP(I84,GasAvoidedCostsWOCC!$A$5:$G$50,G84+1,FALSE)</f>
        <v>#N/A</v>
      </c>
      <c r="AG84" s="43" t="e">
        <f t="shared" si="50"/>
        <v>#N/A</v>
      </c>
      <c r="AH84" s="51" t="e">
        <f>HLOOKUP(I84,GasAvoidedCostsWOCC!$A$5:$Q$50,T84+1,FALSE)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HLOOKUP(I84,GasAvoidedCostsWOCC!$A$5:$Q$50,G84+1,FALSE)*J84*L84</f>
        <v>#N/A</v>
      </c>
      <c r="AL84" s="43" t="e">
        <f t="shared" si="5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HLOOKUP(I85,GasAvoidedCostsWOCC!$A$5:$G$50,G85+1,FALSE)</f>
        <v>#N/A</v>
      </c>
      <c r="AG85" s="43" t="e">
        <f t="shared" si="50"/>
        <v>#N/A</v>
      </c>
      <c r="AH85" s="51" t="e">
        <f>HLOOKUP(I85,GasAvoidedCostsWOCC!$A$5:$Q$50,T85+1,FALSE)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HLOOKUP(I85,GasAvoidedCostsWOCC!$A$5:$Q$50,G85+1,FALSE)*J85*L85</f>
        <v>#N/A</v>
      </c>
      <c r="AL85" s="43" t="e">
        <f t="shared" si="5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HLOOKUP(I86,GasAvoidedCostsWOCC!$A$5:$G$50,G86+1,FALSE)</f>
        <v>#N/A</v>
      </c>
      <c r="AG86" s="43" t="e">
        <f t="shared" si="50"/>
        <v>#N/A</v>
      </c>
      <c r="AH86" s="51" t="e">
        <f>HLOOKUP(I86,GasAvoidedCostsWOCC!$A$5:$Q$50,T86+1,FALSE)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HLOOKUP(I86,GasAvoidedCostsWOCC!$A$5:$Q$50,G86+1,FALSE)*J86*L86</f>
        <v>#N/A</v>
      </c>
      <c r="AL86" s="43" t="e">
        <f t="shared" si="53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HLOOKUP(I87,GasAvoidedCostsWOCC!$A$5:$G$50,G87+1,FALSE)</f>
        <v>#N/A</v>
      </c>
      <c r="AG87" s="43" t="e">
        <f t="shared" si="50"/>
        <v>#N/A</v>
      </c>
      <c r="AH87" s="51" t="e">
        <f>HLOOKUP(I87,GasAvoidedCostsWOCC!$A$5:$Q$50,T87+1,FALSE)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HLOOKUP(I87,GasAvoidedCostsWOCC!$A$5:$Q$50,G87+1,FALSE)*J87*L87</f>
        <v>#N/A</v>
      </c>
      <c r="AL87" s="43" t="e">
        <f t="shared" si="53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HLOOKUP(I88,GasAvoidedCostsWOCC!$A$5:$G$50,G88+1,FALSE)</f>
        <v>#N/A</v>
      </c>
      <c r="AG88" s="43" t="e">
        <f t="shared" si="50"/>
        <v>#N/A</v>
      </c>
      <c r="AH88" s="51" t="e">
        <f>HLOOKUP(I88,GasAvoidedCostsWOCC!$A$5:$Q$50,T88+1,FALSE)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HLOOKUP(I88,GasAvoidedCostsWOCC!$A$5:$Q$50,G88+1,FALSE)*J88*L88</f>
        <v>#N/A</v>
      </c>
      <c r="AL88" s="43" t="e">
        <f t="shared" si="53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141"/>
  <sheetViews>
    <sheetView zoomScale="85" zoomScaleNormal="85" workbookViewId="0">
      <selection activeCell="A38" sqref="A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18231029</v>
      </c>
      <c r="D2" s="19" t="s">
        <v>155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18231029</v>
      </c>
      <c r="D5" s="60" t="s">
        <v>155</v>
      </c>
      <c r="E5" s="37" t="s">
        <v>827</v>
      </c>
      <c r="F5" s="508" t="s">
        <v>718</v>
      </c>
      <c r="G5" s="38">
        <v>15</v>
      </c>
      <c r="H5" s="38">
        <v>0</v>
      </c>
      <c r="I5" s="39" t="s">
        <v>260</v>
      </c>
      <c r="J5" s="40">
        <v>350</v>
      </c>
      <c r="K5" s="40">
        <v>15.2</v>
      </c>
      <c r="L5" s="40">
        <v>0</v>
      </c>
      <c r="M5" s="41">
        <v>0</v>
      </c>
      <c r="N5" s="41">
        <v>0</v>
      </c>
      <c r="O5" s="42">
        <v>5320</v>
      </c>
      <c r="P5" s="43">
        <v>0</v>
      </c>
      <c r="Q5" s="43">
        <v>0</v>
      </c>
      <c r="R5" s="44">
        <v>10.36</v>
      </c>
      <c r="S5" s="45">
        <v>10.36</v>
      </c>
      <c r="T5" s="38">
        <f t="shared" ref="T5:T24" si="0">G5+H5</f>
        <v>15</v>
      </c>
      <c r="U5" s="46">
        <f t="shared" ref="U5:U24" si="1">(O5/$A$10)*T5</f>
        <v>1.7671639675709909</v>
      </c>
      <c r="V5" s="47">
        <f t="shared" ref="V5:V24" si="2">N5-M5</f>
        <v>0</v>
      </c>
      <c r="W5" s="48">
        <f t="shared" ref="W5:W24" si="3">(O5/A$10)</f>
        <v>0.1178109311713994</v>
      </c>
      <c r="X5" s="43">
        <f t="shared" ref="X5:X24" si="4">W5*A$8</f>
        <v>10563.493581297293</v>
      </c>
      <c r="Y5" s="43">
        <f t="shared" ref="Y5:Y24" si="5">Q5-P5</f>
        <v>0</v>
      </c>
      <c r="Z5" s="43">
        <f t="shared" ref="Z5:Z24" si="6">X5+(A$6*W5)</f>
        <v>28788.844633512781</v>
      </c>
      <c r="AA5" s="49">
        <f t="shared" ref="AA5:AA24" si="7">Q5+X5</f>
        <v>10563.493581297293</v>
      </c>
      <c r="AB5" s="50">
        <f t="shared" ref="AB5:AB24" si="8">Z5/(1+GasDiscountRate)^1</f>
        <v>26955.847035124327</v>
      </c>
      <c r="AC5" s="43">
        <f t="shared" ref="AC5:AC24" si="9">AA5/(1+GasDiscountRate)^1</f>
        <v>9890.9115929749933</v>
      </c>
      <c r="AD5" s="43">
        <f t="shared" ref="AD5:AD24" si="10">-PV(GasDiscountRate,T5,R5)*J5</f>
        <v>33446.563328652359</v>
      </c>
      <c r="AE5" s="43">
        <v>0</v>
      </c>
      <c r="AF5" s="51">
        <f>HLOOKUP(I5,GasAvoidedCostsWOCC!$A$5:$G$50,G5+1,FALSE)</f>
        <v>14.729121422760718</v>
      </c>
      <c r="AG5" s="43">
        <f t="shared" ref="AG5:AG24" si="11">AF5*J5*K5</f>
        <v>78358.925969087024</v>
      </c>
      <c r="AH5" s="51">
        <f>HLOOKUP(I5,GasAvoidedCostsWOCC!$A$5:$Q$50,T5+1,FALSE)</f>
        <v>14.729121422760718</v>
      </c>
      <c r="AI5" s="43">
        <f t="shared" ref="AI5:AI24" si="12">AH5*J5*L5</f>
        <v>0</v>
      </c>
      <c r="AJ5" s="43">
        <f>AG5+AI5</f>
        <v>78358.925969087024</v>
      </c>
      <c r="AK5" s="43">
        <f>HLOOKUP(I5,GasAvoidedCostsWOCC!$A$5:$Q$50,G5+1,FALSE)*J5*L5</f>
        <v>0</v>
      </c>
      <c r="AL5" s="43">
        <f>AG5+AI5-AK5</f>
        <v>78358.925969087024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78358.925969087024</v>
      </c>
      <c r="AN5" s="47">
        <f>AM5*1.1+AD5+AE5</f>
        <v>119641.3818946481</v>
      </c>
      <c r="AO5" s="46">
        <f>IFERROR(AM5/AB5,0)</f>
        <v>2.9069361414235231</v>
      </c>
      <c r="AP5" s="46">
        <f>AN5/AC5</f>
        <v>12.096092536063434</v>
      </c>
    </row>
    <row r="6" spans="1:42" ht="13.5" customHeight="1" x14ac:dyDescent="0.25">
      <c r="A6" s="52">
        <f>SUMIF('Program Costs'!D:D,C2,'Program Costs'!L:L)</f>
        <v>154700</v>
      </c>
      <c r="B6" s="88" t="s">
        <v>31</v>
      </c>
      <c r="C6" s="89">
        <v>18231029</v>
      </c>
      <c r="D6" s="60" t="s">
        <v>155</v>
      </c>
      <c r="E6" s="37" t="s">
        <v>830</v>
      </c>
      <c r="F6" s="508" t="s">
        <v>719</v>
      </c>
      <c r="G6" s="38">
        <v>15</v>
      </c>
      <c r="H6" s="38">
        <v>0</v>
      </c>
      <c r="I6" s="39" t="s">
        <v>260</v>
      </c>
      <c r="J6" s="40">
        <v>290</v>
      </c>
      <c r="K6" s="40">
        <v>15.2</v>
      </c>
      <c r="L6" s="40">
        <v>0</v>
      </c>
      <c r="M6" s="41">
        <v>0</v>
      </c>
      <c r="N6" s="41">
        <v>0</v>
      </c>
      <c r="O6" s="42">
        <v>4408</v>
      </c>
      <c r="P6" s="43">
        <v>0</v>
      </c>
      <c r="Q6" s="43">
        <v>0</v>
      </c>
      <c r="R6" s="44">
        <v>10.36</v>
      </c>
      <c r="S6" s="45">
        <v>10.36</v>
      </c>
      <c r="T6" s="38">
        <f t="shared" si="0"/>
        <v>15</v>
      </c>
      <c r="U6" s="46">
        <f t="shared" si="1"/>
        <v>1.4642215731302499</v>
      </c>
      <c r="V6" s="47">
        <f t="shared" si="2"/>
        <v>0</v>
      </c>
      <c r="W6" s="48">
        <f t="shared" si="3"/>
        <v>9.7614771542016657E-2</v>
      </c>
      <c r="X6" s="43">
        <f t="shared" si="4"/>
        <v>8752.6089673606148</v>
      </c>
      <c r="Y6" s="43">
        <f t="shared" si="5"/>
        <v>0</v>
      </c>
      <c r="Z6" s="43">
        <f t="shared" si="6"/>
        <v>23853.614124910593</v>
      </c>
      <c r="AA6" s="49">
        <f t="shared" si="7"/>
        <v>8752.6089673606148</v>
      </c>
      <c r="AB6" s="50">
        <f t="shared" si="8"/>
        <v>22334.844686245873</v>
      </c>
      <c r="AC6" s="43">
        <f t="shared" si="9"/>
        <v>8195.326748464995</v>
      </c>
      <c r="AD6" s="43">
        <f t="shared" si="10"/>
        <v>27712.866758026237</v>
      </c>
      <c r="AE6" s="43">
        <v>0</v>
      </c>
      <c r="AF6" s="51">
        <f>HLOOKUP(I6,GasAvoidedCostsWOCC!$A$5:$G$50,G6+1,FALSE)</f>
        <v>14.729121422760718</v>
      </c>
      <c r="AG6" s="43">
        <f t="shared" si="11"/>
        <v>64925.967231529241</v>
      </c>
      <c r="AH6" s="51">
        <f>HLOOKUP(I6,GasAvoidedCostsWOCC!$A$5:$Q$50,T6+1,FALSE)</f>
        <v>14.729121422760718</v>
      </c>
      <c r="AI6" s="43">
        <f t="shared" si="12"/>
        <v>0</v>
      </c>
      <c r="AJ6" s="43">
        <f t="shared" ref="AJ6:AJ24" si="13">AG6+AI6</f>
        <v>64925.967231529241</v>
      </c>
      <c r="AK6" s="43">
        <f>HLOOKUP(I6,GasAvoidedCostsWOCC!$A$5:$Q$50,G6+1,FALSE)*J6*L6</f>
        <v>0</v>
      </c>
      <c r="AL6" s="43">
        <f t="shared" ref="AL6:AL24" si="14">AG6+AI6-AK6</f>
        <v>64925.967231529241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64925.967231529241</v>
      </c>
      <c r="AN6" s="47">
        <f t="shared" ref="AN6:AN24" si="15">AM6*1.1+AD6+AE6</f>
        <v>99131.430712708418</v>
      </c>
      <c r="AO6" s="46">
        <f t="shared" ref="AO6:AO24" si="16">IFERROR(AM6/AB6,0)</f>
        <v>2.9069361414235222</v>
      </c>
      <c r="AP6" s="46">
        <f t="shared" ref="AP6:AP24" si="17">AN6/AC6</f>
        <v>12.096092536063431</v>
      </c>
    </row>
    <row r="7" spans="1:42" ht="13.5" customHeight="1" x14ac:dyDescent="0.25">
      <c r="A7" s="35" t="s">
        <v>239</v>
      </c>
      <c r="B7" s="88" t="s">
        <v>31</v>
      </c>
      <c r="C7" s="89">
        <v>18231029</v>
      </c>
      <c r="D7" s="60" t="s">
        <v>155</v>
      </c>
      <c r="E7" s="37" t="s">
        <v>833</v>
      </c>
      <c r="F7" s="508" t="s">
        <v>720</v>
      </c>
      <c r="G7" s="38">
        <v>15</v>
      </c>
      <c r="H7" s="38">
        <v>0</v>
      </c>
      <c r="I7" s="39" t="s">
        <v>260</v>
      </c>
      <c r="J7" s="40">
        <v>450</v>
      </c>
      <c r="K7" s="40">
        <v>15.2</v>
      </c>
      <c r="L7" s="40">
        <v>0</v>
      </c>
      <c r="M7" s="41">
        <v>0</v>
      </c>
      <c r="N7" s="41">
        <v>0</v>
      </c>
      <c r="O7" s="42">
        <v>6840</v>
      </c>
      <c r="P7" s="43">
        <v>0</v>
      </c>
      <c r="Q7" s="43">
        <v>0</v>
      </c>
      <c r="R7" s="44">
        <v>10.36</v>
      </c>
      <c r="S7" s="45">
        <v>10.36</v>
      </c>
      <c r="T7" s="38">
        <f t="shared" si="0"/>
        <v>15</v>
      </c>
      <c r="U7" s="46">
        <f t="shared" si="1"/>
        <v>2.2720679583055601</v>
      </c>
      <c r="V7" s="47">
        <f t="shared" si="2"/>
        <v>0</v>
      </c>
      <c r="W7" s="48">
        <f t="shared" si="3"/>
        <v>0.15147119722037067</v>
      </c>
      <c r="X7" s="43">
        <f t="shared" si="4"/>
        <v>13581.63460452509</v>
      </c>
      <c r="Y7" s="43">
        <f t="shared" si="5"/>
        <v>0</v>
      </c>
      <c r="Z7" s="43">
        <f t="shared" si="6"/>
        <v>37014.228814516435</v>
      </c>
      <c r="AA7" s="49">
        <f t="shared" si="7"/>
        <v>13581.63460452509</v>
      </c>
      <c r="AB7" s="50">
        <f t="shared" si="8"/>
        <v>34657.517616588419</v>
      </c>
      <c r="AC7" s="43">
        <f t="shared" si="9"/>
        <v>12716.88633382499</v>
      </c>
      <c r="AD7" s="43">
        <f t="shared" si="10"/>
        <v>43002.724279695889</v>
      </c>
      <c r="AE7" s="43">
        <v>0</v>
      </c>
      <c r="AF7" s="51">
        <f>HLOOKUP(I7,GasAvoidedCostsWOCC!$A$5:$G$50,G7+1,FALSE)</f>
        <v>14.729121422760718</v>
      </c>
      <c r="AG7" s="43">
        <f t="shared" si="11"/>
        <v>100747.19053168331</v>
      </c>
      <c r="AH7" s="51">
        <f>HLOOKUP(I7,GasAvoidedCostsWOCC!$A$5:$Q$50,T7+1,FALSE)</f>
        <v>14.729121422760718</v>
      </c>
      <c r="AI7" s="43">
        <f t="shared" si="12"/>
        <v>0</v>
      </c>
      <c r="AJ7" s="43">
        <f t="shared" si="13"/>
        <v>100747.19053168331</v>
      </c>
      <c r="AK7" s="43">
        <f>HLOOKUP(I7,GasAvoidedCostsWOCC!$A$5:$Q$50,G7+1,FALSE)*J7*L7</f>
        <v>0</v>
      </c>
      <c r="AL7" s="43">
        <f t="shared" si="14"/>
        <v>100747.19053168331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100747.19053168331</v>
      </c>
      <c r="AN7" s="47">
        <f t="shared" si="15"/>
        <v>153824.63386454753</v>
      </c>
      <c r="AO7" s="46">
        <f t="shared" si="16"/>
        <v>2.9069361414235231</v>
      </c>
      <c r="AP7" s="46">
        <f t="shared" si="17"/>
        <v>12.096092536063432</v>
      </c>
    </row>
    <row r="8" spans="1:42" ht="13.5" customHeight="1" x14ac:dyDescent="0.25">
      <c r="A8" s="52">
        <f>SUMIF('Program Costs'!D:D,C2,'Program Costs'!O:O)</f>
        <v>89664.799999999988</v>
      </c>
      <c r="B8" s="88" t="s">
        <v>31</v>
      </c>
      <c r="C8" s="89">
        <v>18231029</v>
      </c>
      <c r="D8" s="60" t="s">
        <v>155</v>
      </c>
      <c r="E8" s="37" t="s">
        <v>841</v>
      </c>
      <c r="F8" s="508" t="s">
        <v>842</v>
      </c>
      <c r="G8" s="38">
        <v>10</v>
      </c>
      <c r="H8" s="38">
        <v>0</v>
      </c>
      <c r="I8" s="39" t="s">
        <v>265</v>
      </c>
      <c r="J8" s="40">
        <v>3</v>
      </c>
      <c r="K8" s="40">
        <v>18</v>
      </c>
      <c r="L8" s="40">
        <v>0</v>
      </c>
      <c r="M8" s="41">
        <v>0</v>
      </c>
      <c r="N8" s="41">
        <v>0</v>
      </c>
      <c r="O8" s="42">
        <v>54</v>
      </c>
      <c r="P8" s="43">
        <v>0</v>
      </c>
      <c r="Q8" s="43">
        <v>0</v>
      </c>
      <c r="R8" s="44">
        <v>0</v>
      </c>
      <c r="S8" s="45">
        <v>0</v>
      </c>
      <c r="T8" s="38">
        <f t="shared" si="0"/>
        <v>10</v>
      </c>
      <c r="U8" s="46">
        <f t="shared" si="1"/>
        <v>1.1958252412134527E-2</v>
      </c>
      <c r="V8" s="47">
        <f t="shared" si="2"/>
        <v>0</v>
      </c>
      <c r="W8" s="48">
        <f t="shared" si="3"/>
        <v>1.1958252412134526E-3</v>
      </c>
      <c r="X8" s="43">
        <f t="shared" si="4"/>
        <v>107.22343108835597</v>
      </c>
      <c r="Y8" s="43">
        <f t="shared" si="5"/>
        <v>0</v>
      </c>
      <c r="Z8" s="43">
        <f t="shared" si="6"/>
        <v>292.21759590407709</v>
      </c>
      <c r="AA8" s="49">
        <f t="shared" si="7"/>
        <v>107.22343108835597</v>
      </c>
      <c r="AB8" s="50">
        <f t="shared" si="8"/>
        <v>273.61198118359277</v>
      </c>
      <c r="AC8" s="43">
        <f t="shared" si="9"/>
        <v>100.39647105651306</v>
      </c>
      <c r="AD8" s="43">
        <f t="shared" si="10"/>
        <v>0</v>
      </c>
      <c r="AE8" s="43">
        <v>0</v>
      </c>
      <c r="AF8" s="51">
        <f>HLOOKUP(I8,GasAvoidedCostsWOCC!$A$5:$G$50,G8+1,FALSE)</f>
        <v>11.478464345330913</v>
      </c>
      <c r="AG8" s="43">
        <f t="shared" si="11"/>
        <v>619.83707464786926</v>
      </c>
      <c r="AH8" s="51">
        <f>HLOOKUP(I8,GasAvoidedCostsWOCC!$A$5:$Q$50,T8+1,FALSE)</f>
        <v>11.478464345330913</v>
      </c>
      <c r="AI8" s="43">
        <f t="shared" si="12"/>
        <v>0</v>
      </c>
      <c r="AJ8" s="43">
        <f t="shared" si="13"/>
        <v>619.83707464786926</v>
      </c>
      <c r="AK8" s="43">
        <f>HLOOKUP(I8,GasAvoidedCostsWOCC!$A$5:$Q$50,G8+1,FALSE)*J8*L8</f>
        <v>0</v>
      </c>
      <c r="AL8" s="43">
        <f t="shared" si="14"/>
        <v>619.83707464786926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619.83707464786926</v>
      </c>
      <c r="AN8" s="47">
        <f t="shared" si="15"/>
        <v>681.82078211265627</v>
      </c>
      <c r="AO8" s="46">
        <f t="shared" si="16"/>
        <v>2.2653871806584398</v>
      </c>
      <c r="AP8" s="46">
        <f t="shared" si="17"/>
        <v>6.7912823522338757</v>
      </c>
    </row>
    <row r="9" spans="1:42" ht="13.5" customHeight="1" x14ac:dyDescent="0.25">
      <c r="A9" s="35" t="s">
        <v>303</v>
      </c>
      <c r="B9" s="88" t="s">
        <v>31</v>
      </c>
      <c r="C9" s="89">
        <v>18231029</v>
      </c>
      <c r="D9" s="60" t="s">
        <v>155</v>
      </c>
      <c r="E9" s="37" t="s">
        <v>847</v>
      </c>
      <c r="F9" s="508" t="s">
        <v>711</v>
      </c>
      <c r="G9" s="38">
        <v>10</v>
      </c>
      <c r="H9" s="38">
        <v>0</v>
      </c>
      <c r="I9" s="39" t="s">
        <v>265</v>
      </c>
      <c r="J9" s="40">
        <v>20</v>
      </c>
      <c r="K9" s="40">
        <v>18</v>
      </c>
      <c r="L9" s="40">
        <v>0</v>
      </c>
      <c r="M9" s="41">
        <v>0</v>
      </c>
      <c r="N9" s="41">
        <v>0</v>
      </c>
      <c r="O9" s="42">
        <v>360</v>
      </c>
      <c r="P9" s="43">
        <v>0</v>
      </c>
      <c r="Q9" s="43">
        <v>0</v>
      </c>
      <c r="R9" s="44">
        <v>0</v>
      </c>
      <c r="S9" s="45">
        <v>0</v>
      </c>
      <c r="T9" s="38">
        <f t="shared" si="0"/>
        <v>10</v>
      </c>
      <c r="U9" s="46">
        <f t="shared" si="1"/>
        <v>7.9721682747563513E-2</v>
      </c>
      <c r="V9" s="47">
        <f t="shared" si="2"/>
        <v>0</v>
      </c>
      <c r="W9" s="48">
        <f t="shared" si="3"/>
        <v>7.9721682747563513E-3</v>
      </c>
      <c r="X9" s="43">
        <f t="shared" si="4"/>
        <v>714.82287392237322</v>
      </c>
      <c r="Y9" s="43">
        <f t="shared" si="5"/>
        <v>0</v>
      </c>
      <c r="Z9" s="43">
        <f t="shared" si="6"/>
        <v>1948.1173060271808</v>
      </c>
      <c r="AA9" s="49">
        <f t="shared" si="7"/>
        <v>714.82287392237322</v>
      </c>
      <c r="AB9" s="50">
        <f t="shared" si="8"/>
        <v>1824.0798745572854</v>
      </c>
      <c r="AC9" s="43">
        <f t="shared" si="9"/>
        <v>669.30980704342062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11.478464345330913</v>
      </c>
      <c r="AG9" s="43">
        <f t="shared" si="11"/>
        <v>4132.2471643191284</v>
      </c>
      <c r="AH9" s="51">
        <f>HLOOKUP(I9,GasAvoidedCostsWOCC!$A$5:$Q$50,T9+1,FALSE)</f>
        <v>11.478464345330913</v>
      </c>
      <c r="AI9" s="43">
        <f t="shared" si="12"/>
        <v>0</v>
      </c>
      <c r="AJ9" s="43">
        <f t="shared" si="13"/>
        <v>4132.2471643191284</v>
      </c>
      <c r="AK9" s="43">
        <f>HLOOKUP(I9,GasAvoidedCostsWOCC!$A$5:$Q$50,G9+1,FALSE)*J9*L9</f>
        <v>0</v>
      </c>
      <c r="AL9" s="43">
        <f t="shared" si="14"/>
        <v>4132.2471643191284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4132.2471643191284</v>
      </c>
      <c r="AN9" s="47">
        <f t="shared" si="15"/>
        <v>4545.4718807510417</v>
      </c>
      <c r="AO9" s="46">
        <f t="shared" si="16"/>
        <v>2.2653871806584394</v>
      </c>
      <c r="AP9" s="46">
        <f t="shared" si="17"/>
        <v>6.7912823522338739</v>
      </c>
    </row>
    <row r="10" spans="1:42" ht="13.5" customHeight="1" x14ac:dyDescent="0.25">
      <c r="A10" s="53">
        <f>SUM(O5:O999)</f>
        <v>45157.1</v>
      </c>
      <c r="B10" s="36"/>
      <c r="E10" s="37" t="s">
        <v>850</v>
      </c>
      <c r="F10" s="38" t="s">
        <v>714</v>
      </c>
      <c r="G10" s="38">
        <v>10</v>
      </c>
      <c r="H10" s="38">
        <v>0</v>
      </c>
      <c r="I10" s="39" t="s">
        <v>265</v>
      </c>
      <c r="J10" s="40">
        <v>100</v>
      </c>
      <c r="K10" s="40">
        <v>6</v>
      </c>
      <c r="L10" s="40">
        <v>0</v>
      </c>
      <c r="M10" s="41">
        <v>0</v>
      </c>
      <c r="N10" s="41">
        <v>0</v>
      </c>
      <c r="O10" s="42">
        <v>600</v>
      </c>
      <c r="P10" s="43">
        <v>0</v>
      </c>
      <c r="Q10" s="43">
        <v>0</v>
      </c>
      <c r="R10" s="44">
        <v>0</v>
      </c>
      <c r="S10" s="45">
        <v>0</v>
      </c>
      <c r="T10" s="38">
        <f t="shared" si="0"/>
        <v>10</v>
      </c>
      <c r="U10" s="46">
        <f t="shared" si="1"/>
        <v>0.13286947124593917</v>
      </c>
      <c r="V10" s="47">
        <f t="shared" si="2"/>
        <v>0</v>
      </c>
      <c r="W10" s="48">
        <f t="shared" si="3"/>
        <v>1.3286947124593919E-2</v>
      </c>
      <c r="X10" s="43">
        <f t="shared" si="4"/>
        <v>1191.3714565372886</v>
      </c>
      <c r="Y10" s="43">
        <f t="shared" si="5"/>
        <v>0</v>
      </c>
      <c r="Z10" s="43">
        <f t="shared" si="6"/>
        <v>3246.8621767119675</v>
      </c>
      <c r="AA10" s="49">
        <f t="shared" si="7"/>
        <v>1191.3714565372886</v>
      </c>
      <c r="AB10" s="50">
        <f t="shared" si="8"/>
        <v>3040.1331242621418</v>
      </c>
      <c r="AC10" s="43">
        <f t="shared" si="9"/>
        <v>1115.5163450723676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11.478464345330913</v>
      </c>
      <c r="AG10" s="43">
        <f t="shared" si="11"/>
        <v>6887.0786071985476</v>
      </c>
      <c r="AH10" s="51">
        <f>HLOOKUP(I10,GasAvoidedCostsWOCC!$A$5:$Q$50,T10+1,FALSE)</f>
        <v>11.478464345330913</v>
      </c>
      <c r="AI10" s="43">
        <f t="shared" si="12"/>
        <v>0</v>
      </c>
      <c r="AJ10" s="43">
        <f t="shared" si="13"/>
        <v>6887.0786071985476</v>
      </c>
      <c r="AK10" s="43">
        <f>HLOOKUP(I10,GasAvoidedCostsWOCC!$A$5:$Q$50,G10+1,FALSE)*J10*L10</f>
        <v>0</v>
      </c>
      <c r="AL10" s="43">
        <f t="shared" si="14"/>
        <v>6887.0786071985476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6887.0786071985476</v>
      </c>
      <c r="AN10" s="47">
        <f t="shared" si="15"/>
        <v>7575.7864679184031</v>
      </c>
      <c r="AO10" s="46">
        <f t="shared" si="16"/>
        <v>2.2653871806584398</v>
      </c>
      <c r="AP10" s="46">
        <f t="shared" si="17"/>
        <v>6.7912823522338748</v>
      </c>
    </row>
    <row r="11" spans="1:42" ht="13.5" customHeight="1" x14ac:dyDescent="0.25">
      <c r="A11" s="35" t="s">
        <v>242</v>
      </c>
      <c r="B11" s="36"/>
      <c r="E11" s="37" t="s">
        <v>855</v>
      </c>
      <c r="F11" s="38" t="s">
        <v>856</v>
      </c>
      <c r="G11" s="38">
        <v>10</v>
      </c>
      <c r="H11" s="38">
        <v>0</v>
      </c>
      <c r="I11" s="39" t="s">
        <v>265</v>
      </c>
      <c r="J11" s="40">
        <v>15</v>
      </c>
      <c r="K11" s="40">
        <v>6</v>
      </c>
      <c r="L11" s="40">
        <v>0</v>
      </c>
      <c r="M11" s="41">
        <v>0</v>
      </c>
      <c r="N11" s="41">
        <v>0</v>
      </c>
      <c r="O11" s="42">
        <v>90</v>
      </c>
      <c r="P11" s="43">
        <v>0</v>
      </c>
      <c r="Q11" s="43">
        <v>0</v>
      </c>
      <c r="R11" s="44">
        <v>0</v>
      </c>
      <c r="S11" s="45">
        <v>0</v>
      </c>
      <c r="T11" s="38">
        <f t="shared" si="0"/>
        <v>10</v>
      </c>
      <c r="U11" s="46">
        <f t="shared" si="1"/>
        <v>1.9930420686890878E-2</v>
      </c>
      <c r="V11" s="47">
        <f t="shared" si="2"/>
        <v>0</v>
      </c>
      <c r="W11" s="48">
        <f t="shared" si="3"/>
        <v>1.9930420686890878E-3</v>
      </c>
      <c r="X11" s="43">
        <f t="shared" si="4"/>
        <v>178.7057184805933</v>
      </c>
      <c r="Y11" s="43">
        <f t="shared" si="5"/>
        <v>0</v>
      </c>
      <c r="Z11" s="43">
        <f t="shared" si="6"/>
        <v>487.0293265067952</v>
      </c>
      <c r="AA11" s="49">
        <f t="shared" si="7"/>
        <v>178.7057184805933</v>
      </c>
      <c r="AB11" s="50">
        <f t="shared" si="8"/>
        <v>456.01996863932135</v>
      </c>
      <c r="AC11" s="43">
        <f t="shared" si="9"/>
        <v>167.32745176085515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11.478464345330913</v>
      </c>
      <c r="AG11" s="43">
        <f t="shared" si="11"/>
        <v>1033.0617910797823</v>
      </c>
      <c r="AH11" s="51">
        <f>HLOOKUP(I11,GasAvoidedCostsWOCC!$A$5:$Q$50,T11+1,FALSE)</f>
        <v>11.478464345330913</v>
      </c>
      <c r="AI11" s="43">
        <f t="shared" si="12"/>
        <v>0</v>
      </c>
      <c r="AJ11" s="43">
        <f t="shared" si="13"/>
        <v>1033.0617910797823</v>
      </c>
      <c r="AK11" s="43">
        <f>HLOOKUP(I11,GasAvoidedCostsWOCC!$A$5:$Q$50,G11+1,FALSE)*J11*L11</f>
        <v>0</v>
      </c>
      <c r="AL11" s="43">
        <f t="shared" si="14"/>
        <v>1033.0617910797823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1033.0617910797821</v>
      </c>
      <c r="AN11" s="47">
        <f t="shared" si="15"/>
        <v>1136.3679701877604</v>
      </c>
      <c r="AO11" s="46">
        <f t="shared" si="16"/>
        <v>2.2653871806584394</v>
      </c>
      <c r="AP11" s="46">
        <f t="shared" si="17"/>
        <v>6.7912823522338739</v>
      </c>
    </row>
    <row r="12" spans="1:42" ht="13.5" customHeight="1" x14ac:dyDescent="0.25">
      <c r="A12" s="54">
        <f>SUM(P5:P1000)</f>
        <v>154700</v>
      </c>
      <c r="B12" s="36"/>
      <c r="E12" s="37" t="s">
        <v>857</v>
      </c>
      <c r="F12" s="38" t="s">
        <v>859</v>
      </c>
      <c r="G12" s="38">
        <v>45</v>
      </c>
      <c r="H12" s="38">
        <v>0</v>
      </c>
      <c r="I12" s="39" t="s">
        <v>265</v>
      </c>
      <c r="J12" s="40">
        <v>38000</v>
      </c>
      <c r="K12" s="40">
        <v>0.17899999999999999</v>
      </c>
      <c r="L12" s="40">
        <v>0</v>
      </c>
      <c r="M12" s="41">
        <v>0.7</v>
      </c>
      <c r="N12" s="41">
        <v>0.82</v>
      </c>
      <c r="O12" s="42">
        <v>6802</v>
      </c>
      <c r="P12" s="43">
        <v>26600</v>
      </c>
      <c r="Q12" s="43">
        <v>31159.999999999996</v>
      </c>
      <c r="R12" s="44">
        <v>0</v>
      </c>
      <c r="S12" s="45">
        <v>0</v>
      </c>
      <c r="T12" s="38">
        <f t="shared" si="0"/>
        <v>45</v>
      </c>
      <c r="U12" s="46">
        <f t="shared" si="1"/>
        <v>6.7783360756115867</v>
      </c>
      <c r="V12" s="47">
        <f t="shared" si="2"/>
        <v>0.12</v>
      </c>
      <c r="W12" s="48">
        <f t="shared" si="3"/>
        <v>0.15062969056914638</v>
      </c>
      <c r="X12" s="43">
        <f t="shared" si="4"/>
        <v>13506.181078944395</v>
      </c>
      <c r="Y12" s="43">
        <f t="shared" si="5"/>
        <v>4559.9999999999964</v>
      </c>
      <c r="Z12" s="43">
        <f t="shared" si="6"/>
        <v>36808.594209991337</v>
      </c>
      <c r="AA12" s="49">
        <f t="shared" si="7"/>
        <v>44666.181078944392</v>
      </c>
      <c r="AB12" s="50">
        <f t="shared" si="8"/>
        <v>34464.975852051815</v>
      </c>
      <c r="AC12" s="43">
        <f t="shared" si="9"/>
        <v>41822.266927850549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38.55391092357042</v>
      </c>
      <c r="AG12" s="43">
        <f t="shared" si="11"/>
        <v>262243.70210212597</v>
      </c>
      <c r="AH12" s="51">
        <f>HLOOKUP(I12,GasAvoidedCostsWOCC!$A$5:$Q$50,T12+1,FALSE)</f>
        <v>38.55391092357042</v>
      </c>
      <c r="AI12" s="43">
        <f t="shared" si="12"/>
        <v>0</v>
      </c>
      <c r="AJ12" s="43">
        <f t="shared" si="13"/>
        <v>262243.70210212597</v>
      </c>
      <c r="AK12" s="43">
        <f>HLOOKUP(I12,GasAvoidedCostsWOCC!$A$5:$Q$50,G12+1,FALSE)*J12*L12</f>
        <v>0</v>
      </c>
      <c r="AL12" s="43">
        <f t="shared" si="14"/>
        <v>262243.70210212597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262243.70210212597</v>
      </c>
      <c r="AN12" s="47">
        <f t="shared" si="15"/>
        <v>288468.07231233857</v>
      </c>
      <c r="AO12" s="46">
        <f t="shared" si="16"/>
        <v>7.6089913199957673</v>
      </c>
      <c r="AP12" s="46">
        <f t="shared" si="17"/>
        <v>6.8974757587862863</v>
      </c>
    </row>
    <row r="13" spans="1:42" ht="13.5" customHeight="1" x14ac:dyDescent="0.25">
      <c r="A13" s="55" t="s">
        <v>245</v>
      </c>
      <c r="B13" s="36"/>
      <c r="E13" s="37" t="s">
        <v>857</v>
      </c>
      <c r="F13" s="38" t="s">
        <v>861</v>
      </c>
      <c r="G13" s="38">
        <v>45</v>
      </c>
      <c r="H13" s="38">
        <v>0</v>
      </c>
      <c r="I13" s="39" t="s">
        <v>265</v>
      </c>
      <c r="J13" s="40">
        <v>38000</v>
      </c>
      <c r="K13" s="40">
        <v>0.19800000000000001</v>
      </c>
      <c r="L13" s="40">
        <v>0</v>
      </c>
      <c r="M13" s="41">
        <v>0.75</v>
      </c>
      <c r="N13" s="41">
        <v>1.2849999999999999</v>
      </c>
      <c r="O13" s="42">
        <v>7524</v>
      </c>
      <c r="P13" s="43">
        <v>28500</v>
      </c>
      <c r="Q13" s="43">
        <v>48830</v>
      </c>
      <c r="R13" s="44">
        <v>0</v>
      </c>
      <c r="S13" s="45">
        <v>0</v>
      </c>
      <c r="T13" s="38">
        <f t="shared" si="0"/>
        <v>45</v>
      </c>
      <c r="U13" s="46">
        <f t="shared" si="1"/>
        <v>7.497824262408348</v>
      </c>
      <c r="V13" s="47">
        <f t="shared" si="2"/>
        <v>0.53499999999999992</v>
      </c>
      <c r="W13" s="48">
        <f t="shared" si="3"/>
        <v>0.16661831694240772</v>
      </c>
      <c r="X13" s="43">
        <f t="shared" si="4"/>
        <v>14939.798064977598</v>
      </c>
      <c r="Y13" s="43">
        <f t="shared" si="5"/>
        <v>20330</v>
      </c>
      <c r="Z13" s="43">
        <f t="shared" si="6"/>
        <v>40715.651695968074</v>
      </c>
      <c r="AA13" s="49">
        <f t="shared" si="7"/>
        <v>63769.7980649776</v>
      </c>
      <c r="AB13" s="50">
        <f t="shared" si="8"/>
        <v>38123.269378247256</v>
      </c>
      <c r="AC13" s="43">
        <f t="shared" si="9"/>
        <v>59709.548749979025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38.55391092357042</v>
      </c>
      <c r="AG13" s="43">
        <f t="shared" si="11"/>
        <v>290079.62578894384</v>
      </c>
      <c r="AH13" s="51">
        <f>HLOOKUP(I13,GasAvoidedCostsWOCC!$A$5:$Q$50,T13+1,FALSE)</f>
        <v>38.55391092357042</v>
      </c>
      <c r="AI13" s="43">
        <f t="shared" si="12"/>
        <v>0</v>
      </c>
      <c r="AJ13" s="43">
        <f t="shared" si="13"/>
        <v>290079.62578894384</v>
      </c>
      <c r="AK13" s="43">
        <f>HLOOKUP(I13,GasAvoidedCostsWOCC!$A$5:$Q$50,G13+1,FALSE)*J13*L13</f>
        <v>0</v>
      </c>
      <c r="AL13" s="43">
        <f t="shared" si="14"/>
        <v>290079.62578894384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290079.62578894384</v>
      </c>
      <c r="AN13" s="47">
        <f t="shared" si="15"/>
        <v>319087.58836783824</v>
      </c>
      <c r="AO13" s="46">
        <f t="shared" si="16"/>
        <v>7.6089913199957682</v>
      </c>
      <c r="AP13" s="46">
        <f t="shared" si="17"/>
        <v>5.3439959779959034</v>
      </c>
    </row>
    <row r="14" spans="1:42" ht="13.5" customHeight="1" x14ac:dyDescent="0.25">
      <c r="A14" s="54">
        <f>SUM(Y5:Y1000)</f>
        <v>164615</v>
      </c>
      <c r="B14" s="36"/>
      <c r="E14" s="37" t="s">
        <v>857</v>
      </c>
      <c r="F14" s="38" t="s">
        <v>864</v>
      </c>
      <c r="G14" s="38">
        <v>45</v>
      </c>
      <c r="H14" s="38">
        <v>0</v>
      </c>
      <c r="I14" s="39" t="s">
        <v>265</v>
      </c>
      <c r="J14" s="40">
        <v>16000</v>
      </c>
      <c r="K14" s="40">
        <v>9.5000000000000001E-2</v>
      </c>
      <c r="L14" s="40">
        <v>0</v>
      </c>
      <c r="M14" s="41">
        <v>0.375</v>
      </c>
      <c r="N14" s="41">
        <v>1.52</v>
      </c>
      <c r="O14" s="42">
        <v>1520</v>
      </c>
      <c r="P14" s="43">
        <v>6000</v>
      </c>
      <c r="Q14" s="43">
        <v>24320</v>
      </c>
      <c r="R14" s="44">
        <v>0</v>
      </c>
      <c r="S14" s="45">
        <v>0</v>
      </c>
      <c r="T14" s="38">
        <f t="shared" si="0"/>
        <v>45</v>
      </c>
      <c r="U14" s="46">
        <f t="shared" si="1"/>
        <v>1.5147119722037066</v>
      </c>
      <c r="V14" s="47">
        <f t="shared" si="2"/>
        <v>1.145</v>
      </c>
      <c r="W14" s="48">
        <f t="shared" si="3"/>
        <v>3.3660266048971259E-2</v>
      </c>
      <c r="X14" s="43">
        <f t="shared" si="4"/>
        <v>3018.1410232277976</v>
      </c>
      <c r="Y14" s="43">
        <f t="shared" si="5"/>
        <v>18320</v>
      </c>
      <c r="Z14" s="43">
        <f t="shared" si="6"/>
        <v>8225.3841810036502</v>
      </c>
      <c r="AA14" s="49">
        <f t="shared" si="7"/>
        <v>27338.141023227799</v>
      </c>
      <c r="AB14" s="50">
        <f t="shared" si="8"/>
        <v>7701.6705814640918</v>
      </c>
      <c r="AC14" s="43">
        <f t="shared" si="9"/>
        <v>25597.510321374342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38.55391092357042</v>
      </c>
      <c r="AG14" s="43">
        <f t="shared" si="11"/>
        <v>58601.944603827047</v>
      </c>
      <c r="AH14" s="51">
        <f>HLOOKUP(I14,GasAvoidedCostsWOCC!$A$5:$Q$50,T14+1,FALSE)</f>
        <v>38.55391092357042</v>
      </c>
      <c r="AI14" s="43">
        <f t="shared" si="12"/>
        <v>0</v>
      </c>
      <c r="AJ14" s="43">
        <f t="shared" si="13"/>
        <v>58601.944603827047</v>
      </c>
      <c r="AK14" s="43">
        <f>HLOOKUP(I14,GasAvoidedCostsWOCC!$A$5:$Q$50,G14+1,FALSE)*J14*L14</f>
        <v>0</v>
      </c>
      <c r="AL14" s="43">
        <f t="shared" si="14"/>
        <v>58601.944603827047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58601.944603827033</v>
      </c>
      <c r="AN14" s="47">
        <f t="shared" si="15"/>
        <v>64462.139064209739</v>
      </c>
      <c r="AO14" s="46">
        <f t="shared" si="16"/>
        <v>7.6089913199957682</v>
      </c>
      <c r="AP14" s="46">
        <f t="shared" si="17"/>
        <v>2.5182972193347566</v>
      </c>
    </row>
    <row r="15" spans="1:42" ht="13.5" customHeight="1" x14ac:dyDescent="0.25">
      <c r="A15" s="56" t="s">
        <v>248</v>
      </c>
      <c r="B15" s="36"/>
      <c r="E15" s="37" t="s">
        <v>857</v>
      </c>
      <c r="F15" s="38" t="s">
        <v>865</v>
      </c>
      <c r="G15" s="38">
        <v>45</v>
      </c>
      <c r="H15" s="38">
        <v>0</v>
      </c>
      <c r="I15" s="39" t="s">
        <v>265</v>
      </c>
      <c r="J15" s="40">
        <v>16000</v>
      </c>
      <c r="K15" s="40">
        <v>0.109</v>
      </c>
      <c r="L15" s="40">
        <v>0</v>
      </c>
      <c r="M15" s="41">
        <v>0.5</v>
      </c>
      <c r="N15" s="41">
        <v>2.165</v>
      </c>
      <c r="O15" s="42">
        <v>1744</v>
      </c>
      <c r="P15" s="43">
        <v>8000</v>
      </c>
      <c r="Q15" s="43">
        <v>34640</v>
      </c>
      <c r="R15" s="44">
        <v>0</v>
      </c>
      <c r="S15" s="45">
        <v>0</v>
      </c>
      <c r="T15" s="38">
        <f t="shared" si="0"/>
        <v>45</v>
      </c>
      <c r="U15" s="46">
        <f t="shared" si="1"/>
        <v>1.7379326838968847</v>
      </c>
      <c r="V15" s="47">
        <f t="shared" si="2"/>
        <v>1.665</v>
      </c>
      <c r="W15" s="48">
        <f t="shared" si="3"/>
        <v>3.8620726308819658E-2</v>
      </c>
      <c r="X15" s="43">
        <f t="shared" si="4"/>
        <v>3462.9197003350523</v>
      </c>
      <c r="Y15" s="43">
        <f t="shared" si="5"/>
        <v>26640</v>
      </c>
      <c r="Z15" s="43">
        <f t="shared" si="6"/>
        <v>9437.5460603094543</v>
      </c>
      <c r="AA15" s="49">
        <f t="shared" si="7"/>
        <v>38102.919700335049</v>
      </c>
      <c r="AB15" s="50">
        <f t="shared" si="8"/>
        <v>8836.6536145219598</v>
      </c>
      <c r="AC15" s="43">
        <f t="shared" si="9"/>
        <v>35676.891105182629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38.55391092357042</v>
      </c>
      <c r="AG15" s="43">
        <f t="shared" si="11"/>
        <v>67238.020650706821</v>
      </c>
      <c r="AH15" s="51">
        <f>HLOOKUP(I15,GasAvoidedCostsWOCC!$A$5:$Q$50,T15+1,FALSE)</f>
        <v>38.55391092357042</v>
      </c>
      <c r="AI15" s="43">
        <f t="shared" si="12"/>
        <v>0</v>
      </c>
      <c r="AJ15" s="43">
        <f t="shared" si="13"/>
        <v>67238.020650706821</v>
      </c>
      <c r="AK15" s="43">
        <f>HLOOKUP(I15,GasAvoidedCostsWOCC!$A$5:$Q$50,G15+1,FALSE)*J15*L15</f>
        <v>0</v>
      </c>
      <c r="AL15" s="43">
        <f t="shared" si="14"/>
        <v>67238.020650706821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67238.020650706821</v>
      </c>
      <c r="AN15" s="47">
        <f t="shared" si="15"/>
        <v>73961.822715777511</v>
      </c>
      <c r="AO15" s="46">
        <f t="shared" si="16"/>
        <v>7.6089913199957682</v>
      </c>
      <c r="AP15" s="46">
        <f t="shared" si="17"/>
        <v>2.073101675191463</v>
      </c>
    </row>
    <row r="16" spans="1:42" ht="13.5" customHeight="1" x14ac:dyDescent="0.25">
      <c r="A16" s="53">
        <f>SUM(U5:U999)</f>
        <v>33.13741360716255</v>
      </c>
      <c r="B16" s="36"/>
      <c r="E16" s="37" t="s">
        <v>857</v>
      </c>
      <c r="F16" s="38" t="s">
        <v>867</v>
      </c>
      <c r="G16" s="38">
        <v>45</v>
      </c>
      <c r="H16" s="38">
        <v>0</v>
      </c>
      <c r="I16" s="39" t="s">
        <v>265</v>
      </c>
      <c r="J16" s="40">
        <v>600</v>
      </c>
      <c r="K16" s="40">
        <v>0.874</v>
      </c>
      <c r="L16" s="40">
        <v>0</v>
      </c>
      <c r="M16" s="41">
        <v>10</v>
      </c>
      <c r="N16" s="41">
        <v>27.2</v>
      </c>
      <c r="O16" s="42">
        <v>524.4</v>
      </c>
      <c r="P16" s="43">
        <v>6000</v>
      </c>
      <c r="Q16" s="43">
        <v>16320</v>
      </c>
      <c r="R16" s="44">
        <v>0</v>
      </c>
      <c r="S16" s="45">
        <v>0</v>
      </c>
      <c r="T16" s="38">
        <f t="shared" si="0"/>
        <v>45</v>
      </c>
      <c r="U16" s="46">
        <f t="shared" si="1"/>
        <v>0.52257563041027877</v>
      </c>
      <c r="V16" s="47">
        <f t="shared" si="2"/>
        <v>17.2</v>
      </c>
      <c r="W16" s="48">
        <f t="shared" si="3"/>
        <v>1.1612791786895085E-2</v>
      </c>
      <c r="X16" s="43">
        <f t="shared" si="4"/>
        <v>1041.2586530135902</v>
      </c>
      <c r="Y16" s="43">
        <f t="shared" si="5"/>
        <v>10320</v>
      </c>
      <c r="Z16" s="43">
        <f t="shared" si="6"/>
        <v>2837.7575424462598</v>
      </c>
      <c r="AA16" s="49">
        <f t="shared" si="7"/>
        <v>17361.258653013589</v>
      </c>
      <c r="AB16" s="50">
        <f t="shared" si="8"/>
        <v>2657.0763506051121</v>
      </c>
      <c r="AC16" s="43">
        <f t="shared" si="9"/>
        <v>16255.860161997742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38.55391092357042</v>
      </c>
      <c r="AG16" s="43">
        <f t="shared" si="11"/>
        <v>20217.670888320328</v>
      </c>
      <c r="AH16" s="51">
        <f>HLOOKUP(I16,GasAvoidedCostsWOCC!$A$5:$Q$50,T16+1,FALSE)</f>
        <v>38.55391092357042</v>
      </c>
      <c r="AI16" s="43">
        <f t="shared" si="12"/>
        <v>0</v>
      </c>
      <c r="AJ16" s="43">
        <f t="shared" si="13"/>
        <v>20217.670888320328</v>
      </c>
      <c r="AK16" s="43">
        <f>HLOOKUP(I16,GasAvoidedCostsWOCC!$A$5:$Q$50,G16+1,FALSE)*J16*L16</f>
        <v>0</v>
      </c>
      <c r="AL16" s="43">
        <f t="shared" si="14"/>
        <v>20217.670888320328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20217.670888320332</v>
      </c>
      <c r="AN16" s="47">
        <f t="shared" si="15"/>
        <v>22239.437977152367</v>
      </c>
      <c r="AO16" s="46">
        <f t="shared" si="16"/>
        <v>7.6089913199957691</v>
      </c>
      <c r="AP16" s="46">
        <f t="shared" si="17"/>
        <v>1.368087431580076</v>
      </c>
    </row>
    <row r="17" spans="1:42" ht="13.5" customHeight="1" x14ac:dyDescent="0.25">
      <c r="A17" s="57" t="s">
        <v>251</v>
      </c>
      <c r="B17" s="36"/>
      <c r="E17" s="37" t="s">
        <v>857</v>
      </c>
      <c r="F17" s="38" t="s">
        <v>869</v>
      </c>
      <c r="G17" s="38">
        <v>45</v>
      </c>
      <c r="H17" s="38">
        <v>0</v>
      </c>
      <c r="I17" s="39" t="s">
        <v>265</v>
      </c>
      <c r="J17" s="40">
        <v>500</v>
      </c>
      <c r="K17" s="40">
        <v>0.41799999999999998</v>
      </c>
      <c r="L17" s="40">
        <v>0</v>
      </c>
      <c r="M17" s="41">
        <v>4.5</v>
      </c>
      <c r="N17" s="41">
        <v>8.7750000000000004</v>
      </c>
      <c r="O17" s="42">
        <v>209</v>
      </c>
      <c r="P17" s="43">
        <v>2250</v>
      </c>
      <c r="Q17" s="43">
        <v>4387.5</v>
      </c>
      <c r="R17" s="44">
        <v>0</v>
      </c>
      <c r="S17" s="45">
        <v>0</v>
      </c>
      <c r="T17" s="38">
        <f t="shared" si="0"/>
        <v>45</v>
      </c>
      <c r="U17" s="46">
        <f t="shared" si="1"/>
        <v>0.20827289617800968</v>
      </c>
      <c r="V17" s="47">
        <f t="shared" si="2"/>
        <v>4.2750000000000004</v>
      </c>
      <c r="W17" s="48">
        <f t="shared" si="3"/>
        <v>4.6282865817335482E-3</v>
      </c>
      <c r="X17" s="43">
        <f t="shared" si="4"/>
        <v>414.9943906938222</v>
      </c>
      <c r="Y17" s="43">
        <f t="shared" si="5"/>
        <v>2137.5</v>
      </c>
      <c r="Z17" s="43">
        <f t="shared" si="6"/>
        <v>1130.9903248880021</v>
      </c>
      <c r="AA17" s="49">
        <f t="shared" si="7"/>
        <v>4802.4943906938224</v>
      </c>
      <c r="AB17" s="50">
        <f t="shared" si="8"/>
        <v>1058.9797049513127</v>
      </c>
      <c r="AC17" s="43">
        <f t="shared" si="9"/>
        <v>4496.7175942826052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38.55391092357042</v>
      </c>
      <c r="AG17" s="43">
        <f t="shared" si="11"/>
        <v>8057.7673830262183</v>
      </c>
      <c r="AH17" s="51">
        <f>HLOOKUP(I17,GasAvoidedCostsWOCC!$A$5:$Q$50,T17+1,FALSE)</f>
        <v>38.55391092357042</v>
      </c>
      <c r="AI17" s="43">
        <f t="shared" si="12"/>
        <v>0</v>
      </c>
      <c r="AJ17" s="43">
        <f t="shared" si="13"/>
        <v>8057.7673830262183</v>
      </c>
      <c r="AK17" s="43">
        <f>HLOOKUP(I17,GasAvoidedCostsWOCC!$A$5:$Q$50,G17+1,FALSE)*J17*L17</f>
        <v>0</v>
      </c>
      <c r="AL17" s="43">
        <f t="shared" si="14"/>
        <v>8057.7673830262183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8057.7673830262174</v>
      </c>
      <c r="AN17" s="47">
        <f t="shared" si="15"/>
        <v>8863.5441213288395</v>
      </c>
      <c r="AO17" s="46">
        <f t="shared" si="16"/>
        <v>7.6089913199957682</v>
      </c>
      <c r="AP17" s="46">
        <f t="shared" si="17"/>
        <v>1.9711142484461284</v>
      </c>
    </row>
    <row r="18" spans="1:42" ht="13.5" customHeight="1" x14ac:dyDescent="0.25">
      <c r="A18" s="58">
        <f>A6+A8</f>
        <v>244364.79999999999</v>
      </c>
      <c r="B18" s="36"/>
      <c r="E18" s="37" t="s">
        <v>857</v>
      </c>
      <c r="F18" s="38" t="s">
        <v>870</v>
      </c>
      <c r="G18" s="38">
        <v>45</v>
      </c>
      <c r="H18" s="38">
        <v>0</v>
      </c>
      <c r="I18" s="39" t="s">
        <v>265</v>
      </c>
      <c r="J18" s="40">
        <v>19000</v>
      </c>
      <c r="K18" s="40">
        <v>0.17899999999999999</v>
      </c>
      <c r="L18" s="40">
        <v>0</v>
      </c>
      <c r="M18" s="41">
        <v>1.4</v>
      </c>
      <c r="N18" s="41">
        <v>1.64</v>
      </c>
      <c r="O18" s="42">
        <v>3401</v>
      </c>
      <c r="P18" s="43">
        <v>26600</v>
      </c>
      <c r="Q18" s="43">
        <v>31159.999999999996</v>
      </c>
      <c r="R18" s="44">
        <v>0</v>
      </c>
      <c r="S18" s="45">
        <v>0</v>
      </c>
      <c r="T18" s="38">
        <f t="shared" si="0"/>
        <v>45</v>
      </c>
      <c r="U18" s="46">
        <f t="shared" si="1"/>
        <v>3.3891680378057933</v>
      </c>
      <c r="V18" s="47">
        <f t="shared" si="2"/>
        <v>0.24</v>
      </c>
      <c r="W18" s="48">
        <f t="shared" si="3"/>
        <v>7.531484528457319E-2</v>
      </c>
      <c r="X18" s="43">
        <f t="shared" si="4"/>
        <v>6753.0905394721976</v>
      </c>
      <c r="Y18" s="43">
        <f t="shared" si="5"/>
        <v>4559.9999999999964</v>
      </c>
      <c r="Z18" s="43">
        <f t="shared" si="6"/>
        <v>18404.297104995669</v>
      </c>
      <c r="AA18" s="49">
        <f t="shared" si="7"/>
        <v>37913.090539472192</v>
      </c>
      <c r="AB18" s="50">
        <f t="shared" si="8"/>
        <v>17232.487926025908</v>
      </c>
      <c r="AC18" s="43">
        <f t="shared" si="9"/>
        <v>35499.148445198676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38.55391092357042</v>
      </c>
      <c r="AG18" s="43">
        <f t="shared" si="11"/>
        <v>131121.85105106299</v>
      </c>
      <c r="AH18" s="51">
        <f>HLOOKUP(I18,GasAvoidedCostsWOCC!$A$5:$Q$50,T18+1,FALSE)</f>
        <v>38.55391092357042</v>
      </c>
      <c r="AI18" s="43">
        <f t="shared" si="12"/>
        <v>0</v>
      </c>
      <c r="AJ18" s="43">
        <f t="shared" si="13"/>
        <v>131121.85105106299</v>
      </c>
      <c r="AK18" s="43">
        <f>HLOOKUP(I18,GasAvoidedCostsWOCC!$A$5:$Q$50,G18+1,FALSE)*J18*L18</f>
        <v>0</v>
      </c>
      <c r="AL18" s="43">
        <f t="shared" si="14"/>
        <v>131121.85105106299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131121.85105106299</v>
      </c>
      <c r="AN18" s="47">
        <f t="shared" si="15"/>
        <v>144234.03615616928</v>
      </c>
      <c r="AO18" s="46">
        <f t="shared" si="16"/>
        <v>7.6089913199957673</v>
      </c>
      <c r="AP18" s="46">
        <f t="shared" si="17"/>
        <v>4.063028057668161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871</v>
      </c>
      <c r="G19" s="38">
        <v>45</v>
      </c>
      <c r="H19" s="38">
        <v>0</v>
      </c>
      <c r="I19" s="39" t="s">
        <v>265</v>
      </c>
      <c r="J19" s="40">
        <v>19000</v>
      </c>
      <c r="K19" s="40">
        <v>0.19800000000000001</v>
      </c>
      <c r="L19" s="40">
        <v>0</v>
      </c>
      <c r="M19" s="41">
        <v>1.5</v>
      </c>
      <c r="N19" s="41">
        <v>2.57</v>
      </c>
      <c r="O19" s="42">
        <v>3762</v>
      </c>
      <c r="P19" s="43">
        <v>28500</v>
      </c>
      <c r="Q19" s="43">
        <v>48830</v>
      </c>
      <c r="R19" s="44">
        <v>0</v>
      </c>
      <c r="S19" s="45">
        <v>0</v>
      </c>
      <c r="T19" s="38">
        <f t="shared" si="0"/>
        <v>45</v>
      </c>
      <c r="U19" s="46">
        <f t="shared" si="1"/>
        <v>3.748912131204174</v>
      </c>
      <c r="V19" s="47">
        <f t="shared" si="2"/>
        <v>1.0699999999999998</v>
      </c>
      <c r="W19" s="48">
        <f t="shared" si="3"/>
        <v>8.3309158471203862E-2</v>
      </c>
      <c r="X19" s="43">
        <f t="shared" si="4"/>
        <v>7469.8990324887991</v>
      </c>
      <c r="Y19" s="43">
        <f t="shared" si="5"/>
        <v>20330</v>
      </c>
      <c r="Z19" s="43">
        <f t="shared" si="6"/>
        <v>20357.825847984037</v>
      </c>
      <c r="AA19" s="49">
        <f t="shared" si="7"/>
        <v>56299.8990324888</v>
      </c>
      <c r="AB19" s="50">
        <f t="shared" si="8"/>
        <v>19061.634689123628</v>
      </c>
      <c r="AC19" s="43">
        <f t="shared" si="9"/>
        <v>52715.261266375281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38.55391092357042</v>
      </c>
      <c r="AG19" s="43">
        <f t="shared" si="11"/>
        <v>145039.81289447192</v>
      </c>
      <c r="AH19" s="51">
        <f>HLOOKUP(I19,GasAvoidedCostsWOCC!$A$5:$Q$50,T19+1,FALSE)</f>
        <v>38.55391092357042</v>
      </c>
      <c r="AI19" s="43">
        <f t="shared" si="12"/>
        <v>0</v>
      </c>
      <c r="AJ19" s="43">
        <f t="shared" si="13"/>
        <v>145039.81289447192</v>
      </c>
      <c r="AK19" s="43">
        <f>HLOOKUP(I19,GasAvoidedCostsWOCC!$A$5:$Q$50,G19+1,FALSE)*J19*L19</f>
        <v>0</v>
      </c>
      <c r="AL19" s="43">
        <f t="shared" si="14"/>
        <v>145039.81289447192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145039.81289447192</v>
      </c>
      <c r="AN19" s="47">
        <f t="shared" si="15"/>
        <v>159543.79418391912</v>
      </c>
      <c r="AO19" s="46">
        <f t="shared" si="16"/>
        <v>7.6089913199957682</v>
      </c>
      <c r="AP19" s="46">
        <f t="shared" si="17"/>
        <v>3.0265200314142238</v>
      </c>
    </row>
    <row r="20" spans="1:42" ht="13.5" customHeight="1" x14ac:dyDescent="0.25">
      <c r="A20" s="58">
        <f>A8+SUM(Q5:Q906)</f>
        <v>408979.8</v>
      </c>
      <c r="B20" s="36"/>
      <c r="E20" s="37" t="s">
        <v>857</v>
      </c>
      <c r="F20" s="38" t="s">
        <v>872</v>
      </c>
      <c r="G20" s="38">
        <v>45</v>
      </c>
      <c r="H20" s="38">
        <v>0</v>
      </c>
      <c r="I20" s="39" t="s">
        <v>265</v>
      </c>
      <c r="J20" s="40">
        <v>8000</v>
      </c>
      <c r="K20" s="40">
        <v>9.5000000000000001E-2</v>
      </c>
      <c r="L20" s="40">
        <v>0</v>
      </c>
      <c r="M20" s="41">
        <v>0.75</v>
      </c>
      <c r="N20" s="41">
        <v>3.04</v>
      </c>
      <c r="O20" s="42">
        <v>760</v>
      </c>
      <c r="P20" s="43">
        <v>6000</v>
      </c>
      <c r="Q20" s="43">
        <v>24320</v>
      </c>
      <c r="R20" s="44">
        <v>0</v>
      </c>
      <c r="S20" s="45">
        <v>0</v>
      </c>
      <c r="T20" s="38">
        <f t="shared" si="0"/>
        <v>45</v>
      </c>
      <c r="U20" s="46">
        <f t="shared" si="1"/>
        <v>0.75735598610185328</v>
      </c>
      <c r="V20" s="47">
        <f t="shared" si="2"/>
        <v>2.29</v>
      </c>
      <c r="W20" s="48">
        <f t="shared" si="3"/>
        <v>1.6830133024485629E-2</v>
      </c>
      <c r="X20" s="43">
        <f t="shared" si="4"/>
        <v>1509.0705116138988</v>
      </c>
      <c r="Y20" s="43">
        <f t="shared" si="5"/>
        <v>18320</v>
      </c>
      <c r="Z20" s="43">
        <f t="shared" si="6"/>
        <v>4112.6920905018251</v>
      </c>
      <c r="AA20" s="49">
        <f t="shared" si="7"/>
        <v>25829.0705116139</v>
      </c>
      <c r="AB20" s="50">
        <f t="shared" si="8"/>
        <v>3850.8352907320459</v>
      </c>
      <c r="AC20" s="43">
        <f t="shared" si="9"/>
        <v>24184.522950949344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38.55391092357042</v>
      </c>
      <c r="AG20" s="43">
        <f t="shared" si="11"/>
        <v>29300.972301913524</v>
      </c>
      <c r="AH20" s="51">
        <f>HLOOKUP(I20,GasAvoidedCostsWOCC!$A$5:$Q$50,T20+1,FALSE)</f>
        <v>38.55391092357042</v>
      </c>
      <c r="AI20" s="43">
        <f t="shared" si="12"/>
        <v>0</v>
      </c>
      <c r="AJ20" s="43">
        <f t="shared" si="13"/>
        <v>29300.972301913524</v>
      </c>
      <c r="AK20" s="43">
        <f>HLOOKUP(I20,GasAvoidedCostsWOCC!$A$5:$Q$50,G20+1,FALSE)*J20*L20</f>
        <v>0</v>
      </c>
      <c r="AL20" s="43">
        <f t="shared" si="14"/>
        <v>29300.972301913524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29300.972301913516</v>
      </c>
      <c r="AN20" s="47">
        <f t="shared" si="15"/>
        <v>32231.06953210487</v>
      </c>
      <c r="AO20" s="46">
        <f t="shared" si="16"/>
        <v>7.6089913199957682</v>
      </c>
      <c r="AP20" s="46">
        <f t="shared" si="17"/>
        <v>1.3327147116970386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873</v>
      </c>
      <c r="G21" s="38">
        <v>45</v>
      </c>
      <c r="H21" s="38">
        <v>0</v>
      </c>
      <c r="I21" s="39" t="s">
        <v>265</v>
      </c>
      <c r="J21" s="40">
        <v>8000</v>
      </c>
      <c r="K21" s="40">
        <v>0.109</v>
      </c>
      <c r="L21" s="40">
        <v>0</v>
      </c>
      <c r="M21" s="41">
        <v>1</v>
      </c>
      <c r="N21" s="41">
        <v>4.33</v>
      </c>
      <c r="O21" s="42">
        <v>872</v>
      </c>
      <c r="P21" s="43">
        <v>8000</v>
      </c>
      <c r="Q21" s="43">
        <v>34640</v>
      </c>
      <c r="R21" s="44">
        <v>0</v>
      </c>
      <c r="S21" s="45">
        <v>0</v>
      </c>
      <c r="T21" s="38">
        <f t="shared" si="0"/>
        <v>45</v>
      </c>
      <c r="U21" s="46">
        <f t="shared" si="1"/>
        <v>0.86896634194844236</v>
      </c>
      <c r="V21" s="47">
        <f t="shared" si="2"/>
        <v>3.33</v>
      </c>
      <c r="W21" s="48">
        <f t="shared" si="3"/>
        <v>1.9310363154409829E-2</v>
      </c>
      <c r="X21" s="43">
        <f t="shared" si="4"/>
        <v>1731.4598501675262</v>
      </c>
      <c r="Y21" s="43">
        <f t="shared" si="5"/>
        <v>26640</v>
      </c>
      <c r="Z21" s="43">
        <f t="shared" si="6"/>
        <v>4718.7730301547272</v>
      </c>
      <c r="AA21" s="49">
        <f t="shared" si="7"/>
        <v>36371.459850167528</v>
      </c>
      <c r="AB21" s="50">
        <f t="shared" si="8"/>
        <v>4418.3268072609799</v>
      </c>
      <c r="AC21" s="43">
        <f t="shared" si="9"/>
        <v>34055.674017010795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38.55391092357042</v>
      </c>
      <c r="AG21" s="43">
        <f t="shared" si="11"/>
        <v>33619.010325353411</v>
      </c>
      <c r="AH21" s="51">
        <f>HLOOKUP(I21,GasAvoidedCostsWOCC!$A$5:$Q$50,T21+1,FALSE)</f>
        <v>38.55391092357042</v>
      </c>
      <c r="AI21" s="43">
        <f t="shared" si="12"/>
        <v>0</v>
      </c>
      <c r="AJ21" s="43">
        <f t="shared" si="13"/>
        <v>33619.010325353411</v>
      </c>
      <c r="AK21" s="43">
        <f>HLOOKUP(I21,GasAvoidedCostsWOCC!$A$5:$Q$50,G21+1,FALSE)*J21*L21</f>
        <v>0</v>
      </c>
      <c r="AL21" s="43">
        <f t="shared" si="14"/>
        <v>33619.010325353411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33619.010325353411</v>
      </c>
      <c r="AN21" s="47">
        <f t="shared" si="15"/>
        <v>36980.911357888755</v>
      </c>
      <c r="AO21" s="46">
        <f t="shared" si="16"/>
        <v>7.6089913199957682</v>
      </c>
      <c r="AP21" s="46">
        <f t="shared" si="17"/>
        <v>1.0858957405869227</v>
      </c>
    </row>
    <row r="22" spans="1:42" ht="13.5" customHeight="1" x14ac:dyDescent="0.25">
      <c r="A22" s="59">
        <f>(SUM(AM5:AM1000)/(SUM(AB5:AB1000)))</f>
        <v>5.7531815100563923</v>
      </c>
      <c r="B22" s="36"/>
      <c r="E22" s="37" t="s">
        <v>857</v>
      </c>
      <c r="F22" s="38" t="s">
        <v>874</v>
      </c>
      <c r="G22" s="38">
        <v>45</v>
      </c>
      <c r="H22" s="38">
        <v>0</v>
      </c>
      <c r="I22" s="39" t="s">
        <v>265</v>
      </c>
      <c r="J22" s="40">
        <v>300</v>
      </c>
      <c r="K22" s="40">
        <v>0.874</v>
      </c>
      <c r="L22" s="40">
        <v>0</v>
      </c>
      <c r="M22" s="41">
        <v>20</v>
      </c>
      <c r="N22" s="41">
        <v>54.4</v>
      </c>
      <c r="O22" s="42">
        <v>262.2</v>
      </c>
      <c r="P22" s="43">
        <v>6000</v>
      </c>
      <c r="Q22" s="43">
        <v>16320</v>
      </c>
      <c r="R22" s="44">
        <v>0</v>
      </c>
      <c r="S22" s="45">
        <v>0</v>
      </c>
      <c r="T22" s="38">
        <f t="shared" si="0"/>
        <v>45</v>
      </c>
      <c r="U22" s="46">
        <f t="shared" si="1"/>
        <v>0.26128781520513938</v>
      </c>
      <c r="V22" s="47">
        <f t="shared" si="2"/>
        <v>34.4</v>
      </c>
      <c r="W22" s="48">
        <f t="shared" si="3"/>
        <v>5.8063958934475423E-3</v>
      </c>
      <c r="X22" s="43">
        <f t="shared" si="4"/>
        <v>520.62932650679511</v>
      </c>
      <c r="Y22" s="43">
        <f t="shared" si="5"/>
        <v>10320</v>
      </c>
      <c r="Z22" s="43">
        <f t="shared" si="6"/>
        <v>1418.8787712231299</v>
      </c>
      <c r="AA22" s="49">
        <f t="shared" si="7"/>
        <v>16840.629326506794</v>
      </c>
      <c r="AB22" s="50">
        <f t="shared" si="8"/>
        <v>1328.5381753025561</v>
      </c>
      <c r="AC22" s="43">
        <f t="shared" si="9"/>
        <v>15768.379519201117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38.55391092357042</v>
      </c>
      <c r="AG22" s="43">
        <f t="shared" si="11"/>
        <v>10108.835444160164</v>
      </c>
      <c r="AH22" s="51">
        <f>HLOOKUP(I22,GasAvoidedCostsWOCC!$A$5:$Q$50,T22+1,FALSE)</f>
        <v>38.55391092357042</v>
      </c>
      <c r="AI22" s="43">
        <f t="shared" si="12"/>
        <v>0</v>
      </c>
      <c r="AJ22" s="43">
        <f t="shared" si="13"/>
        <v>10108.835444160164</v>
      </c>
      <c r="AK22" s="43">
        <f>HLOOKUP(I22,GasAvoidedCostsWOCC!$A$5:$Q$50,G22+1,FALSE)*J22*L22</f>
        <v>0</v>
      </c>
      <c r="AL22" s="43">
        <f t="shared" si="14"/>
        <v>10108.835444160164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10108.835444160166</v>
      </c>
      <c r="AN22" s="47">
        <f t="shared" si="15"/>
        <v>11119.718988576184</v>
      </c>
      <c r="AO22" s="46">
        <f t="shared" si="16"/>
        <v>7.6089913199957691</v>
      </c>
      <c r="AP22" s="46">
        <f t="shared" si="17"/>
        <v>0.70519097888503568</v>
      </c>
    </row>
    <row r="23" spans="1:42" ht="13.5" customHeight="1" x14ac:dyDescent="0.25">
      <c r="A23" s="57" t="s">
        <v>236</v>
      </c>
      <c r="B23" s="36"/>
      <c r="E23" s="37" t="s">
        <v>857</v>
      </c>
      <c r="F23" s="38" t="s">
        <v>875</v>
      </c>
      <c r="G23" s="38">
        <v>45</v>
      </c>
      <c r="H23" s="38">
        <v>0</v>
      </c>
      <c r="I23" s="39" t="s">
        <v>265</v>
      </c>
      <c r="J23" s="40">
        <v>250</v>
      </c>
      <c r="K23" s="40">
        <v>0.41799999999999998</v>
      </c>
      <c r="L23" s="40">
        <v>0</v>
      </c>
      <c r="M23" s="41">
        <v>9</v>
      </c>
      <c r="N23" s="41">
        <v>17.55</v>
      </c>
      <c r="O23" s="42">
        <v>104.5</v>
      </c>
      <c r="P23" s="43">
        <v>2250</v>
      </c>
      <c r="Q23" s="43">
        <v>4387.5</v>
      </c>
      <c r="R23" s="44">
        <v>0</v>
      </c>
      <c r="S23" s="45">
        <v>0</v>
      </c>
      <c r="T23" s="38">
        <f t="shared" si="0"/>
        <v>45</v>
      </c>
      <c r="U23" s="46">
        <f t="shared" si="1"/>
        <v>0.10413644808900484</v>
      </c>
      <c r="V23" s="47">
        <f t="shared" si="2"/>
        <v>8.5500000000000007</v>
      </c>
      <c r="W23" s="48">
        <f t="shared" si="3"/>
        <v>2.3141432908667741E-3</v>
      </c>
      <c r="X23" s="43">
        <f t="shared" si="4"/>
        <v>207.4971953469111</v>
      </c>
      <c r="Y23" s="43">
        <f t="shared" si="5"/>
        <v>2137.5</v>
      </c>
      <c r="Z23" s="43">
        <f t="shared" si="6"/>
        <v>565.49516244400104</v>
      </c>
      <c r="AA23" s="49">
        <f t="shared" si="7"/>
        <v>4594.9971953469112</v>
      </c>
      <c r="AB23" s="50">
        <f t="shared" si="8"/>
        <v>529.48985247565633</v>
      </c>
      <c r="AC23" s="43">
        <f t="shared" si="9"/>
        <v>4302.4318308491675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38.55391092357042</v>
      </c>
      <c r="AG23" s="43">
        <f t="shared" si="11"/>
        <v>4028.8836915131092</v>
      </c>
      <c r="AH23" s="51">
        <f>HLOOKUP(I23,GasAvoidedCostsWOCC!$A$5:$Q$50,T23+1,FALSE)</f>
        <v>38.55391092357042</v>
      </c>
      <c r="AI23" s="43">
        <f t="shared" si="12"/>
        <v>0</v>
      </c>
      <c r="AJ23" s="43">
        <f t="shared" si="13"/>
        <v>4028.8836915131092</v>
      </c>
      <c r="AK23" s="43">
        <f>HLOOKUP(I23,GasAvoidedCostsWOCC!$A$5:$Q$50,G23+1,FALSE)*J23*L23</f>
        <v>0</v>
      </c>
      <c r="AL23" s="43">
        <f t="shared" si="14"/>
        <v>4028.8836915131092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4028.8836915131087</v>
      </c>
      <c r="AN23" s="47">
        <f t="shared" si="15"/>
        <v>4431.7720606644198</v>
      </c>
      <c r="AO23" s="46">
        <f t="shared" si="16"/>
        <v>7.6089913199957682</v>
      </c>
      <c r="AP23" s="46">
        <f t="shared" si="17"/>
        <v>1.0300621218186099</v>
      </c>
    </row>
    <row r="24" spans="1:42" ht="13.5" customHeight="1" x14ac:dyDescent="0.25">
      <c r="A24" s="59">
        <f>(SUM(AN5:AN1000)/SUM(AC5:AC1000))</f>
        <v>4.0532753325195507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Z25/(1+GasDiscountRate)^1</f>
        <v>0</v>
      </c>
      <c r="AC25" s="43">
        <f t="shared" ref="AC25:AC88" si="28">AA25/(1+GasDiscountRate)^1</f>
        <v>0</v>
      </c>
      <c r="AD25" s="43">
        <f t="shared" ref="AD25:AD88" si="29">-PV(GasDiscountRate,T25,R25)*J25</f>
        <v>0</v>
      </c>
      <c r="AE25" s="43">
        <f t="shared" ref="AE25:AE88" si="30">-PV(GasDiscountRate,T25,S25)*J25</f>
        <v>0</v>
      </c>
      <c r="AF25" s="51" t="e">
        <f>HLOOKUP(I25,GasAvoidedCostsWOCC!$A$5:$G$50,G25+1,FALSE)</f>
        <v>#N/A</v>
      </c>
      <c r="AG25" s="43" t="e">
        <f t="shared" ref="AG25:AG88" si="31">AF25*J25*K25</f>
        <v>#N/A</v>
      </c>
      <c r="AH25" s="51" t="e">
        <f>HLOOKUP(I25,GasAvoidedCostsWOCC!$A$5:$Q$50,T25+1,FALSE)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HLOOKUP(I25,GasAvoidedCostsWOCC!$A$5:$Q$50,G25+1,FALSE)*J25*L25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HLOOKUP(I83,GasAvoidedCostsWOCC!$A$5:$G$50,G83+1,FALSE)</f>
        <v>#N/A</v>
      </c>
      <c r="AG83" s="43" t="e">
        <f t="shared" si="31"/>
        <v>#N/A</v>
      </c>
      <c r="AH83" s="51" t="e">
        <f>HLOOKUP(I83,GasAvoidedCostsWOCC!$A$5:$Q$50,T83+1,FALSE)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HLOOKUP(I83,GasAvoidedCostsWOCC!$A$5:$Q$50,G83+1,FALSE)*J83*L83</f>
        <v>#N/A</v>
      </c>
      <c r="AL83" s="43" t="e">
        <f t="shared" si="34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HLOOKUP(I84,GasAvoidedCostsWOCC!$A$5:$G$50,G84+1,FALSE)</f>
        <v>#N/A</v>
      </c>
      <c r="AG84" s="43" t="e">
        <f t="shared" si="31"/>
        <v>#N/A</v>
      </c>
      <c r="AH84" s="51" t="e">
        <f>HLOOKUP(I84,GasAvoidedCostsWOCC!$A$5:$Q$50,T84+1,FALSE)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HLOOKUP(I84,GasAvoidedCostsWOCC!$A$5:$Q$50,G84+1,FALSE)*J84*L84</f>
        <v>#N/A</v>
      </c>
      <c r="AL84" s="43" t="e">
        <f t="shared" si="34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HLOOKUP(I85,GasAvoidedCostsWOCC!$A$5:$G$50,G85+1,FALSE)</f>
        <v>#N/A</v>
      </c>
      <c r="AG85" s="43" t="e">
        <f t="shared" si="31"/>
        <v>#N/A</v>
      </c>
      <c r="AH85" s="51" t="e">
        <f>HLOOKUP(I85,GasAvoidedCostsWOCC!$A$5:$Q$50,T85+1,FALSE)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HLOOKUP(I85,GasAvoidedCostsWOCC!$A$5:$Q$50,G85+1,FALSE)*J85*L85</f>
        <v>#N/A</v>
      </c>
      <c r="AL85" s="43" t="e">
        <f t="shared" si="34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HLOOKUP(I86,GasAvoidedCostsWOCC!$A$5:$G$50,G86+1,FALSE)</f>
        <v>#N/A</v>
      </c>
      <c r="AG86" s="43" t="e">
        <f t="shared" si="31"/>
        <v>#N/A</v>
      </c>
      <c r="AH86" s="51" t="e">
        <f>HLOOKUP(I86,GasAvoidedCostsWOCC!$A$5:$Q$50,T86+1,FALSE)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HLOOKUP(I86,GasAvoidedCostsWOCC!$A$5:$Q$50,G86+1,FALSE)*J86*L86</f>
        <v>#N/A</v>
      </c>
      <c r="AL86" s="43" t="e">
        <f t="shared" si="34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HLOOKUP(I87,GasAvoidedCostsWOCC!$A$5:$G$50,G87+1,FALSE)</f>
        <v>#N/A</v>
      </c>
      <c r="AG87" s="43" t="e">
        <f t="shared" si="31"/>
        <v>#N/A</v>
      </c>
      <c r="AH87" s="51" t="e">
        <f>HLOOKUP(I87,GasAvoidedCostsWOCC!$A$5:$Q$50,T87+1,FALSE)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HLOOKUP(I87,GasAvoidedCostsWOCC!$A$5:$Q$50,G87+1,FALSE)*J87*L87</f>
        <v>#N/A</v>
      </c>
      <c r="AL87" s="43" t="e">
        <f t="shared" si="34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HLOOKUP(I88,GasAvoidedCostsWOCC!$A$5:$G$50,G88+1,FALSE)</f>
        <v>#N/A</v>
      </c>
      <c r="AG88" s="43" t="e">
        <f t="shared" si="31"/>
        <v>#N/A</v>
      </c>
      <c r="AH88" s="51" t="e">
        <f>HLOOKUP(I88,GasAvoidedCostsWOCC!$A$5:$Q$50,T88+1,FALSE)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HLOOKUP(I88,GasAvoidedCostsWOCC!$A$5:$Q$50,G88+1,FALSE)*J88*L88</f>
        <v>#N/A</v>
      </c>
      <c r="AL88" s="43" t="e">
        <f t="shared" si="34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ref="T89:T141" si="38">G89+H89</f>
        <v>0</v>
      </c>
      <c r="U89" s="46">
        <f t="shared" ref="U89:U141" si="39">(O89/$A$10)*T89</f>
        <v>0</v>
      </c>
      <c r="V89" s="47">
        <f t="shared" ref="V89:V141" si="40">N89-M89</f>
        <v>0</v>
      </c>
      <c r="W89" s="48">
        <f t="shared" ref="W89:W141" si="41">(O89/A$10)</f>
        <v>0</v>
      </c>
      <c r="X89" s="43">
        <f t="shared" ref="X89:X141" si="42">W89*A$8</f>
        <v>0</v>
      </c>
      <c r="Y89" s="43">
        <f t="shared" ref="Y89:Y141" si="43">Q89-P89</f>
        <v>0</v>
      </c>
      <c r="Z89" s="43">
        <f t="shared" ref="Z89:Z141" si="44">X89+(A$6*W89)</f>
        <v>0</v>
      </c>
      <c r="AA89" s="49">
        <f t="shared" ref="AA89:AA141" si="45">Q89+X89</f>
        <v>0</v>
      </c>
      <c r="AB89" s="50">
        <f t="shared" ref="AB89:AB141" si="46">Z89/(1+GasDiscountRate)^1</f>
        <v>0</v>
      </c>
      <c r="AC89" s="43">
        <f t="shared" ref="AC89:AC141" si="47">AA89/(1+GasDiscountRate)^1</f>
        <v>0</v>
      </c>
      <c r="AD89" s="43">
        <f t="shared" ref="AD89:AD141" si="48">-PV(GasDiscountRate,T89,R89)*J89</f>
        <v>0</v>
      </c>
      <c r="AE89" s="43">
        <f t="shared" ref="AE89:AE141" si="49">-PV(GasDiscountRate,T89,S89)*J89</f>
        <v>0</v>
      </c>
      <c r="AF89" s="51" t="e">
        <f>HLOOKUP(I89,GasAvoidedCostsWOCC!$A$5:$G$50,G89+1,FALSE)</f>
        <v>#N/A</v>
      </c>
      <c r="AG89" s="43" t="e">
        <f t="shared" ref="AG89:AG141" si="50">AF89*J89*K89</f>
        <v>#N/A</v>
      </c>
      <c r="AH89" s="51" t="e">
        <f>HLOOKUP(I89,GasAvoidedCostsWOCC!$A$5:$Q$50,T89+1,FALSE)</f>
        <v>#N/A</v>
      </c>
      <c r="AI89" s="43" t="e">
        <f t="shared" ref="AI89:AI141" si="51">AH89*J89*L89</f>
        <v>#N/A</v>
      </c>
      <c r="AJ89" s="43" t="e">
        <f t="shared" ref="AJ89:AJ141" si="52">AG89+AI89</f>
        <v>#N/A</v>
      </c>
      <c r="AK89" s="43" t="e">
        <f>HLOOKUP(I89,GasAvoidedCostsWOCC!$A$5:$Q$50,G89+1,FALSE)*J89*L89</f>
        <v>#N/A</v>
      </c>
      <c r="AL89" s="43" t="e">
        <f t="shared" ref="AL89:AL141" si="53">AG89+AI89-AK89</f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ref="AN89:AN141" si="54">AM89*1.1+AD89+AE89</f>
        <v>0</v>
      </c>
      <c r="AO89" s="46">
        <f t="shared" ref="AO89:AO141" si="55">IFERROR(AM89/AB89,0)</f>
        <v>0</v>
      </c>
      <c r="AP89" s="46" t="e">
        <f t="shared" ref="AP89:AP141" si="56"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HLOOKUP(I90,GasAvoidedCostsWOCC!$A$5:$G$50,G90+1,FALSE)</f>
        <v>#N/A</v>
      </c>
      <c r="AG90" s="43" t="e">
        <f t="shared" si="50"/>
        <v>#N/A</v>
      </c>
      <c r="AH90" s="51" t="e">
        <f>HLOOKUP(I90,GasAvoidedCostsWOCC!$A$5:$Q$50,T90+1,FALSE)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HLOOKUP(I90,GasAvoidedCostsWOCC!$A$5:$Q$50,G90+1,FALSE)*J90*L90</f>
        <v>#N/A</v>
      </c>
      <c r="AL90" s="43" t="e">
        <f t="shared" si="53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HLOOKUP(I91,GasAvoidedCostsWOCC!$A$5:$G$50,G91+1,FALSE)</f>
        <v>#N/A</v>
      </c>
      <c r="AG91" s="43" t="e">
        <f t="shared" si="50"/>
        <v>#N/A</v>
      </c>
      <c r="AH91" s="51" t="e">
        <f>HLOOKUP(I91,GasAvoidedCostsWOCC!$A$5:$Q$50,T91+1,FALSE)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HLOOKUP(I91,GasAvoidedCostsWOCC!$A$5:$Q$50,G91+1,FALSE)*J91*L91</f>
        <v>#N/A</v>
      </c>
      <c r="AL91" s="43" t="e">
        <f t="shared" si="53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HLOOKUP(I92,GasAvoidedCostsWOCC!$A$5:$G$50,G92+1,FALSE)</f>
        <v>#N/A</v>
      </c>
      <c r="AG92" s="43" t="e">
        <f t="shared" si="50"/>
        <v>#N/A</v>
      </c>
      <c r="AH92" s="51" t="e">
        <f>HLOOKUP(I92,GasAvoidedCostsWOCC!$A$5:$Q$50,T92+1,FALSE)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HLOOKUP(I92,GasAvoidedCostsWOCC!$A$5:$Q$50,G92+1,FALSE)*J92*L92</f>
        <v>#N/A</v>
      </c>
      <c r="AL92" s="43" t="e">
        <f t="shared" si="53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HLOOKUP(I93,GasAvoidedCostsWOCC!$A$5:$G$50,G93+1,FALSE)</f>
        <v>#N/A</v>
      </c>
      <c r="AG93" s="43" t="e">
        <f t="shared" si="50"/>
        <v>#N/A</v>
      </c>
      <c r="AH93" s="51" t="e">
        <f>HLOOKUP(I93,GasAvoidedCostsWOCC!$A$5:$Q$50,T93+1,FALSE)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HLOOKUP(I93,GasAvoidedCostsWOCC!$A$5:$Q$50,G93+1,FALSE)*J93*L93</f>
        <v>#N/A</v>
      </c>
      <c r="AL93" s="43" t="e">
        <f t="shared" si="53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HLOOKUP(I94,GasAvoidedCostsWOCC!$A$5:$G$50,G94+1,FALSE)</f>
        <v>#N/A</v>
      </c>
      <c r="AG94" s="43" t="e">
        <f t="shared" si="50"/>
        <v>#N/A</v>
      </c>
      <c r="AH94" s="51" t="e">
        <f>HLOOKUP(I94,GasAvoidedCostsWOCC!$A$5:$Q$50,T94+1,FALSE)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HLOOKUP(I94,GasAvoidedCostsWOCC!$A$5:$Q$50,G94+1,FALSE)*J94*L94</f>
        <v>#N/A</v>
      </c>
      <c r="AL94" s="43" t="e">
        <f t="shared" si="53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HLOOKUP(I95,GasAvoidedCostsWOCC!$A$5:$G$50,G95+1,FALSE)</f>
        <v>#N/A</v>
      </c>
      <c r="AG95" s="43" t="e">
        <f t="shared" si="50"/>
        <v>#N/A</v>
      </c>
      <c r="AH95" s="51" t="e">
        <f>HLOOKUP(I95,GasAvoidedCostsWOCC!$A$5:$Q$50,T95+1,FALSE)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HLOOKUP(I95,GasAvoidedCostsWOCC!$A$5:$Q$50,G95+1,FALSE)*J95*L95</f>
        <v>#N/A</v>
      </c>
      <c r="AL95" s="43" t="e">
        <f t="shared" si="53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HLOOKUP(I96,GasAvoidedCostsWOCC!$A$5:$G$50,G96+1,FALSE)</f>
        <v>#N/A</v>
      </c>
      <c r="AG96" s="43" t="e">
        <f t="shared" si="50"/>
        <v>#N/A</v>
      </c>
      <c r="AH96" s="51" t="e">
        <f>HLOOKUP(I96,GasAvoidedCostsWOCC!$A$5:$Q$50,T96+1,FALSE)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HLOOKUP(I96,GasAvoidedCostsWOCC!$A$5:$Q$50,G96+1,FALSE)*J96*L96</f>
        <v>#N/A</v>
      </c>
      <c r="AL96" s="43" t="e">
        <f t="shared" si="53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HLOOKUP(I97,GasAvoidedCostsWOCC!$A$5:$G$50,G97+1,FALSE)</f>
        <v>#N/A</v>
      </c>
      <c r="AG97" s="43" t="e">
        <f t="shared" si="50"/>
        <v>#N/A</v>
      </c>
      <c r="AH97" s="51" t="e">
        <f>HLOOKUP(I97,GasAvoidedCostsWOCC!$A$5:$Q$50,T97+1,FALSE)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HLOOKUP(I97,GasAvoidedCostsWOCC!$A$5:$Q$50,G97+1,FALSE)*J97*L97</f>
        <v>#N/A</v>
      </c>
      <c r="AL97" s="43" t="e">
        <f t="shared" si="53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HLOOKUP(I98,GasAvoidedCostsWOCC!$A$5:$G$50,G98+1,FALSE)</f>
        <v>#N/A</v>
      </c>
      <c r="AG98" s="43" t="e">
        <f t="shared" si="50"/>
        <v>#N/A</v>
      </c>
      <c r="AH98" s="51" t="e">
        <f>HLOOKUP(I98,GasAvoidedCostsWOCC!$A$5:$Q$50,T98+1,FALSE)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HLOOKUP(I98,GasAvoidedCostsWOCC!$A$5:$Q$50,G98+1,FALSE)*J98*L98</f>
        <v>#N/A</v>
      </c>
      <c r="AL98" s="43" t="e">
        <f t="shared" si="53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HLOOKUP(I99,GasAvoidedCostsWOCC!$A$5:$G$50,G99+1,FALSE)</f>
        <v>#N/A</v>
      </c>
      <c r="AG99" s="43" t="e">
        <f t="shared" si="50"/>
        <v>#N/A</v>
      </c>
      <c r="AH99" s="51" t="e">
        <f>HLOOKUP(I99,GasAvoidedCostsWOCC!$A$5:$Q$50,T99+1,FALSE)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HLOOKUP(I99,GasAvoidedCostsWOCC!$A$5:$Q$50,G99+1,FALSE)*J99*L99</f>
        <v>#N/A</v>
      </c>
      <c r="AL99" s="43" t="e">
        <f t="shared" si="53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HLOOKUP(I100,GasAvoidedCostsWOCC!$A$5:$G$50,G100+1,FALSE)</f>
        <v>#N/A</v>
      </c>
      <c r="AG100" s="43" t="e">
        <f t="shared" si="50"/>
        <v>#N/A</v>
      </c>
      <c r="AH100" s="51" t="e">
        <f>HLOOKUP(I100,GasAvoidedCostsWOCC!$A$5:$Q$50,T100+1,FALSE)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HLOOKUP(I100,GasAvoidedCostsWOCC!$A$5:$Q$50,G100+1,FALSE)*J100*L100</f>
        <v>#N/A</v>
      </c>
      <c r="AL100" s="43" t="e">
        <f t="shared" si="53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HLOOKUP(I101,GasAvoidedCostsWOCC!$A$5:$G$50,G101+1,FALSE)</f>
        <v>#N/A</v>
      </c>
      <c r="AG101" s="43" t="e">
        <f t="shared" si="50"/>
        <v>#N/A</v>
      </c>
      <c r="AH101" s="51" t="e">
        <f>HLOOKUP(I101,GasAvoidedCostsWOCC!$A$5:$Q$50,T101+1,FALSE)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HLOOKUP(I101,GasAvoidedCostsWOCC!$A$5:$Q$50,G101+1,FALSE)*J101*L101</f>
        <v>#N/A</v>
      </c>
      <c r="AL101" s="43" t="e">
        <f t="shared" si="53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HLOOKUP(I102,GasAvoidedCostsWOCC!$A$5:$G$50,G102+1,FALSE)</f>
        <v>#N/A</v>
      </c>
      <c r="AG102" s="43" t="e">
        <f t="shared" si="50"/>
        <v>#N/A</v>
      </c>
      <c r="AH102" s="51" t="e">
        <f>HLOOKUP(I102,GasAvoidedCostsWOCC!$A$5:$Q$50,T102+1,FALSE)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HLOOKUP(I102,GasAvoidedCostsWOCC!$A$5:$Q$50,G102+1,FALSE)*J102*L102</f>
        <v>#N/A</v>
      </c>
      <c r="AL102" s="43" t="e">
        <f t="shared" si="53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HLOOKUP(I103,GasAvoidedCostsWOCC!$A$5:$G$50,G103+1,FALSE)</f>
        <v>#N/A</v>
      </c>
      <c r="AG103" s="43" t="e">
        <f t="shared" si="50"/>
        <v>#N/A</v>
      </c>
      <c r="AH103" s="51" t="e">
        <f>HLOOKUP(I103,GasAvoidedCostsWOCC!$A$5:$Q$50,T103+1,FALSE)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HLOOKUP(I103,GasAvoidedCostsWOCC!$A$5:$Q$50,G103+1,FALSE)*J103*L103</f>
        <v>#N/A</v>
      </c>
      <c r="AL103" s="43" t="e">
        <f t="shared" si="53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HLOOKUP(I104,GasAvoidedCostsWOCC!$A$5:$G$50,G104+1,FALSE)</f>
        <v>#N/A</v>
      </c>
      <c r="AG104" s="43" t="e">
        <f t="shared" si="50"/>
        <v>#N/A</v>
      </c>
      <c r="AH104" s="51" t="e">
        <f>HLOOKUP(I104,GasAvoidedCostsWOCC!$A$5:$Q$50,T104+1,FALSE)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HLOOKUP(I104,GasAvoidedCostsWOCC!$A$5:$Q$50,G104+1,FALSE)*J104*L104</f>
        <v>#N/A</v>
      </c>
      <c r="AL104" s="43" t="e">
        <f t="shared" si="53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HLOOKUP(I105,GasAvoidedCostsWOCC!$A$5:$G$50,G105+1,FALSE)</f>
        <v>#N/A</v>
      </c>
      <c r="AG105" s="43" t="e">
        <f t="shared" si="50"/>
        <v>#N/A</v>
      </c>
      <c r="AH105" s="51" t="e">
        <f>HLOOKUP(I105,GasAvoidedCostsWOCC!$A$5:$Q$50,T105+1,FALSE)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HLOOKUP(I105,GasAvoidedCostsWOCC!$A$5:$Q$50,G105+1,FALSE)*J105*L105</f>
        <v>#N/A</v>
      </c>
      <c r="AL105" s="43" t="e">
        <f t="shared" si="53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HLOOKUP(I106,GasAvoidedCostsWOCC!$A$5:$G$50,G106+1,FALSE)</f>
        <v>#N/A</v>
      </c>
      <c r="AG106" s="43" t="e">
        <f t="shared" si="50"/>
        <v>#N/A</v>
      </c>
      <c r="AH106" s="51" t="e">
        <f>HLOOKUP(I106,GasAvoidedCostsWOCC!$A$5:$Q$50,T106+1,FALSE)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HLOOKUP(I106,GasAvoidedCostsWOCC!$A$5:$Q$50,G106+1,FALSE)*J106*L106</f>
        <v>#N/A</v>
      </c>
      <c r="AL106" s="43" t="e">
        <f t="shared" si="53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HLOOKUP(I107,GasAvoidedCostsWOCC!$A$5:$G$50,G107+1,FALSE)</f>
        <v>#N/A</v>
      </c>
      <c r="AG107" s="43" t="e">
        <f t="shared" si="50"/>
        <v>#N/A</v>
      </c>
      <c r="AH107" s="51" t="e">
        <f>HLOOKUP(I107,GasAvoidedCostsWOCC!$A$5:$Q$50,T107+1,FALSE)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HLOOKUP(I107,GasAvoidedCostsWOCC!$A$5:$Q$50,G107+1,FALSE)*J107*L107</f>
        <v>#N/A</v>
      </c>
      <c r="AL107" s="43" t="e">
        <f t="shared" si="53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HLOOKUP(I108,GasAvoidedCostsWOCC!$A$5:$G$50,G108+1,FALSE)</f>
        <v>#N/A</v>
      </c>
      <c r="AG108" s="43" t="e">
        <f t="shared" si="50"/>
        <v>#N/A</v>
      </c>
      <c r="AH108" s="51" t="e">
        <f>HLOOKUP(I108,GasAvoidedCostsWOCC!$A$5:$Q$50,T108+1,FALSE)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HLOOKUP(I108,GasAvoidedCostsWOCC!$A$5:$Q$50,G108+1,FALSE)*J108*L108</f>
        <v>#N/A</v>
      </c>
      <c r="AL108" s="43" t="e">
        <f t="shared" si="53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HLOOKUP(I109,GasAvoidedCostsWOCC!$A$5:$G$50,G109+1,FALSE)</f>
        <v>#N/A</v>
      </c>
      <c r="AG109" s="43" t="e">
        <f t="shared" si="50"/>
        <v>#N/A</v>
      </c>
      <c r="AH109" s="51" t="e">
        <f>HLOOKUP(I109,GasAvoidedCostsWOCC!$A$5:$Q$50,T109+1,FALSE)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HLOOKUP(I109,GasAvoidedCostsWOCC!$A$5:$Q$50,G109+1,FALSE)*J109*L109</f>
        <v>#N/A</v>
      </c>
      <c r="AL109" s="43" t="e">
        <f t="shared" si="53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HLOOKUP(I110,GasAvoidedCostsWOCC!$A$5:$G$50,G110+1,FALSE)</f>
        <v>#N/A</v>
      </c>
      <c r="AG110" s="43" t="e">
        <f t="shared" si="50"/>
        <v>#N/A</v>
      </c>
      <c r="AH110" s="51" t="e">
        <f>HLOOKUP(I110,GasAvoidedCostsWOCC!$A$5:$Q$50,T110+1,FALSE)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HLOOKUP(I110,GasAvoidedCostsWOCC!$A$5:$Q$50,G110+1,FALSE)*J110*L110</f>
        <v>#N/A</v>
      </c>
      <c r="AL110" s="43" t="e">
        <f t="shared" si="53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HLOOKUP(I111,GasAvoidedCostsWOCC!$A$5:$G$50,G111+1,FALSE)</f>
        <v>#N/A</v>
      </c>
      <c r="AG111" s="43" t="e">
        <f t="shared" si="50"/>
        <v>#N/A</v>
      </c>
      <c r="AH111" s="51" t="e">
        <f>HLOOKUP(I111,GasAvoidedCostsWOCC!$A$5:$Q$50,T111+1,FALSE)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HLOOKUP(I111,GasAvoidedCostsWOCC!$A$5:$Q$50,G111+1,FALSE)*J111*L111</f>
        <v>#N/A</v>
      </c>
      <c r="AL111" s="43" t="e">
        <f t="shared" si="53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HLOOKUP(I112,GasAvoidedCostsWOCC!$A$5:$G$50,G112+1,FALSE)</f>
        <v>#N/A</v>
      </c>
      <c r="AG112" s="43" t="e">
        <f t="shared" si="50"/>
        <v>#N/A</v>
      </c>
      <c r="AH112" s="51" t="e">
        <f>HLOOKUP(I112,GasAvoidedCostsWOCC!$A$5:$Q$50,T112+1,FALSE)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HLOOKUP(I112,GasAvoidedCostsWOCC!$A$5:$Q$50,G112+1,FALSE)*J112*L112</f>
        <v>#N/A</v>
      </c>
      <c r="AL112" s="43" t="e">
        <f t="shared" si="53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HLOOKUP(I113,GasAvoidedCostsWOCC!$A$5:$G$50,G113+1,FALSE)</f>
        <v>#N/A</v>
      </c>
      <c r="AG113" s="43" t="e">
        <f t="shared" si="50"/>
        <v>#N/A</v>
      </c>
      <c r="AH113" s="51" t="e">
        <f>HLOOKUP(I113,GasAvoidedCostsWOCC!$A$5:$Q$50,T113+1,FALSE)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HLOOKUP(I113,GasAvoidedCostsWOCC!$A$5:$Q$50,G113+1,FALSE)*J113*L113</f>
        <v>#N/A</v>
      </c>
      <c r="AL113" s="43" t="e">
        <f t="shared" si="53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HLOOKUP(I114,GasAvoidedCostsWOCC!$A$5:$G$50,G114+1,FALSE)</f>
        <v>#N/A</v>
      </c>
      <c r="AG114" s="43" t="e">
        <f t="shared" si="50"/>
        <v>#N/A</v>
      </c>
      <c r="AH114" s="51" t="e">
        <f>HLOOKUP(I114,GasAvoidedCostsWOCC!$A$5:$Q$50,T114+1,FALSE)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HLOOKUP(I114,GasAvoidedCostsWOCC!$A$5:$Q$50,G114+1,FALSE)*J114*L114</f>
        <v>#N/A</v>
      </c>
      <c r="AL114" s="43" t="e">
        <f t="shared" si="53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HLOOKUP(I115,GasAvoidedCostsWOCC!$A$5:$G$50,G115+1,FALSE)</f>
        <v>#N/A</v>
      </c>
      <c r="AG115" s="43" t="e">
        <f t="shared" si="50"/>
        <v>#N/A</v>
      </c>
      <c r="AH115" s="51" t="e">
        <f>HLOOKUP(I115,GasAvoidedCostsWOCC!$A$5:$Q$50,T115+1,FALSE)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HLOOKUP(I115,GasAvoidedCostsWOCC!$A$5:$Q$50,G115+1,FALSE)*J115*L115</f>
        <v>#N/A</v>
      </c>
      <c r="AL115" s="43" t="e">
        <f t="shared" si="53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HLOOKUP(I116,GasAvoidedCostsWOCC!$A$5:$G$50,G116+1,FALSE)</f>
        <v>#N/A</v>
      </c>
      <c r="AG116" s="43" t="e">
        <f t="shared" si="50"/>
        <v>#N/A</v>
      </c>
      <c r="AH116" s="51" t="e">
        <f>HLOOKUP(I116,GasAvoidedCostsWOCC!$A$5:$Q$50,T116+1,FALSE)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HLOOKUP(I116,GasAvoidedCostsWOCC!$A$5:$Q$50,G116+1,FALSE)*J116*L116</f>
        <v>#N/A</v>
      </c>
      <c r="AL116" s="43" t="e">
        <f t="shared" si="53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HLOOKUP(I117,GasAvoidedCostsWOCC!$A$5:$G$50,G117+1,FALSE)</f>
        <v>#N/A</v>
      </c>
      <c r="AG117" s="43" t="e">
        <f t="shared" si="50"/>
        <v>#N/A</v>
      </c>
      <c r="AH117" s="51" t="e">
        <f>HLOOKUP(I117,GasAvoidedCostsWOCC!$A$5:$Q$50,T117+1,FALSE)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HLOOKUP(I117,GasAvoidedCostsWOCC!$A$5:$Q$50,G117+1,FALSE)*J117*L117</f>
        <v>#N/A</v>
      </c>
      <c r="AL117" s="43" t="e">
        <f t="shared" si="53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HLOOKUP(I118,GasAvoidedCostsWOCC!$A$5:$G$50,G118+1,FALSE)</f>
        <v>#N/A</v>
      </c>
      <c r="AG118" s="43" t="e">
        <f t="shared" si="50"/>
        <v>#N/A</v>
      </c>
      <c r="AH118" s="51" t="e">
        <f>HLOOKUP(I118,GasAvoidedCostsWOCC!$A$5:$Q$50,T118+1,FALSE)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HLOOKUP(I118,GasAvoidedCostsWOCC!$A$5:$Q$50,G118+1,FALSE)*J118*L118</f>
        <v>#N/A</v>
      </c>
      <c r="AL118" s="43" t="e">
        <f t="shared" si="53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HLOOKUP(I119,GasAvoidedCostsWOCC!$A$5:$G$50,G119+1,FALSE)</f>
        <v>#N/A</v>
      </c>
      <c r="AG119" s="43" t="e">
        <f t="shared" si="50"/>
        <v>#N/A</v>
      </c>
      <c r="AH119" s="51" t="e">
        <f>HLOOKUP(I119,GasAvoidedCostsWOCC!$A$5:$Q$50,T119+1,FALSE)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HLOOKUP(I119,GasAvoidedCostsWOCC!$A$5:$Q$50,G119+1,FALSE)*J119*L119</f>
        <v>#N/A</v>
      </c>
      <c r="AL119" s="43" t="e">
        <f t="shared" si="53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HLOOKUP(I120,GasAvoidedCostsWOCC!$A$5:$G$50,G120+1,FALSE)</f>
        <v>#N/A</v>
      </c>
      <c r="AG120" s="43" t="e">
        <f t="shared" si="50"/>
        <v>#N/A</v>
      </c>
      <c r="AH120" s="51" t="e">
        <f>HLOOKUP(I120,GasAvoidedCostsWOCC!$A$5:$Q$50,T120+1,FALSE)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HLOOKUP(I120,GasAvoidedCostsWOCC!$A$5:$Q$50,G120+1,FALSE)*J120*L120</f>
        <v>#N/A</v>
      </c>
      <c r="AL120" s="43" t="e">
        <f t="shared" si="53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HLOOKUP(I121,GasAvoidedCostsWOCC!$A$5:$G$50,G121+1,FALSE)</f>
        <v>#N/A</v>
      </c>
      <c r="AG121" s="43" t="e">
        <f t="shared" si="50"/>
        <v>#N/A</v>
      </c>
      <c r="AH121" s="51" t="e">
        <f>HLOOKUP(I121,GasAvoidedCostsWOCC!$A$5:$Q$50,T121+1,FALSE)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HLOOKUP(I121,GasAvoidedCostsWOCC!$A$5:$Q$50,G121+1,FALSE)*J121*L121</f>
        <v>#N/A</v>
      </c>
      <c r="AL121" s="43" t="e">
        <f t="shared" si="53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HLOOKUP(I122,GasAvoidedCostsWOCC!$A$5:$G$50,G122+1,FALSE)</f>
        <v>#N/A</v>
      </c>
      <c r="AG122" s="43" t="e">
        <f t="shared" si="50"/>
        <v>#N/A</v>
      </c>
      <c r="AH122" s="51" t="e">
        <f>HLOOKUP(I122,GasAvoidedCostsWOCC!$A$5:$Q$50,T122+1,FALSE)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HLOOKUP(I122,GasAvoidedCostsWOCC!$A$5:$Q$50,G122+1,FALSE)*J122*L122</f>
        <v>#N/A</v>
      </c>
      <c r="AL122" s="43" t="e">
        <f t="shared" si="53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HLOOKUP(I123,GasAvoidedCostsWOCC!$A$5:$G$50,G123+1,FALSE)</f>
        <v>#N/A</v>
      </c>
      <c r="AG123" s="43" t="e">
        <f t="shared" si="50"/>
        <v>#N/A</v>
      </c>
      <c r="AH123" s="51" t="e">
        <f>HLOOKUP(I123,GasAvoidedCostsWOCC!$A$5:$Q$50,T123+1,FALSE)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HLOOKUP(I123,GasAvoidedCostsWOCC!$A$5:$Q$50,G123+1,FALSE)*J123*L123</f>
        <v>#N/A</v>
      </c>
      <c r="AL123" s="43" t="e">
        <f t="shared" si="53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HLOOKUP(I124,GasAvoidedCostsWOCC!$A$5:$G$50,G124+1,FALSE)</f>
        <v>#N/A</v>
      </c>
      <c r="AG124" s="43" t="e">
        <f t="shared" si="50"/>
        <v>#N/A</v>
      </c>
      <c r="AH124" s="51" t="e">
        <f>HLOOKUP(I124,GasAvoidedCostsWOCC!$A$5:$Q$50,T124+1,FALSE)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HLOOKUP(I124,GasAvoidedCostsWOCC!$A$5:$Q$50,G124+1,FALSE)*J124*L124</f>
        <v>#N/A</v>
      </c>
      <c r="AL124" s="43" t="e">
        <f t="shared" si="53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HLOOKUP(I125,GasAvoidedCostsWOCC!$A$5:$G$50,G125+1,FALSE)</f>
        <v>#N/A</v>
      </c>
      <c r="AG125" s="43" t="e">
        <f t="shared" si="50"/>
        <v>#N/A</v>
      </c>
      <c r="AH125" s="51" t="e">
        <f>HLOOKUP(I125,GasAvoidedCostsWOCC!$A$5:$Q$50,T125+1,FALSE)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HLOOKUP(I125,GasAvoidedCostsWOCC!$A$5:$Q$50,G125+1,FALSE)*J125*L125</f>
        <v>#N/A</v>
      </c>
      <c r="AL125" s="43" t="e">
        <f t="shared" si="53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HLOOKUP(I126,GasAvoidedCostsWOCC!$A$5:$G$50,G126+1,FALSE)</f>
        <v>#N/A</v>
      </c>
      <c r="AG126" s="43" t="e">
        <f t="shared" si="50"/>
        <v>#N/A</v>
      </c>
      <c r="AH126" s="51" t="e">
        <f>HLOOKUP(I126,GasAvoidedCostsWOCC!$A$5:$Q$50,T126+1,FALSE)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HLOOKUP(I126,GasAvoidedCostsWOCC!$A$5:$Q$50,G126+1,FALSE)*J126*L126</f>
        <v>#N/A</v>
      </c>
      <c r="AL126" s="43" t="e">
        <f t="shared" si="53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HLOOKUP(I127,GasAvoidedCostsWOCC!$A$5:$G$50,G127+1,FALSE)</f>
        <v>#N/A</v>
      </c>
      <c r="AG127" s="43" t="e">
        <f t="shared" si="50"/>
        <v>#N/A</v>
      </c>
      <c r="AH127" s="51" t="e">
        <f>HLOOKUP(I127,GasAvoidedCostsWOCC!$A$5:$Q$50,T127+1,FALSE)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HLOOKUP(I127,GasAvoidedCostsWOCC!$A$5:$Q$50,G127+1,FALSE)*J127*L127</f>
        <v>#N/A</v>
      </c>
      <c r="AL127" s="43" t="e">
        <f t="shared" si="53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HLOOKUP(I128,GasAvoidedCostsWOCC!$A$5:$G$50,G128+1,FALSE)</f>
        <v>#N/A</v>
      </c>
      <c r="AG128" s="43" t="e">
        <f t="shared" si="50"/>
        <v>#N/A</v>
      </c>
      <c r="AH128" s="51" t="e">
        <f>HLOOKUP(I128,GasAvoidedCostsWOCC!$A$5:$Q$50,T128+1,FALSE)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HLOOKUP(I128,GasAvoidedCostsWOCC!$A$5:$Q$50,G128+1,FALSE)*J128*L128</f>
        <v>#N/A</v>
      </c>
      <c r="AL128" s="43" t="e">
        <f t="shared" si="53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HLOOKUP(I129,GasAvoidedCostsWOCC!$A$5:$G$50,G129+1,FALSE)</f>
        <v>#N/A</v>
      </c>
      <c r="AG129" s="43" t="e">
        <f t="shared" si="50"/>
        <v>#N/A</v>
      </c>
      <c r="AH129" s="51" t="e">
        <f>HLOOKUP(I129,GasAvoidedCostsWOCC!$A$5:$Q$50,T129+1,FALSE)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HLOOKUP(I129,GasAvoidedCostsWOCC!$A$5:$Q$50,G129+1,FALSE)*J129*L129</f>
        <v>#N/A</v>
      </c>
      <c r="AL129" s="43" t="e">
        <f t="shared" si="53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HLOOKUP(I130,GasAvoidedCostsWOCC!$A$5:$G$50,G130+1,FALSE)</f>
        <v>#N/A</v>
      </c>
      <c r="AG130" s="43" t="e">
        <f t="shared" si="50"/>
        <v>#N/A</v>
      </c>
      <c r="AH130" s="51" t="e">
        <f>HLOOKUP(I130,GasAvoidedCostsWOCC!$A$5:$Q$50,T130+1,FALSE)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HLOOKUP(I130,GasAvoidedCostsWOCC!$A$5:$Q$50,G130+1,FALSE)*J130*L130</f>
        <v>#N/A</v>
      </c>
      <c r="AL130" s="43" t="e">
        <f t="shared" si="53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HLOOKUP(I131,GasAvoidedCostsWOCC!$A$5:$G$50,G131+1,FALSE)</f>
        <v>#N/A</v>
      </c>
      <c r="AG131" s="43" t="e">
        <f t="shared" si="50"/>
        <v>#N/A</v>
      </c>
      <c r="AH131" s="51" t="e">
        <f>HLOOKUP(I131,GasAvoidedCostsWOCC!$A$5:$Q$50,T131+1,FALSE)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HLOOKUP(I131,GasAvoidedCostsWOCC!$A$5:$Q$50,G131+1,FALSE)*J131*L131</f>
        <v>#N/A</v>
      </c>
      <c r="AL131" s="43" t="e">
        <f t="shared" si="53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HLOOKUP(I132,GasAvoidedCostsWOCC!$A$5:$G$50,G132+1,FALSE)</f>
        <v>#N/A</v>
      </c>
      <c r="AG132" s="43" t="e">
        <f t="shared" si="50"/>
        <v>#N/A</v>
      </c>
      <c r="AH132" s="51" t="e">
        <f>HLOOKUP(I132,GasAvoidedCostsWOCC!$A$5:$Q$50,T132+1,FALSE)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HLOOKUP(I132,GasAvoidedCostsWOCC!$A$5:$Q$50,G132+1,FALSE)*J132*L132</f>
        <v>#N/A</v>
      </c>
      <c r="AL132" s="43" t="e">
        <f t="shared" si="53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HLOOKUP(I133,GasAvoidedCostsWOCC!$A$5:$G$50,G133+1,FALSE)</f>
        <v>#N/A</v>
      </c>
      <c r="AG133" s="43" t="e">
        <f t="shared" si="50"/>
        <v>#N/A</v>
      </c>
      <c r="AH133" s="51" t="e">
        <f>HLOOKUP(I133,GasAvoidedCostsWOCC!$A$5:$Q$50,T133+1,FALSE)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HLOOKUP(I133,GasAvoidedCostsWOCC!$A$5:$Q$50,G133+1,FALSE)*J133*L133</f>
        <v>#N/A</v>
      </c>
      <c r="AL133" s="43" t="e">
        <f t="shared" si="53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HLOOKUP(I134,GasAvoidedCostsWOCC!$A$5:$G$50,G134+1,FALSE)</f>
        <v>#N/A</v>
      </c>
      <c r="AG134" s="43" t="e">
        <f t="shared" si="50"/>
        <v>#N/A</v>
      </c>
      <c r="AH134" s="51" t="e">
        <f>HLOOKUP(I134,GasAvoidedCostsWOCC!$A$5:$Q$50,T134+1,FALSE)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HLOOKUP(I134,GasAvoidedCostsWOCC!$A$5:$Q$50,G134+1,FALSE)*J134*L134</f>
        <v>#N/A</v>
      </c>
      <c r="AL134" s="43" t="e">
        <f t="shared" si="53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HLOOKUP(I135,GasAvoidedCostsWOCC!$A$5:$G$50,G135+1,FALSE)</f>
        <v>#N/A</v>
      </c>
      <c r="AG135" s="43" t="e">
        <f t="shared" si="50"/>
        <v>#N/A</v>
      </c>
      <c r="AH135" s="51" t="e">
        <f>HLOOKUP(I135,GasAvoidedCostsWOCC!$A$5:$Q$50,T135+1,FALSE)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HLOOKUP(I135,GasAvoidedCostsWOCC!$A$5:$Q$50,G135+1,FALSE)*J135*L135</f>
        <v>#N/A</v>
      </c>
      <c r="AL135" s="43" t="e">
        <f t="shared" si="53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HLOOKUP(I136,GasAvoidedCostsWOCC!$A$5:$G$50,G136+1,FALSE)</f>
        <v>#N/A</v>
      </c>
      <c r="AG136" s="43" t="e">
        <f t="shared" si="50"/>
        <v>#N/A</v>
      </c>
      <c r="AH136" s="51" t="e">
        <f>HLOOKUP(I136,GasAvoidedCostsWOCC!$A$5:$Q$50,T136+1,FALSE)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HLOOKUP(I136,GasAvoidedCostsWOCC!$A$5:$Q$50,G136+1,FALSE)*J136*L136</f>
        <v>#N/A</v>
      </c>
      <c r="AL136" s="43" t="e">
        <f t="shared" si="53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38"/>
        <v>0</v>
      </c>
      <c r="U137" s="46">
        <f t="shared" si="39"/>
        <v>0</v>
      </c>
      <c r="V137" s="47">
        <f t="shared" si="40"/>
        <v>0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 t="e">
        <f>HLOOKUP(I137,GasAvoidedCostsWOCC!$A$5:$G$50,G137+1,FALSE)</f>
        <v>#N/A</v>
      </c>
      <c r="AG137" s="43" t="e">
        <f t="shared" si="50"/>
        <v>#N/A</v>
      </c>
      <c r="AH137" s="51" t="e">
        <f>HLOOKUP(I137,GasAvoidedCostsWOCC!$A$5:$Q$50,T137+1,FALSE)</f>
        <v>#N/A</v>
      </c>
      <c r="AI137" s="43" t="e">
        <f t="shared" si="51"/>
        <v>#N/A</v>
      </c>
      <c r="AJ137" s="43" t="e">
        <f t="shared" si="52"/>
        <v>#N/A</v>
      </c>
      <c r="AK137" s="43" t="e">
        <f>HLOOKUP(I137,GasAvoidedCostsWOCC!$A$5:$Q$50,G137+1,FALSE)*J137*L137</f>
        <v>#N/A</v>
      </c>
      <c r="AL137" s="43" t="e">
        <f t="shared" si="53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38"/>
        <v>0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 t="e">
        <f>HLOOKUP(I138,GasAvoidedCostsWOCC!$A$5:$G$50,G138+1,FALSE)</f>
        <v>#N/A</v>
      </c>
      <c r="AG138" s="43" t="e">
        <f t="shared" si="50"/>
        <v>#N/A</v>
      </c>
      <c r="AH138" s="51" t="e">
        <f>HLOOKUP(I138,GasAvoidedCostsWOCC!$A$5:$Q$50,T138+1,FALSE)</f>
        <v>#N/A</v>
      </c>
      <c r="AI138" s="43" t="e">
        <f t="shared" si="51"/>
        <v>#N/A</v>
      </c>
      <c r="AJ138" s="43" t="e">
        <f t="shared" si="52"/>
        <v>#N/A</v>
      </c>
      <c r="AK138" s="43" t="e">
        <f>HLOOKUP(I138,GasAvoidedCostsWOCC!$A$5:$Q$50,G138+1,FALSE)*J138*L138</f>
        <v>#N/A</v>
      </c>
      <c r="AL138" s="43" t="e">
        <f t="shared" si="53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38"/>
        <v>0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 t="e">
        <f>HLOOKUP(I139,GasAvoidedCostsWOCC!$A$5:$G$50,G139+1,FALSE)</f>
        <v>#N/A</v>
      </c>
      <c r="AG139" s="43" t="e">
        <f t="shared" si="50"/>
        <v>#N/A</v>
      </c>
      <c r="AH139" s="51" t="e">
        <f>HLOOKUP(I139,GasAvoidedCostsWOCC!$A$5:$Q$50,T139+1,FALSE)</f>
        <v>#N/A</v>
      </c>
      <c r="AI139" s="43" t="e">
        <f t="shared" si="51"/>
        <v>#N/A</v>
      </c>
      <c r="AJ139" s="43" t="e">
        <f t="shared" si="52"/>
        <v>#N/A</v>
      </c>
      <c r="AK139" s="43" t="e">
        <f>HLOOKUP(I139,GasAvoidedCostsWOCC!$A$5:$Q$50,G139+1,FALSE)*J139*L139</f>
        <v>#N/A</v>
      </c>
      <c r="AL139" s="43" t="e">
        <f t="shared" si="53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38"/>
        <v>0</v>
      </c>
      <c r="U140" s="46">
        <f t="shared" si="39"/>
        <v>0</v>
      </c>
      <c r="V140" s="47">
        <f t="shared" si="40"/>
        <v>0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 t="e">
        <f>HLOOKUP(I140,GasAvoidedCostsWOCC!$A$5:$G$50,G140+1,FALSE)</f>
        <v>#N/A</v>
      </c>
      <c r="AG140" s="43" t="e">
        <f t="shared" si="50"/>
        <v>#N/A</v>
      </c>
      <c r="AH140" s="51" t="e">
        <f>HLOOKUP(I140,GasAvoidedCostsWOCC!$A$5:$Q$50,T140+1,FALSE)</f>
        <v>#N/A</v>
      </c>
      <c r="AI140" s="43" t="e">
        <f t="shared" si="51"/>
        <v>#N/A</v>
      </c>
      <c r="AJ140" s="43" t="e">
        <f t="shared" si="52"/>
        <v>#N/A</v>
      </c>
      <c r="AK140" s="43" t="e">
        <f>HLOOKUP(I140,GasAvoidedCostsWOCC!$A$5:$Q$50,G140+1,FALSE)*J140*L140</f>
        <v>#N/A</v>
      </c>
      <c r="AL140" s="43" t="e">
        <f t="shared" si="53"/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38"/>
        <v>0</v>
      </c>
      <c r="U141" s="46">
        <f t="shared" si="39"/>
        <v>0</v>
      </c>
      <c r="V141" s="47">
        <f t="shared" si="40"/>
        <v>0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 t="e">
        <f>HLOOKUP(I141,GasAvoidedCostsWOCC!$A$5:$G$50,G141+1,FALSE)</f>
        <v>#N/A</v>
      </c>
      <c r="AG141" s="43" t="e">
        <f t="shared" si="50"/>
        <v>#N/A</v>
      </c>
      <c r="AH141" s="51" t="e">
        <f>HLOOKUP(I141,GasAvoidedCostsWOCC!$A$5:$Q$50,T141+1,FALSE)</f>
        <v>#N/A</v>
      </c>
      <c r="AI141" s="43" t="e">
        <f t="shared" si="51"/>
        <v>#N/A</v>
      </c>
      <c r="AJ141" s="43" t="e">
        <f t="shared" si="52"/>
        <v>#N/A</v>
      </c>
      <c r="AK141" s="43" t="e">
        <f>HLOOKUP(I141,GasAvoidedCostsWOCC!$A$5:$Q$50,G141+1,FALSE)*J141*L141</f>
        <v>#N/A</v>
      </c>
      <c r="AL141" s="43" t="e">
        <f t="shared" si="53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</sheetData>
  <conditionalFormatting sqref="J5:L141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141 R5:S141">
    <cfRule type="expression" dxfId="32" priority="2">
      <formula>ISTEXT(M5)</formula>
    </cfRule>
  </conditionalFormatting>
  <conditionalFormatting sqref="M5:N141 R5:S141">
    <cfRule type="notContainsBlanks" dxfId="31" priority="3">
      <formula>LEN(TRIM(M5))&gt;0</formula>
    </cfRule>
  </conditionalFormatting>
  <conditionalFormatting sqref="R5:S141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20" sqref="M2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18230248</v>
      </c>
      <c r="D2" s="19" t="s">
        <v>32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18230248</v>
      </c>
      <c r="D5" s="60" t="s">
        <v>32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259</v>
      </c>
      <c r="J5" s="40">
        <v>1</v>
      </c>
      <c r="K5" s="40">
        <v>257400</v>
      </c>
      <c r="L5" s="40">
        <v>0</v>
      </c>
      <c r="M5" s="41">
        <v>741960</v>
      </c>
      <c r="N5" s="41">
        <v>1663200</v>
      </c>
      <c r="O5" s="42">
        <v>257400</v>
      </c>
      <c r="P5" s="43">
        <v>741960</v>
      </c>
      <c r="Q5" s="43">
        <v>1663200</v>
      </c>
      <c r="R5" s="44">
        <v>0</v>
      </c>
      <c r="S5" s="45"/>
      <c r="T5" s="38">
        <f t="shared" ref="T5:T24" si="0">G5+H5</f>
        <v>13</v>
      </c>
      <c r="U5" s="46">
        <f t="shared" ref="U5:U24" si="1">(O5/$A$10)*T5</f>
        <v>6.3414634146341466</v>
      </c>
      <c r="V5" s="47">
        <f t="shared" ref="V5:V24" si="2">N5-M5</f>
        <v>921240</v>
      </c>
      <c r="W5" s="48">
        <f t="shared" ref="W5:W24" si="3">(O5/A$10)</f>
        <v>0.48780487804878048</v>
      </c>
      <c r="X5" s="43">
        <f t="shared" ref="X5:X24" si="4">W5*A$8</f>
        <v>780283.95121951227</v>
      </c>
      <c r="Y5" s="43">
        <f t="shared" ref="Y5:Y24" si="5">Q5-P5</f>
        <v>921240</v>
      </c>
      <c r="Z5" s="43">
        <f t="shared" ref="Z5:Z24" si="6">X5+(A$6*W5)</f>
        <v>1522243.9512195121</v>
      </c>
      <c r="AA5" s="49">
        <f t="shared" ref="AA5:AA24" si="7">Q5+X5</f>
        <v>2443483.9512195121</v>
      </c>
      <c r="AB5" s="50">
        <f t="shared" ref="AB5:AB24" si="8">Z5/(1+GasDiscountRate)^1</f>
        <v>1425322.0517036631</v>
      </c>
      <c r="AC5" s="43">
        <f t="shared" ref="AC5:AC24" si="9">AA5/(1+GasDiscountRate)^1</f>
        <v>2287906.3213665844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13.177536997274302</v>
      </c>
      <c r="AG5" s="43">
        <f t="shared" ref="AG5:AG24" si="11">AF5*J5*K5</f>
        <v>3391898.0230984055</v>
      </c>
      <c r="AH5" s="51">
        <f>HLOOKUP(I5,GasAvoidedCostsWOCC!$A$5:$Q$50,T5+1,FALSE)</f>
        <v>13.177536997274302</v>
      </c>
      <c r="AI5" s="43">
        <f t="shared" ref="AI5:AI24" si="12">AH5*J5*L5</f>
        <v>0</v>
      </c>
      <c r="AJ5" s="43">
        <f>AG5+AI5</f>
        <v>3391898.0230984055</v>
      </c>
      <c r="AK5" s="43">
        <f>HLOOKUP(I5,GasAvoidedCostsWOCC!$A$5:$Q$50,G5+1,FALSE)*J5*L5</f>
        <v>0</v>
      </c>
      <c r="AL5" s="43">
        <f>AG5+AI5-AK5</f>
        <v>3391898.0230984055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3391898.0230984055</v>
      </c>
      <c r="AN5" s="47">
        <f>AM5*1.1+AD5+AE5</f>
        <v>3731087.8254082464</v>
      </c>
      <c r="AO5" s="46">
        <f>IFERROR(AM5/AB5,0)</f>
        <v>2.3797414900331666</v>
      </c>
      <c r="AP5" s="46">
        <f>AN5/AC5</f>
        <v>1.6307869734717277</v>
      </c>
    </row>
    <row r="6" spans="1:42" ht="13.5" customHeight="1" x14ac:dyDescent="0.25">
      <c r="A6" s="52">
        <f>SUMIF('Program Costs'!D:D,C2,'Program Costs'!L:L)</f>
        <v>1521018</v>
      </c>
      <c r="B6" s="88" t="s">
        <v>31</v>
      </c>
      <c r="C6" s="89">
        <v>18230248</v>
      </c>
      <c r="D6" s="60" t="s">
        <v>32</v>
      </c>
      <c r="E6" s="37" t="s">
        <v>807</v>
      </c>
      <c r="F6" s="38" t="s">
        <v>809</v>
      </c>
      <c r="G6" s="38">
        <v>13</v>
      </c>
      <c r="H6" s="38">
        <v>0</v>
      </c>
      <c r="I6" s="39" t="s">
        <v>259</v>
      </c>
      <c r="J6" s="40">
        <v>1</v>
      </c>
      <c r="K6" s="40">
        <v>270270</v>
      </c>
      <c r="L6" s="40">
        <v>0</v>
      </c>
      <c r="M6" s="41">
        <v>779058</v>
      </c>
      <c r="N6" s="41">
        <v>1746360</v>
      </c>
      <c r="O6" s="42">
        <v>270270</v>
      </c>
      <c r="P6" s="43">
        <v>779058</v>
      </c>
      <c r="Q6" s="43">
        <v>1746360</v>
      </c>
      <c r="R6" s="44">
        <v>0</v>
      </c>
      <c r="S6" s="45"/>
      <c r="T6" s="38">
        <f t="shared" si="0"/>
        <v>13</v>
      </c>
      <c r="U6" s="46">
        <f t="shared" si="1"/>
        <v>6.6585365853658534</v>
      </c>
      <c r="V6" s="47">
        <f t="shared" si="2"/>
        <v>967302</v>
      </c>
      <c r="W6" s="48">
        <f t="shared" si="3"/>
        <v>0.51219512195121952</v>
      </c>
      <c r="X6" s="43">
        <f t="shared" si="4"/>
        <v>819298.14878048783</v>
      </c>
      <c r="Y6" s="43">
        <f t="shared" si="5"/>
        <v>967302</v>
      </c>
      <c r="Z6" s="43">
        <f t="shared" si="6"/>
        <v>1598356.1487804879</v>
      </c>
      <c r="AA6" s="49">
        <f t="shared" si="7"/>
        <v>2565658.1487804879</v>
      </c>
      <c r="AB6" s="50">
        <f t="shared" si="8"/>
        <v>1496588.1542888463</v>
      </c>
      <c r="AC6" s="43">
        <f t="shared" si="9"/>
        <v>2402301.6374349138</v>
      </c>
      <c r="AD6" s="43">
        <f t="shared" si="10"/>
        <v>0</v>
      </c>
      <c r="AE6" s="43">
        <v>0</v>
      </c>
      <c r="AF6" s="51">
        <f>HLOOKUP(I6,GasAvoidedCostsWOCC!$A$5:$G$50,G6+1,FALSE)</f>
        <v>13.177536997274302</v>
      </c>
      <c r="AG6" s="43">
        <f t="shared" si="11"/>
        <v>3561492.9242533254</v>
      </c>
      <c r="AH6" s="51">
        <f>HLOOKUP(I6,GasAvoidedCostsWOCC!$A$5:$Q$50,T6+1,FALSE)</f>
        <v>13.177536997274302</v>
      </c>
      <c r="AI6" s="43">
        <f t="shared" si="12"/>
        <v>0</v>
      </c>
      <c r="AJ6" s="43">
        <f t="shared" ref="AJ6:AJ24" si="13">AG6+AI6</f>
        <v>3561492.9242533254</v>
      </c>
      <c r="AK6" s="43">
        <f>HLOOKUP(I6,GasAvoidedCostsWOCC!$A$5:$Q$50,G6+1,FALSE)*J6*L6</f>
        <v>0</v>
      </c>
      <c r="AL6" s="43">
        <f t="shared" ref="AL6:AL24" si="14">AG6+AI6-AK6</f>
        <v>3561492.9242533254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3561492.9242533254</v>
      </c>
      <c r="AN6" s="47">
        <f t="shared" ref="AN6:AN24" si="15">AM6*1.1+AD6+AE6</f>
        <v>3917642.2166786585</v>
      </c>
      <c r="AO6" s="46">
        <f t="shared" ref="AO6:AO24" si="16">IFERROR(AM6/AB6,0)</f>
        <v>2.3797414900331666</v>
      </c>
      <c r="AP6" s="46">
        <f t="shared" ref="AP6:AP24" si="17">AN6/AC6</f>
        <v>1.6307869734717275</v>
      </c>
    </row>
    <row r="7" spans="1:42" ht="13.5" customHeight="1" x14ac:dyDescent="0.25">
      <c r="A7" s="35" t="s">
        <v>239</v>
      </c>
      <c r="B7" s="88" t="s">
        <v>31</v>
      </c>
      <c r="C7" s="89">
        <v>18230248</v>
      </c>
      <c r="D7" s="60" t="s">
        <v>32</v>
      </c>
      <c r="E7" s="37" t="s">
        <v>975</v>
      </c>
      <c r="F7" s="38" t="s">
        <v>976</v>
      </c>
      <c r="G7" s="38">
        <v>13</v>
      </c>
      <c r="H7" s="38">
        <v>0</v>
      </c>
      <c r="I7" s="39" t="s">
        <v>259</v>
      </c>
      <c r="J7" s="40">
        <v>0</v>
      </c>
      <c r="K7" s="40">
        <v>0</v>
      </c>
      <c r="L7" s="40">
        <v>0</v>
      </c>
      <c r="M7" s="41">
        <v>13.13</v>
      </c>
      <c r="N7" s="41">
        <v>13.13</v>
      </c>
      <c r="O7" s="42">
        <v>0</v>
      </c>
      <c r="P7" s="43">
        <v>0</v>
      </c>
      <c r="Q7" s="43">
        <v>0</v>
      </c>
      <c r="R7" s="44">
        <v>0.28389999999999999</v>
      </c>
      <c r="S7" s="45"/>
      <c r="T7" s="38">
        <f t="shared" si="0"/>
        <v>13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13.177536997274302</v>
      </c>
      <c r="AG7" s="43">
        <f t="shared" si="11"/>
        <v>0</v>
      </c>
      <c r="AH7" s="51">
        <f>HLOOKUP(I7,GasAvoidedCostsWOCC!$A$5:$Q$50,T7+1,FALSE)</f>
        <v>13.177536997274302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1599582.1</v>
      </c>
      <c r="B8" s="88" t="s">
        <v>31</v>
      </c>
      <c r="C8" s="89">
        <v>18230248</v>
      </c>
      <c r="D8" s="60" t="s">
        <v>32</v>
      </c>
      <c r="E8" s="37" t="s">
        <v>977</v>
      </c>
      <c r="F8" s="38" t="s">
        <v>978</v>
      </c>
      <c r="G8" s="38">
        <v>13</v>
      </c>
      <c r="H8" s="38">
        <v>0</v>
      </c>
      <c r="I8" s="39" t="s">
        <v>259</v>
      </c>
      <c r="J8" s="40">
        <v>0</v>
      </c>
      <c r="K8" s="40">
        <v>0</v>
      </c>
      <c r="L8" s="40">
        <v>0</v>
      </c>
      <c r="M8" s="41">
        <v>5</v>
      </c>
      <c r="N8" s="41">
        <v>13.13</v>
      </c>
      <c r="O8" s="42">
        <v>0</v>
      </c>
      <c r="P8" s="43">
        <v>0</v>
      </c>
      <c r="Q8" s="43">
        <v>0</v>
      </c>
      <c r="R8" s="44">
        <v>0.28389999999999999</v>
      </c>
      <c r="S8" s="45"/>
      <c r="T8" s="38">
        <f t="shared" si="0"/>
        <v>13</v>
      </c>
      <c r="U8" s="46">
        <f t="shared" si="1"/>
        <v>0</v>
      </c>
      <c r="V8" s="47">
        <f t="shared" si="2"/>
        <v>8.1300000000000008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13.177536997274302</v>
      </c>
      <c r="AG8" s="43">
        <f t="shared" si="11"/>
        <v>0</v>
      </c>
      <c r="AH8" s="51">
        <f>HLOOKUP(I8,GasAvoidedCostsWOCC!$A$5:$Q$50,T8+1,FALSE)</f>
        <v>13.177536997274302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18230248</v>
      </c>
      <c r="D9" s="60" t="s">
        <v>32</v>
      </c>
      <c r="E9" s="37" t="s">
        <v>979</v>
      </c>
      <c r="F9" s="38" t="s">
        <v>980</v>
      </c>
      <c r="G9" s="38">
        <v>13</v>
      </c>
      <c r="H9" s="38">
        <v>0</v>
      </c>
      <c r="I9" s="39" t="s">
        <v>259</v>
      </c>
      <c r="J9" s="40">
        <v>0</v>
      </c>
      <c r="K9" s="40">
        <v>0</v>
      </c>
      <c r="L9" s="40">
        <v>0</v>
      </c>
      <c r="M9" s="41">
        <v>5</v>
      </c>
      <c r="N9" s="41">
        <v>13.13</v>
      </c>
      <c r="O9" s="42">
        <v>0</v>
      </c>
      <c r="P9" s="43">
        <v>0</v>
      </c>
      <c r="Q9" s="43">
        <v>0</v>
      </c>
      <c r="R9" s="44">
        <v>0.28389999999999999</v>
      </c>
      <c r="S9" s="45"/>
      <c r="T9" s="38">
        <f t="shared" si="0"/>
        <v>13</v>
      </c>
      <c r="U9" s="46">
        <f t="shared" si="1"/>
        <v>0</v>
      </c>
      <c r="V9" s="47">
        <f t="shared" si="2"/>
        <v>8.1300000000000008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13.177536997274302</v>
      </c>
      <c r="AG9" s="43">
        <f t="shared" si="11"/>
        <v>0</v>
      </c>
      <c r="AH9" s="51">
        <f>HLOOKUP(I9,GasAvoidedCostsWOCC!$A$5:$Q$50,T9+1,FALSE)</f>
        <v>13.177536997274302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527670</v>
      </c>
      <c r="B10" s="88" t="s">
        <v>31</v>
      </c>
      <c r="C10" s="89">
        <v>18230248</v>
      </c>
      <c r="D10" s="60" t="s">
        <v>32</v>
      </c>
      <c r="E10" s="37" t="s">
        <v>981</v>
      </c>
      <c r="F10" s="38" t="s">
        <v>982</v>
      </c>
      <c r="G10" s="38">
        <v>13</v>
      </c>
      <c r="H10" s="38">
        <v>0</v>
      </c>
      <c r="I10" s="39" t="s">
        <v>259</v>
      </c>
      <c r="J10" s="40">
        <v>0</v>
      </c>
      <c r="K10" s="40">
        <v>0</v>
      </c>
      <c r="L10" s="40">
        <v>0</v>
      </c>
      <c r="M10" s="41">
        <v>5</v>
      </c>
      <c r="N10" s="41">
        <v>10.1</v>
      </c>
      <c r="O10" s="42">
        <v>0</v>
      </c>
      <c r="P10" s="43">
        <v>0</v>
      </c>
      <c r="Q10" s="43">
        <v>0</v>
      </c>
      <c r="R10" s="44">
        <v>0.32069999999999999</v>
      </c>
      <c r="S10" s="45"/>
      <c r="T10" s="38">
        <f t="shared" si="0"/>
        <v>13</v>
      </c>
      <c r="U10" s="46">
        <f t="shared" si="1"/>
        <v>0</v>
      </c>
      <c r="V10" s="47">
        <f t="shared" si="2"/>
        <v>5.0999999999999996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13.177536997274302</v>
      </c>
      <c r="AG10" s="43">
        <f t="shared" si="11"/>
        <v>0</v>
      </c>
      <c r="AH10" s="51">
        <f>HLOOKUP(I10,GasAvoidedCostsWOCC!$A$5:$Q$50,T10+1,FALSE)</f>
        <v>13.177536997274302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31</v>
      </c>
      <c r="C11" s="89">
        <v>18230248</v>
      </c>
      <c r="D11" s="60" t="s">
        <v>32</v>
      </c>
      <c r="E11" s="37" t="s">
        <v>983</v>
      </c>
      <c r="F11" s="38" t="s">
        <v>984</v>
      </c>
      <c r="G11" s="38">
        <v>13</v>
      </c>
      <c r="H11" s="38">
        <v>0</v>
      </c>
      <c r="I11" s="39" t="s">
        <v>259</v>
      </c>
      <c r="J11" s="40">
        <v>0</v>
      </c>
      <c r="K11" s="40">
        <v>0</v>
      </c>
      <c r="L11" s="40">
        <v>0</v>
      </c>
      <c r="M11" s="41">
        <v>5</v>
      </c>
      <c r="N11" s="41">
        <v>10.1</v>
      </c>
      <c r="O11" s="42">
        <v>0</v>
      </c>
      <c r="P11" s="43">
        <v>0</v>
      </c>
      <c r="Q11" s="43">
        <v>0</v>
      </c>
      <c r="R11" s="44">
        <v>0.32069999999999999</v>
      </c>
      <c r="S11" s="45"/>
      <c r="T11" s="38">
        <f t="shared" si="0"/>
        <v>13</v>
      </c>
      <c r="U11" s="46">
        <f t="shared" si="1"/>
        <v>0</v>
      </c>
      <c r="V11" s="47">
        <f t="shared" si="2"/>
        <v>5.0999999999999996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13.177536997274302</v>
      </c>
      <c r="AG11" s="43">
        <f t="shared" si="11"/>
        <v>0</v>
      </c>
      <c r="AH11" s="51">
        <f>HLOOKUP(I11,GasAvoidedCostsWOCC!$A$5:$Q$50,T11+1,FALSE)</f>
        <v>13.177536997274302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1521018</v>
      </c>
      <c r="B12" s="88" t="s">
        <v>31</v>
      </c>
      <c r="C12" s="89">
        <v>18230248</v>
      </c>
      <c r="D12" s="60" t="s">
        <v>32</v>
      </c>
      <c r="E12" s="37" t="s">
        <v>985</v>
      </c>
      <c r="F12" s="38" t="s">
        <v>986</v>
      </c>
      <c r="G12" s="38">
        <v>13</v>
      </c>
      <c r="H12" s="38">
        <v>0</v>
      </c>
      <c r="I12" s="39" t="s">
        <v>259</v>
      </c>
      <c r="J12" s="40">
        <v>0</v>
      </c>
      <c r="K12" s="40">
        <v>0</v>
      </c>
      <c r="L12" s="40">
        <v>0</v>
      </c>
      <c r="M12" s="41">
        <v>5</v>
      </c>
      <c r="N12" s="41">
        <v>10.1</v>
      </c>
      <c r="O12" s="42">
        <v>0</v>
      </c>
      <c r="P12" s="43">
        <v>0</v>
      </c>
      <c r="Q12" s="43">
        <v>0</v>
      </c>
      <c r="R12" s="44">
        <v>0.32069999999999999</v>
      </c>
      <c r="S12" s="45"/>
      <c r="T12" s="38">
        <f t="shared" si="0"/>
        <v>13</v>
      </c>
      <c r="U12" s="46">
        <f t="shared" si="1"/>
        <v>0</v>
      </c>
      <c r="V12" s="47">
        <f t="shared" si="2"/>
        <v>5.0999999999999996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13.177536997274302</v>
      </c>
      <c r="AG12" s="43">
        <f t="shared" si="11"/>
        <v>0</v>
      </c>
      <c r="AH12" s="51">
        <f>HLOOKUP(I12,GasAvoidedCostsWOCC!$A$5:$Q$50,T12+1,FALSE)</f>
        <v>13.177536997274302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18230248</v>
      </c>
      <c r="D13" s="60" t="s">
        <v>32</v>
      </c>
      <c r="E13" s="37" t="s">
        <v>987</v>
      </c>
      <c r="F13" s="38" t="s">
        <v>988</v>
      </c>
      <c r="G13" s="38">
        <v>13</v>
      </c>
      <c r="H13" s="38">
        <v>0</v>
      </c>
      <c r="I13" s="39" t="s">
        <v>259</v>
      </c>
      <c r="J13" s="40">
        <v>0</v>
      </c>
      <c r="K13" s="40">
        <v>0</v>
      </c>
      <c r="L13" s="40">
        <v>0</v>
      </c>
      <c r="M13" s="41">
        <v>3</v>
      </c>
      <c r="N13" s="41">
        <v>5.3</v>
      </c>
      <c r="O13" s="42">
        <v>0</v>
      </c>
      <c r="P13" s="43">
        <v>0</v>
      </c>
      <c r="Q13" s="43">
        <v>0</v>
      </c>
      <c r="R13" s="44">
        <v>0.3306</v>
      </c>
      <c r="S13" s="45"/>
      <c r="T13" s="38">
        <f t="shared" si="0"/>
        <v>13</v>
      </c>
      <c r="U13" s="46">
        <f t="shared" si="1"/>
        <v>0</v>
      </c>
      <c r="V13" s="47">
        <f t="shared" si="2"/>
        <v>2.2999999999999998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13.177536997274302</v>
      </c>
      <c r="AG13" s="43">
        <f t="shared" si="11"/>
        <v>0</v>
      </c>
      <c r="AH13" s="51">
        <f>HLOOKUP(I13,GasAvoidedCostsWOCC!$A$5:$Q$50,T13+1,FALSE)</f>
        <v>13.177536997274302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1888542</v>
      </c>
      <c r="B14" s="36"/>
      <c r="E14" s="37" t="s">
        <v>989</v>
      </c>
      <c r="F14" s="38" t="s">
        <v>990</v>
      </c>
      <c r="G14" s="38">
        <v>13</v>
      </c>
      <c r="H14" s="38">
        <v>0</v>
      </c>
      <c r="I14" s="39" t="s">
        <v>259</v>
      </c>
      <c r="J14" s="40">
        <v>0</v>
      </c>
      <c r="K14" s="40">
        <v>0</v>
      </c>
      <c r="L14" s="40">
        <v>0</v>
      </c>
      <c r="M14" s="41">
        <v>3</v>
      </c>
      <c r="N14" s="41">
        <v>5.3</v>
      </c>
      <c r="O14" s="42">
        <v>0</v>
      </c>
      <c r="P14" s="43">
        <v>0</v>
      </c>
      <c r="Q14" s="43">
        <v>0</v>
      </c>
      <c r="R14" s="44">
        <v>0.3306</v>
      </c>
      <c r="S14" s="45"/>
      <c r="T14" s="38">
        <f t="shared" si="0"/>
        <v>13</v>
      </c>
      <c r="U14" s="46">
        <f t="shared" si="1"/>
        <v>0</v>
      </c>
      <c r="V14" s="47">
        <f t="shared" si="2"/>
        <v>2.2999999999999998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13.177536997274302</v>
      </c>
      <c r="AG14" s="43">
        <f t="shared" si="11"/>
        <v>0</v>
      </c>
      <c r="AH14" s="51">
        <f>HLOOKUP(I14,GasAvoidedCostsWOCC!$A$5:$Q$50,T14+1,FALSE)</f>
        <v>13.177536997274302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991</v>
      </c>
      <c r="F15" s="38" t="s">
        <v>992</v>
      </c>
      <c r="G15" s="38">
        <v>13</v>
      </c>
      <c r="H15" s="38">
        <v>0</v>
      </c>
      <c r="I15" s="39" t="s">
        <v>259</v>
      </c>
      <c r="J15" s="40">
        <v>0</v>
      </c>
      <c r="K15" s="40">
        <v>0</v>
      </c>
      <c r="L15" s="40">
        <v>0</v>
      </c>
      <c r="M15" s="41">
        <v>3</v>
      </c>
      <c r="N15" s="41">
        <v>5.3</v>
      </c>
      <c r="O15" s="42">
        <v>0</v>
      </c>
      <c r="P15" s="43">
        <v>0</v>
      </c>
      <c r="Q15" s="43">
        <v>0</v>
      </c>
      <c r="R15" s="44">
        <v>0.3306</v>
      </c>
      <c r="S15" s="45"/>
      <c r="T15" s="38">
        <f t="shared" si="0"/>
        <v>13</v>
      </c>
      <c r="U15" s="46">
        <f t="shared" si="1"/>
        <v>0</v>
      </c>
      <c r="V15" s="47">
        <f t="shared" si="2"/>
        <v>2.2999999999999998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13.177536997274302</v>
      </c>
      <c r="AG15" s="43">
        <f t="shared" si="11"/>
        <v>0</v>
      </c>
      <c r="AH15" s="51">
        <f>HLOOKUP(I15,GasAvoidedCostsWOCC!$A$5:$Q$50,T15+1,FALSE)</f>
        <v>13.177536997274302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3120600.1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5009142.0999999996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2.3797414900331666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1.6307869734717275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6"/>
  <sheetViews>
    <sheetView zoomScale="85" zoomScaleNormal="85" workbookViewId="0">
      <selection activeCell="M16" sqref="M1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18231022</v>
      </c>
      <c r="D2" s="19" t="s">
        <v>154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18231022</v>
      </c>
      <c r="D5" s="60" t="s">
        <v>154</v>
      </c>
      <c r="E5" s="37" t="s">
        <v>1946</v>
      </c>
      <c r="F5" s="38" t="s">
        <v>1947</v>
      </c>
      <c r="G5" s="38">
        <v>10</v>
      </c>
      <c r="H5" s="38">
        <v>0</v>
      </c>
      <c r="I5" s="39" t="s">
        <v>259</v>
      </c>
      <c r="J5" s="40">
        <v>0</v>
      </c>
      <c r="K5" s="40">
        <v>6.5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/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B23" si="8">Z5/(1+GasDiscountRate)^1</f>
        <v>0</v>
      </c>
      <c r="AC5" s="43">
        <f t="shared" ref="AC5:AC23" si="9">AA5/(1+GasDiscountRate)^1</f>
        <v>0</v>
      </c>
      <c r="AD5" s="43">
        <f t="shared" ref="AD5:AD23" si="10">-PV(GasDiscountRate,T5,R5)*J5</f>
        <v>0</v>
      </c>
      <c r="AE5" s="43">
        <v>0</v>
      </c>
      <c r="AF5" s="51">
        <f>HLOOKUP(I5,GasAvoidedCostsWOCC!$A$5:$G$50,G5+1,FALSE)</f>
        <v>10.557967672064937</v>
      </c>
      <c r="AG5" s="43">
        <f t="shared" ref="AG5:AG23" si="11">AF5*J5*K5</f>
        <v>0</v>
      </c>
      <c r="AH5" s="51">
        <f>HLOOKUP(I5,GasAvoidedCostsWOCC!$A$5:$Q$50,T5+1,FALSE)</f>
        <v>10.557967672064937</v>
      </c>
      <c r="AI5" s="43">
        <f t="shared" ref="AI5:AI23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715400</v>
      </c>
      <c r="B6" s="88" t="s">
        <v>31</v>
      </c>
      <c r="C6" s="89">
        <v>18231022</v>
      </c>
      <c r="D6" s="60" t="s">
        <v>154</v>
      </c>
      <c r="E6" s="37" t="s">
        <v>1948</v>
      </c>
      <c r="F6" s="38" t="s">
        <v>1949</v>
      </c>
      <c r="G6" s="38">
        <v>10</v>
      </c>
      <c r="H6" s="38">
        <v>0</v>
      </c>
      <c r="I6" s="39" t="s">
        <v>259</v>
      </c>
      <c r="J6" s="40">
        <v>0</v>
      </c>
      <c r="K6" s="40">
        <v>2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/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>
        <f>HLOOKUP(I6,GasAvoidedCostsWOCC!$A$5:$G$50,G6+1,FALSE)</f>
        <v>10.557967672064937</v>
      </c>
      <c r="AG6" s="43">
        <f t="shared" si="11"/>
        <v>0</v>
      </c>
      <c r="AH6" s="51">
        <f>HLOOKUP(I6,GasAvoidedCostsWOCC!$A$5:$Q$50,T6+1,FALSE)</f>
        <v>10.557967672064937</v>
      </c>
      <c r="AI6" s="43">
        <f t="shared" si="12"/>
        <v>0</v>
      </c>
      <c r="AJ6" s="43">
        <f t="shared" ref="AJ6:AJ23" si="13">AG6+AI6</f>
        <v>0</v>
      </c>
      <c r="AK6" s="43">
        <f>HLOOKUP(I6,GasAvoidedCostsWOCC!$A$5:$Q$50,G6+1,FALSE)*J6*L6</f>
        <v>0</v>
      </c>
      <c r="AL6" s="43">
        <f t="shared" ref="AL6:AL23" si="14">AG6+AI6-AK6</f>
        <v>0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3" si="15">AM6*1.1+AD6+AE6</f>
        <v>0</v>
      </c>
      <c r="AO6" s="46">
        <f t="shared" ref="AO6:AO23" si="16">IFERROR(AM6/AB6,0)</f>
        <v>0</v>
      </c>
      <c r="AP6" s="46" t="e">
        <f t="shared" ref="AP6:AP23" si="17">AN6/AC6</f>
        <v>#DIV/0!</v>
      </c>
    </row>
    <row r="7" spans="1:42" ht="13.5" customHeight="1" x14ac:dyDescent="0.25">
      <c r="A7" s="35" t="s">
        <v>239</v>
      </c>
      <c r="B7" s="88" t="s">
        <v>31</v>
      </c>
      <c r="C7" s="89">
        <v>18231022</v>
      </c>
      <c r="D7" s="60" t="s">
        <v>154</v>
      </c>
      <c r="E7" s="37" t="s">
        <v>1950</v>
      </c>
      <c r="F7" s="38" t="s">
        <v>1951</v>
      </c>
      <c r="G7" s="38">
        <v>10</v>
      </c>
      <c r="H7" s="38">
        <v>0</v>
      </c>
      <c r="I7" s="39" t="s">
        <v>259</v>
      </c>
      <c r="J7" s="40">
        <v>0</v>
      </c>
      <c r="K7" s="40">
        <v>9.3000000000000007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/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10.557967672064937</v>
      </c>
      <c r="AG7" s="43">
        <f t="shared" si="11"/>
        <v>0</v>
      </c>
      <c r="AH7" s="51">
        <f>HLOOKUP(I7,GasAvoidedCostsWOCC!$A$5:$Q$50,T7+1,FALSE)</f>
        <v>10.557967672064937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5280</v>
      </c>
      <c r="B8" s="88" t="s">
        <v>31</v>
      </c>
      <c r="C8" s="89">
        <v>18231022</v>
      </c>
      <c r="D8" s="60" t="s">
        <v>154</v>
      </c>
      <c r="E8" s="37" t="s">
        <v>1952</v>
      </c>
      <c r="F8" s="38" t="s">
        <v>1953</v>
      </c>
      <c r="G8" s="38">
        <v>10</v>
      </c>
      <c r="H8" s="38">
        <v>0</v>
      </c>
      <c r="I8" s="39" t="s">
        <v>259</v>
      </c>
      <c r="J8" s="40">
        <v>0</v>
      </c>
      <c r="K8" s="40">
        <v>6.5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/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10.557967672064937</v>
      </c>
      <c r="AG8" s="43">
        <f t="shared" si="11"/>
        <v>0</v>
      </c>
      <c r="AH8" s="51">
        <f>HLOOKUP(I8,GasAvoidedCostsWOCC!$A$5:$Q$50,T8+1,FALSE)</f>
        <v>10.557967672064937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 t="s">
        <v>1954</v>
      </c>
      <c r="F9" s="38" t="s">
        <v>1955</v>
      </c>
      <c r="G9" s="38">
        <v>10</v>
      </c>
      <c r="H9" s="38">
        <v>0</v>
      </c>
      <c r="I9" s="39" t="s">
        <v>259</v>
      </c>
      <c r="J9" s="40">
        <v>0</v>
      </c>
      <c r="K9" s="40">
        <v>8.1999999999999993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/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3" si="18">-PV(GasDiscountRate,T9,S9)*J9</f>
        <v>0</v>
      </c>
      <c r="AF9" s="51">
        <f>HLOOKUP(I9,GasAvoidedCostsWOCC!$A$5:$G$50,G9+1,FALSE)</f>
        <v>10.557967672064937</v>
      </c>
      <c r="AG9" s="43">
        <f t="shared" si="11"/>
        <v>0</v>
      </c>
      <c r="AH9" s="51">
        <f>HLOOKUP(I9,GasAvoidedCostsWOCC!$A$5:$Q$50,T9+1,FALSE)</f>
        <v>10.557967672064937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58500</v>
      </c>
      <c r="B10" s="36"/>
      <c r="E10" s="37" t="s">
        <v>1956</v>
      </c>
      <c r="F10" s="38" t="s">
        <v>1957</v>
      </c>
      <c r="G10" s="38">
        <v>10</v>
      </c>
      <c r="H10" s="38">
        <v>0</v>
      </c>
      <c r="I10" s="39" t="s">
        <v>259</v>
      </c>
      <c r="J10" s="40">
        <v>0</v>
      </c>
      <c r="K10" s="40">
        <v>11.7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/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10.557967672064937</v>
      </c>
      <c r="AG10" s="43">
        <f t="shared" si="11"/>
        <v>0</v>
      </c>
      <c r="AH10" s="51">
        <f>HLOOKUP(I10,GasAvoidedCostsWOCC!$A$5:$Q$50,T10+1,FALSE)</f>
        <v>10.557967672064937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 t="s">
        <v>1958</v>
      </c>
      <c r="F11" s="38" t="s">
        <v>1959</v>
      </c>
      <c r="G11" s="38">
        <v>10</v>
      </c>
      <c r="H11" s="38">
        <v>0</v>
      </c>
      <c r="I11" s="39" t="s">
        <v>259</v>
      </c>
      <c r="J11" s="40">
        <v>0</v>
      </c>
      <c r="K11" s="40">
        <v>4.5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/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10.557967672064937</v>
      </c>
      <c r="AG11" s="43">
        <f t="shared" si="11"/>
        <v>0</v>
      </c>
      <c r="AH11" s="51">
        <f>HLOOKUP(I11,GasAvoidedCostsWOCC!$A$5:$Q$50,T11+1,FALSE)</f>
        <v>10.557967672064937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715400</v>
      </c>
      <c r="B12" s="36"/>
      <c r="E12" s="37" t="s">
        <v>1960</v>
      </c>
      <c r="F12" s="38" t="s">
        <v>1961</v>
      </c>
      <c r="G12" s="38">
        <v>10</v>
      </c>
      <c r="H12" s="38">
        <v>0</v>
      </c>
      <c r="I12" s="39" t="s">
        <v>259</v>
      </c>
      <c r="J12" s="40">
        <v>0</v>
      </c>
      <c r="K12" s="40">
        <v>2.9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/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10.557967672064937</v>
      </c>
      <c r="AG12" s="43">
        <f t="shared" si="11"/>
        <v>0</v>
      </c>
      <c r="AH12" s="51">
        <f>HLOOKUP(I12,GasAvoidedCostsWOCC!$A$5:$Q$50,T12+1,FALSE)</f>
        <v>10.557967672064937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 t="s">
        <v>1962</v>
      </c>
      <c r="F13" s="38" t="s">
        <v>779</v>
      </c>
      <c r="G13" s="38">
        <v>1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1.4090331034485222</v>
      </c>
      <c r="AG13" s="43">
        <f t="shared" si="11"/>
        <v>0</v>
      </c>
      <c r="AH13" s="51">
        <f>HLOOKUP(I13,GasAvoidedCostsWOCC!$A$5:$Q$50,T13+1,FALSE)</f>
        <v>1.4090331034485222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 t="s">
        <v>1033</v>
      </c>
      <c r="F14" s="38" t="s">
        <v>1744</v>
      </c>
      <c r="G14" s="38">
        <v>10</v>
      </c>
      <c r="H14" s="38">
        <v>0</v>
      </c>
      <c r="I14" s="39" t="s">
        <v>259</v>
      </c>
      <c r="J14" s="40">
        <v>3</v>
      </c>
      <c r="K14" s="40">
        <v>200</v>
      </c>
      <c r="L14" s="40">
        <v>200</v>
      </c>
      <c r="M14" s="41">
        <v>0</v>
      </c>
      <c r="N14" s="41">
        <v>0</v>
      </c>
      <c r="O14" s="42">
        <v>600</v>
      </c>
      <c r="P14" s="43">
        <v>0</v>
      </c>
      <c r="Q14" s="43">
        <v>0</v>
      </c>
      <c r="R14" s="44">
        <v>0</v>
      </c>
      <c r="S14" s="45"/>
      <c r="T14" s="38">
        <f t="shared" si="0"/>
        <v>10</v>
      </c>
      <c r="U14" s="46">
        <f t="shared" si="1"/>
        <v>0.10256410256410256</v>
      </c>
      <c r="V14" s="47">
        <f t="shared" si="2"/>
        <v>0</v>
      </c>
      <c r="W14" s="48">
        <f t="shared" si="3"/>
        <v>1.0256410256410256E-2</v>
      </c>
      <c r="X14" s="43">
        <f t="shared" si="4"/>
        <v>54.153846153846153</v>
      </c>
      <c r="Y14" s="43">
        <f t="shared" si="5"/>
        <v>0</v>
      </c>
      <c r="Z14" s="43">
        <f t="shared" si="6"/>
        <v>7391.5897435897432</v>
      </c>
      <c r="AA14" s="49">
        <f t="shared" si="7"/>
        <v>54.153846153846153</v>
      </c>
      <c r="AB14" s="50">
        <f t="shared" si="8"/>
        <v>6920.9641793911451</v>
      </c>
      <c r="AC14" s="43">
        <f t="shared" si="9"/>
        <v>50.705848458657442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10.557967672064937</v>
      </c>
      <c r="AG14" s="43">
        <f t="shared" si="11"/>
        <v>6334.7806032389617</v>
      </c>
      <c r="AH14" s="51">
        <f>HLOOKUP(I14,GasAvoidedCostsWOCC!$A$5:$Q$50,T14+1,FALSE)</f>
        <v>10.557967672064937</v>
      </c>
      <c r="AI14" s="43">
        <f t="shared" si="12"/>
        <v>6334.7806032389617</v>
      </c>
      <c r="AJ14" s="43">
        <f t="shared" si="13"/>
        <v>12669.561206477923</v>
      </c>
      <c r="AK14" s="43">
        <f>HLOOKUP(I14,GasAvoidedCostsWOCC!$A$5:$Q$50,G14+1,FALSE)*J14*L14</f>
        <v>6334.7806032389617</v>
      </c>
      <c r="AL14" s="43">
        <f t="shared" si="14"/>
        <v>6334.7806032389617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6334.7806032389626</v>
      </c>
      <c r="AN14" s="47">
        <f t="shared" si="15"/>
        <v>6968.2586635628595</v>
      </c>
      <c r="AO14" s="46">
        <f t="shared" si="16"/>
        <v>0.9153031917290243</v>
      </c>
      <c r="AP14" s="46">
        <f t="shared" si="17"/>
        <v>137.42514671151528</v>
      </c>
    </row>
    <row r="15" spans="1:42" ht="13.5" customHeight="1" x14ac:dyDescent="0.25">
      <c r="A15" s="56" t="s">
        <v>248</v>
      </c>
      <c r="B15" s="36"/>
      <c r="E15" s="37" t="s">
        <v>1033</v>
      </c>
      <c r="F15" s="38" t="s">
        <v>1745</v>
      </c>
      <c r="G15" s="38">
        <v>10</v>
      </c>
      <c r="H15" s="38">
        <v>0</v>
      </c>
      <c r="I15" s="39" t="s">
        <v>259</v>
      </c>
      <c r="J15" s="40">
        <v>3</v>
      </c>
      <c r="K15" s="40">
        <v>200</v>
      </c>
      <c r="L15" s="40">
        <v>200</v>
      </c>
      <c r="M15" s="41">
        <v>0</v>
      </c>
      <c r="N15" s="41">
        <v>0</v>
      </c>
      <c r="O15" s="42">
        <v>600</v>
      </c>
      <c r="P15" s="43">
        <v>0</v>
      </c>
      <c r="Q15" s="43">
        <v>0</v>
      </c>
      <c r="R15" s="44">
        <v>0</v>
      </c>
      <c r="S15" s="45"/>
      <c r="T15" s="38">
        <f t="shared" si="0"/>
        <v>10</v>
      </c>
      <c r="U15" s="46">
        <f t="shared" si="1"/>
        <v>0.10256410256410256</v>
      </c>
      <c r="V15" s="47">
        <f t="shared" si="2"/>
        <v>0</v>
      </c>
      <c r="W15" s="48">
        <f t="shared" si="3"/>
        <v>1.0256410256410256E-2</v>
      </c>
      <c r="X15" s="43">
        <f t="shared" si="4"/>
        <v>54.153846153846153</v>
      </c>
      <c r="Y15" s="43">
        <f t="shared" si="5"/>
        <v>0</v>
      </c>
      <c r="Z15" s="43">
        <f t="shared" si="6"/>
        <v>7391.5897435897432</v>
      </c>
      <c r="AA15" s="49">
        <f t="shared" si="7"/>
        <v>54.153846153846153</v>
      </c>
      <c r="AB15" s="50">
        <f t="shared" si="8"/>
        <v>6920.9641793911451</v>
      </c>
      <c r="AC15" s="43">
        <f t="shared" si="9"/>
        <v>50.705848458657442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10.557967672064937</v>
      </c>
      <c r="AG15" s="43">
        <f t="shared" si="11"/>
        <v>6334.7806032389617</v>
      </c>
      <c r="AH15" s="51">
        <f>HLOOKUP(I15,GasAvoidedCostsWOCC!$A$5:$Q$50,T15+1,FALSE)</f>
        <v>10.557967672064937</v>
      </c>
      <c r="AI15" s="43">
        <f t="shared" si="12"/>
        <v>6334.7806032389617</v>
      </c>
      <c r="AJ15" s="43">
        <f t="shared" si="13"/>
        <v>12669.561206477923</v>
      </c>
      <c r="AK15" s="43">
        <f>HLOOKUP(I15,GasAvoidedCostsWOCC!$A$5:$Q$50,G15+1,FALSE)*J15*L15</f>
        <v>6334.7806032389617</v>
      </c>
      <c r="AL15" s="43">
        <f t="shared" si="14"/>
        <v>6334.7806032389617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6334.7806032389626</v>
      </c>
      <c r="AN15" s="47">
        <f t="shared" si="15"/>
        <v>6968.2586635628595</v>
      </c>
      <c r="AO15" s="46">
        <f t="shared" si="16"/>
        <v>0.9153031917290243</v>
      </c>
      <c r="AP15" s="46">
        <f t="shared" si="17"/>
        <v>137.42514671151528</v>
      </c>
    </row>
    <row r="16" spans="1:42" ht="13.5" customHeight="1" x14ac:dyDescent="0.25">
      <c r="A16" s="53">
        <f>SUM(U5:U999)</f>
        <v>9.615384615384615</v>
      </c>
      <c r="B16" s="36"/>
      <c r="E16" s="37" t="s">
        <v>1963</v>
      </c>
      <c r="F16" s="38" t="s">
        <v>1964</v>
      </c>
      <c r="G16" s="38">
        <v>4</v>
      </c>
      <c r="H16" s="38">
        <v>0</v>
      </c>
      <c r="I16" s="39" t="s">
        <v>259</v>
      </c>
      <c r="J16" s="40">
        <v>0</v>
      </c>
      <c r="K16" s="40">
        <v>38</v>
      </c>
      <c r="L16" s="40">
        <v>0</v>
      </c>
      <c r="M16" s="41">
        <v>76.3</v>
      </c>
      <c r="N16" s="41">
        <v>76.3</v>
      </c>
      <c r="O16" s="42">
        <v>0</v>
      </c>
      <c r="P16" s="43">
        <v>0</v>
      </c>
      <c r="Q16" s="43">
        <v>0</v>
      </c>
      <c r="R16" s="44">
        <v>150.74</v>
      </c>
      <c r="S16" s="45"/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4.8158058898669278</v>
      </c>
      <c r="AG16" s="43">
        <f t="shared" si="11"/>
        <v>0</v>
      </c>
      <c r="AH16" s="51">
        <f>HLOOKUP(I16,GasAvoidedCostsWOCC!$A$5:$Q$50,T16+1,FALSE)</f>
        <v>4.8158058898669278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1965</v>
      </c>
      <c r="F17" s="38" t="s">
        <v>735</v>
      </c>
      <c r="G17" s="38">
        <v>4</v>
      </c>
      <c r="H17" s="38">
        <v>0</v>
      </c>
      <c r="I17" s="39" t="s">
        <v>259</v>
      </c>
      <c r="J17" s="40">
        <v>0</v>
      </c>
      <c r="K17" s="40">
        <v>59</v>
      </c>
      <c r="L17" s="40">
        <v>0</v>
      </c>
      <c r="M17" s="41">
        <v>76.3</v>
      </c>
      <c r="N17" s="41">
        <v>76.3</v>
      </c>
      <c r="O17" s="42">
        <v>0</v>
      </c>
      <c r="P17" s="43">
        <v>0</v>
      </c>
      <c r="Q17" s="43">
        <v>0</v>
      </c>
      <c r="R17" s="44">
        <v>235.92</v>
      </c>
      <c r="S17" s="45"/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4.8158058898669278</v>
      </c>
      <c r="AG17" s="43">
        <f t="shared" si="11"/>
        <v>0</v>
      </c>
      <c r="AH17" s="51">
        <f>HLOOKUP(I17,GasAvoidedCostsWOCC!$A$5:$Q$50,T17+1,FALSE)</f>
        <v>4.8158058898669278</v>
      </c>
      <c r="AI17" s="43">
        <f t="shared" si="12"/>
        <v>0</v>
      </c>
      <c r="AJ17" s="43">
        <f t="shared" si="13"/>
        <v>0</v>
      </c>
      <c r="AK17" s="43">
        <f>HLOOKUP(I17,GasAvoidedCostsWOCC!$A$5:$Q$50,G17+1,FALSE)*J17*L17</f>
        <v>0</v>
      </c>
      <c r="AL17" s="43">
        <f t="shared" si="14"/>
        <v>0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720680</v>
      </c>
      <c r="B18" s="36"/>
      <c r="E18" s="37" t="s">
        <v>1966</v>
      </c>
      <c r="F18" s="38" t="s">
        <v>737</v>
      </c>
      <c r="G18" s="38">
        <v>4</v>
      </c>
      <c r="H18" s="38">
        <v>0</v>
      </c>
      <c r="I18" s="39" t="s">
        <v>259</v>
      </c>
      <c r="J18" s="40">
        <v>0</v>
      </c>
      <c r="K18" s="40">
        <v>98</v>
      </c>
      <c r="L18" s="40">
        <v>0</v>
      </c>
      <c r="M18" s="41">
        <v>76.3</v>
      </c>
      <c r="N18" s="41">
        <v>76.3</v>
      </c>
      <c r="O18" s="42">
        <v>0</v>
      </c>
      <c r="P18" s="43">
        <v>0</v>
      </c>
      <c r="Q18" s="43">
        <v>0</v>
      </c>
      <c r="R18" s="44">
        <v>388.67</v>
      </c>
      <c r="S18" s="45"/>
      <c r="T18" s="38">
        <f t="shared" si="0"/>
        <v>4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4.8158058898669278</v>
      </c>
      <c r="AG18" s="43">
        <f t="shared" si="11"/>
        <v>0</v>
      </c>
      <c r="AH18" s="51">
        <f>HLOOKUP(I18,GasAvoidedCostsWOCC!$A$5:$Q$50,T18+1,FALSE)</f>
        <v>4.8158058898669278</v>
      </c>
      <c r="AI18" s="43">
        <f t="shared" si="12"/>
        <v>0</v>
      </c>
      <c r="AJ18" s="43">
        <f t="shared" si="13"/>
        <v>0</v>
      </c>
      <c r="AK18" s="43">
        <f>HLOOKUP(I18,GasAvoidedCostsWOCC!$A$5:$Q$50,G18+1,FALSE)*J18*L18</f>
        <v>0</v>
      </c>
      <c r="AL18" s="43">
        <f t="shared" si="14"/>
        <v>0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 t="s">
        <v>1967</v>
      </c>
      <c r="F19" s="38" t="s">
        <v>1968</v>
      </c>
      <c r="G19" s="38">
        <v>4</v>
      </c>
      <c r="H19" s="38">
        <v>0</v>
      </c>
      <c r="I19" s="39" t="s">
        <v>259</v>
      </c>
      <c r="J19" s="40">
        <v>0</v>
      </c>
      <c r="K19" s="40">
        <v>54</v>
      </c>
      <c r="L19" s="40">
        <v>0</v>
      </c>
      <c r="M19" s="41">
        <v>76.3</v>
      </c>
      <c r="N19" s="41">
        <v>76.3</v>
      </c>
      <c r="O19" s="42">
        <v>0</v>
      </c>
      <c r="P19" s="43">
        <v>0</v>
      </c>
      <c r="Q19" s="43">
        <v>0</v>
      </c>
      <c r="R19" s="44">
        <v>214.55</v>
      </c>
      <c r="S19" s="45"/>
      <c r="T19" s="38">
        <f t="shared" si="0"/>
        <v>4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4.8158058898669278</v>
      </c>
      <c r="AG19" s="43">
        <f t="shared" si="11"/>
        <v>0</v>
      </c>
      <c r="AH19" s="51">
        <f>HLOOKUP(I19,GasAvoidedCostsWOCC!$A$5:$Q$50,T19+1,FALSE)</f>
        <v>4.8158058898669278</v>
      </c>
      <c r="AI19" s="43">
        <f t="shared" si="12"/>
        <v>0</v>
      </c>
      <c r="AJ19" s="43">
        <f t="shared" si="13"/>
        <v>0</v>
      </c>
      <c r="AK19" s="43">
        <f>HLOOKUP(I19,GasAvoidedCostsWOCC!$A$5:$Q$50,G19+1,FALSE)*J19*L19</f>
        <v>0</v>
      </c>
      <c r="AL19" s="43">
        <f t="shared" si="14"/>
        <v>0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720680</v>
      </c>
      <c r="B20" s="36"/>
      <c r="E20" s="37" t="s">
        <v>841</v>
      </c>
      <c r="F20" s="38" t="s">
        <v>842</v>
      </c>
      <c r="G20" s="38">
        <v>10</v>
      </c>
      <c r="H20" s="38">
        <v>0</v>
      </c>
      <c r="I20" s="39" t="s">
        <v>265</v>
      </c>
      <c r="J20" s="40">
        <v>0</v>
      </c>
      <c r="K20" s="40">
        <v>18</v>
      </c>
      <c r="L20" s="40">
        <v>0</v>
      </c>
      <c r="M20" s="41">
        <v>0</v>
      </c>
      <c r="N20" s="41">
        <v>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11.478464345330913</v>
      </c>
      <c r="AG20" s="43">
        <f t="shared" si="11"/>
        <v>0</v>
      </c>
      <c r="AH20" s="51">
        <f>HLOOKUP(I20,GasAvoidedCostsWOCC!$A$5:$Q$50,T20+1,FALSE)</f>
        <v>11.478464345330913</v>
      </c>
      <c r="AI20" s="43">
        <f t="shared" si="12"/>
        <v>0</v>
      </c>
      <c r="AJ20" s="43">
        <f t="shared" si="13"/>
        <v>0</v>
      </c>
      <c r="AK20" s="43">
        <f>HLOOKUP(I20,GasAvoidedCostsWOCC!$A$5:$Q$50,G20+1,FALSE)*J20*L20</f>
        <v>0</v>
      </c>
      <c r="AL20" s="43">
        <f t="shared" si="14"/>
        <v>0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 t="s">
        <v>847</v>
      </c>
      <c r="F21" s="38" t="s">
        <v>711</v>
      </c>
      <c r="G21" s="38">
        <v>10</v>
      </c>
      <c r="H21" s="38">
        <v>0</v>
      </c>
      <c r="I21" s="39" t="s">
        <v>265</v>
      </c>
      <c r="J21" s="40">
        <v>0</v>
      </c>
      <c r="K21" s="40">
        <v>18</v>
      </c>
      <c r="L21" s="40">
        <v>0</v>
      </c>
      <c r="M21" s="41">
        <v>0</v>
      </c>
      <c r="N21" s="41">
        <v>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11.478464345330913</v>
      </c>
      <c r="AG21" s="43">
        <f t="shared" si="11"/>
        <v>0</v>
      </c>
      <c r="AH21" s="51">
        <f>HLOOKUP(I21,GasAvoidedCostsWOCC!$A$5:$Q$50,T21+1,FALSE)</f>
        <v>11.478464345330913</v>
      </c>
      <c r="AI21" s="43">
        <f t="shared" si="12"/>
        <v>0</v>
      </c>
      <c r="AJ21" s="43">
        <f t="shared" si="13"/>
        <v>0</v>
      </c>
      <c r="AK21" s="43">
        <f>HLOOKUP(I21,GasAvoidedCostsWOCC!$A$5:$Q$50,G21+1,FALSE)*J21*L21</f>
        <v>0</v>
      </c>
      <c r="AL21" s="43">
        <f t="shared" si="14"/>
        <v>0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0.96007284676446925</v>
      </c>
      <c r="B22" s="36"/>
      <c r="E22" s="37" t="s">
        <v>850</v>
      </c>
      <c r="F22" s="38" t="s">
        <v>714</v>
      </c>
      <c r="G22" s="38">
        <v>10</v>
      </c>
      <c r="H22" s="38">
        <v>0</v>
      </c>
      <c r="I22" s="39" t="s">
        <v>265</v>
      </c>
      <c r="J22" s="40">
        <v>0</v>
      </c>
      <c r="K22" s="40">
        <v>6</v>
      </c>
      <c r="L22" s="40">
        <v>0</v>
      </c>
      <c r="M22" s="41">
        <v>0</v>
      </c>
      <c r="N22" s="41">
        <v>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11.478464345330913</v>
      </c>
      <c r="AG22" s="43">
        <f t="shared" si="11"/>
        <v>0</v>
      </c>
      <c r="AH22" s="51">
        <f>HLOOKUP(I22,GasAvoidedCostsWOCC!$A$5:$Q$50,T22+1,FALSE)</f>
        <v>11.478464345330913</v>
      </c>
      <c r="AI22" s="43">
        <f t="shared" si="12"/>
        <v>0</v>
      </c>
      <c r="AJ22" s="43">
        <f t="shared" si="13"/>
        <v>0</v>
      </c>
      <c r="AK22" s="43">
        <f>HLOOKUP(I22,GasAvoidedCostsWOCC!$A$5:$Q$50,G22+1,FALSE)*J22*L22</f>
        <v>0</v>
      </c>
      <c r="AL22" s="43">
        <f t="shared" si="14"/>
        <v>0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 t="s">
        <v>855</v>
      </c>
      <c r="F23" s="38" t="s">
        <v>856</v>
      </c>
      <c r="G23" s="38">
        <v>10</v>
      </c>
      <c r="H23" s="38">
        <v>0</v>
      </c>
      <c r="I23" s="39" t="s">
        <v>265</v>
      </c>
      <c r="J23" s="40">
        <v>0</v>
      </c>
      <c r="K23" s="40">
        <v>6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11.478464345330913</v>
      </c>
      <c r="AG23" s="43">
        <f t="shared" si="11"/>
        <v>0</v>
      </c>
      <c r="AH23" s="51">
        <f>HLOOKUP(I23,GasAvoidedCostsWOCC!$A$5:$Q$50,T23+1,FALSE)</f>
        <v>11.478464345330913</v>
      </c>
      <c r="AI23" s="43">
        <f t="shared" si="12"/>
        <v>0</v>
      </c>
      <c r="AJ23" s="43">
        <f t="shared" si="13"/>
        <v>0</v>
      </c>
      <c r="AK23" s="43">
        <f>HLOOKUP(I23,GasAvoidedCostsWOCC!$A$5:$Q$50,G23+1,FALSE)*J23*L23</f>
        <v>0</v>
      </c>
      <c r="AL23" s="43">
        <f t="shared" si="14"/>
        <v>0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1.0560801314409161</v>
      </c>
      <c r="B24" s="36"/>
      <c r="E24" s="37" t="s">
        <v>841</v>
      </c>
      <c r="F24" s="38" t="s">
        <v>842</v>
      </c>
      <c r="G24" s="38">
        <v>10</v>
      </c>
      <c r="H24" s="38">
        <v>0</v>
      </c>
      <c r="I24" s="39" t="s">
        <v>265</v>
      </c>
      <c r="J24" s="40">
        <v>44</v>
      </c>
      <c r="K24" s="40">
        <v>180</v>
      </c>
      <c r="L24" s="40">
        <v>0</v>
      </c>
      <c r="M24" s="41">
        <v>450</v>
      </c>
      <c r="N24" s="41">
        <v>450</v>
      </c>
      <c r="O24" s="42">
        <v>7920</v>
      </c>
      <c r="P24" s="43">
        <v>19800</v>
      </c>
      <c r="Q24" s="43">
        <v>19800</v>
      </c>
      <c r="R24" s="44">
        <v>0</v>
      </c>
      <c r="S24" s="45"/>
      <c r="T24" s="38">
        <f t="shared" ref="T24:T46" si="19">G24+H24</f>
        <v>10</v>
      </c>
      <c r="U24" s="46">
        <f t="shared" ref="U24:U46" si="20">(O24/$A$10)*T24</f>
        <v>1.3538461538461539</v>
      </c>
      <c r="V24" s="47">
        <f t="shared" ref="V24:V46" si="21">N24-M24</f>
        <v>0</v>
      </c>
      <c r="W24" s="48">
        <f t="shared" ref="W24:W46" si="22">(O24/A$10)</f>
        <v>0.13538461538461538</v>
      </c>
      <c r="X24" s="43">
        <f t="shared" ref="X24:X46" si="23">W24*A$8</f>
        <v>714.83076923076919</v>
      </c>
      <c r="Y24" s="43">
        <f t="shared" ref="Y24:Y46" si="24">Q24-P24</f>
        <v>0</v>
      </c>
      <c r="Z24" s="43">
        <f t="shared" ref="Z24:Z46" si="25">X24+(A$6*W24)</f>
        <v>97568.984615384616</v>
      </c>
      <c r="AA24" s="49">
        <f t="shared" ref="AA24:AA46" si="26">Q24+X24</f>
        <v>20514.830769230768</v>
      </c>
      <c r="AB24" s="50">
        <f t="shared" ref="AB24:AB46" si="27">Z24/(1+GasDiscountRate)^1</f>
        <v>91356.727167963123</v>
      </c>
      <c r="AC24" s="43">
        <f t="shared" ref="AC24:AC46" si="28">AA24/(1+GasDiscountRate)^1</f>
        <v>19208.643042350905</v>
      </c>
      <c r="AD24" s="43">
        <f t="shared" ref="AD24:AD46" si="29">-PV(GasDiscountRate,T24,R24)*J24</f>
        <v>0</v>
      </c>
      <c r="AE24" s="43">
        <f t="shared" ref="AE24:AE46" si="30">-PV(GasDiscountRate,T24,S24)*J24</f>
        <v>0</v>
      </c>
      <c r="AF24" s="51">
        <f>HLOOKUP(I24,GasAvoidedCostsWOCC!$A$5:$G$50,G24+1,FALSE)</f>
        <v>11.478464345330913</v>
      </c>
      <c r="AG24" s="43">
        <f t="shared" ref="AG24:AG46" si="31">AF24*J24*K24</f>
        <v>90909.437615020841</v>
      </c>
      <c r="AH24" s="51">
        <f>HLOOKUP(I24,GasAvoidedCostsWOCC!$A$5:$Q$50,T24+1,FALSE)</f>
        <v>11.478464345330913</v>
      </c>
      <c r="AI24" s="43">
        <f t="shared" ref="AI24:AI46" si="32">AH24*J24*L24</f>
        <v>0</v>
      </c>
      <c r="AJ24" s="43">
        <f t="shared" ref="AJ24:AJ46" si="33">AG24+AI24</f>
        <v>90909.437615020841</v>
      </c>
      <c r="AK24" s="43">
        <f>HLOOKUP(I24,GasAvoidedCostsWOCC!$A$5:$Q$50,G24+1,FALSE)*J24*L24</f>
        <v>0</v>
      </c>
      <c r="AL24" s="43">
        <f t="shared" ref="AL24:AL46" si="34">AG24+AI24-AK24</f>
        <v>90909.437615020841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90909.437615020826</v>
      </c>
      <c r="AN24" s="47">
        <f t="shared" ref="AN24:AN46" si="35">AM24*1.1+AD24+AE24</f>
        <v>100000.38137652291</v>
      </c>
      <c r="AO24" s="46">
        <f t="shared" ref="AO24:AO46" si="36">IFERROR(AM24/AB24,0)</f>
        <v>0.99510392319418428</v>
      </c>
      <c r="AP24" s="46">
        <f t="shared" ref="AP24:AP46" si="37">AN24/AC24</f>
        <v>5.2060096674212586</v>
      </c>
    </row>
    <row r="25" spans="1:42" ht="13.5" customHeight="1" x14ac:dyDescent="0.25">
      <c r="B25" s="36"/>
      <c r="E25" s="37" t="s">
        <v>850</v>
      </c>
      <c r="F25" s="38" t="s">
        <v>714</v>
      </c>
      <c r="G25" s="38">
        <v>10</v>
      </c>
      <c r="H25" s="38">
        <v>0</v>
      </c>
      <c r="I25" s="39" t="s">
        <v>265</v>
      </c>
      <c r="J25" s="40">
        <v>1496</v>
      </c>
      <c r="K25" s="40">
        <v>30</v>
      </c>
      <c r="L25" s="40">
        <v>0</v>
      </c>
      <c r="M25" s="41">
        <v>450</v>
      </c>
      <c r="N25" s="41">
        <v>450</v>
      </c>
      <c r="O25" s="42">
        <v>44880</v>
      </c>
      <c r="P25" s="43">
        <v>673200</v>
      </c>
      <c r="Q25" s="43">
        <v>673200</v>
      </c>
      <c r="R25" s="44">
        <v>0</v>
      </c>
      <c r="S25" s="45"/>
      <c r="T25" s="38">
        <f t="shared" si="19"/>
        <v>10</v>
      </c>
      <c r="U25" s="46">
        <f t="shared" si="20"/>
        <v>7.6717948717948712</v>
      </c>
      <c r="V25" s="47">
        <f t="shared" si="21"/>
        <v>0</v>
      </c>
      <c r="W25" s="48">
        <f t="shared" si="22"/>
        <v>0.76717948717948714</v>
      </c>
      <c r="X25" s="43">
        <f t="shared" si="23"/>
        <v>4050.707692307692</v>
      </c>
      <c r="Y25" s="43">
        <f t="shared" si="24"/>
        <v>0</v>
      </c>
      <c r="Z25" s="43">
        <f t="shared" si="25"/>
        <v>552890.91282051278</v>
      </c>
      <c r="AA25" s="49">
        <f t="shared" si="26"/>
        <v>677250.70769230765</v>
      </c>
      <c r="AB25" s="50">
        <f t="shared" si="27"/>
        <v>517688.12061845761</v>
      </c>
      <c r="AC25" s="43">
        <f t="shared" si="28"/>
        <v>634129.8761163929</v>
      </c>
      <c r="AD25" s="43">
        <f t="shared" si="29"/>
        <v>0</v>
      </c>
      <c r="AE25" s="43">
        <f t="shared" si="30"/>
        <v>0</v>
      </c>
      <c r="AF25" s="51">
        <f>HLOOKUP(I25,GasAvoidedCostsWOCC!$A$5:$G$50,G25+1,FALSE)</f>
        <v>11.478464345330913</v>
      </c>
      <c r="AG25" s="43">
        <f t="shared" si="31"/>
        <v>515153.47981845133</v>
      </c>
      <c r="AH25" s="51">
        <f>HLOOKUP(I25,GasAvoidedCostsWOCC!$A$5:$Q$50,T25+1,FALSE)</f>
        <v>11.478464345330913</v>
      </c>
      <c r="AI25" s="43">
        <f t="shared" si="32"/>
        <v>0</v>
      </c>
      <c r="AJ25" s="43">
        <f t="shared" si="33"/>
        <v>515153.47981845133</v>
      </c>
      <c r="AK25" s="43">
        <f>HLOOKUP(I25,GasAvoidedCostsWOCC!$A$5:$Q$50,G25+1,FALSE)*J25*L25</f>
        <v>0</v>
      </c>
      <c r="AL25" s="43">
        <f t="shared" si="34"/>
        <v>515153.47981845133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515153.47981845139</v>
      </c>
      <c r="AN25" s="47">
        <f t="shared" si="35"/>
        <v>566668.8278002966</v>
      </c>
      <c r="AO25" s="46">
        <f t="shared" si="36"/>
        <v>0.9951039231941845</v>
      </c>
      <c r="AP25" s="46">
        <f t="shared" si="37"/>
        <v>0.89361635390963035</v>
      </c>
    </row>
    <row r="26" spans="1:42" ht="13.5" customHeight="1" x14ac:dyDescent="0.25">
      <c r="B26" s="36"/>
      <c r="E26" s="37" t="s">
        <v>1969</v>
      </c>
      <c r="F26" s="38" t="s">
        <v>1970</v>
      </c>
      <c r="G26" s="38">
        <v>5</v>
      </c>
      <c r="H26" s="38">
        <v>0</v>
      </c>
      <c r="I26" s="39" t="s">
        <v>265</v>
      </c>
      <c r="J26" s="40">
        <v>2</v>
      </c>
      <c r="K26" s="40">
        <v>2250</v>
      </c>
      <c r="L26" s="40">
        <v>0</v>
      </c>
      <c r="M26" s="41">
        <v>11200</v>
      </c>
      <c r="N26" s="41">
        <v>11200</v>
      </c>
      <c r="O26" s="42">
        <v>4500</v>
      </c>
      <c r="P26" s="43">
        <v>22400</v>
      </c>
      <c r="Q26" s="43">
        <v>22400</v>
      </c>
      <c r="R26" s="44">
        <v>0</v>
      </c>
      <c r="S26" s="45"/>
      <c r="T26" s="38">
        <f t="shared" si="19"/>
        <v>5</v>
      </c>
      <c r="U26" s="46">
        <f t="shared" si="20"/>
        <v>0.38461538461538464</v>
      </c>
      <c r="V26" s="47">
        <f t="shared" si="21"/>
        <v>0</v>
      </c>
      <c r="W26" s="48">
        <f t="shared" si="22"/>
        <v>7.6923076923076927E-2</v>
      </c>
      <c r="X26" s="43">
        <f t="shared" si="23"/>
        <v>406.15384615384619</v>
      </c>
      <c r="Y26" s="43">
        <f t="shared" si="24"/>
        <v>0</v>
      </c>
      <c r="Z26" s="43">
        <f t="shared" si="25"/>
        <v>55436.923076923078</v>
      </c>
      <c r="AA26" s="49">
        <f t="shared" si="26"/>
        <v>22806.153846153848</v>
      </c>
      <c r="AB26" s="50">
        <f t="shared" si="27"/>
        <v>51907.231345433589</v>
      </c>
      <c r="AC26" s="43">
        <f t="shared" si="28"/>
        <v>21354.07663497551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6.4708722469310898</v>
      </c>
      <c r="AG26" s="43">
        <f t="shared" si="31"/>
        <v>29118.925111189903</v>
      </c>
      <c r="AH26" s="51">
        <f>HLOOKUP(I26,GasAvoidedCostsWOCC!$A$5:$Q$50,T26+1,FALSE)</f>
        <v>6.4708722469310898</v>
      </c>
      <c r="AI26" s="43">
        <f t="shared" si="32"/>
        <v>0</v>
      </c>
      <c r="AJ26" s="43">
        <f t="shared" si="33"/>
        <v>29118.925111189903</v>
      </c>
      <c r="AK26" s="43">
        <f>HLOOKUP(I26,GasAvoidedCostsWOCC!$A$5:$Q$50,G26+1,FALSE)*J26*L26</f>
        <v>0</v>
      </c>
      <c r="AL26" s="43">
        <f t="shared" si="34"/>
        <v>29118.925111189903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29118.925111189903</v>
      </c>
      <c r="AN26" s="47">
        <f t="shared" si="35"/>
        <v>32030.817622308896</v>
      </c>
      <c r="AO26" s="46">
        <f t="shared" si="36"/>
        <v>0.56098012466526148</v>
      </c>
      <c r="AP26" s="46">
        <f t="shared" si="37"/>
        <v>1.4999860761877251</v>
      </c>
    </row>
    <row r="27" spans="1:42" ht="13.5" customHeight="1" x14ac:dyDescent="0.25">
      <c r="B27" s="36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</sheetData>
  <conditionalFormatting sqref="J5:L46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46 R5:S46">
    <cfRule type="expression" dxfId="22" priority="2">
      <formula>ISTEXT(M5)</formula>
    </cfRule>
  </conditionalFormatting>
  <conditionalFormatting sqref="M5:N46 R5:S46">
    <cfRule type="notContainsBlanks" dxfId="21" priority="3">
      <formula>LEN(TRIM(M5))&gt;0</formula>
    </cfRule>
  </conditionalFormatting>
  <conditionalFormatting sqref="R5:S46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18230628</v>
      </c>
      <c r="D2" s="19" t="s">
        <v>77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18230628</v>
      </c>
      <c r="D5" s="91" t="s">
        <v>77</v>
      </c>
      <c r="E5" s="37" t="s">
        <v>1454</v>
      </c>
      <c r="F5" s="38" t="s">
        <v>1455</v>
      </c>
      <c r="G5" s="38">
        <v>20</v>
      </c>
      <c r="H5" s="38">
        <v>0</v>
      </c>
      <c r="I5" s="39" t="s">
        <v>273</v>
      </c>
      <c r="J5" s="40">
        <v>105</v>
      </c>
      <c r="K5" s="40">
        <v>1134</v>
      </c>
      <c r="L5" s="40">
        <v>0</v>
      </c>
      <c r="M5" s="41">
        <v>1250</v>
      </c>
      <c r="N5" s="41">
        <v>2500</v>
      </c>
      <c r="O5" s="42">
        <v>119070</v>
      </c>
      <c r="P5" s="43">
        <v>131250</v>
      </c>
      <c r="Q5" s="43">
        <v>262500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0.13833069538253998</v>
      </c>
      <c r="V5" s="47">
        <f t="shared" ref="V5:V24" si="2">N5-M5</f>
        <v>1250</v>
      </c>
      <c r="W5" s="48">
        <f t="shared" ref="W5:W24" si="3">(O5/A$10)</f>
        <v>6.9165347691269984E-3</v>
      </c>
      <c r="X5" s="43">
        <f t="shared" ref="X5:X24" si="4">W5*A$8</f>
        <v>7386.4247750441282</v>
      </c>
      <c r="Y5" s="43">
        <f t="shared" ref="Y5:Y24" si="5">Q5-P5</f>
        <v>131250</v>
      </c>
      <c r="Z5" s="43">
        <f t="shared" ref="Z5:Z24" si="6">X5+(A$6*W5)</f>
        <v>91177.39873226716</v>
      </c>
      <c r="AA5" s="49">
        <f t="shared" ref="AA5:AA24" si="7">Q5+X5</f>
        <v>269886.42477504414</v>
      </c>
      <c r="AB5" s="50">
        <f t="shared" ref="AB5:AC20" si="8">Z5/(1+ElecDiscountRate)^1</f>
        <v>85372.096191261386</v>
      </c>
      <c r="AC5" s="43">
        <f t="shared" si="8"/>
        <v>252702.64492045331</v>
      </c>
      <c r="AD5" s="43">
        <f t="shared" ref="AD5:AD24" si="9">-PV(ElecDiscountRate,T5,R5)*J5</f>
        <v>16806.770199791652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245632.2307251911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245632.2307251911</v>
      </c>
      <c r="AK5" s="43">
        <f>HLOOKUP(I5,ElecAvoidedCostsWOCC!$A$5:$Q$50,G5+1,FALSE)*J5*L5</f>
        <v>0</v>
      </c>
      <c r="AL5" s="43">
        <f>AG5+AI5-AK5</f>
        <v>245632.2307251911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245632.2307251911</v>
      </c>
      <c r="AN5" s="47">
        <f>AM5*1.1+AD5+AE5</f>
        <v>287002.22399750189</v>
      </c>
      <c r="AO5" s="46">
        <f>IFERROR(AM5/AB5,0)</f>
        <v>2.8771957312011485</v>
      </c>
      <c r="AP5" s="46">
        <f>AN5/AC5</f>
        <v>1.135730985672293</v>
      </c>
    </row>
    <row r="6" spans="1:42" ht="13.5" customHeight="1" x14ac:dyDescent="0.25">
      <c r="A6" s="52">
        <f>SUMIF('Program Costs'!D:D,C2,'Program Costs'!L:L)</f>
        <v>12114588.699999999</v>
      </c>
      <c r="B6" s="88" t="s">
        <v>15</v>
      </c>
      <c r="C6" s="91">
        <v>18230628</v>
      </c>
      <c r="D6" s="91" t="s">
        <v>77</v>
      </c>
      <c r="E6" s="37" t="s">
        <v>1456</v>
      </c>
      <c r="F6" s="38" t="s">
        <v>1457</v>
      </c>
      <c r="G6" s="38">
        <v>20</v>
      </c>
      <c r="H6" s="38">
        <v>0</v>
      </c>
      <c r="I6" s="39" t="s">
        <v>273</v>
      </c>
      <c r="J6" s="40">
        <v>380</v>
      </c>
      <c r="K6" s="40">
        <v>30</v>
      </c>
      <c r="L6" s="40">
        <v>0</v>
      </c>
      <c r="M6" s="41">
        <v>0</v>
      </c>
      <c r="N6" s="41">
        <v>0</v>
      </c>
      <c r="O6" s="42">
        <v>11400</v>
      </c>
      <c r="P6" s="43">
        <v>0</v>
      </c>
      <c r="Q6" s="43">
        <v>0</v>
      </c>
      <c r="R6" s="44">
        <v>14.8749</v>
      </c>
      <c r="S6" s="45"/>
      <c r="T6" s="38">
        <f t="shared" si="0"/>
        <v>20</v>
      </c>
      <c r="U6" s="46">
        <f t="shared" si="1"/>
        <v>1.3244057507020707E-2</v>
      </c>
      <c r="V6" s="47">
        <f t="shared" si="2"/>
        <v>0</v>
      </c>
      <c r="W6" s="48">
        <f t="shared" si="3"/>
        <v>6.6220287535103534E-4</v>
      </c>
      <c r="X6" s="43">
        <f t="shared" si="4"/>
        <v>707.19108453433319</v>
      </c>
      <c r="Y6" s="43">
        <f t="shared" si="5"/>
        <v>0</v>
      </c>
      <c r="Z6" s="43">
        <f t="shared" si="6"/>
        <v>8729.5065553694931</v>
      </c>
      <c r="AA6" s="49">
        <f t="shared" si="7"/>
        <v>707.19108453433319</v>
      </c>
      <c r="AB6" s="50">
        <f t="shared" si="8"/>
        <v>8173.695276563195</v>
      </c>
      <c r="AC6" s="43">
        <f t="shared" si="8"/>
        <v>662.16393682989997</v>
      </c>
      <c r="AD6" s="43">
        <f t="shared" si="9"/>
        <v>60824.501675436455</v>
      </c>
      <c r="AE6" s="43">
        <v>0</v>
      </c>
      <c r="AF6" s="51">
        <f>HLOOKUP(I6,ElecAvoidedCostsWOCC!$A$5:$Q$50,G6+1,FALSE)</f>
        <v>2.0629229085847913</v>
      </c>
      <c r="AG6" s="43">
        <f t="shared" si="10"/>
        <v>23517.321157866623</v>
      </c>
      <c r="AH6" s="51">
        <f>HLOOKUP(I6,ElecAvoidedCostsWOCC!$A$5:$Q$50,T6+1,FALSE)</f>
        <v>2.0629229085847913</v>
      </c>
      <c r="AI6" s="43">
        <f t="shared" si="11"/>
        <v>0</v>
      </c>
      <c r="AJ6" s="43">
        <f t="shared" ref="AJ6:AJ24" si="12">AG6+AI6</f>
        <v>23517.321157866623</v>
      </c>
      <c r="AK6" s="43">
        <f>HLOOKUP(I6,ElecAvoidedCostsWOCC!$A$5:$Q$50,G6+1,FALSE)*J6*L6</f>
        <v>0</v>
      </c>
      <c r="AL6" s="43">
        <f t="shared" ref="AL6:AL24" si="13">AG6+AI6-AK6</f>
        <v>23517.321157866623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23517.32115786662</v>
      </c>
      <c r="AN6" s="47">
        <f t="shared" ref="AN6:AN24" si="14">AM6*1.1+AD6+AE6</f>
        <v>86693.554949089739</v>
      </c>
      <c r="AO6" s="46">
        <f t="shared" ref="AO6:AO24" si="15">IFERROR(AM6/AB6,0)</f>
        <v>2.8771957312011489</v>
      </c>
      <c r="AP6" s="46">
        <f t="shared" ref="AP6:AP24" si="16">AN6/AC6</f>
        <v>130.92460964294409</v>
      </c>
    </row>
    <row r="7" spans="1:42" ht="13.5" customHeight="1" x14ac:dyDescent="0.25">
      <c r="A7" s="35" t="s">
        <v>239</v>
      </c>
      <c r="B7" s="88" t="s">
        <v>15</v>
      </c>
      <c r="C7" s="91">
        <v>18230628</v>
      </c>
      <c r="D7" s="91" t="s">
        <v>77</v>
      </c>
      <c r="E7" s="37" t="s">
        <v>1458</v>
      </c>
      <c r="F7" s="38" t="s">
        <v>1459</v>
      </c>
      <c r="G7" s="38">
        <v>20</v>
      </c>
      <c r="H7" s="38">
        <v>0</v>
      </c>
      <c r="I7" s="39" t="s">
        <v>273</v>
      </c>
      <c r="J7" s="40">
        <v>105</v>
      </c>
      <c r="K7" s="40">
        <v>1134</v>
      </c>
      <c r="L7" s="40">
        <v>0</v>
      </c>
      <c r="M7" s="41">
        <v>1250</v>
      </c>
      <c r="N7" s="41">
        <v>2500</v>
      </c>
      <c r="O7" s="42">
        <v>119070</v>
      </c>
      <c r="P7" s="43">
        <v>131250</v>
      </c>
      <c r="Q7" s="43">
        <v>262500</v>
      </c>
      <c r="R7" s="44">
        <v>0</v>
      </c>
      <c r="S7" s="45"/>
      <c r="T7" s="38">
        <f t="shared" si="0"/>
        <v>20</v>
      </c>
      <c r="U7" s="46">
        <f t="shared" si="1"/>
        <v>0.13833069538253998</v>
      </c>
      <c r="V7" s="47">
        <f t="shared" si="2"/>
        <v>1250</v>
      </c>
      <c r="W7" s="48">
        <f t="shared" si="3"/>
        <v>6.9165347691269984E-3</v>
      </c>
      <c r="X7" s="43">
        <f t="shared" si="4"/>
        <v>7386.4247750441282</v>
      </c>
      <c r="Y7" s="43">
        <f t="shared" si="5"/>
        <v>131250</v>
      </c>
      <c r="Z7" s="43">
        <f t="shared" si="6"/>
        <v>91177.39873226716</v>
      </c>
      <c r="AA7" s="49">
        <f t="shared" si="7"/>
        <v>269886.42477504414</v>
      </c>
      <c r="AB7" s="50">
        <f t="shared" si="8"/>
        <v>85372.096191261386</v>
      </c>
      <c r="AC7" s="43">
        <f t="shared" si="8"/>
        <v>252702.64492045331</v>
      </c>
      <c r="AD7" s="43">
        <f t="shared" si="9"/>
        <v>0</v>
      </c>
      <c r="AE7" s="43">
        <v>0</v>
      </c>
      <c r="AF7" s="51">
        <f>HLOOKUP(I7,ElecAvoidedCostsWOCC!$A$5:$Q$50,G7+1,FALSE)</f>
        <v>2.0629229085847913</v>
      </c>
      <c r="AG7" s="43">
        <f t="shared" si="10"/>
        <v>245632.2307251911</v>
      </c>
      <c r="AH7" s="51">
        <f>HLOOKUP(I7,ElecAvoidedCostsWOCC!$A$5:$Q$50,T7+1,FALSE)</f>
        <v>2.0629229085847913</v>
      </c>
      <c r="AI7" s="43">
        <f t="shared" si="11"/>
        <v>0</v>
      </c>
      <c r="AJ7" s="43">
        <f t="shared" si="12"/>
        <v>245632.2307251911</v>
      </c>
      <c r="AK7" s="43">
        <f>HLOOKUP(I7,ElecAvoidedCostsWOCC!$A$5:$Q$50,G7+1,FALSE)*J7*L7</f>
        <v>0</v>
      </c>
      <c r="AL7" s="43">
        <f t="shared" si="13"/>
        <v>245632.2307251911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245632.2307251911</v>
      </c>
      <c r="AN7" s="47">
        <f t="shared" si="14"/>
        <v>270195.45379771024</v>
      </c>
      <c r="AO7" s="46">
        <f t="shared" si="15"/>
        <v>2.8771957312011485</v>
      </c>
      <c r="AP7" s="46">
        <f t="shared" si="16"/>
        <v>1.06922289587734</v>
      </c>
    </row>
    <row r="8" spans="1:42" ht="13.5" customHeight="1" x14ac:dyDescent="0.25">
      <c r="A8" s="52">
        <f>SUMIF('Program Costs'!D:D,C2,'Program Costs'!O:O)</f>
        <v>1067937.1999999993</v>
      </c>
      <c r="B8" s="88" t="s">
        <v>15</v>
      </c>
      <c r="C8" s="91">
        <v>18230628</v>
      </c>
      <c r="D8" s="91" t="s">
        <v>77</v>
      </c>
      <c r="E8" s="37" t="s">
        <v>1460</v>
      </c>
      <c r="F8" s="38" t="s">
        <v>559</v>
      </c>
      <c r="G8" s="38">
        <v>15</v>
      </c>
      <c r="H8" s="38">
        <v>0</v>
      </c>
      <c r="I8" s="39" t="s">
        <v>272</v>
      </c>
      <c r="J8" s="40">
        <v>270</v>
      </c>
      <c r="K8" s="40">
        <v>2065</v>
      </c>
      <c r="L8" s="40">
        <v>0</v>
      </c>
      <c r="M8" s="41">
        <v>2400</v>
      </c>
      <c r="N8" s="41">
        <v>3906.22</v>
      </c>
      <c r="O8" s="42">
        <v>557550</v>
      </c>
      <c r="P8" s="43">
        <v>648000</v>
      </c>
      <c r="Q8" s="43">
        <v>1054679.3999999999</v>
      </c>
      <c r="R8" s="44">
        <v>41.613</v>
      </c>
      <c r="S8" s="45"/>
      <c r="T8" s="38">
        <f t="shared" si="0"/>
        <v>15</v>
      </c>
      <c r="U8" s="46">
        <f t="shared" si="1"/>
        <v>0.48580422783153915</v>
      </c>
      <c r="V8" s="47">
        <f t="shared" si="2"/>
        <v>1506.2199999999998</v>
      </c>
      <c r="W8" s="48">
        <f t="shared" si="3"/>
        <v>3.238694852210261E-2</v>
      </c>
      <c r="X8" s="43">
        <f t="shared" si="4"/>
        <v>34587.227121238378</v>
      </c>
      <c r="Y8" s="43">
        <f t="shared" si="5"/>
        <v>406679.39999999991</v>
      </c>
      <c r="Z8" s="43">
        <f t="shared" si="6"/>
        <v>426941.78771458432</v>
      </c>
      <c r="AA8" s="49">
        <f t="shared" si="7"/>
        <v>1089266.6271212383</v>
      </c>
      <c r="AB8" s="50">
        <f t="shared" si="8"/>
        <v>399758.2281971763</v>
      </c>
      <c r="AC8" s="43">
        <f t="shared" si="8"/>
        <v>1019912.5722108972</v>
      </c>
      <c r="AD8" s="43">
        <f t="shared" si="9"/>
        <v>103637.39568248947</v>
      </c>
      <c r="AE8" s="43">
        <v>0</v>
      </c>
      <c r="AF8" s="51">
        <f>HLOOKUP(I8,ElecAvoidedCostsWOCC!$A$5:$Q$50,G8+1,FALSE)</f>
        <v>1.7654180640246628</v>
      </c>
      <c r="AG8" s="43">
        <f t="shared" si="10"/>
        <v>984308.84159695078</v>
      </c>
      <c r="AH8" s="51">
        <f>HLOOKUP(I8,ElecAvoidedCostsWOCC!$A$5:$Q$50,T8+1,FALSE)</f>
        <v>1.7654180640246628</v>
      </c>
      <c r="AI8" s="43">
        <f t="shared" si="11"/>
        <v>0</v>
      </c>
      <c r="AJ8" s="43">
        <f t="shared" si="12"/>
        <v>984308.84159695078</v>
      </c>
      <c r="AK8" s="43">
        <f>HLOOKUP(I8,ElecAvoidedCostsWOCC!$A$5:$Q$50,G8+1,FALSE)*J8*L8</f>
        <v>0</v>
      </c>
      <c r="AL8" s="43">
        <f t="shared" si="13"/>
        <v>984308.84159695078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984308.84159695078</v>
      </c>
      <c r="AN8" s="47">
        <f t="shared" si="14"/>
        <v>1186377.1214391354</v>
      </c>
      <c r="AO8" s="46">
        <f t="shared" si="15"/>
        <v>2.4622603668121408</v>
      </c>
      <c r="AP8" s="46">
        <f t="shared" si="16"/>
        <v>1.1632145281505724</v>
      </c>
    </row>
    <row r="9" spans="1:42" ht="13.5" customHeight="1" x14ac:dyDescent="0.25">
      <c r="A9" s="35" t="s">
        <v>241</v>
      </c>
      <c r="B9" s="88" t="s">
        <v>15</v>
      </c>
      <c r="C9" s="91">
        <v>18230628</v>
      </c>
      <c r="D9" s="91" t="s">
        <v>77</v>
      </c>
      <c r="E9" s="37" t="s">
        <v>1461</v>
      </c>
      <c r="F9" s="38" t="s">
        <v>560</v>
      </c>
      <c r="G9" s="38">
        <v>15</v>
      </c>
      <c r="H9" s="38">
        <v>0</v>
      </c>
      <c r="I9" s="39" t="s">
        <v>272</v>
      </c>
      <c r="J9" s="40">
        <v>1633</v>
      </c>
      <c r="K9" s="40">
        <v>2065</v>
      </c>
      <c r="L9" s="40">
        <v>0</v>
      </c>
      <c r="M9" s="41">
        <v>1500</v>
      </c>
      <c r="N9" s="41">
        <v>3906.22</v>
      </c>
      <c r="O9" s="42">
        <v>3372145</v>
      </c>
      <c r="P9" s="43">
        <v>2449500</v>
      </c>
      <c r="Q9" s="43">
        <v>6378857.2599999998</v>
      </c>
      <c r="R9" s="44">
        <v>41.613</v>
      </c>
      <c r="S9" s="45"/>
      <c r="T9" s="38">
        <f t="shared" si="0"/>
        <v>15</v>
      </c>
      <c r="U9" s="46">
        <f t="shared" si="1"/>
        <v>2.9382159409218644</v>
      </c>
      <c r="V9" s="47">
        <f t="shared" si="2"/>
        <v>2406.2199999999998</v>
      </c>
      <c r="W9" s="48">
        <f t="shared" si="3"/>
        <v>0.19588106272812431</v>
      </c>
      <c r="X9" s="43">
        <f t="shared" si="4"/>
        <v>209188.67366289729</v>
      </c>
      <c r="Y9" s="43">
        <f t="shared" si="5"/>
        <v>3929357.26</v>
      </c>
      <c r="Z9" s="43">
        <f t="shared" si="6"/>
        <v>2582207.1827330231</v>
      </c>
      <c r="AA9" s="49">
        <f t="shared" si="7"/>
        <v>6588045.933662897</v>
      </c>
      <c r="AB9" s="50">
        <f t="shared" si="8"/>
        <v>2417796.9875777368</v>
      </c>
      <c r="AC9" s="43">
        <f t="shared" si="8"/>
        <v>6168582.3348903526</v>
      </c>
      <c r="AD9" s="43">
        <f t="shared" si="9"/>
        <v>626814.32277594565</v>
      </c>
      <c r="AE9" s="43">
        <f t="shared" ref="AE9:AE24" si="17">-PV(ElecDiscountRate,T9,S9)*J9</f>
        <v>0</v>
      </c>
      <c r="AF9" s="51">
        <f>HLOOKUP(I9,ElecAvoidedCostsWOCC!$A$5:$Q$50,G9+1,FALSE)</f>
        <v>1.7654180640246628</v>
      </c>
      <c r="AG9" s="43">
        <f t="shared" si="10"/>
        <v>5953245.6975104464</v>
      </c>
      <c r="AH9" s="51">
        <f>HLOOKUP(I9,ElecAvoidedCostsWOCC!$A$5:$Q$50,T9+1,FALSE)</f>
        <v>1.7654180640246628</v>
      </c>
      <c r="AI9" s="43">
        <f t="shared" si="11"/>
        <v>0</v>
      </c>
      <c r="AJ9" s="43">
        <f t="shared" si="12"/>
        <v>5953245.6975104464</v>
      </c>
      <c r="AK9" s="43">
        <f>HLOOKUP(I9,ElecAvoidedCostsWOCC!$A$5:$Q$50,G9+1,FALSE)*J9*L9</f>
        <v>0</v>
      </c>
      <c r="AL9" s="43">
        <f t="shared" si="13"/>
        <v>5953245.6975104464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5953245.6975104464</v>
      </c>
      <c r="AN9" s="47">
        <f t="shared" si="14"/>
        <v>7175384.5900374372</v>
      </c>
      <c r="AO9" s="46">
        <f t="shared" si="15"/>
        <v>2.4622603668121403</v>
      </c>
      <c r="AP9" s="46">
        <f t="shared" si="16"/>
        <v>1.1632145281505724</v>
      </c>
    </row>
    <row r="10" spans="1:42" ht="13.5" customHeight="1" x14ac:dyDescent="0.25">
      <c r="A10" s="53">
        <f>SUM(O5:O999)</f>
        <v>17215268.046</v>
      </c>
      <c r="B10" s="88" t="s">
        <v>15</v>
      </c>
      <c r="C10" s="91">
        <v>18230628</v>
      </c>
      <c r="D10" s="91" t="s">
        <v>77</v>
      </c>
      <c r="E10" s="37" t="s">
        <v>1462</v>
      </c>
      <c r="F10" s="38" t="s">
        <v>561</v>
      </c>
      <c r="G10" s="38">
        <v>10</v>
      </c>
      <c r="H10" s="38">
        <v>8</v>
      </c>
      <c r="I10" s="39" t="s">
        <v>272</v>
      </c>
      <c r="J10" s="40">
        <v>716</v>
      </c>
      <c r="K10" s="40">
        <v>4268</v>
      </c>
      <c r="L10" s="40">
        <v>3201</v>
      </c>
      <c r="M10" s="41">
        <v>1500</v>
      </c>
      <c r="N10" s="41">
        <v>5020.6000000000004</v>
      </c>
      <c r="O10" s="42">
        <v>3055888</v>
      </c>
      <c r="P10" s="43">
        <v>1074000</v>
      </c>
      <c r="Q10" s="43">
        <v>3594749.6</v>
      </c>
      <c r="R10" s="44">
        <v>0</v>
      </c>
      <c r="S10" s="45"/>
      <c r="T10" s="38">
        <f t="shared" si="0"/>
        <v>18</v>
      </c>
      <c r="U10" s="46">
        <f t="shared" si="1"/>
        <v>3.1951860321327232</v>
      </c>
      <c r="V10" s="47">
        <f t="shared" si="2"/>
        <v>3520.6000000000004</v>
      </c>
      <c r="W10" s="48">
        <f t="shared" si="3"/>
        <v>0.17751033511848463</v>
      </c>
      <c r="X10" s="43">
        <f t="shared" si="4"/>
        <v>189569.89025749601</v>
      </c>
      <c r="Y10" s="43">
        <f t="shared" si="5"/>
        <v>2520749.6</v>
      </c>
      <c r="Z10" s="43">
        <f t="shared" si="6"/>
        <v>2340034.5902171028</v>
      </c>
      <c r="AA10" s="49">
        <f t="shared" si="7"/>
        <v>3784319.490257496</v>
      </c>
      <c r="AB10" s="50">
        <f t="shared" si="8"/>
        <v>2191043.6237987853</v>
      </c>
      <c r="AC10" s="43">
        <f t="shared" si="8"/>
        <v>3543370.3092298652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1.3287628949071131</v>
      </c>
      <c r="AG10" s="43">
        <f t="shared" si="10"/>
        <v>4060550.585391908</v>
      </c>
      <c r="AH10" s="51">
        <f>HLOOKUP(I10,ElecAvoidedCostsWOCC!$A$5:$Q$50,T10+1,FALSE)</f>
        <v>1.9675158436529916</v>
      </c>
      <c r="AI10" s="43">
        <f t="shared" si="11"/>
        <v>4509381.04232179</v>
      </c>
      <c r="AJ10" s="43">
        <f t="shared" si="12"/>
        <v>8569931.6277136989</v>
      </c>
      <c r="AK10" s="43">
        <f>HLOOKUP(I10,ElecAvoidedCostsWOCC!$A$5:$Q$50,G10+1,FALSE)*J10*L10</f>
        <v>3045412.9390439307</v>
      </c>
      <c r="AL10" s="43">
        <f t="shared" si="13"/>
        <v>5524518.6886697682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5524518.6886697682</v>
      </c>
      <c r="AN10" s="47">
        <f t="shared" si="14"/>
        <v>6076970.5575367454</v>
      </c>
      <c r="AO10" s="46">
        <f t="shared" si="15"/>
        <v>2.5214097193973135</v>
      </c>
      <c r="AP10" s="46">
        <f t="shared" si="16"/>
        <v>1.7150255342229659</v>
      </c>
    </row>
    <row r="11" spans="1:42" ht="13.5" customHeight="1" x14ac:dyDescent="0.25">
      <c r="A11" s="35" t="s">
        <v>242</v>
      </c>
      <c r="B11" s="88" t="s">
        <v>15</v>
      </c>
      <c r="C11" s="91">
        <v>18230628</v>
      </c>
      <c r="D11" s="91" t="s">
        <v>77</v>
      </c>
      <c r="E11" s="37" t="s">
        <v>1463</v>
      </c>
      <c r="F11" s="38" t="s">
        <v>562</v>
      </c>
      <c r="G11" s="38">
        <v>10</v>
      </c>
      <c r="H11" s="38">
        <v>8</v>
      </c>
      <c r="I11" s="39" t="s">
        <v>272</v>
      </c>
      <c r="J11" s="40">
        <v>441</v>
      </c>
      <c r="K11" s="40">
        <v>3988</v>
      </c>
      <c r="L11" s="40">
        <v>2991</v>
      </c>
      <c r="M11" s="41">
        <v>2400</v>
      </c>
      <c r="N11" s="41">
        <v>4556.01</v>
      </c>
      <c r="O11" s="42">
        <v>1758708</v>
      </c>
      <c r="P11" s="43">
        <v>1058400</v>
      </c>
      <c r="Q11" s="43">
        <v>2009200.4100000001</v>
      </c>
      <c r="R11" s="44">
        <v>0</v>
      </c>
      <c r="S11" s="45"/>
      <c r="T11" s="38">
        <f t="shared" si="0"/>
        <v>18</v>
      </c>
      <c r="U11" s="46">
        <f t="shared" si="1"/>
        <v>1.8388760439518979</v>
      </c>
      <c r="V11" s="47">
        <f t="shared" si="2"/>
        <v>2156.0100000000002</v>
      </c>
      <c r="W11" s="48">
        <f t="shared" si="3"/>
        <v>0.10215978021954988</v>
      </c>
      <c r="X11" s="43">
        <f t="shared" si="4"/>
        <v>109100.22964028141</v>
      </c>
      <c r="Y11" s="43">
        <f t="shared" si="5"/>
        <v>950800.41000000015</v>
      </c>
      <c r="Z11" s="43">
        <f t="shared" si="6"/>
        <v>1346723.9486825238</v>
      </c>
      <c r="AA11" s="49">
        <f t="shared" si="7"/>
        <v>2118300.6396402814</v>
      </c>
      <c r="AB11" s="50">
        <f t="shared" si="8"/>
        <v>1260977.4800398161</v>
      </c>
      <c r="AC11" s="43">
        <f t="shared" si="8"/>
        <v>1983427.565206256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1.3287628949071131</v>
      </c>
      <c r="AG11" s="43">
        <f t="shared" si="10"/>
        <v>2336905.9333762988</v>
      </c>
      <c r="AH11" s="51">
        <f>HLOOKUP(I11,ElecAvoidedCostsWOCC!$A$5:$Q$50,T11+1,FALSE)</f>
        <v>1.9675158436529916</v>
      </c>
      <c r="AI11" s="43">
        <f t="shared" si="11"/>
        <v>2595214.3907694491</v>
      </c>
      <c r="AJ11" s="43">
        <f t="shared" si="12"/>
        <v>4932120.3241457473</v>
      </c>
      <c r="AK11" s="43">
        <f>HLOOKUP(I11,ElecAvoidedCostsWOCC!$A$5:$Q$50,G11+1,FALSE)*J11*L11</f>
        <v>1752679.4500322242</v>
      </c>
      <c r="AL11" s="43">
        <f t="shared" si="13"/>
        <v>3179440.8741135234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3179440.8741135243</v>
      </c>
      <c r="AN11" s="47">
        <f t="shared" si="14"/>
        <v>3497384.9615248772</v>
      </c>
      <c r="AO11" s="46">
        <f t="shared" si="15"/>
        <v>2.5214097193973135</v>
      </c>
      <c r="AP11" s="46">
        <f t="shared" si="16"/>
        <v>1.7633035977097482</v>
      </c>
    </row>
    <row r="12" spans="1:42" ht="13.5" customHeight="1" x14ac:dyDescent="0.25">
      <c r="A12" s="54">
        <f>SUM(P5:P1000)</f>
        <v>12114588.699999999</v>
      </c>
      <c r="B12" s="88" t="s">
        <v>15</v>
      </c>
      <c r="C12" s="91">
        <v>18230628</v>
      </c>
      <c r="D12" s="91" t="s">
        <v>77</v>
      </c>
      <c r="E12" s="37" t="s">
        <v>1464</v>
      </c>
      <c r="F12" s="38" t="s">
        <v>563</v>
      </c>
      <c r="G12" s="38">
        <v>15</v>
      </c>
      <c r="H12" s="38">
        <v>0</v>
      </c>
      <c r="I12" s="39" t="s">
        <v>272</v>
      </c>
      <c r="J12" s="40">
        <v>111</v>
      </c>
      <c r="K12" s="40">
        <v>2065</v>
      </c>
      <c r="L12" s="40">
        <v>0</v>
      </c>
      <c r="M12" s="41">
        <v>2400</v>
      </c>
      <c r="N12" s="41">
        <v>3906.22</v>
      </c>
      <c r="O12" s="42">
        <v>229215</v>
      </c>
      <c r="P12" s="43">
        <v>266400</v>
      </c>
      <c r="Q12" s="43">
        <v>433590.42</v>
      </c>
      <c r="R12" s="44">
        <v>41.613</v>
      </c>
      <c r="S12" s="45"/>
      <c r="T12" s="38">
        <f t="shared" si="0"/>
        <v>15</v>
      </c>
      <c r="U12" s="46">
        <f t="shared" si="1"/>
        <v>0.19971951588629944</v>
      </c>
      <c r="V12" s="47">
        <f t="shared" si="2"/>
        <v>1506.2199999999998</v>
      </c>
      <c r="W12" s="48">
        <f t="shared" si="3"/>
        <v>1.3314634392419962E-2</v>
      </c>
      <c r="X12" s="43">
        <f t="shared" si="4"/>
        <v>14219.193372064665</v>
      </c>
      <c r="Y12" s="43">
        <f t="shared" si="5"/>
        <v>167190.41999999998</v>
      </c>
      <c r="Z12" s="43">
        <f t="shared" si="6"/>
        <v>175520.51272710689</v>
      </c>
      <c r="AA12" s="49">
        <f t="shared" si="7"/>
        <v>447809.61337206466</v>
      </c>
      <c r="AB12" s="50">
        <f t="shared" si="8"/>
        <v>164345.04936995025</v>
      </c>
      <c r="AC12" s="43">
        <f t="shared" si="8"/>
        <v>419297.39079781331</v>
      </c>
      <c r="AD12" s="43">
        <f t="shared" si="9"/>
        <v>42606.484891690117</v>
      </c>
      <c r="AE12" s="43">
        <f t="shared" si="17"/>
        <v>0</v>
      </c>
      <c r="AF12" s="51">
        <f>HLOOKUP(I12,ElecAvoidedCostsWOCC!$A$5:$Q$50,G12+1,FALSE)</f>
        <v>1.7654180640246628</v>
      </c>
      <c r="AG12" s="43">
        <f t="shared" si="10"/>
        <v>404660.30154541309</v>
      </c>
      <c r="AH12" s="51">
        <f>HLOOKUP(I12,ElecAvoidedCostsWOCC!$A$5:$Q$50,T12+1,FALSE)</f>
        <v>1.7654180640246628</v>
      </c>
      <c r="AI12" s="43">
        <f t="shared" si="11"/>
        <v>0</v>
      </c>
      <c r="AJ12" s="43">
        <f t="shared" si="12"/>
        <v>404660.30154541309</v>
      </c>
      <c r="AK12" s="43">
        <f>HLOOKUP(I12,ElecAvoidedCostsWOCC!$A$5:$Q$50,G12+1,FALSE)*J12*L12</f>
        <v>0</v>
      </c>
      <c r="AL12" s="43">
        <f t="shared" si="13"/>
        <v>404660.30154541309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404660.30154541309</v>
      </c>
      <c r="AN12" s="47">
        <f t="shared" si="14"/>
        <v>487732.8165916446</v>
      </c>
      <c r="AO12" s="46">
        <f t="shared" si="15"/>
        <v>2.4622603668121408</v>
      </c>
      <c r="AP12" s="46">
        <f t="shared" si="16"/>
        <v>1.1632145281505726</v>
      </c>
    </row>
    <row r="13" spans="1:42" ht="13.5" customHeight="1" x14ac:dyDescent="0.25">
      <c r="A13" s="55" t="s">
        <v>245</v>
      </c>
      <c r="B13" s="88" t="s">
        <v>15</v>
      </c>
      <c r="C13" s="91">
        <v>18230628</v>
      </c>
      <c r="D13" s="91" t="s">
        <v>77</v>
      </c>
      <c r="E13" s="37" t="s">
        <v>1465</v>
      </c>
      <c r="F13" s="38" t="s">
        <v>564</v>
      </c>
      <c r="G13" s="38">
        <v>10</v>
      </c>
      <c r="H13" s="38">
        <v>8</v>
      </c>
      <c r="I13" s="39" t="s">
        <v>272</v>
      </c>
      <c r="J13" s="40">
        <v>72</v>
      </c>
      <c r="K13" s="40">
        <v>4268</v>
      </c>
      <c r="L13" s="40">
        <v>3201</v>
      </c>
      <c r="M13" s="41">
        <v>2400</v>
      </c>
      <c r="N13" s="41">
        <v>5020.6000000000004</v>
      </c>
      <c r="O13" s="42">
        <v>307296</v>
      </c>
      <c r="P13" s="43">
        <v>172800</v>
      </c>
      <c r="Q13" s="43">
        <v>361483.2</v>
      </c>
      <c r="R13" s="44">
        <v>0</v>
      </c>
      <c r="S13" s="45"/>
      <c r="T13" s="38">
        <f t="shared" si="0"/>
        <v>18</v>
      </c>
      <c r="U13" s="46">
        <f t="shared" si="1"/>
        <v>0.32130362334295537</v>
      </c>
      <c r="V13" s="47">
        <f t="shared" si="2"/>
        <v>2620.6000000000004</v>
      </c>
      <c r="W13" s="48">
        <f t="shared" si="3"/>
        <v>1.7850201296830855E-2</v>
      </c>
      <c r="X13" s="43">
        <f t="shared" si="4"/>
        <v>19062.893992373898</v>
      </c>
      <c r="Y13" s="43">
        <f t="shared" si="5"/>
        <v>188683.2</v>
      </c>
      <c r="Z13" s="43">
        <f t="shared" si="6"/>
        <v>235310.7409156863</v>
      </c>
      <c r="AA13" s="49">
        <f t="shared" si="7"/>
        <v>380546.09399237391</v>
      </c>
      <c r="AB13" s="50">
        <f t="shared" si="8"/>
        <v>220328.40909708454</v>
      </c>
      <c r="AC13" s="43">
        <f t="shared" si="8"/>
        <v>356316.56740858976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1.3287628949071131</v>
      </c>
      <c r="AG13" s="43">
        <f t="shared" si="10"/>
        <v>408323.52255337621</v>
      </c>
      <c r="AH13" s="51">
        <f>HLOOKUP(I13,ElecAvoidedCostsWOCC!$A$5:$Q$50,T13+1,FALSE)</f>
        <v>1.9675158436529916</v>
      </c>
      <c r="AI13" s="43">
        <f t="shared" si="11"/>
        <v>453457.31151839223</v>
      </c>
      <c r="AJ13" s="43">
        <f t="shared" si="12"/>
        <v>861780.83407176845</v>
      </c>
      <c r="AK13" s="43">
        <f>HLOOKUP(I13,ElecAvoidedCostsWOCC!$A$5:$Q$50,G13+1,FALSE)*J13*L13</f>
        <v>306242.64191503217</v>
      </c>
      <c r="AL13" s="43">
        <f t="shared" si="13"/>
        <v>555538.19215673627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555538.19215673627</v>
      </c>
      <c r="AN13" s="47">
        <f t="shared" si="14"/>
        <v>611092.01137240999</v>
      </c>
      <c r="AO13" s="46">
        <f t="shared" si="15"/>
        <v>2.5214097193973126</v>
      </c>
      <c r="AP13" s="46">
        <f t="shared" si="16"/>
        <v>1.7150255342229657</v>
      </c>
    </row>
    <row r="14" spans="1:42" ht="13.5" customHeight="1" x14ac:dyDescent="0.25">
      <c r="A14" s="54">
        <f>SUM(Y5:Y1000)</f>
        <v>14074401.800949996</v>
      </c>
      <c r="B14" s="88" t="s">
        <v>15</v>
      </c>
      <c r="C14" s="91">
        <v>18230628</v>
      </c>
      <c r="D14" s="91" t="s">
        <v>77</v>
      </c>
      <c r="E14" s="37" t="s">
        <v>1466</v>
      </c>
      <c r="F14" s="38" t="s">
        <v>565</v>
      </c>
      <c r="G14" s="38">
        <v>6</v>
      </c>
      <c r="H14" s="38">
        <v>12</v>
      </c>
      <c r="I14" s="39" t="s">
        <v>272</v>
      </c>
      <c r="J14" s="40">
        <v>27</v>
      </c>
      <c r="K14" s="40">
        <v>4193</v>
      </c>
      <c r="L14" s="40">
        <v>2096</v>
      </c>
      <c r="M14" s="41">
        <v>2400</v>
      </c>
      <c r="N14" s="41">
        <v>6220.8</v>
      </c>
      <c r="O14" s="42">
        <v>113211</v>
      </c>
      <c r="P14" s="43">
        <v>64800</v>
      </c>
      <c r="Q14" s="43">
        <v>167961.60000000001</v>
      </c>
      <c r="R14" s="44">
        <v>0</v>
      </c>
      <c r="S14" s="45"/>
      <c r="T14" s="38">
        <f t="shared" si="0"/>
        <v>18</v>
      </c>
      <c r="U14" s="46">
        <f t="shared" si="1"/>
        <v>0.11837155219163062</v>
      </c>
      <c r="V14" s="47">
        <f t="shared" si="2"/>
        <v>3820.8</v>
      </c>
      <c r="W14" s="48">
        <f t="shared" si="3"/>
        <v>6.5761973439794792E-3</v>
      </c>
      <c r="X14" s="43">
        <f t="shared" si="4"/>
        <v>7022.9657781768774</v>
      </c>
      <c r="Y14" s="43">
        <f t="shared" si="5"/>
        <v>103161.60000000001</v>
      </c>
      <c r="Z14" s="43">
        <f t="shared" si="6"/>
        <v>86690.891810520683</v>
      </c>
      <c r="AA14" s="49">
        <f t="shared" si="7"/>
        <v>174984.56577817688</v>
      </c>
      <c r="AB14" s="50">
        <f t="shared" si="8"/>
        <v>81171.247013596134</v>
      </c>
      <c r="AC14" s="43">
        <f t="shared" si="8"/>
        <v>163843.22638406075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0.87520974434482102</v>
      </c>
      <c r="AG14" s="43">
        <f t="shared" si="10"/>
        <v>99083.370367021533</v>
      </c>
      <c r="AH14" s="51">
        <f>HLOOKUP(I14,ElecAvoidedCostsWOCC!$A$5:$Q$50,T14+1,FALSE)</f>
        <v>1.9675158436529916</v>
      </c>
      <c r="AI14" s="43">
        <f t="shared" si="11"/>
        <v>111345.65662401011</v>
      </c>
      <c r="AJ14" s="43">
        <f t="shared" si="12"/>
        <v>210429.02699103166</v>
      </c>
      <c r="AK14" s="43">
        <f>HLOOKUP(I14,ElecAvoidedCostsWOCC!$A$5:$Q$50,G14+1,FALSE)*J14*L14</f>
        <v>49529.869851962118</v>
      </c>
      <c r="AL14" s="43">
        <f t="shared" si="13"/>
        <v>160899.15713906955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160899.15713906955</v>
      </c>
      <c r="AN14" s="47">
        <f t="shared" si="14"/>
        <v>176989.0728529765</v>
      </c>
      <c r="AO14" s="46">
        <f t="shared" si="15"/>
        <v>1.9822186187692674</v>
      </c>
      <c r="AP14" s="46">
        <f t="shared" si="16"/>
        <v>1.080234299330147</v>
      </c>
    </row>
    <row r="15" spans="1:42" ht="13.5" customHeight="1" x14ac:dyDescent="0.25">
      <c r="A15" s="56" t="s">
        <v>248</v>
      </c>
      <c r="B15" s="88" t="s">
        <v>15</v>
      </c>
      <c r="C15" s="91">
        <v>18230628</v>
      </c>
      <c r="D15" s="91" t="s">
        <v>77</v>
      </c>
      <c r="E15" s="37" t="s">
        <v>1467</v>
      </c>
      <c r="F15" s="38" t="s">
        <v>566</v>
      </c>
      <c r="G15" s="38">
        <v>6</v>
      </c>
      <c r="H15" s="38">
        <v>12</v>
      </c>
      <c r="I15" s="39" t="s">
        <v>272</v>
      </c>
      <c r="J15" s="40">
        <v>172</v>
      </c>
      <c r="K15" s="40">
        <v>4566</v>
      </c>
      <c r="L15" s="40">
        <v>2283</v>
      </c>
      <c r="M15" s="41">
        <v>1500</v>
      </c>
      <c r="N15" s="41">
        <v>6886.89</v>
      </c>
      <c r="O15" s="42">
        <v>785352</v>
      </c>
      <c r="P15" s="43">
        <v>258000</v>
      </c>
      <c r="Q15" s="43">
        <v>1184545.08</v>
      </c>
      <c r="R15" s="44">
        <v>184.2304</v>
      </c>
      <c r="S15" s="45"/>
      <c r="T15" s="38">
        <f t="shared" si="0"/>
        <v>18</v>
      </c>
      <c r="U15" s="46">
        <f t="shared" si="1"/>
        <v>0.82115108299371531</v>
      </c>
      <c r="V15" s="47">
        <f t="shared" si="2"/>
        <v>5386.89</v>
      </c>
      <c r="W15" s="48">
        <f t="shared" si="3"/>
        <v>4.561950461076196E-2</v>
      </c>
      <c r="X15" s="43">
        <f t="shared" si="4"/>
        <v>48718.766019404182</v>
      </c>
      <c r="Y15" s="43">
        <f t="shared" si="5"/>
        <v>926545.08000000007</v>
      </c>
      <c r="Z15" s="43">
        <f t="shared" si="6"/>
        <v>601380.30107653886</v>
      </c>
      <c r="AA15" s="49">
        <f t="shared" si="7"/>
        <v>1233263.8460194042</v>
      </c>
      <c r="AB15" s="50">
        <f t="shared" si="8"/>
        <v>563090.16954732104</v>
      </c>
      <c r="AC15" s="43">
        <f t="shared" si="8"/>
        <v>1154741.42885712</v>
      </c>
      <c r="AD15" s="43">
        <f t="shared" si="9"/>
        <v>323401.51668710198</v>
      </c>
      <c r="AE15" s="43">
        <f t="shared" si="17"/>
        <v>0</v>
      </c>
      <c r="AF15" s="51">
        <f>HLOOKUP(I15,ElecAvoidedCostsWOCC!$A$5:$Q$50,G15+1,FALSE)</f>
        <v>0.87520974434482102</v>
      </c>
      <c r="AG15" s="43">
        <f t="shared" si="10"/>
        <v>687347.72314069385</v>
      </c>
      <c r="AH15" s="51">
        <f>HLOOKUP(I15,ElecAvoidedCostsWOCC!$A$5:$Q$50,T15+1,FALSE)</f>
        <v>1.9675158436529916</v>
      </c>
      <c r="AI15" s="43">
        <f t="shared" si="11"/>
        <v>772596.25142228208</v>
      </c>
      <c r="AJ15" s="43">
        <f t="shared" si="12"/>
        <v>1459943.974562976</v>
      </c>
      <c r="AK15" s="43">
        <f>HLOOKUP(I15,ElecAvoidedCostsWOCC!$A$5:$Q$50,G15+1,FALSE)*J15*L15</f>
        <v>343673.86157034693</v>
      </c>
      <c r="AL15" s="43">
        <f t="shared" si="13"/>
        <v>1116270.1129926292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1116270.1129926289</v>
      </c>
      <c r="AN15" s="47">
        <f t="shared" si="14"/>
        <v>1551298.6409789938</v>
      </c>
      <c r="AO15" s="46">
        <f t="shared" si="15"/>
        <v>1.9824002857127125</v>
      </c>
      <c r="AP15" s="46">
        <f t="shared" si="16"/>
        <v>1.3434164586216999</v>
      </c>
    </row>
    <row r="16" spans="1:42" ht="13.5" customHeight="1" x14ac:dyDescent="0.25">
      <c r="A16" s="53">
        <f>SUM(U5:U999)</f>
        <v>16.57664225311359</v>
      </c>
      <c r="B16" s="88" t="s">
        <v>15</v>
      </c>
      <c r="C16" s="91">
        <v>18230628</v>
      </c>
      <c r="D16" s="91" t="s">
        <v>77</v>
      </c>
      <c r="E16" s="37" t="s">
        <v>1468</v>
      </c>
      <c r="F16" s="38" t="s">
        <v>567</v>
      </c>
      <c r="G16" s="38">
        <v>6</v>
      </c>
      <c r="H16" s="38">
        <v>12</v>
      </c>
      <c r="I16" s="39" t="s">
        <v>272</v>
      </c>
      <c r="J16" s="40">
        <v>7</v>
      </c>
      <c r="K16" s="40">
        <v>4566</v>
      </c>
      <c r="L16" s="40">
        <v>2283</v>
      </c>
      <c r="M16" s="41">
        <v>2400</v>
      </c>
      <c r="N16" s="41">
        <v>6886.89</v>
      </c>
      <c r="O16" s="42">
        <v>31962</v>
      </c>
      <c r="P16" s="43">
        <v>16800</v>
      </c>
      <c r="Q16" s="43">
        <v>48208.23</v>
      </c>
      <c r="R16" s="44">
        <v>184.2304</v>
      </c>
      <c r="S16" s="45"/>
      <c r="T16" s="38">
        <f t="shared" si="0"/>
        <v>18</v>
      </c>
      <c r="U16" s="46">
        <f t="shared" si="1"/>
        <v>3.3418939424162832E-2</v>
      </c>
      <c r="V16" s="47">
        <f t="shared" si="2"/>
        <v>4486.8900000000003</v>
      </c>
      <c r="W16" s="48">
        <f t="shared" si="3"/>
        <v>1.8566077457868239E-3</v>
      </c>
      <c r="X16" s="43">
        <f t="shared" si="4"/>
        <v>1982.7404775338912</v>
      </c>
      <c r="Y16" s="43">
        <f t="shared" si="5"/>
        <v>31408.230000000003</v>
      </c>
      <c r="Z16" s="43">
        <f t="shared" si="6"/>
        <v>24474.779694975419</v>
      </c>
      <c r="AA16" s="49">
        <f t="shared" si="7"/>
        <v>50190.970477533898</v>
      </c>
      <c r="AB16" s="50">
        <f t="shared" si="8"/>
        <v>22916.460388553762</v>
      </c>
      <c r="AC16" s="43">
        <f t="shared" si="8"/>
        <v>46995.2907093014</v>
      </c>
      <c r="AD16" s="43">
        <f t="shared" si="9"/>
        <v>13161.689632614614</v>
      </c>
      <c r="AE16" s="43">
        <f t="shared" si="17"/>
        <v>0</v>
      </c>
      <c r="AF16" s="51">
        <f>HLOOKUP(I16,ElecAvoidedCostsWOCC!$A$5:$Q$50,G16+1,FALSE)</f>
        <v>0.87520974434482102</v>
      </c>
      <c r="AG16" s="43">
        <f t="shared" si="10"/>
        <v>27973.45384874917</v>
      </c>
      <c r="AH16" s="51">
        <f>HLOOKUP(I16,ElecAvoidedCostsWOCC!$A$5:$Q$50,T16+1,FALSE)</f>
        <v>1.9675158436529916</v>
      </c>
      <c r="AI16" s="43">
        <f t="shared" si="11"/>
        <v>31442.870697418457</v>
      </c>
      <c r="AJ16" s="43">
        <f t="shared" si="12"/>
        <v>59416.324546167627</v>
      </c>
      <c r="AK16" s="43">
        <f>HLOOKUP(I16,ElecAvoidedCostsWOCC!$A$5:$Q$50,G16+1,FALSE)*J16*L16</f>
        <v>13986.726924374585</v>
      </c>
      <c r="AL16" s="43">
        <f t="shared" si="13"/>
        <v>45429.597621793044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45429.597621793044</v>
      </c>
      <c r="AN16" s="47">
        <f t="shared" si="14"/>
        <v>63134.247016586967</v>
      </c>
      <c r="AO16" s="46">
        <f t="shared" si="15"/>
        <v>1.9824002857127128</v>
      </c>
      <c r="AP16" s="46">
        <f t="shared" si="16"/>
        <v>1.3434164586217001</v>
      </c>
    </row>
    <row r="17" spans="1:42" ht="13.5" customHeight="1" x14ac:dyDescent="0.25">
      <c r="A17" s="57" t="s">
        <v>251</v>
      </c>
      <c r="B17" s="88" t="s">
        <v>15</v>
      </c>
      <c r="C17" s="91">
        <v>18230628</v>
      </c>
      <c r="D17" s="91" t="s">
        <v>77</v>
      </c>
      <c r="E17" s="37" t="s">
        <v>1469</v>
      </c>
      <c r="F17" s="38" t="s">
        <v>568</v>
      </c>
      <c r="G17" s="38">
        <v>15</v>
      </c>
      <c r="H17" s="38">
        <v>0</v>
      </c>
      <c r="I17" s="39" t="s">
        <v>272</v>
      </c>
      <c r="J17" s="40">
        <v>205</v>
      </c>
      <c r="K17" s="40">
        <v>2918</v>
      </c>
      <c r="L17" s="40">
        <v>0</v>
      </c>
      <c r="M17" s="41">
        <v>2400</v>
      </c>
      <c r="N17" s="41">
        <v>4452.41</v>
      </c>
      <c r="O17" s="42">
        <v>598190</v>
      </c>
      <c r="P17" s="43">
        <v>492000</v>
      </c>
      <c r="Q17" s="43">
        <v>912744.04999999993</v>
      </c>
      <c r="R17" s="44">
        <v>66</v>
      </c>
      <c r="S17" s="45"/>
      <c r="T17" s="38">
        <f t="shared" si="0"/>
        <v>15</v>
      </c>
      <c r="U17" s="46">
        <f t="shared" si="1"/>
        <v>0.5212146552713629</v>
      </c>
      <c r="V17" s="47">
        <f t="shared" si="2"/>
        <v>2052.41</v>
      </c>
      <c r="W17" s="48">
        <f t="shared" si="3"/>
        <v>3.474764368475753E-2</v>
      </c>
      <c r="X17" s="43">
        <f t="shared" si="4"/>
        <v>37108.301303297616</v>
      </c>
      <c r="Y17" s="43">
        <f t="shared" si="5"/>
        <v>420744.04999999993</v>
      </c>
      <c r="Z17" s="43">
        <f t="shared" si="6"/>
        <v>458061.71283828752</v>
      </c>
      <c r="AA17" s="49">
        <f t="shared" si="7"/>
        <v>949852.35130329756</v>
      </c>
      <c r="AB17" s="50">
        <f t="shared" si="8"/>
        <v>428896.73486731038</v>
      </c>
      <c r="AC17" s="43">
        <f t="shared" si="8"/>
        <v>889374.8607708778</v>
      </c>
      <c r="AD17" s="43">
        <f t="shared" si="9"/>
        <v>124801.98616565538</v>
      </c>
      <c r="AE17" s="43">
        <f t="shared" si="17"/>
        <v>0</v>
      </c>
      <c r="AF17" s="51">
        <f>HLOOKUP(I17,ElecAvoidedCostsWOCC!$A$5:$Q$50,G17+1,FALSE)</f>
        <v>1.7654180640246628</v>
      </c>
      <c r="AG17" s="43">
        <f t="shared" si="10"/>
        <v>1056055.4317189131</v>
      </c>
      <c r="AH17" s="51">
        <f>HLOOKUP(I17,ElecAvoidedCostsWOCC!$A$5:$Q$50,T17+1,FALSE)</f>
        <v>1.7654180640246628</v>
      </c>
      <c r="AI17" s="43">
        <f t="shared" si="11"/>
        <v>0</v>
      </c>
      <c r="AJ17" s="43">
        <f t="shared" si="12"/>
        <v>1056055.4317189131</v>
      </c>
      <c r="AK17" s="43">
        <f>HLOOKUP(I17,ElecAvoidedCostsWOCC!$A$5:$Q$50,G17+1,FALSE)*J17*L17</f>
        <v>0</v>
      </c>
      <c r="AL17" s="43">
        <f t="shared" si="13"/>
        <v>1056055.4317189131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1056055.4317189131</v>
      </c>
      <c r="AN17" s="47">
        <f t="shared" si="14"/>
        <v>1286462.9610564599</v>
      </c>
      <c r="AO17" s="46">
        <f t="shared" si="15"/>
        <v>2.4622603668121408</v>
      </c>
      <c r="AP17" s="46">
        <f t="shared" si="16"/>
        <v>1.4464800139970233</v>
      </c>
    </row>
    <row r="18" spans="1:42" ht="13.5" customHeight="1" x14ac:dyDescent="0.25">
      <c r="A18" s="58">
        <f>A6+A8</f>
        <v>13182525.899999999</v>
      </c>
      <c r="B18" s="88" t="s">
        <v>15</v>
      </c>
      <c r="C18" s="91">
        <v>18230628</v>
      </c>
      <c r="D18" s="91" t="s">
        <v>77</v>
      </c>
      <c r="E18" s="37" t="s">
        <v>1470</v>
      </c>
      <c r="F18" s="38" t="s">
        <v>569</v>
      </c>
      <c r="G18" s="38">
        <v>15</v>
      </c>
      <c r="H18" s="38">
        <v>0</v>
      </c>
      <c r="I18" s="39" t="s">
        <v>272</v>
      </c>
      <c r="J18" s="40">
        <v>203</v>
      </c>
      <c r="K18" s="40">
        <v>2550</v>
      </c>
      <c r="L18" s="40">
        <v>0</v>
      </c>
      <c r="M18" s="41">
        <v>1500</v>
      </c>
      <c r="N18" s="41">
        <v>4452.41</v>
      </c>
      <c r="O18" s="42">
        <v>517650</v>
      </c>
      <c r="P18" s="43">
        <v>304500</v>
      </c>
      <c r="Q18" s="43">
        <v>903839.23</v>
      </c>
      <c r="R18" s="44">
        <v>170</v>
      </c>
      <c r="S18" s="45"/>
      <c r="T18" s="38">
        <f t="shared" si="0"/>
        <v>15</v>
      </c>
      <c r="U18" s="46">
        <f t="shared" si="1"/>
        <v>0.45103857687560978</v>
      </c>
      <c r="V18" s="47">
        <f t="shared" si="2"/>
        <v>2952.41</v>
      </c>
      <c r="W18" s="48">
        <f t="shared" si="3"/>
        <v>3.0069238458373986E-2</v>
      </c>
      <c r="X18" s="43">
        <f t="shared" si="4"/>
        <v>32112.058325368209</v>
      </c>
      <c r="Y18" s="43">
        <f t="shared" si="5"/>
        <v>599339.23</v>
      </c>
      <c r="Z18" s="43">
        <f t="shared" si="6"/>
        <v>396388.51477079111</v>
      </c>
      <c r="AA18" s="49">
        <f t="shared" si="7"/>
        <v>935951.28832536819</v>
      </c>
      <c r="AB18" s="50">
        <f t="shared" si="8"/>
        <v>371150.29472920514</v>
      </c>
      <c r="AC18" s="43">
        <f t="shared" si="8"/>
        <v>876358.88419978286</v>
      </c>
      <c r="AD18" s="43">
        <f t="shared" si="9"/>
        <v>318323.46951786894</v>
      </c>
      <c r="AE18" s="43">
        <f t="shared" si="17"/>
        <v>0</v>
      </c>
      <c r="AF18" s="51">
        <f>HLOOKUP(I18,ElecAvoidedCostsWOCC!$A$5:$Q$50,G18+1,FALSE)</f>
        <v>1.7654180640246628</v>
      </c>
      <c r="AG18" s="43">
        <f t="shared" si="10"/>
        <v>913868.66084236675</v>
      </c>
      <c r="AH18" s="51">
        <f>HLOOKUP(I18,ElecAvoidedCostsWOCC!$A$5:$Q$50,T18+1,FALSE)</f>
        <v>1.7654180640246628</v>
      </c>
      <c r="AI18" s="43">
        <f t="shared" si="11"/>
        <v>0</v>
      </c>
      <c r="AJ18" s="43">
        <f t="shared" si="12"/>
        <v>913868.66084236675</v>
      </c>
      <c r="AK18" s="43">
        <f>HLOOKUP(I18,ElecAvoidedCostsWOCC!$A$5:$Q$50,G18+1,FALSE)*J18*L18</f>
        <v>0</v>
      </c>
      <c r="AL18" s="43">
        <f t="shared" si="13"/>
        <v>913868.66084236675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913868.66084236675</v>
      </c>
      <c r="AN18" s="47">
        <f t="shared" si="14"/>
        <v>1323578.9964444726</v>
      </c>
      <c r="AO18" s="46">
        <f t="shared" si="15"/>
        <v>2.4622603668121408</v>
      </c>
      <c r="AP18" s="46">
        <f t="shared" si="16"/>
        <v>1.5103161733255588</v>
      </c>
    </row>
    <row r="19" spans="1:42" ht="13.5" customHeight="1" x14ac:dyDescent="0.25">
      <c r="A19" s="57" t="s">
        <v>221</v>
      </c>
      <c r="B19" s="88" t="s">
        <v>15</v>
      </c>
      <c r="C19" s="91">
        <v>18230628</v>
      </c>
      <c r="D19" s="91" t="s">
        <v>77</v>
      </c>
      <c r="E19" s="37" t="s">
        <v>1471</v>
      </c>
      <c r="F19" s="38" t="s">
        <v>570</v>
      </c>
      <c r="G19" s="38">
        <v>15</v>
      </c>
      <c r="H19" s="38">
        <v>0</v>
      </c>
      <c r="I19" s="39" t="s">
        <v>272</v>
      </c>
      <c r="J19" s="40">
        <v>11</v>
      </c>
      <c r="K19" s="40">
        <v>2550</v>
      </c>
      <c r="L19" s="40">
        <v>0</v>
      </c>
      <c r="M19" s="41">
        <v>2400</v>
      </c>
      <c r="N19" s="41">
        <v>4452.41</v>
      </c>
      <c r="O19" s="42">
        <v>28050</v>
      </c>
      <c r="P19" s="43">
        <v>26400</v>
      </c>
      <c r="Q19" s="43">
        <v>48976.509999999995</v>
      </c>
      <c r="R19" s="44">
        <v>170</v>
      </c>
      <c r="S19" s="45"/>
      <c r="T19" s="38">
        <f t="shared" si="0"/>
        <v>15</v>
      </c>
      <c r="U19" s="46">
        <f t="shared" si="1"/>
        <v>2.4440514017890186E-2</v>
      </c>
      <c r="V19" s="47">
        <f t="shared" si="2"/>
        <v>2052.41</v>
      </c>
      <c r="W19" s="48">
        <f t="shared" si="3"/>
        <v>1.629367601192679E-3</v>
      </c>
      <c r="X19" s="43">
        <f t="shared" si="4"/>
        <v>1740.062273788425</v>
      </c>
      <c r="Y19" s="43">
        <f t="shared" si="5"/>
        <v>22576.509999999995</v>
      </c>
      <c r="Z19" s="43">
        <f t="shared" si="6"/>
        <v>21479.18060334336</v>
      </c>
      <c r="AA19" s="49">
        <f t="shared" si="7"/>
        <v>50716.572273788421</v>
      </c>
      <c r="AB19" s="50">
        <f t="shared" si="8"/>
        <v>20111.592325227866</v>
      </c>
      <c r="AC19" s="43">
        <f t="shared" si="8"/>
        <v>47487.42722264833</v>
      </c>
      <c r="AD19" s="43">
        <f t="shared" si="9"/>
        <v>17249.054998505213</v>
      </c>
      <c r="AE19" s="43">
        <f t="shared" si="17"/>
        <v>0</v>
      </c>
      <c r="AF19" s="51">
        <f>HLOOKUP(I19,ElecAvoidedCostsWOCC!$A$5:$Q$50,G19+1,FALSE)</f>
        <v>1.7654180640246628</v>
      </c>
      <c r="AG19" s="43">
        <f t="shared" si="10"/>
        <v>49519.97669589179</v>
      </c>
      <c r="AH19" s="51">
        <f>HLOOKUP(I19,ElecAvoidedCostsWOCC!$A$5:$Q$50,T19+1,FALSE)</f>
        <v>1.7654180640246628</v>
      </c>
      <c r="AI19" s="43">
        <f t="shared" si="11"/>
        <v>0</v>
      </c>
      <c r="AJ19" s="43">
        <f t="shared" si="12"/>
        <v>49519.97669589179</v>
      </c>
      <c r="AK19" s="43">
        <f>HLOOKUP(I19,ElecAvoidedCostsWOCC!$A$5:$Q$50,G19+1,FALSE)*J19*L19</f>
        <v>0</v>
      </c>
      <c r="AL19" s="43">
        <f t="shared" si="13"/>
        <v>49519.97669589179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49519.976695891797</v>
      </c>
      <c r="AN19" s="47">
        <f t="shared" si="14"/>
        <v>71721.029363986192</v>
      </c>
      <c r="AO19" s="46">
        <f t="shared" si="15"/>
        <v>2.4622603668121408</v>
      </c>
      <c r="AP19" s="46">
        <f t="shared" si="16"/>
        <v>1.5103161733255588</v>
      </c>
    </row>
    <row r="20" spans="1:42" ht="13.5" customHeight="1" x14ac:dyDescent="0.25">
      <c r="A20" s="58">
        <f>A8+SUM(Q5:Q906)</f>
        <v>27256927.70095</v>
      </c>
      <c r="B20" s="88" t="s">
        <v>15</v>
      </c>
      <c r="C20" s="91">
        <v>18230628</v>
      </c>
      <c r="D20" s="91" t="s">
        <v>77</v>
      </c>
      <c r="E20" s="37" t="s">
        <v>1472</v>
      </c>
      <c r="F20" s="38" t="s">
        <v>1473</v>
      </c>
      <c r="G20" s="38">
        <v>15</v>
      </c>
      <c r="H20" s="38">
        <v>0</v>
      </c>
      <c r="I20" s="39" t="s">
        <v>272</v>
      </c>
      <c r="J20" s="40">
        <v>120</v>
      </c>
      <c r="K20" s="40">
        <v>2918</v>
      </c>
      <c r="L20" s="40">
        <v>0</v>
      </c>
      <c r="M20" s="41">
        <v>2900</v>
      </c>
      <c r="N20" s="41">
        <v>4452.41</v>
      </c>
      <c r="O20" s="42">
        <v>350160</v>
      </c>
      <c r="P20" s="43">
        <v>348000</v>
      </c>
      <c r="Q20" s="43">
        <v>534289.19999999995</v>
      </c>
      <c r="R20" s="44">
        <v>66</v>
      </c>
      <c r="S20" s="45"/>
      <c r="T20" s="38">
        <f t="shared" si="0"/>
        <v>15</v>
      </c>
      <c r="U20" s="46">
        <f t="shared" si="1"/>
        <v>0.30510126162226126</v>
      </c>
      <c r="V20" s="47">
        <f t="shared" si="2"/>
        <v>1552.4099999999999</v>
      </c>
      <c r="W20" s="48">
        <f t="shared" si="3"/>
        <v>2.034008410815075E-2</v>
      </c>
      <c r="X20" s="43">
        <f t="shared" si="4"/>
        <v>21721.932470222993</v>
      </c>
      <c r="Y20" s="43">
        <f t="shared" si="5"/>
        <v>186289.19999999995</v>
      </c>
      <c r="Z20" s="43">
        <f t="shared" si="6"/>
        <v>268133.6855638756</v>
      </c>
      <c r="AA20" s="49">
        <f t="shared" si="7"/>
        <v>556011.13247022289</v>
      </c>
      <c r="AB20" s="50">
        <f t="shared" si="8"/>
        <v>251061.50333696217</v>
      </c>
      <c r="AC20" s="43">
        <f t="shared" si="8"/>
        <v>520609.67459758697</v>
      </c>
      <c r="AD20" s="43">
        <f t="shared" si="9"/>
        <v>73054.821170139738</v>
      </c>
      <c r="AE20" s="43">
        <f t="shared" si="17"/>
        <v>0</v>
      </c>
      <c r="AF20" s="51">
        <f>HLOOKUP(I20,ElecAvoidedCostsWOCC!$A$5:$Q$50,G20+1,FALSE)</f>
        <v>1.7654180640246628</v>
      </c>
      <c r="AG20" s="43">
        <f t="shared" si="10"/>
        <v>618178.78929887596</v>
      </c>
      <c r="AH20" s="51">
        <f>HLOOKUP(I20,ElecAvoidedCostsWOCC!$A$5:$Q$50,T20+1,FALSE)</f>
        <v>1.7654180640246628</v>
      </c>
      <c r="AI20" s="43">
        <f t="shared" si="11"/>
        <v>0</v>
      </c>
      <c r="AJ20" s="43">
        <f t="shared" si="12"/>
        <v>618178.78929887596</v>
      </c>
      <c r="AK20" s="43">
        <f>HLOOKUP(I20,ElecAvoidedCostsWOCC!$A$5:$Q$50,G20+1,FALSE)*J20*L20</f>
        <v>0</v>
      </c>
      <c r="AL20" s="43">
        <f t="shared" si="13"/>
        <v>618178.78929887596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618178.78929887596</v>
      </c>
      <c r="AN20" s="47">
        <f t="shared" si="14"/>
        <v>753051.48939890333</v>
      </c>
      <c r="AO20" s="46">
        <f t="shared" si="15"/>
        <v>2.4622603668121408</v>
      </c>
      <c r="AP20" s="46">
        <f t="shared" si="16"/>
        <v>1.4464800139970233</v>
      </c>
    </row>
    <row r="21" spans="1:42" ht="13.5" customHeight="1" x14ac:dyDescent="0.25">
      <c r="A21" s="57" t="s">
        <v>235</v>
      </c>
      <c r="B21" s="88" t="s">
        <v>15</v>
      </c>
      <c r="C21" s="91">
        <v>18230628</v>
      </c>
      <c r="D21" s="91" t="s">
        <v>77</v>
      </c>
      <c r="E21" s="37" t="s">
        <v>1474</v>
      </c>
      <c r="F21" s="38" t="s">
        <v>1475</v>
      </c>
      <c r="G21" s="38">
        <v>15</v>
      </c>
      <c r="H21" s="38">
        <v>0</v>
      </c>
      <c r="I21" s="39" t="s">
        <v>272</v>
      </c>
      <c r="J21" s="40">
        <v>140</v>
      </c>
      <c r="K21" s="40">
        <v>2550</v>
      </c>
      <c r="L21" s="40">
        <v>0</v>
      </c>
      <c r="M21" s="41">
        <v>2000</v>
      </c>
      <c r="N21" s="41">
        <v>4452.41</v>
      </c>
      <c r="O21" s="42">
        <v>357000</v>
      </c>
      <c r="P21" s="43">
        <v>280000</v>
      </c>
      <c r="Q21" s="43">
        <v>623337.4</v>
      </c>
      <c r="R21" s="44">
        <v>170</v>
      </c>
      <c r="S21" s="45"/>
      <c r="T21" s="38">
        <f t="shared" si="0"/>
        <v>15</v>
      </c>
      <c r="U21" s="46">
        <f t="shared" si="1"/>
        <v>0.31106108750042055</v>
      </c>
      <c r="V21" s="47">
        <f t="shared" si="2"/>
        <v>2452.41</v>
      </c>
      <c r="W21" s="48">
        <f t="shared" si="3"/>
        <v>2.073740583336137E-2</v>
      </c>
      <c r="X21" s="43">
        <f t="shared" si="4"/>
        <v>22146.247120943593</v>
      </c>
      <c r="Y21" s="43">
        <f t="shared" si="5"/>
        <v>343337.4</v>
      </c>
      <c r="Z21" s="43">
        <f t="shared" si="6"/>
        <v>273371.38949709735</v>
      </c>
      <c r="AA21" s="49">
        <f t="shared" si="7"/>
        <v>645483.64712094364</v>
      </c>
      <c r="AB21" s="50">
        <f t="shared" ref="AB21:AC24" si="18">Z21/(1+ElecDiscountRate)^1</f>
        <v>255965.72050290013</v>
      </c>
      <c r="AC21" s="43">
        <f t="shared" si="18"/>
        <v>604385.43737916066</v>
      </c>
      <c r="AD21" s="43">
        <f t="shared" si="9"/>
        <v>219533.42725370271</v>
      </c>
      <c r="AE21" s="43">
        <f t="shared" si="17"/>
        <v>0</v>
      </c>
      <c r="AF21" s="51">
        <f>HLOOKUP(I21,ElecAvoidedCostsWOCC!$A$5:$Q$50,G21+1,FALSE)</f>
        <v>1.7654180640246628</v>
      </c>
      <c r="AG21" s="43">
        <f t="shared" si="10"/>
        <v>630254.24885680468</v>
      </c>
      <c r="AH21" s="51">
        <f>HLOOKUP(I21,ElecAvoidedCostsWOCC!$A$5:$Q$50,T21+1,FALSE)</f>
        <v>1.7654180640246628</v>
      </c>
      <c r="AI21" s="43">
        <f t="shared" si="11"/>
        <v>0</v>
      </c>
      <c r="AJ21" s="43">
        <f t="shared" si="12"/>
        <v>630254.24885680468</v>
      </c>
      <c r="AK21" s="43">
        <f>HLOOKUP(I21,ElecAvoidedCostsWOCC!$A$5:$Q$50,G21+1,FALSE)*J21*L21</f>
        <v>0</v>
      </c>
      <c r="AL21" s="43">
        <f t="shared" si="13"/>
        <v>630254.24885680468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630254.24885680468</v>
      </c>
      <c r="AN21" s="47">
        <f t="shared" si="14"/>
        <v>912813.10099618789</v>
      </c>
      <c r="AO21" s="46">
        <f t="shared" si="15"/>
        <v>2.4622603668121403</v>
      </c>
      <c r="AP21" s="46">
        <f t="shared" si="16"/>
        <v>1.5103161733255586</v>
      </c>
    </row>
    <row r="22" spans="1:42" ht="13.5" customHeight="1" x14ac:dyDescent="0.25">
      <c r="A22" s="59">
        <f>(SUM(AM5:AM1000)/(SUM(AB5:AB1000)))</f>
        <v>2.4487007178877813</v>
      </c>
      <c r="B22" s="88" t="s">
        <v>15</v>
      </c>
      <c r="C22" s="91">
        <v>18230628</v>
      </c>
      <c r="D22" s="91" t="s">
        <v>77</v>
      </c>
      <c r="E22" s="37" t="s">
        <v>1476</v>
      </c>
      <c r="F22" s="38" t="s">
        <v>1477</v>
      </c>
      <c r="G22" s="38">
        <v>15</v>
      </c>
      <c r="H22" s="38">
        <v>0</v>
      </c>
      <c r="I22" s="39" t="s">
        <v>272</v>
      </c>
      <c r="J22" s="40">
        <v>10</v>
      </c>
      <c r="K22" s="40">
        <v>2550</v>
      </c>
      <c r="L22" s="40">
        <v>0</v>
      </c>
      <c r="M22" s="41">
        <v>2900</v>
      </c>
      <c r="N22" s="41">
        <v>4452.41</v>
      </c>
      <c r="O22" s="42">
        <v>25500</v>
      </c>
      <c r="P22" s="43">
        <v>29000</v>
      </c>
      <c r="Q22" s="43">
        <v>44524.1</v>
      </c>
      <c r="R22" s="44">
        <v>170</v>
      </c>
      <c r="S22" s="45"/>
      <c r="T22" s="38">
        <f t="shared" si="0"/>
        <v>15</v>
      </c>
      <c r="U22" s="46">
        <f t="shared" si="1"/>
        <v>2.2218649107172899E-2</v>
      </c>
      <c r="V22" s="47">
        <f t="shared" si="2"/>
        <v>1552.4099999999999</v>
      </c>
      <c r="W22" s="48">
        <f t="shared" si="3"/>
        <v>1.4812432738115265E-3</v>
      </c>
      <c r="X22" s="43">
        <f t="shared" si="4"/>
        <v>1581.8747943531139</v>
      </c>
      <c r="Y22" s="43">
        <f t="shared" si="5"/>
        <v>15524.099999999999</v>
      </c>
      <c r="Z22" s="43">
        <f t="shared" si="6"/>
        <v>19526.527821221236</v>
      </c>
      <c r="AA22" s="49">
        <f t="shared" si="7"/>
        <v>46105.974794353111</v>
      </c>
      <c r="AB22" s="50">
        <f t="shared" si="18"/>
        <v>18283.265750207149</v>
      </c>
      <c r="AC22" s="43">
        <f t="shared" si="18"/>
        <v>43170.388384225756</v>
      </c>
      <c r="AD22" s="43">
        <f t="shared" si="9"/>
        <v>15680.959089550195</v>
      </c>
      <c r="AE22" s="43">
        <f t="shared" si="17"/>
        <v>0</v>
      </c>
      <c r="AF22" s="51">
        <f>HLOOKUP(I22,ElecAvoidedCostsWOCC!$A$5:$Q$50,G22+1,FALSE)</f>
        <v>1.7654180640246628</v>
      </c>
      <c r="AG22" s="43">
        <f t="shared" si="10"/>
        <v>45018.160632628904</v>
      </c>
      <c r="AH22" s="51">
        <f>HLOOKUP(I22,ElecAvoidedCostsWOCC!$A$5:$Q$50,T22+1,FALSE)</f>
        <v>1.7654180640246628</v>
      </c>
      <c r="AI22" s="43">
        <f t="shared" si="11"/>
        <v>0</v>
      </c>
      <c r="AJ22" s="43">
        <f t="shared" si="12"/>
        <v>45018.160632628904</v>
      </c>
      <c r="AK22" s="43">
        <f>HLOOKUP(I22,ElecAvoidedCostsWOCC!$A$5:$Q$50,G22+1,FALSE)*J22*L22</f>
        <v>0</v>
      </c>
      <c r="AL22" s="43">
        <f t="shared" si="13"/>
        <v>45018.160632628904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45018.160632628904</v>
      </c>
      <c r="AN22" s="47">
        <f t="shared" si="14"/>
        <v>65200.935785441994</v>
      </c>
      <c r="AO22" s="46">
        <f t="shared" si="15"/>
        <v>2.4622603668121408</v>
      </c>
      <c r="AP22" s="46">
        <f t="shared" si="16"/>
        <v>1.5103161733255588</v>
      </c>
    </row>
    <row r="23" spans="1:42" ht="13.5" customHeight="1" x14ac:dyDescent="0.25">
      <c r="A23" s="57" t="s">
        <v>236</v>
      </c>
      <c r="B23" s="88" t="s">
        <v>15</v>
      </c>
      <c r="C23" s="91">
        <v>18230628</v>
      </c>
      <c r="D23" s="91" t="s">
        <v>77</v>
      </c>
      <c r="E23" s="37" t="s">
        <v>1478</v>
      </c>
      <c r="F23" s="38" t="s">
        <v>1479</v>
      </c>
      <c r="G23" s="38">
        <v>15</v>
      </c>
      <c r="H23" s="38">
        <v>0</v>
      </c>
      <c r="I23" s="39" t="s">
        <v>272</v>
      </c>
      <c r="J23" s="40">
        <v>20</v>
      </c>
      <c r="K23" s="40">
        <v>2065</v>
      </c>
      <c r="L23" s="40">
        <v>0</v>
      </c>
      <c r="M23" s="41">
        <v>2900</v>
      </c>
      <c r="N23" s="41">
        <v>3906.22</v>
      </c>
      <c r="O23" s="42">
        <v>41300</v>
      </c>
      <c r="P23" s="43">
        <v>58000</v>
      </c>
      <c r="Q23" s="43">
        <v>78124.399999999994</v>
      </c>
      <c r="R23" s="44">
        <v>41.613</v>
      </c>
      <c r="S23" s="45"/>
      <c r="T23" s="38">
        <f t="shared" si="0"/>
        <v>15</v>
      </c>
      <c r="U23" s="46">
        <f t="shared" si="1"/>
        <v>3.598549835789179E-2</v>
      </c>
      <c r="V23" s="47">
        <f t="shared" si="2"/>
        <v>1006.2199999999998</v>
      </c>
      <c r="W23" s="48">
        <f t="shared" si="3"/>
        <v>2.3990332238594527E-3</v>
      </c>
      <c r="X23" s="43">
        <f t="shared" si="4"/>
        <v>2562.0168237954354</v>
      </c>
      <c r="Y23" s="43">
        <f t="shared" si="5"/>
        <v>20124.399999999994</v>
      </c>
      <c r="Z23" s="43">
        <f t="shared" si="6"/>
        <v>31625.31760848773</v>
      </c>
      <c r="AA23" s="49">
        <f t="shared" si="7"/>
        <v>80686.416823795429</v>
      </c>
      <c r="AB23" s="50">
        <f t="shared" si="18"/>
        <v>29611.720607198247</v>
      </c>
      <c r="AC23" s="43">
        <f t="shared" si="18"/>
        <v>75549.079423029427</v>
      </c>
      <c r="AD23" s="43">
        <f t="shared" si="9"/>
        <v>7676.8441246288503</v>
      </c>
      <c r="AE23" s="43">
        <f t="shared" si="17"/>
        <v>0</v>
      </c>
      <c r="AF23" s="51">
        <f>HLOOKUP(I23,ElecAvoidedCostsWOCC!$A$5:$Q$50,G23+1,FALSE)</f>
        <v>1.7654180640246628</v>
      </c>
      <c r="AG23" s="43">
        <f t="shared" si="10"/>
        <v>72911.766044218573</v>
      </c>
      <c r="AH23" s="51">
        <f>HLOOKUP(I23,ElecAvoidedCostsWOCC!$A$5:$Q$50,T23+1,FALSE)</f>
        <v>1.7654180640246628</v>
      </c>
      <c r="AI23" s="43">
        <f t="shared" si="11"/>
        <v>0</v>
      </c>
      <c r="AJ23" s="43">
        <f t="shared" si="12"/>
        <v>72911.766044218573</v>
      </c>
      <c r="AK23" s="43">
        <f>HLOOKUP(I23,ElecAvoidedCostsWOCC!$A$5:$Q$50,G23+1,FALSE)*J23*L23</f>
        <v>0</v>
      </c>
      <c r="AL23" s="43">
        <f t="shared" si="13"/>
        <v>72911.766044218573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72911.766044218573</v>
      </c>
      <c r="AN23" s="47">
        <f t="shared" si="14"/>
        <v>87879.786773269298</v>
      </c>
      <c r="AO23" s="46">
        <f t="shared" si="15"/>
        <v>2.4622603668121403</v>
      </c>
      <c r="AP23" s="46">
        <f t="shared" si="16"/>
        <v>1.1632145281505724</v>
      </c>
    </row>
    <row r="24" spans="1:42" ht="13.5" customHeight="1" x14ac:dyDescent="0.25">
      <c r="A24" s="59">
        <f>(SUM(AN5:AN1000)/SUM(AC5:AC1000))</f>
        <v>1.404197935864169</v>
      </c>
      <c r="B24" s="88" t="s">
        <v>15</v>
      </c>
      <c r="C24" s="91">
        <v>18230628</v>
      </c>
      <c r="D24" s="91" t="s">
        <v>77</v>
      </c>
      <c r="E24" s="37" t="s">
        <v>1480</v>
      </c>
      <c r="F24" s="38" t="s">
        <v>1481</v>
      </c>
      <c r="G24" s="38">
        <v>15</v>
      </c>
      <c r="H24" s="38">
        <v>0</v>
      </c>
      <c r="I24" s="39" t="s">
        <v>272</v>
      </c>
      <c r="J24" s="40">
        <v>760</v>
      </c>
      <c r="K24" s="40">
        <v>2065</v>
      </c>
      <c r="L24" s="40">
        <v>0</v>
      </c>
      <c r="M24" s="41">
        <v>2000</v>
      </c>
      <c r="N24" s="41">
        <v>3906.22</v>
      </c>
      <c r="O24" s="42">
        <v>1569400</v>
      </c>
      <c r="P24" s="43">
        <v>1520000</v>
      </c>
      <c r="Q24" s="43">
        <v>2968727.1999999997</v>
      </c>
      <c r="R24" s="44">
        <v>41.613</v>
      </c>
      <c r="S24" s="45"/>
      <c r="T24" s="38">
        <f t="shared" si="0"/>
        <v>15</v>
      </c>
      <c r="U24" s="46">
        <f t="shared" si="1"/>
        <v>1.3674489375998879</v>
      </c>
      <c r="V24" s="47">
        <f t="shared" si="2"/>
        <v>1906.2199999999998</v>
      </c>
      <c r="W24" s="48">
        <f t="shared" si="3"/>
        <v>9.1163262506659196E-2</v>
      </c>
      <c r="X24" s="43">
        <f t="shared" si="4"/>
        <v>97356.639304226541</v>
      </c>
      <c r="Y24" s="43">
        <f t="shared" si="5"/>
        <v>1448727.1999999997</v>
      </c>
      <c r="Z24" s="43">
        <f t="shared" si="6"/>
        <v>1201762.0691225335</v>
      </c>
      <c r="AA24" s="49">
        <f t="shared" si="7"/>
        <v>3066083.8393042265</v>
      </c>
      <c r="AB24" s="50">
        <f t="shared" si="18"/>
        <v>1125245.3830735332</v>
      </c>
      <c r="AC24" s="43">
        <f t="shared" si="18"/>
        <v>2870865.0180751183</v>
      </c>
      <c r="AD24" s="43">
        <f t="shared" si="9"/>
        <v>291720.07673589629</v>
      </c>
      <c r="AE24" s="43">
        <f t="shared" si="17"/>
        <v>0</v>
      </c>
      <c r="AF24" s="51">
        <f>HLOOKUP(I24,ElecAvoidedCostsWOCC!$A$5:$Q$50,G24+1,FALSE)</f>
        <v>1.7654180640246628</v>
      </c>
      <c r="AG24" s="43">
        <f t="shared" si="10"/>
        <v>2770647.1096803057</v>
      </c>
      <c r="AH24" s="51">
        <f>HLOOKUP(I24,ElecAvoidedCostsWOCC!$A$5:$Q$50,T24+1,FALSE)</f>
        <v>1.7654180640246628</v>
      </c>
      <c r="AI24" s="43">
        <f t="shared" si="11"/>
        <v>0</v>
      </c>
      <c r="AJ24" s="43">
        <f t="shared" si="12"/>
        <v>2770647.1096803057</v>
      </c>
      <c r="AK24" s="43">
        <f>HLOOKUP(I24,ElecAvoidedCostsWOCC!$A$5:$Q$50,G24+1,FALSE)*J24*L24</f>
        <v>0</v>
      </c>
      <c r="AL24" s="43">
        <f t="shared" si="13"/>
        <v>2770647.1096803057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2770647.1096803057</v>
      </c>
      <c r="AN24" s="47">
        <f t="shared" si="14"/>
        <v>3339431.8973842328</v>
      </c>
      <c r="AO24" s="46">
        <f t="shared" si="15"/>
        <v>2.4622603668121408</v>
      </c>
      <c r="AP24" s="46">
        <f t="shared" si="16"/>
        <v>1.1632145281505724</v>
      </c>
    </row>
    <row r="25" spans="1:42" ht="13.5" customHeight="1" x14ac:dyDescent="0.25">
      <c r="B25" s="88" t="s">
        <v>15</v>
      </c>
      <c r="C25" s="91">
        <v>18230628</v>
      </c>
      <c r="D25" s="91" t="s">
        <v>77</v>
      </c>
      <c r="E25" s="37" t="s">
        <v>1482</v>
      </c>
      <c r="F25" s="38" t="s">
        <v>1483</v>
      </c>
      <c r="G25" s="38">
        <v>15</v>
      </c>
      <c r="H25" s="38">
        <v>0</v>
      </c>
      <c r="I25" s="39" t="s">
        <v>272</v>
      </c>
      <c r="J25" s="40">
        <v>100</v>
      </c>
      <c r="K25" s="40">
        <v>2065</v>
      </c>
      <c r="L25" s="40">
        <v>0</v>
      </c>
      <c r="M25" s="41">
        <v>2900</v>
      </c>
      <c r="N25" s="41">
        <v>3906.22</v>
      </c>
      <c r="O25" s="42">
        <v>206500</v>
      </c>
      <c r="P25" s="43">
        <v>290000</v>
      </c>
      <c r="Q25" s="43">
        <v>390622</v>
      </c>
      <c r="R25" s="44">
        <v>41.613</v>
      </c>
      <c r="S25" s="45"/>
      <c r="T25" s="38">
        <f t="shared" ref="T25:T52" si="19">G25+H25</f>
        <v>15</v>
      </c>
      <c r="U25" s="46">
        <f t="shared" ref="U25:U52" si="20">(O25/$A$10)*T25</f>
        <v>0.17992749178945894</v>
      </c>
      <c r="V25" s="47">
        <f t="shared" ref="V25:V52" si="21">N25-M25</f>
        <v>1006.2199999999998</v>
      </c>
      <c r="W25" s="48">
        <f t="shared" ref="W25:W52" si="22">(O25/A$10)</f>
        <v>1.1995166119297263E-2</v>
      </c>
      <c r="X25" s="43">
        <f t="shared" ref="X25:X52" si="23">W25*A$8</f>
        <v>12810.084118977176</v>
      </c>
      <c r="Y25" s="43">
        <f t="shared" ref="Y25:Y52" si="24">Q25-P25</f>
        <v>100622</v>
      </c>
      <c r="Z25" s="43">
        <f t="shared" ref="Z25:Z52" si="25">X25+(A$6*W25)</f>
        <v>158126.58804243864</v>
      </c>
      <c r="AA25" s="49">
        <f t="shared" ref="AA25:AA52" si="26">Q25+X25</f>
        <v>403432.08411897719</v>
      </c>
      <c r="AB25" s="50">
        <f t="shared" ref="AB25:AB52" si="27">Z25/(1+ElecDiscountRate)^1</f>
        <v>148058.60303599123</v>
      </c>
      <c r="AC25" s="43">
        <f t="shared" ref="AC25:AC52" si="28">AA25/(1+ElecDiscountRate)^1</f>
        <v>377745.39711514715</v>
      </c>
      <c r="AD25" s="43">
        <f t="shared" ref="AD25:AD52" si="29">-PV(ElecDiscountRate,T25,R25)*J25</f>
        <v>38384.220623144247</v>
      </c>
      <c r="AE25" s="43">
        <f t="shared" ref="AE25:AE52" si="30">-PV(ElecDiscountRate,T25,S25)*J25</f>
        <v>0</v>
      </c>
      <c r="AF25" s="51">
        <f>HLOOKUP(I25,ElecAvoidedCostsWOCC!$A$5:$Q$50,G25+1,FALSE)</f>
        <v>1.7654180640246628</v>
      </c>
      <c r="AG25" s="43">
        <f t="shared" ref="AG25:AG52" si="31">AF25*J25*K25</f>
        <v>364558.83022109285</v>
      </c>
      <c r="AH25" s="51">
        <f>HLOOKUP(I25,ElecAvoidedCostsWOCC!$A$5:$Q$50,T25+1,FALSE)</f>
        <v>1.7654180640246628</v>
      </c>
      <c r="AI25" s="43">
        <f t="shared" ref="AI25:AI52" si="32">AH25*J25*L25</f>
        <v>0</v>
      </c>
      <c r="AJ25" s="43">
        <f t="shared" ref="AJ25:AJ52" si="33">AG25+AI25</f>
        <v>364558.83022109285</v>
      </c>
      <c r="AK25" s="43">
        <f>HLOOKUP(I25,ElecAvoidedCostsWOCC!$A$5:$Q$50,G25+1,FALSE)*J25*L25</f>
        <v>0</v>
      </c>
      <c r="AL25" s="43">
        <f t="shared" ref="AL25:AL52" si="34">AG25+AI25-AK25</f>
        <v>364558.83022109285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364558.83022109285</v>
      </c>
      <c r="AN25" s="47">
        <f t="shared" ref="AN25:AN52" si="35">AM25*1.1+AD25+AE25</f>
        <v>439398.93386634643</v>
      </c>
      <c r="AO25" s="46">
        <f t="shared" ref="AO25:AO52" si="36">IFERROR(AM25/AB25,0)</f>
        <v>2.4622603668121403</v>
      </c>
      <c r="AP25" s="46">
        <f t="shared" ref="AP25:AP52" si="37">AN25/AC25</f>
        <v>1.1632145281505724</v>
      </c>
    </row>
    <row r="26" spans="1:42" ht="13.5" customHeight="1" x14ac:dyDescent="0.25">
      <c r="B26" s="88" t="s">
        <v>15</v>
      </c>
      <c r="C26" s="91">
        <v>18230628</v>
      </c>
      <c r="D26" s="91" t="s">
        <v>77</v>
      </c>
      <c r="E26" s="37" t="s">
        <v>1484</v>
      </c>
      <c r="F26" s="38" t="s">
        <v>1485</v>
      </c>
      <c r="G26" s="38">
        <v>10</v>
      </c>
      <c r="H26" s="38">
        <v>8</v>
      </c>
      <c r="I26" s="39" t="s">
        <v>272</v>
      </c>
      <c r="J26" s="40">
        <v>180</v>
      </c>
      <c r="K26" s="40">
        <v>3988</v>
      </c>
      <c r="L26" s="40">
        <v>2991</v>
      </c>
      <c r="M26" s="41">
        <v>2900</v>
      </c>
      <c r="N26" s="41">
        <v>4556.01</v>
      </c>
      <c r="O26" s="42">
        <v>717840</v>
      </c>
      <c r="P26" s="43">
        <v>522000</v>
      </c>
      <c r="Q26" s="43">
        <v>820081.8</v>
      </c>
      <c r="R26" s="44">
        <v>0</v>
      </c>
      <c r="S26" s="45"/>
      <c r="T26" s="38">
        <f t="shared" si="19"/>
        <v>18</v>
      </c>
      <c r="U26" s="46">
        <f t="shared" si="20"/>
        <v>0.75056165059261137</v>
      </c>
      <c r="V26" s="47">
        <f t="shared" si="21"/>
        <v>1656.0100000000002</v>
      </c>
      <c r="W26" s="48">
        <f t="shared" si="22"/>
        <v>4.1697869477367297E-2</v>
      </c>
      <c r="X26" s="43">
        <f t="shared" si="23"/>
        <v>44530.70597562506</v>
      </c>
      <c r="Y26" s="43">
        <f t="shared" si="24"/>
        <v>298081.80000000005</v>
      </c>
      <c r="Z26" s="43">
        <f t="shared" si="25"/>
        <v>549683.24436021375</v>
      </c>
      <c r="AA26" s="49">
        <f t="shared" si="26"/>
        <v>864612.50597562513</v>
      </c>
      <c r="AB26" s="50">
        <f t="shared" si="27"/>
        <v>514684.68573053717</v>
      </c>
      <c r="AC26" s="43">
        <f t="shared" si="28"/>
        <v>809562.27151275752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1.3287628949071131</v>
      </c>
      <c r="AG26" s="43">
        <f t="shared" si="31"/>
        <v>953839.15648012212</v>
      </c>
      <c r="AH26" s="51">
        <f>HLOOKUP(I26,ElecAvoidedCostsWOCC!$A$5:$Q$50,T26+1,FALSE)</f>
        <v>1.9675158436529916</v>
      </c>
      <c r="AI26" s="43">
        <f t="shared" si="32"/>
        <v>1059271.1799058977</v>
      </c>
      <c r="AJ26" s="43">
        <f t="shared" si="33"/>
        <v>2013110.3363860198</v>
      </c>
      <c r="AK26" s="43">
        <f>HLOOKUP(I26,ElecAvoidedCostsWOCC!$A$5:$Q$50,G26+1,FALSE)*J26*L26</f>
        <v>715379.36736009154</v>
      </c>
      <c r="AL26" s="43">
        <f t="shared" si="34"/>
        <v>1297730.9690259283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1297730.9690259281</v>
      </c>
      <c r="AN26" s="47">
        <f t="shared" si="35"/>
        <v>1427504.0659285209</v>
      </c>
      <c r="AO26" s="46">
        <f t="shared" si="36"/>
        <v>2.5214097193973131</v>
      </c>
      <c r="AP26" s="46">
        <f t="shared" si="37"/>
        <v>1.7633035977097475</v>
      </c>
    </row>
    <row r="27" spans="1:42" ht="13.5" customHeight="1" x14ac:dyDescent="0.25">
      <c r="B27" s="88" t="s">
        <v>15</v>
      </c>
      <c r="C27" s="91">
        <v>18230628</v>
      </c>
      <c r="D27" s="91" t="s">
        <v>77</v>
      </c>
      <c r="E27" s="37" t="s">
        <v>1486</v>
      </c>
      <c r="F27" s="38" t="s">
        <v>1487</v>
      </c>
      <c r="G27" s="38">
        <v>10</v>
      </c>
      <c r="H27" s="38">
        <v>8</v>
      </c>
      <c r="I27" s="39" t="s">
        <v>272</v>
      </c>
      <c r="J27" s="40">
        <v>260</v>
      </c>
      <c r="K27" s="40">
        <v>4268</v>
      </c>
      <c r="L27" s="40">
        <v>3201</v>
      </c>
      <c r="M27" s="41">
        <v>2000</v>
      </c>
      <c r="N27" s="41">
        <v>5020.6000000000004</v>
      </c>
      <c r="O27" s="42">
        <v>1109680</v>
      </c>
      <c r="P27" s="43">
        <v>520000</v>
      </c>
      <c r="Q27" s="43">
        <v>1305356</v>
      </c>
      <c r="R27" s="44">
        <v>0</v>
      </c>
      <c r="S27" s="45"/>
      <c r="T27" s="38">
        <f t="shared" si="19"/>
        <v>18</v>
      </c>
      <c r="U27" s="46">
        <f t="shared" si="20"/>
        <v>1.1602630842940056</v>
      </c>
      <c r="V27" s="47">
        <f t="shared" si="21"/>
        <v>3020.6000000000004</v>
      </c>
      <c r="W27" s="48">
        <f t="shared" si="22"/>
        <v>6.4459060238555868E-2</v>
      </c>
      <c r="X27" s="43">
        <f t="shared" si="23"/>
        <v>68838.228305794633</v>
      </c>
      <c r="Y27" s="43">
        <f t="shared" si="24"/>
        <v>785356</v>
      </c>
      <c r="Z27" s="43">
        <f t="shared" si="25"/>
        <v>849733.23108442279</v>
      </c>
      <c r="AA27" s="49">
        <f t="shared" si="26"/>
        <v>1374194.2283057945</v>
      </c>
      <c r="AB27" s="50">
        <f t="shared" si="27"/>
        <v>795630.36618391646</v>
      </c>
      <c r="AC27" s="43">
        <f t="shared" si="28"/>
        <v>1286698.7156421295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1.3287628949071131</v>
      </c>
      <c r="AG27" s="43">
        <f t="shared" si="31"/>
        <v>1474501.6092205252</v>
      </c>
      <c r="AH27" s="51">
        <f>HLOOKUP(I27,ElecAvoidedCostsWOCC!$A$5:$Q$50,T27+1,FALSE)</f>
        <v>1.9675158436529916</v>
      </c>
      <c r="AI27" s="43">
        <f t="shared" si="32"/>
        <v>1637484.7360386387</v>
      </c>
      <c r="AJ27" s="43">
        <f t="shared" si="33"/>
        <v>3111986.345259164</v>
      </c>
      <c r="AK27" s="43">
        <f>HLOOKUP(I27,ElecAvoidedCostsWOCC!$A$5:$Q$50,G27+1,FALSE)*J27*L27</f>
        <v>1105876.2069153939</v>
      </c>
      <c r="AL27" s="43">
        <f t="shared" si="34"/>
        <v>2006110.1383437701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2006110.1383437701</v>
      </c>
      <c r="AN27" s="47">
        <f t="shared" si="35"/>
        <v>2206721.1521781473</v>
      </c>
      <c r="AO27" s="46">
        <f t="shared" si="36"/>
        <v>2.5214097193973131</v>
      </c>
      <c r="AP27" s="46">
        <f t="shared" si="37"/>
        <v>1.7150255342229659</v>
      </c>
    </row>
    <row r="28" spans="1:42" ht="13.5" customHeight="1" x14ac:dyDescent="0.25">
      <c r="B28" s="88" t="s">
        <v>15</v>
      </c>
      <c r="C28" s="91">
        <v>18230628</v>
      </c>
      <c r="D28" s="91" t="s">
        <v>77</v>
      </c>
      <c r="E28" s="37" t="s">
        <v>1488</v>
      </c>
      <c r="F28" s="38" t="s">
        <v>1489</v>
      </c>
      <c r="G28" s="38">
        <v>10</v>
      </c>
      <c r="H28" s="38">
        <v>8</v>
      </c>
      <c r="I28" s="39" t="s">
        <v>272</v>
      </c>
      <c r="J28" s="40">
        <v>30</v>
      </c>
      <c r="K28" s="40">
        <v>4268</v>
      </c>
      <c r="L28" s="40">
        <v>3201</v>
      </c>
      <c r="M28" s="41">
        <v>2900</v>
      </c>
      <c r="N28" s="41">
        <v>5020.6000000000004</v>
      </c>
      <c r="O28" s="42">
        <v>128040</v>
      </c>
      <c r="P28" s="43">
        <v>87000</v>
      </c>
      <c r="Q28" s="43">
        <v>150618</v>
      </c>
      <c r="R28" s="44">
        <v>0</v>
      </c>
      <c r="S28" s="45"/>
      <c r="T28" s="38">
        <f t="shared" si="19"/>
        <v>18</v>
      </c>
      <c r="U28" s="46">
        <f t="shared" si="20"/>
        <v>0.13387650972623141</v>
      </c>
      <c r="V28" s="47">
        <f t="shared" si="21"/>
        <v>2120.6000000000004</v>
      </c>
      <c r="W28" s="48">
        <f t="shared" si="22"/>
        <v>7.437583873679523E-3</v>
      </c>
      <c r="X28" s="43">
        <f t="shared" si="23"/>
        <v>7942.8724968224578</v>
      </c>
      <c r="Y28" s="43">
        <f t="shared" si="24"/>
        <v>63618</v>
      </c>
      <c r="Z28" s="43">
        <f t="shared" si="25"/>
        <v>98046.14204820263</v>
      </c>
      <c r="AA28" s="49">
        <f t="shared" si="26"/>
        <v>158560.87249682247</v>
      </c>
      <c r="AB28" s="50">
        <f t="shared" si="27"/>
        <v>91803.503790451898</v>
      </c>
      <c r="AC28" s="43">
        <f t="shared" si="28"/>
        <v>148465.23642024575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1.3287628949071131</v>
      </c>
      <c r="AG28" s="43">
        <f t="shared" si="31"/>
        <v>170134.80106390675</v>
      </c>
      <c r="AH28" s="51">
        <f>HLOOKUP(I28,ElecAvoidedCostsWOCC!$A$5:$Q$50,T28+1,FALSE)</f>
        <v>1.9675158436529916</v>
      </c>
      <c r="AI28" s="43">
        <f t="shared" si="32"/>
        <v>188940.5464659968</v>
      </c>
      <c r="AJ28" s="43">
        <f t="shared" si="33"/>
        <v>359075.34752990352</v>
      </c>
      <c r="AK28" s="43">
        <f>HLOOKUP(I28,ElecAvoidedCostsWOCC!$A$5:$Q$50,G28+1,FALSE)*J28*L28</f>
        <v>127601.10079793006</v>
      </c>
      <c r="AL28" s="43">
        <f t="shared" si="34"/>
        <v>231474.24673197346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231474.24673197346</v>
      </c>
      <c r="AN28" s="47">
        <f t="shared" si="35"/>
        <v>254621.67140517081</v>
      </c>
      <c r="AO28" s="46">
        <f t="shared" si="36"/>
        <v>2.5214097193973126</v>
      </c>
      <c r="AP28" s="46">
        <f t="shared" si="37"/>
        <v>1.7150255342229652</v>
      </c>
    </row>
    <row r="29" spans="1:42" x14ac:dyDescent="0.25">
      <c r="B29" s="88" t="s">
        <v>15</v>
      </c>
      <c r="C29" s="91">
        <v>18230628</v>
      </c>
      <c r="D29" s="91" t="s">
        <v>77</v>
      </c>
      <c r="E29" s="37" t="s">
        <v>1490</v>
      </c>
      <c r="F29" s="38" t="s">
        <v>1491</v>
      </c>
      <c r="G29" s="38">
        <v>6</v>
      </c>
      <c r="H29" s="38">
        <v>12</v>
      </c>
      <c r="I29" s="39" t="s">
        <v>272</v>
      </c>
      <c r="J29" s="40">
        <v>40</v>
      </c>
      <c r="K29" s="40">
        <v>4193</v>
      </c>
      <c r="L29" s="40">
        <v>2096</v>
      </c>
      <c r="M29" s="41">
        <v>2900</v>
      </c>
      <c r="N29" s="41">
        <v>6220.8</v>
      </c>
      <c r="O29" s="42">
        <v>167720</v>
      </c>
      <c r="P29" s="43">
        <v>116000</v>
      </c>
      <c r="Q29" s="43">
        <v>248832</v>
      </c>
      <c r="R29" s="44">
        <v>0</v>
      </c>
      <c r="S29" s="45"/>
      <c r="T29" s="38">
        <f t="shared" si="19"/>
        <v>18</v>
      </c>
      <c r="U29" s="46">
        <f t="shared" si="20"/>
        <v>0.17536526250611945</v>
      </c>
      <c r="V29" s="47">
        <f t="shared" si="21"/>
        <v>3320.8</v>
      </c>
      <c r="W29" s="48">
        <f t="shared" si="22"/>
        <v>9.7425145836733031E-3</v>
      </c>
      <c r="X29" s="43">
        <f t="shared" si="23"/>
        <v>10404.393745447225</v>
      </c>
      <c r="Y29" s="43">
        <f t="shared" si="24"/>
        <v>132832</v>
      </c>
      <c r="Z29" s="43">
        <f t="shared" si="25"/>
        <v>128430.95083040101</v>
      </c>
      <c r="AA29" s="49">
        <f t="shared" si="26"/>
        <v>259236.39374544722</v>
      </c>
      <c r="AB29" s="50">
        <f t="shared" si="27"/>
        <v>120253.69927940168</v>
      </c>
      <c r="AC29" s="43">
        <f t="shared" si="28"/>
        <v>242730.70575416405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0.87520974434482102</v>
      </c>
      <c r="AG29" s="43">
        <f t="shared" si="31"/>
        <v>146790.17832151338</v>
      </c>
      <c r="AH29" s="51">
        <f>HLOOKUP(I29,ElecAvoidedCostsWOCC!$A$5:$Q$50,T29+1,FALSE)</f>
        <v>1.9675158436529916</v>
      </c>
      <c r="AI29" s="43">
        <f t="shared" si="32"/>
        <v>164956.52833186681</v>
      </c>
      <c r="AJ29" s="43">
        <f t="shared" si="33"/>
        <v>311746.70665338018</v>
      </c>
      <c r="AK29" s="43">
        <f>HLOOKUP(I29,ElecAvoidedCostsWOCC!$A$5:$Q$50,G29+1,FALSE)*J29*L29</f>
        <v>73377.584965869799</v>
      </c>
      <c r="AL29" s="43">
        <f t="shared" si="34"/>
        <v>238369.1216875104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238369.1216875104</v>
      </c>
      <c r="AN29" s="47">
        <f t="shared" si="35"/>
        <v>262206.03385626146</v>
      </c>
      <c r="AO29" s="46">
        <f t="shared" si="36"/>
        <v>1.982218618769267</v>
      </c>
      <c r="AP29" s="46">
        <f t="shared" si="37"/>
        <v>1.0802342993301468</v>
      </c>
    </row>
    <row r="30" spans="1:42" x14ac:dyDescent="0.25">
      <c r="B30" s="88" t="s">
        <v>15</v>
      </c>
      <c r="C30" s="91">
        <v>18230628</v>
      </c>
      <c r="D30" s="91" t="s">
        <v>77</v>
      </c>
      <c r="E30" s="37" t="s">
        <v>1492</v>
      </c>
      <c r="F30" s="38" t="s">
        <v>1493</v>
      </c>
      <c r="G30" s="38">
        <v>6</v>
      </c>
      <c r="H30" s="38">
        <v>12</v>
      </c>
      <c r="I30" s="39" t="s">
        <v>272</v>
      </c>
      <c r="J30" s="40">
        <v>44</v>
      </c>
      <c r="K30" s="40">
        <v>4566</v>
      </c>
      <c r="L30" s="40">
        <v>2283</v>
      </c>
      <c r="M30" s="41">
        <v>2000</v>
      </c>
      <c r="N30" s="41">
        <v>6886.89</v>
      </c>
      <c r="O30" s="42">
        <v>200904</v>
      </c>
      <c r="P30" s="43">
        <v>88000</v>
      </c>
      <c r="Q30" s="43">
        <v>303023.16000000003</v>
      </c>
      <c r="R30" s="44">
        <v>184.2304</v>
      </c>
      <c r="S30" s="45"/>
      <c r="T30" s="38">
        <f t="shared" si="19"/>
        <v>18</v>
      </c>
      <c r="U30" s="46">
        <f t="shared" si="20"/>
        <v>0.21006190495188065</v>
      </c>
      <c r="V30" s="47">
        <f t="shared" si="21"/>
        <v>4886.8900000000003</v>
      </c>
      <c r="W30" s="48">
        <f t="shared" si="22"/>
        <v>1.1670105830660036E-2</v>
      </c>
      <c r="X30" s="43">
        <f t="shared" si="23"/>
        <v>12462.940144498743</v>
      </c>
      <c r="Y30" s="43">
        <f t="shared" si="24"/>
        <v>215023.16000000003</v>
      </c>
      <c r="Z30" s="43">
        <f t="shared" si="25"/>
        <v>153841.47236841693</v>
      </c>
      <c r="AA30" s="49">
        <f t="shared" si="26"/>
        <v>315486.10014449875</v>
      </c>
      <c r="AB30" s="50">
        <f t="shared" si="27"/>
        <v>144046.32244233793</v>
      </c>
      <c r="AC30" s="43">
        <f t="shared" si="28"/>
        <v>295398.97017275164</v>
      </c>
      <c r="AD30" s="43">
        <f t="shared" si="29"/>
        <v>82730.620547863291</v>
      </c>
      <c r="AE30" s="43">
        <f t="shared" si="30"/>
        <v>0</v>
      </c>
      <c r="AF30" s="51">
        <f>HLOOKUP(I30,ElecAvoidedCostsWOCC!$A$5:$Q$50,G30+1,FALSE)</f>
        <v>0.87520974434482102</v>
      </c>
      <c r="AG30" s="43">
        <f t="shared" si="31"/>
        <v>175833.13847785193</v>
      </c>
      <c r="AH30" s="51">
        <f>HLOOKUP(I30,ElecAvoidedCostsWOCC!$A$5:$Q$50,T30+1,FALSE)</f>
        <v>1.9675158436529916</v>
      </c>
      <c r="AI30" s="43">
        <f t="shared" si="32"/>
        <v>197640.90152663033</v>
      </c>
      <c r="AJ30" s="43">
        <f t="shared" si="33"/>
        <v>373474.04000448226</v>
      </c>
      <c r="AK30" s="43">
        <f>HLOOKUP(I30,ElecAvoidedCostsWOCC!$A$5:$Q$50,G30+1,FALSE)*J30*L30</f>
        <v>87916.569238925964</v>
      </c>
      <c r="AL30" s="43">
        <f t="shared" si="34"/>
        <v>285557.47076555633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285557.47076555633</v>
      </c>
      <c r="AN30" s="47">
        <f t="shared" si="35"/>
        <v>396843.83838997531</v>
      </c>
      <c r="AO30" s="46">
        <f t="shared" si="36"/>
        <v>1.9824002857127132</v>
      </c>
      <c r="AP30" s="46">
        <f t="shared" si="37"/>
        <v>1.3434164586217003</v>
      </c>
    </row>
    <row r="31" spans="1:42" x14ac:dyDescent="0.25">
      <c r="B31" s="88" t="s">
        <v>15</v>
      </c>
      <c r="C31" s="91">
        <v>18230628</v>
      </c>
      <c r="D31" s="91" t="s">
        <v>77</v>
      </c>
      <c r="E31" s="37" t="s">
        <v>1494</v>
      </c>
      <c r="F31" s="38" t="s">
        <v>1495</v>
      </c>
      <c r="G31" s="38">
        <v>6</v>
      </c>
      <c r="H31" s="38">
        <v>12</v>
      </c>
      <c r="I31" s="39" t="s">
        <v>272</v>
      </c>
      <c r="J31" s="40">
        <v>2</v>
      </c>
      <c r="K31" s="40">
        <v>4566</v>
      </c>
      <c r="L31" s="40">
        <v>2283</v>
      </c>
      <c r="M31" s="41">
        <v>2900</v>
      </c>
      <c r="N31" s="41">
        <v>6886.89</v>
      </c>
      <c r="O31" s="42">
        <v>9132</v>
      </c>
      <c r="P31" s="43">
        <v>5800</v>
      </c>
      <c r="Q31" s="43">
        <v>13773.78</v>
      </c>
      <c r="R31" s="44">
        <v>184.2304</v>
      </c>
      <c r="S31" s="45"/>
      <c r="T31" s="38">
        <f t="shared" si="19"/>
        <v>18</v>
      </c>
      <c r="U31" s="46">
        <f t="shared" si="20"/>
        <v>9.5482684069036657E-3</v>
      </c>
      <c r="V31" s="47">
        <f t="shared" si="21"/>
        <v>3986.8900000000003</v>
      </c>
      <c r="W31" s="48">
        <f t="shared" si="22"/>
        <v>5.3045935593909249E-4</v>
      </c>
      <c r="X31" s="43">
        <f t="shared" si="23"/>
        <v>566.49727929539745</v>
      </c>
      <c r="Y31" s="43">
        <f t="shared" si="24"/>
        <v>7973.7800000000007</v>
      </c>
      <c r="Z31" s="43">
        <f t="shared" si="25"/>
        <v>6992.7941985644047</v>
      </c>
      <c r="AA31" s="49">
        <f t="shared" si="26"/>
        <v>14340.277279295398</v>
      </c>
      <c r="AB31" s="50">
        <f t="shared" si="27"/>
        <v>6547.5601110153602</v>
      </c>
      <c r="AC31" s="43">
        <f t="shared" si="28"/>
        <v>13427.225916943256</v>
      </c>
      <c r="AD31" s="43">
        <f t="shared" si="29"/>
        <v>3760.4827521756042</v>
      </c>
      <c r="AE31" s="43">
        <f t="shared" si="30"/>
        <v>0</v>
      </c>
      <c r="AF31" s="51">
        <f>HLOOKUP(I31,ElecAvoidedCostsWOCC!$A$5:$Q$50,G31+1,FALSE)</f>
        <v>0.87520974434482102</v>
      </c>
      <c r="AG31" s="43">
        <f t="shared" si="31"/>
        <v>7992.415385356906</v>
      </c>
      <c r="AH31" s="51">
        <f>HLOOKUP(I31,ElecAvoidedCostsWOCC!$A$5:$Q$50,T31+1,FALSE)</f>
        <v>1.9675158436529916</v>
      </c>
      <c r="AI31" s="43">
        <f t="shared" si="32"/>
        <v>8983.6773421195594</v>
      </c>
      <c r="AJ31" s="43">
        <f t="shared" si="33"/>
        <v>16976.092727476465</v>
      </c>
      <c r="AK31" s="43">
        <f>HLOOKUP(I31,ElecAvoidedCostsWOCC!$A$5:$Q$50,G31+1,FALSE)*J31*L31</f>
        <v>3996.207692678453</v>
      </c>
      <c r="AL31" s="43">
        <f t="shared" si="34"/>
        <v>12979.885034798011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12979.885034798011</v>
      </c>
      <c r="AN31" s="47">
        <f t="shared" si="35"/>
        <v>18038.356290453419</v>
      </c>
      <c r="AO31" s="46">
        <f t="shared" si="36"/>
        <v>1.9824002857127128</v>
      </c>
      <c r="AP31" s="46">
        <f t="shared" si="37"/>
        <v>1.3434164586217001</v>
      </c>
    </row>
    <row r="32" spans="1:42" x14ac:dyDescent="0.25">
      <c r="B32" s="88" t="s">
        <v>15</v>
      </c>
      <c r="C32" s="91">
        <v>18230628</v>
      </c>
      <c r="D32" s="91" t="s">
        <v>77</v>
      </c>
      <c r="E32" s="37" t="s">
        <v>1496</v>
      </c>
      <c r="F32" s="38" t="s">
        <v>1497</v>
      </c>
      <c r="G32" s="38">
        <v>18</v>
      </c>
      <c r="H32" s="38">
        <v>0</v>
      </c>
      <c r="I32" s="39" t="s">
        <v>272</v>
      </c>
      <c r="J32" s="40">
        <v>100</v>
      </c>
      <c r="K32" s="40">
        <v>1142</v>
      </c>
      <c r="L32" s="40">
        <v>0</v>
      </c>
      <c r="M32" s="41">
        <v>1700</v>
      </c>
      <c r="N32" s="41">
        <v>2420</v>
      </c>
      <c r="O32" s="42">
        <v>114200</v>
      </c>
      <c r="P32" s="43">
        <v>170000</v>
      </c>
      <c r="Q32" s="43">
        <v>242000</v>
      </c>
      <c r="R32" s="44">
        <v>92.115200000000002</v>
      </c>
      <c r="S32" s="45"/>
      <c r="T32" s="38">
        <f t="shared" si="19"/>
        <v>18</v>
      </c>
      <c r="U32" s="46">
        <f t="shared" si="20"/>
        <v>0.11940563426066564</v>
      </c>
      <c r="V32" s="47">
        <f t="shared" si="21"/>
        <v>720</v>
      </c>
      <c r="W32" s="48">
        <f t="shared" si="22"/>
        <v>6.6336463478147579E-3</v>
      </c>
      <c r="X32" s="43">
        <f t="shared" si="23"/>
        <v>7084.3177064755137</v>
      </c>
      <c r="Y32" s="43">
        <f t="shared" si="24"/>
        <v>72000</v>
      </c>
      <c r="Z32" s="43">
        <f t="shared" si="25"/>
        <v>87448.21479150845</v>
      </c>
      <c r="AA32" s="49">
        <f t="shared" si="26"/>
        <v>249084.3177064755</v>
      </c>
      <c r="AB32" s="50">
        <f t="shared" si="27"/>
        <v>81880.350928378699</v>
      </c>
      <c r="AC32" s="43">
        <f t="shared" si="28"/>
        <v>233225.0165790969</v>
      </c>
      <c r="AD32" s="43">
        <f t="shared" si="29"/>
        <v>94012.068804390103</v>
      </c>
      <c r="AE32" s="43">
        <f t="shared" si="30"/>
        <v>0</v>
      </c>
      <c r="AF32" s="51">
        <f>HLOOKUP(I32,ElecAvoidedCostsWOCC!$A$5:$Q$50,G32+1,FALSE)</f>
        <v>1.9675158436529916</v>
      </c>
      <c r="AG32" s="43">
        <f t="shared" si="31"/>
        <v>224690.30934517164</v>
      </c>
      <c r="AH32" s="51">
        <f>HLOOKUP(I32,ElecAvoidedCostsWOCC!$A$5:$Q$50,T32+1,FALSE)</f>
        <v>1.9675158436529916</v>
      </c>
      <c r="AI32" s="43">
        <f t="shared" si="32"/>
        <v>0</v>
      </c>
      <c r="AJ32" s="43">
        <f t="shared" si="33"/>
        <v>224690.30934517164</v>
      </c>
      <c r="AK32" s="43">
        <f>HLOOKUP(I32,ElecAvoidedCostsWOCC!$A$5:$Q$50,G32+1,FALSE)*J32*L32</f>
        <v>0</v>
      </c>
      <c r="AL32" s="43">
        <f t="shared" si="34"/>
        <v>224690.30934517164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224690.30934517164</v>
      </c>
      <c r="AN32" s="47">
        <f t="shared" si="35"/>
        <v>341171.40908407891</v>
      </c>
      <c r="AO32" s="46">
        <f t="shared" si="36"/>
        <v>2.7441297795817925</v>
      </c>
      <c r="AP32" s="46">
        <f t="shared" si="37"/>
        <v>1.4628422546102493</v>
      </c>
    </row>
    <row r="33" spans="2:42" x14ac:dyDescent="0.25">
      <c r="B33" s="88" t="s">
        <v>15</v>
      </c>
      <c r="C33" s="91">
        <v>18230628</v>
      </c>
      <c r="D33" s="91" t="s">
        <v>77</v>
      </c>
      <c r="E33" s="37" t="s">
        <v>1498</v>
      </c>
      <c r="F33" s="38" t="s">
        <v>1499</v>
      </c>
      <c r="G33" s="38">
        <v>15</v>
      </c>
      <c r="H33" s="38">
        <v>0</v>
      </c>
      <c r="I33" s="39" t="s">
        <v>272</v>
      </c>
      <c r="J33" s="40">
        <v>20</v>
      </c>
      <c r="K33" s="40">
        <v>2065</v>
      </c>
      <c r="L33" s="40">
        <v>0</v>
      </c>
      <c r="M33" s="41">
        <v>3900</v>
      </c>
      <c r="N33" s="41">
        <v>3906.22</v>
      </c>
      <c r="O33" s="42">
        <v>41300</v>
      </c>
      <c r="P33" s="43">
        <v>78000</v>
      </c>
      <c r="Q33" s="43">
        <v>78124.399999999994</v>
      </c>
      <c r="R33" s="44">
        <v>41.613</v>
      </c>
      <c r="S33" s="45"/>
      <c r="T33" s="38">
        <f t="shared" si="19"/>
        <v>15</v>
      </c>
      <c r="U33" s="46">
        <f t="shared" si="20"/>
        <v>3.598549835789179E-2</v>
      </c>
      <c r="V33" s="47">
        <f t="shared" si="21"/>
        <v>6.2199999999997999</v>
      </c>
      <c r="W33" s="48">
        <f t="shared" si="22"/>
        <v>2.3990332238594527E-3</v>
      </c>
      <c r="X33" s="43">
        <f t="shared" si="23"/>
        <v>2562.0168237954354</v>
      </c>
      <c r="Y33" s="43">
        <f t="shared" si="24"/>
        <v>124.39999999999418</v>
      </c>
      <c r="Z33" s="43">
        <f t="shared" si="25"/>
        <v>31625.31760848773</v>
      </c>
      <c r="AA33" s="49">
        <f t="shared" si="26"/>
        <v>80686.416823795429</v>
      </c>
      <c r="AB33" s="50">
        <f t="shared" si="27"/>
        <v>29611.720607198247</v>
      </c>
      <c r="AC33" s="43">
        <f t="shared" si="28"/>
        <v>75549.079423029427</v>
      </c>
      <c r="AD33" s="43">
        <f t="shared" si="29"/>
        <v>7676.8441246288503</v>
      </c>
      <c r="AE33" s="43">
        <f t="shared" si="30"/>
        <v>0</v>
      </c>
      <c r="AF33" s="51">
        <f>HLOOKUP(I33,ElecAvoidedCostsWOCC!$A$5:$Q$50,G33+1,FALSE)</f>
        <v>1.7654180640246628</v>
      </c>
      <c r="AG33" s="43">
        <f t="shared" si="31"/>
        <v>72911.766044218573</v>
      </c>
      <c r="AH33" s="51">
        <f>HLOOKUP(I33,ElecAvoidedCostsWOCC!$A$5:$Q$50,T33+1,FALSE)</f>
        <v>1.7654180640246628</v>
      </c>
      <c r="AI33" s="43">
        <f t="shared" si="32"/>
        <v>0</v>
      </c>
      <c r="AJ33" s="43">
        <f t="shared" si="33"/>
        <v>72911.766044218573</v>
      </c>
      <c r="AK33" s="43">
        <f>HLOOKUP(I33,ElecAvoidedCostsWOCC!$A$5:$Q$50,G33+1,FALSE)*J33*L33</f>
        <v>0</v>
      </c>
      <c r="AL33" s="43">
        <f t="shared" si="34"/>
        <v>72911.766044218573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72911.766044218573</v>
      </c>
      <c r="AN33" s="47">
        <f t="shared" si="35"/>
        <v>87879.786773269298</v>
      </c>
      <c r="AO33" s="46">
        <f t="shared" si="36"/>
        <v>2.4622603668121403</v>
      </c>
      <c r="AP33" s="46">
        <f t="shared" si="37"/>
        <v>1.1632145281505724</v>
      </c>
    </row>
    <row r="34" spans="2:42" x14ac:dyDescent="0.25">
      <c r="B34" s="36"/>
      <c r="C34" s="60"/>
      <c r="D34" s="60"/>
      <c r="E34" s="37" t="s">
        <v>1500</v>
      </c>
      <c r="F34" s="38" t="s">
        <v>1501</v>
      </c>
      <c r="G34" s="38">
        <v>15</v>
      </c>
      <c r="H34" s="38">
        <v>0</v>
      </c>
      <c r="I34" s="39" t="s">
        <v>272</v>
      </c>
      <c r="J34" s="40">
        <v>20</v>
      </c>
      <c r="K34" s="40">
        <v>2065</v>
      </c>
      <c r="L34" s="40">
        <v>0</v>
      </c>
      <c r="M34" s="41">
        <v>3900</v>
      </c>
      <c r="N34" s="41">
        <v>3906.22</v>
      </c>
      <c r="O34" s="42">
        <v>41300</v>
      </c>
      <c r="P34" s="43">
        <v>78000</v>
      </c>
      <c r="Q34" s="43">
        <v>78124.399999999994</v>
      </c>
      <c r="R34" s="44">
        <v>41.613</v>
      </c>
      <c r="S34" s="45"/>
      <c r="T34" s="38">
        <f t="shared" si="19"/>
        <v>15</v>
      </c>
      <c r="U34" s="46">
        <f t="shared" si="20"/>
        <v>3.598549835789179E-2</v>
      </c>
      <c r="V34" s="47">
        <f t="shared" si="21"/>
        <v>6.2199999999997999</v>
      </c>
      <c r="W34" s="48">
        <f t="shared" si="22"/>
        <v>2.3990332238594527E-3</v>
      </c>
      <c r="X34" s="43">
        <f t="shared" si="23"/>
        <v>2562.0168237954354</v>
      </c>
      <c r="Y34" s="43">
        <f t="shared" si="24"/>
        <v>124.39999999999418</v>
      </c>
      <c r="Z34" s="43">
        <f t="shared" si="25"/>
        <v>31625.31760848773</v>
      </c>
      <c r="AA34" s="49">
        <f t="shared" si="26"/>
        <v>80686.416823795429</v>
      </c>
      <c r="AB34" s="50">
        <f t="shared" si="27"/>
        <v>29611.720607198247</v>
      </c>
      <c r="AC34" s="43">
        <f t="shared" si="28"/>
        <v>75549.079423029427</v>
      </c>
      <c r="AD34" s="43">
        <f t="shared" si="29"/>
        <v>7676.8441246288503</v>
      </c>
      <c r="AE34" s="43">
        <f t="shared" si="30"/>
        <v>0</v>
      </c>
      <c r="AF34" s="51">
        <f>HLOOKUP(I34,ElecAvoidedCostsWOCC!$A$5:$Q$50,G34+1,FALSE)</f>
        <v>1.7654180640246628</v>
      </c>
      <c r="AG34" s="43">
        <f t="shared" si="31"/>
        <v>72911.766044218573</v>
      </c>
      <c r="AH34" s="51">
        <f>HLOOKUP(I34,ElecAvoidedCostsWOCC!$A$5:$Q$50,T34+1,FALSE)</f>
        <v>1.7654180640246628</v>
      </c>
      <c r="AI34" s="43">
        <f t="shared" si="32"/>
        <v>0</v>
      </c>
      <c r="AJ34" s="43">
        <f t="shared" si="33"/>
        <v>72911.766044218573</v>
      </c>
      <c r="AK34" s="43">
        <f>HLOOKUP(I34,ElecAvoidedCostsWOCC!$A$5:$Q$50,G34+1,FALSE)*J34*L34</f>
        <v>0</v>
      </c>
      <c r="AL34" s="43">
        <f t="shared" si="34"/>
        <v>72911.766044218573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72911.766044218573</v>
      </c>
      <c r="AN34" s="47">
        <f t="shared" si="35"/>
        <v>87879.786773269298</v>
      </c>
      <c r="AO34" s="46">
        <f t="shared" si="36"/>
        <v>2.4622603668121403</v>
      </c>
      <c r="AP34" s="46">
        <f t="shared" si="37"/>
        <v>1.1632145281505724</v>
      </c>
    </row>
    <row r="35" spans="2:42" x14ac:dyDescent="0.25">
      <c r="B35" s="36"/>
      <c r="C35" s="60"/>
      <c r="D35" s="60"/>
      <c r="E35" s="37" t="s">
        <v>1502</v>
      </c>
      <c r="F35" s="38" t="s">
        <v>1503</v>
      </c>
      <c r="G35" s="38">
        <v>10</v>
      </c>
      <c r="H35" s="38">
        <v>8</v>
      </c>
      <c r="I35" s="39" t="s">
        <v>272</v>
      </c>
      <c r="J35" s="40">
        <v>20</v>
      </c>
      <c r="K35" s="40">
        <v>4268</v>
      </c>
      <c r="L35" s="40">
        <v>3201</v>
      </c>
      <c r="M35" s="41">
        <v>8400</v>
      </c>
      <c r="N35" s="41">
        <v>5020.6000000000004</v>
      </c>
      <c r="O35" s="42">
        <v>85360</v>
      </c>
      <c r="P35" s="43">
        <v>168000</v>
      </c>
      <c r="Q35" s="43">
        <v>100412</v>
      </c>
      <c r="R35" s="44">
        <v>0</v>
      </c>
      <c r="S35" s="45"/>
      <c r="T35" s="38">
        <f t="shared" si="19"/>
        <v>18</v>
      </c>
      <c r="U35" s="46">
        <f t="shared" si="20"/>
        <v>8.925100648415428E-2</v>
      </c>
      <c r="V35" s="47">
        <f t="shared" si="21"/>
        <v>-3379.3999999999996</v>
      </c>
      <c r="W35" s="48">
        <f t="shared" si="22"/>
        <v>4.958389249119682E-3</v>
      </c>
      <c r="X35" s="43">
        <f t="shared" si="23"/>
        <v>5295.2483312149716</v>
      </c>
      <c r="Y35" s="43">
        <f t="shared" si="24"/>
        <v>-67588</v>
      </c>
      <c r="Z35" s="43">
        <f t="shared" si="25"/>
        <v>65364.094698801753</v>
      </c>
      <c r="AA35" s="49">
        <f t="shared" si="26"/>
        <v>105707.24833121497</v>
      </c>
      <c r="AB35" s="50">
        <f t="shared" si="27"/>
        <v>61202.33586030126</v>
      </c>
      <c r="AC35" s="43">
        <f t="shared" si="28"/>
        <v>98976.824280163826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1.3287628949071131</v>
      </c>
      <c r="AG35" s="43">
        <f t="shared" si="31"/>
        <v>113423.20070927117</v>
      </c>
      <c r="AH35" s="51">
        <f>HLOOKUP(I35,ElecAvoidedCostsWOCC!$A$5:$Q$50,T35+1,FALSE)</f>
        <v>1.9675158436529916</v>
      </c>
      <c r="AI35" s="43">
        <f t="shared" si="32"/>
        <v>125960.36431066452</v>
      </c>
      <c r="AJ35" s="43">
        <f t="shared" si="33"/>
        <v>239383.56501993569</v>
      </c>
      <c r="AK35" s="43">
        <f>HLOOKUP(I35,ElecAvoidedCostsWOCC!$A$5:$Q$50,G35+1,FALSE)*J35*L35</f>
        <v>85067.400531953375</v>
      </c>
      <c r="AL35" s="43">
        <f t="shared" si="34"/>
        <v>154316.16448798231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154316.16448798231</v>
      </c>
      <c r="AN35" s="47">
        <f t="shared" si="35"/>
        <v>169747.78093678056</v>
      </c>
      <c r="AO35" s="46">
        <f t="shared" si="36"/>
        <v>2.5214097193973131</v>
      </c>
      <c r="AP35" s="46">
        <f t="shared" si="37"/>
        <v>1.7150255342229657</v>
      </c>
    </row>
    <row r="36" spans="2:42" x14ac:dyDescent="0.25">
      <c r="B36" s="36"/>
      <c r="C36" s="60"/>
      <c r="D36" s="60"/>
      <c r="E36" s="37" t="s">
        <v>1504</v>
      </c>
      <c r="F36" s="38" t="s">
        <v>1505</v>
      </c>
      <c r="G36" s="38">
        <v>10</v>
      </c>
      <c r="H36" s="38">
        <v>8</v>
      </c>
      <c r="I36" s="39" t="s">
        <v>272</v>
      </c>
      <c r="J36" s="40">
        <v>20</v>
      </c>
      <c r="K36" s="40">
        <v>3988</v>
      </c>
      <c r="L36" s="40">
        <v>2991</v>
      </c>
      <c r="M36" s="41">
        <v>7750</v>
      </c>
      <c r="N36" s="41">
        <v>4556.01</v>
      </c>
      <c r="O36" s="42">
        <v>79760</v>
      </c>
      <c r="P36" s="43">
        <v>155000</v>
      </c>
      <c r="Q36" s="43">
        <v>91120.200000000012</v>
      </c>
      <c r="R36" s="44">
        <v>0</v>
      </c>
      <c r="S36" s="45"/>
      <c r="T36" s="38">
        <f t="shared" si="19"/>
        <v>18</v>
      </c>
      <c r="U36" s="46">
        <f t="shared" si="20"/>
        <v>8.3395738954734594E-2</v>
      </c>
      <c r="V36" s="47">
        <f t="shared" si="21"/>
        <v>-3193.99</v>
      </c>
      <c r="W36" s="48">
        <f t="shared" si="22"/>
        <v>4.6330966085963666E-3</v>
      </c>
      <c r="X36" s="43">
        <f t="shared" si="23"/>
        <v>4947.8562195138966</v>
      </c>
      <c r="Y36" s="43">
        <f t="shared" si="24"/>
        <v>-63879.799999999988</v>
      </c>
      <c r="Z36" s="43">
        <f t="shared" si="25"/>
        <v>61075.91604002376</v>
      </c>
      <c r="AA36" s="49">
        <f t="shared" si="26"/>
        <v>96068.056219513906</v>
      </c>
      <c r="AB36" s="50">
        <f t="shared" si="27"/>
        <v>57187.187303393031</v>
      </c>
      <c r="AC36" s="43">
        <f t="shared" si="28"/>
        <v>89951.363501417509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1.3287628949071131</v>
      </c>
      <c r="AG36" s="43">
        <f t="shared" si="31"/>
        <v>105982.12849779135</v>
      </c>
      <c r="AH36" s="51">
        <f>HLOOKUP(I36,ElecAvoidedCostsWOCC!$A$5:$Q$50,T36+1,FALSE)</f>
        <v>1.9675158436529916</v>
      </c>
      <c r="AI36" s="43">
        <f t="shared" si="32"/>
        <v>117696.79776732196</v>
      </c>
      <c r="AJ36" s="43">
        <f t="shared" si="33"/>
        <v>223678.92626511329</v>
      </c>
      <c r="AK36" s="43">
        <f>HLOOKUP(I36,ElecAvoidedCostsWOCC!$A$5:$Q$50,G36+1,FALSE)*J36*L36</f>
        <v>79486.596373343506</v>
      </c>
      <c r="AL36" s="43">
        <f t="shared" si="34"/>
        <v>144192.3298917698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144192.3298917698</v>
      </c>
      <c r="AN36" s="47">
        <f t="shared" si="35"/>
        <v>158611.56288094679</v>
      </c>
      <c r="AO36" s="46">
        <f t="shared" si="36"/>
        <v>2.5214097193973131</v>
      </c>
      <c r="AP36" s="46">
        <f t="shared" si="37"/>
        <v>1.7633035977097478</v>
      </c>
    </row>
    <row r="37" spans="2:42" x14ac:dyDescent="0.25">
      <c r="B37" s="36"/>
      <c r="C37" s="60"/>
      <c r="D37" s="60"/>
      <c r="E37" s="37" t="s">
        <v>1506</v>
      </c>
      <c r="F37" s="38" t="s">
        <v>1507</v>
      </c>
      <c r="G37" s="38">
        <v>6</v>
      </c>
      <c r="H37" s="38">
        <v>12</v>
      </c>
      <c r="I37" s="39" t="s">
        <v>272</v>
      </c>
      <c r="J37" s="40">
        <v>20</v>
      </c>
      <c r="K37" s="40">
        <v>4193</v>
      </c>
      <c r="L37" s="40">
        <v>2096</v>
      </c>
      <c r="M37" s="41">
        <v>6350</v>
      </c>
      <c r="N37" s="41">
        <v>6220.8</v>
      </c>
      <c r="O37" s="42">
        <v>83860</v>
      </c>
      <c r="P37" s="43">
        <v>127000</v>
      </c>
      <c r="Q37" s="43">
        <v>124416</v>
      </c>
      <c r="R37" s="44">
        <v>0</v>
      </c>
      <c r="S37" s="45"/>
      <c r="T37" s="38">
        <f t="shared" si="19"/>
        <v>18</v>
      </c>
      <c r="U37" s="46">
        <f t="shared" si="20"/>
        <v>8.7682631253059723E-2</v>
      </c>
      <c r="V37" s="47">
        <f t="shared" si="21"/>
        <v>-129.19999999999982</v>
      </c>
      <c r="W37" s="48">
        <f t="shared" si="22"/>
        <v>4.8712572918366516E-3</v>
      </c>
      <c r="X37" s="43">
        <f t="shared" si="23"/>
        <v>5202.1968727236126</v>
      </c>
      <c r="Y37" s="43">
        <f t="shared" si="24"/>
        <v>-2584</v>
      </c>
      <c r="Z37" s="43">
        <f t="shared" si="25"/>
        <v>64215.475415200504</v>
      </c>
      <c r="AA37" s="49">
        <f t="shared" si="26"/>
        <v>129618.19687272361</v>
      </c>
      <c r="AB37" s="50">
        <f t="shared" si="27"/>
        <v>60126.849639700842</v>
      </c>
      <c r="AC37" s="43">
        <f t="shared" si="28"/>
        <v>121365.35287708203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0.87520974434482102</v>
      </c>
      <c r="AG37" s="43">
        <f t="shared" si="31"/>
        <v>73395.089160756688</v>
      </c>
      <c r="AH37" s="51">
        <f>HLOOKUP(I37,ElecAvoidedCostsWOCC!$A$5:$Q$50,T37+1,FALSE)</f>
        <v>1.9675158436529916</v>
      </c>
      <c r="AI37" s="43">
        <f t="shared" si="32"/>
        <v>82478.264165933404</v>
      </c>
      <c r="AJ37" s="43">
        <f t="shared" si="33"/>
        <v>155873.35332669009</v>
      </c>
      <c r="AK37" s="43">
        <f>HLOOKUP(I37,ElecAvoidedCostsWOCC!$A$5:$Q$50,G37+1,FALSE)*J37*L37</f>
        <v>36688.792482934899</v>
      </c>
      <c r="AL37" s="43">
        <f t="shared" si="34"/>
        <v>119184.5608437552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119184.5608437552</v>
      </c>
      <c r="AN37" s="47">
        <f t="shared" si="35"/>
        <v>131103.01692813073</v>
      </c>
      <c r="AO37" s="46">
        <f t="shared" si="36"/>
        <v>1.982218618769267</v>
      </c>
      <c r="AP37" s="46">
        <f t="shared" si="37"/>
        <v>1.0802342993301468</v>
      </c>
    </row>
    <row r="38" spans="2:42" x14ac:dyDescent="0.25">
      <c r="B38" s="36"/>
      <c r="C38" s="60"/>
      <c r="D38" s="60"/>
      <c r="E38" s="37" t="s">
        <v>1508</v>
      </c>
      <c r="F38" s="38" t="s">
        <v>1509</v>
      </c>
      <c r="G38" s="38">
        <v>6</v>
      </c>
      <c r="H38" s="38">
        <v>12</v>
      </c>
      <c r="I38" s="39" t="s">
        <v>272</v>
      </c>
      <c r="J38" s="40">
        <v>20</v>
      </c>
      <c r="K38" s="40">
        <v>4566</v>
      </c>
      <c r="L38" s="40">
        <v>2283</v>
      </c>
      <c r="M38" s="41">
        <v>6850</v>
      </c>
      <c r="N38" s="41">
        <v>6886.89</v>
      </c>
      <c r="O38" s="42">
        <v>91320</v>
      </c>
      <c r="P38" s="43">
        <v>137000</v>
      </c>
      <c r="Q38" s="43">
        <v>137737.80000000002</v>
      </c>
      <c r="R38" s="44">
        <v>184.2304</v>
      </c>
      <c r="S38" s="45"/>
      <c r="T38" s="38">
        <f t="shared" si="19"/>
        <v>18</v>
      </c>
      <c r="U38" s="46">
        <f t="shared" si="20"/>
        <v>9.548268406903665E-2</v>
      </c>
      <c r="V38" s="47">
        <f t="shared" si="21"/>
        <v>36.890000000000327</v>
      </c>
      <c r="W38" s="48">
        <f t="shared" si="22"/>
        <v>5.3045935593909249E-3</v>
      </c>
      <c r="X38" s="43">
        <f t="shared" si="23"/>
        <v>5664.972792953974</v>
      </c>
      <c r="Y38" s="43">
        <f t="shared" si="24"/>
        <v>737.80000000001746</v>
      </c>
      <c r="Z38" s="43">
        <f t="shared" si="25"/>
        <v>69927.941985644051</v>
      </c>
      <c r="AA38" s="49">
        <f t="shared" si="26"/>
        <v>143402.772792954</v>
      </c>
      <c r="AB38" s="50">
        <f t="shared" si="27"/>
        <v>65475.601110153599</v>
      </c>
      <c r="AC38" s="43">
        <f t="shared" si="28"/>
        <v>134272.25916943257</v>
      </c>
      <c r="AD38" s="43">
        <f t="shared" si="29"/>
        <v>37604.827521756044</v>
      </c>
      <c r="AE38" s="43">
        <f t="shared" si="30"/>
        <v>0</v>
      </c>
      <c r="AF38" s="51">
        <f>HLOOKUP(I38,ElecAvoidedCostsWOCC!$A$5:$Q$50,G38+1,FALSE)</f>
        <v>0.87520974434482102</v>
      </c>
      <c r="AG38" s="43">
        <f t="shared" si="31"/>
        <v>79924.153853569063</v>
      </c>
      <c r="AH38" s="51">
        <f>HLOOKUP(I38,ElecAvoidedCostsWOCC!$A$5:$Q$50,T38+1,FALSE)</f>
        <v>1.9675158436529916</v>
      </c>
      <c r="AI38" s="43">
        <f t="shared" si="32"/>
        <v>89836.773421195598</v>
      </c>
      <c r="AJ38" s="43">
        <f t="shared" si="33"/>
        <v>169760.92727476466</v>
      </c>
      <c r="AK38" s="43">
        <f>HLOOKUP(I38,ElecAvoidedCostsWOCC!$A$5:$Q$50,G38+1,FALSE)*J38*L38</f>
        <v>39962.076926784532</v>
      </c>
      <c r="AL38" s="43">
        <f t="shared" si="34"/>
        <v>129798.85034798013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129798.85034798013</v>
      </c>
      <c r="AN38" s="47">
        <f t="shared" si="35"/>
        <v>180383.56290453422</v>
      </c>
      <c r="AO38" s="46">
        <f t="shared" si="36"/>
        <v>1.9824002857127132</v>
      </c>
      <c r="AP38" s="46">
        <f t="shared" si="37"/>
        <v>1.3434164586217003</v>
      </c>
    </row>
    <row r="39" spans="2:42" x14ac:dyDescent="0.25">
      <c r="B39" s="36"/>
      <c r="C39" s="60"/>
      <c r="D39" s="60"/>
      <c r="E39" s="37" t="s">
        <v>1510</v>
      </c>
      <c r="F39" s="38" t="s">
        <v>1511</v>
      </c>
      <c r="G39" s="38">
        <v>15</v>
      </c>
      <c r="H39" s="38">
        <v>0</v>
      </c>
      <c r="I39" s="39" t="s">
        <v>272</v>
      </c>
      <c r="J39" s="40">
        <v>20</v>
      </c>
      <c r="K39" s="40">
        <v>2918</v>
      </c>
      <c r="L39" s="40">
        <v>0</v>
      </c>
      <c r="M39" s="41">
        <v>5700</v>
      </c>
      <c r="N39" s="41">
        <v>4452.41</v>
      </c>
      <c r="O39" s="42">
        <v>58360</v>
      </c>
      <c r="P39" s="43">
        <v>114000</v>
      </c>
      <c r="Q39" s="43">
        <v>89048.2</v>
      </c>
      <c r="R39" s="44">
        <v>66</v>
      </c>
      <c r="S39" s="45"/>
      <c r="T39" s="38">
        <f t="shared" si="19"/>
        <v>15</v>
      </c>
      <c r="U39" s="46">
        <f t="shared" si="20"/>
        <v>5.0850210270376874E-2</v>
      </c>
      <c r="V39" s="47">
        <f t="shared" si="21"/>
        <v>-1247.5900000000001</v>
      </c>
      <c r="W39" s="48">
        <f t="shared" si="22"/>
        <v>3.390014018025125E-3</v>
      </c>
      <c r="X39" s="43">
        <f t="shared" si="23"/>
        <v>3620.3220783704992</v>
      </c>
      <c r="Y39" s="43">
        <f t="shared" si="24"/>
        <v>-24951.800000000003</v>
      </c>
      <c r="Z39" s="43">
        <f t="shared" si="25"/>
        <v>44688.947593979268</v>
      </c>
      <c r="AA39" s="49">
        <f t="shared" si="26"/>
        <v>92668.522078370501</v>
      </c>
      <c r="AB39" s="50">
        <f t="shared" si="27"/>
        <v>41843.583889493697</v>
      </c>
      <c r="AC39" s="43">
        <f t="shared" si="28"/>
        <v>86768.279099597843</v>
      </c>
      <c r="AD39" s="43">
        <f t="shared" si="29"/>
        <v>12175.803528356624</v>
      </c>
      <c r="AE39" s="43">
        <f t="shared" si="30"/>
        <v>0</v>
      </c>
      <c r="AF39" s="51">
        <f>HLOOKUP(I39,ElecAvoidedCostsWOCC!$A$5:$Q$50,G39+1,FALSE)</f>
        <v>1.7654180640246628</v>
      </c>
      <c r="AG39" s="43">
        <f t="shared" si="31"/>
        <v>103029.79821647932</v>
      </c>
      <c r="AH39" s="51">
        <f>HLOOKUP(I39,ElecAvoidedCostsWOCC!$A$5:$Q$50,T39+1,FALSE)</f>
        <v>1.7654180640246628</v>
      </c>
      <c r="AI39" s="43">
        <f t="shared" si="32"/>
        <v>0</v>
      </c>
      <c r="AJ39" s="43">
        <f t="shared" si="33"/>
        <v>103029.79821647932</v>
      </c>
      <c r="AK39" s="43">
        <f>HLOOKUP(I39,ElecAvoidedCostsWOCC!$A$5:$Q$50,G39+1,FALSE)*J39*L39</f>
        <v>0</v>
      </c>
      <c r="AL39" s="43">
        <f t="shared" si="34"/>
        <v>103029.79821647932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103029.79821647932</v>
      </c>
      <c r="AN39" s="47">
        <f t="shared" si="35"/>
        <v>125508.58156648389</v>
      </c>
      <c r="AO39" s="46">
        <f t="shared" si="36"/>
        <v>2.4622603668121403</v>
      </c>
      <c r="AP39" s="46">
        <f t="shared" si="37"/>
        <v>1.4464800139970231</v>
      </c>
    </row>
    <row r="40" spans="2:42" x14ac:dyDescent="0.25">
      <c r="B40" s="36"/>
      <c r="C40" s="60"/>
      <c r="D40" s="60"/>
      <c r="E40" s="37" t="s">
        <v>1512</v>
      </c>
      <c r="F40" s="38" t="s">
        <v>1513</v>
      </c>
      <c r="G40" s="38">
        <v>15</v>
      </c>
      <c r="H40" s="38">
        <v>0</v>
      </c>
      <c r="I40" s="39" t="s">
        <v>272</v>
      </c>
      <c r="J40" s="40">
        <v>20</v>
      </c>
      <c r="K40" s="40">
        <v>2550</v>
      </c>
      <c r="L40" s="40">
        <v>0</v>
      </c>
      <c r="M40" s="41">
        <v>4750</v>
      </c>
      <c r="N40" s="41">
        <v>4452.41</v>
      </c>
      <c r="O40" s="42">
        <v>51000</v>
      </c>
      <c r="P40" s="43">
        <v>95000</v>
      </c>
      <c r="Q40" s="43">
        <v>89048.2</v>
      </c>
      <c r="R40" s="44">
        <v>170</v>
      </c>
      <c r="S40" s="45"/>
      <c r="T40" s="38">
        <f t="shared" si="19"/>
        <v>15</v>
      </c>
      <c r="U40" s="46">
        <f t="shared" si="20"/>
        <v>4.4437298214345798E-2</v>
      </c>
      <c r="V40" s="47">
        <f t="shared" si="21"/>
        <v>-297.59000000000015</v>
      </c>
      <c r="W40" s="48">
        <f t="shared" si="22"/>
        <v>2.9624865476230531E-3</v>
      </c>
      <c r="X40" s="43">
        <f t="shared" si="23"/>
        <v>3163.7495887062278</v>
      </c>
      <c r="Y40" s="43">
        <f t="shared" si="24"/>
        <v>-5951.8000000000029</v>
      </c>
      <c r="Z40" s="43">
        <f t="shared" si="25"/>
        <v>39053.055642442472</v>
      </c>
      <c r="AA40" s="49">
        <f t="shared" si="26"/>
        <v>92211.949588706222</v>
      </c>
      <c r="AB40" s="50">
        <f t="shared" si="27"/>
        <v>36566.531500414298</v>
      </c>
      <c r="AC40" s="43">
        <f t="shared" si="28"/>
        <v>86340.776768451513</v>
      </c>
      <c r="AD40" s="43">
        <f t="shared" si="29"/>
        <v>31361.91817910039</v>
      </c>
      <c r="AE40" s="43">
        <f t="shared" si="30"/>
        <v>0</v>
      </c>
      <c r="AF40" s="51">
        <f>HLOOKUP(I40,ElecAvoidedCostsWOCC!$A$5:$Q$50,G40+1,FALSE)</f>
        <v>1.7654180640246628</v>
      </c>
      <c r="AG40" s="43">
        <f t="shared" si="31"/>
        <v>90036.321265257808</v>
      </c>
      <c r="AH40" s="51">
        <f>HLOOKUP(I40,ElecAvoidedCostsWOCC!$A$5:$Q$50,T40+1,FALSE)</f>
        <v>1.7654180640246628</v>
      </c>
      <c r="AI40" s="43">
        <f t="shared" si="32"/>
        <v>0</v>
      </c>
      <c r="AJ40" s="43">
        <f t="shared" si="33"/>
        <v>90036.321265257808</v>
      </c>
      <c r="AK40" s="43">
        <f>HLOOKUP(I40,ElecAvoidedCostsWOCC!$A$5:$Q$50,G40+1,FALSE)*J40*L40</f>
        <v>0</v>
      </c>
      <c r="AL40" s="43">
        <f t="shared" si="34"/>
        <v>90036.321265257808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90036.321265257808</v>
      </c>
      <c r="AN40" s="47">
        <f t="shared" si="35"/>
        <v>130401.87157088399</v>
      </c>
      <c r="AO40" s="46">
        <f t="shared" si="36"/>
        <v>2.4622603668121408</v>
      </c>
      <c r="AP40" s="46">
        <f t="shared" si="37"/>
        <v>1.5103161733255588</v>
      </c>
    </row>
    <row r="41" spans="2:42" x14ac:dyDescent="0.25">
      <c r="B41" s="36"/>
      <c r="C41" s="60"/>
      <c r="D41" s="60"/>
      <c r="E41" s="37" t="s">
        <v>1514</v>
      </c>
      <c r="F41" s="38" t="s">
        <v>587</v>
      </c>
      <c r="G41" s="38">
        <v>7</v>
      </c>
      <c r="H41" s="38">
        <v>0</v>
      </c>
      <c r="I41" s="39" t="s">
        <v>273</v>
      </c>
      <c r="J41" s="40">
        <v>200</v>
      </c>
      <c r="K41" s="40">
        <v>260</v>
      </c>
      <c r="L41" s="40">
        <v>0</v>
      </c>
      <c r="M41" s="41">
        <v>75</v>
      </c>
      <c r="N41" s="41">
        <v>165.03</v>
      </c>
      <c r="O41" s="42">
        <v>52000</v>
      </c>
      <c r="P41" s="43">
        <v>15000</v>
      </c>
      <c r="Q41" s="43">
        <v>33006</v>
      </c>
      <c r="R41" s="44">
        <v>11.28</v>
      </c>
      <c r="S41" s="45"/>
      <c r="T41" s="38">
        <f t="shared" si="19"/>
        <v>7</v>
      </c>
      <c r="U41" s="46">
        <f t="shared" si="20"/>
        <v>2.1144021634015516E-2</v>
      </c>
      <c r="V41" s="47">
        <f t="shared" si="21"/>
        <v>90.03</v>
      </c>
      <c r="W41" s="48">
        <f t="shared" si="22"/>
        <v>3.0205745191450735E-3</v>
      </c>
      <c r="X41" s="43">
        <f t="shared" si="23"/>
        <v>3225.7838943671341</v>
      </c>
      <c r="Y41" s="43">
        <f t="shared" si="24"/>
        <v>18006</v>
      </c>
      <c r="Z41" s="43">
        <f t="shared" si="25"/>
        <v>39818.801831509976</v>
      </c>
      <c r="AA41" s="49">
        <f t="shared" si="26"/>
        <v>36231.783894367138</v>
      </c>
      <c r="AB41" s="50">
        <f t="shared" si="27"/>
        <v>37283.522314147915</v>
      </c>
      <c r="AC41" s="43">
        <f t="shared" si="28"/>
        <v>33924.891286860613</v>
      </c>
      <c r="AD41" s="43">
        <f t="shared" si="29"/>
        <v>12243.473465194649</v>
      </c>
      <c r="AE41" s="43">
        <f t="shared" si="30"/>
        <v>0</v>
      </c>
      <c r="AF41" s="51">
        <f>HLOOKUP(I41,ElecAvoidedCostsWOCC!$A$5:$Q$50,G41+1,FALSE)</f>
        <v>0.98146455242736486</v>
      </c>
      <c r="AG41" s="43">
        <f t="shared" si="31"/>
        <v>51036.156726222973</v>
      </c>
      <c r="AH41" s="51">
        <f>HLOOKUP(I41,ElecAvoidedCostsWOCC!$A$5:$Q$50,T41+1,FALSE)</f>
        <v>0.98146455242736486</v>
      </c>
      <c r="AI41" s="43">
        <f t="shared" si="32"/>
        <v>0</v>
      </c>
      <c r="AJ41" s="43">
        <f t="shared" si="33"/>
        <v>51036.156726222973</v>
      </c>
      <c r="AK41" s="43">
        <f>HLOOKUP(I41,ElecAvoidedCostsWOCC!$A$5:$Q$50,G41+1,FALSE)*J41*L41</f>
        <v>0</v>
      </c>
      <c r="AL41" s="43">
        <f t="shared" si="34"/>
        <v>51036.156726222973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51036.156726222973</v>
      </c>
      <c r="AN41" s="47">
        <f t="shared" si="35"/>
        <v>68383.245864039927</v>
      </c>
      <c r="AO41" s="46">
        <f t="shared" si="36"/>
        <v>1.3688662861892844</v>
      </c>
      <c r="AP41" s="46">
        <f t="shared" si="37"/>
        <v>2.0157248341876137</v>
      </c>
    </row>
    <row r="42" spans="2:42" x14ac:dyDescent="0.25">
      <c r="B42" s="36"/>
      <c r="C42" s="60"/>
      <c r="D42" s="60"/>
      <c r="E42" s="37" t="s">
        <v>1515</v>
      </c>
      <c r="F42" s="38" t="s">
        <v>588</v>
      </c>
      <c r="G42" s="38">
        <v>7</v>
      </c>
      <c r="H42" s="38">
        <v>0</v>
      </c>
      <c r="I42" s="39" t="s">
        <v>273</v>
      </c>
      <c r="J42" s="40">
        <v>40</v>
      </c>
      <c r="K42" s="40">
        <v>260</v>
      </c>
      <c r="L42" s="40">
        <v>0</v>
      </c>
      <c r="M42" s="41">
        <v>175</v>
      </c>
      <c r="N42" s="41">
        <v>165.03</v>
      </c>
      <c r="O42" s="42">
        <v>10400</v>
      </c>
      <c r="P42" s="43">
        <v>7000</v>
      </c>
      <c r="Q42" s="43">
        <v>6601.2</v>
      </c>
      <c r="R42" s="44">
        <v>11.28</v>
      </c>
      <c r="S42" s="45"/>
      <c r="T42" s="38">
        <f t="shared" si="19"/>
        <v>7</v>
      </c>
      <c r="U42" s="46">
        <f t="shared" si="20"/>
        <v>4.2288043268031029E-3</v>
      </c>
      <c r="V42" s="47">
        <f t="shared" si="21"/>
        <v>-9.9699999999999989</v>
      </c>
      <c r="W42" s="48">
        <f t="shared" si="22"/>
        <v>6.0411490382901467E-4</v>
      </c>
      <c r="X42" s="43">
        <f t="shared" si="23"/>
        <v>645.15677887342679</v>
      </c>
      <c r="Y42" s="43">
        <f t="shared" si="24"/>
        <v>-398.80000000000018</v>
      </c>
      <c r="Z42" s="43">
        <f t="shared" si="25"/>
        <v>7963.7603663019936</v>
      </c>
      <c r="AA42" s="49">
        <f t="shared" si="26"/>
        <v>7246.3567788734263</v>
      </c>
      <c r="AB42" s="50">
        <f t="shared" si="27"/>
        <v>7456.7044628295816</v>
      </c>
      <c r="AC42" s="43">
        <f t="shared" si="28"/>
        <v>6784.9782573721213</v>
      </c>
      <c r="AD42" s="43">
        <f t="shared" si="29"/>
        <v>2448.6946930389299</v>
      </c>
      <c r="AE42" s="43">
        <f t="shared" si="30"/>
        <v>0</v>
      </c>
      <c r="AF42" s="51">
        <f>HLOOKUP(I42,ElecAvoidedCostsWOCC!$A$5:$Q$50,G42+1,FALSE)</f>
        <v>0.98146455242736486</v>
      </c>
      <c r="AG42" s="43">
        <f t="shared" si="31"/>
        <v>10207.231345244594</v>
      </c>
      <c r="AH42" s="51">
        <f>HLOOKUP(I42,ElecAvoidedCostsWOCC!$A$5:$Q$50,T42+1,FALSE)</f>
        <v>0.98146455242736486</v>
      </c>
      <c r="AI42" s="43">
        <f t="shared" si="32"/>
        <v>0</v>
      </c>
      <c r="AJ42" s="43">
        <f t="shared" si="33"/>
        <v>10207.231345244594</v>
      </c>
      <c r="AK42" s="43">
        <f>HLOOKUP(I42,ElecAvoidedCostsWOCC!$A$5:$Q$50,G42+1,FALSE)*J42*L42</f>
        <v>0</v>
      </c>
      <c r="AL42" s="43">
        <f t="shared" si="34"/>
        <v>10207.231345244594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10207.231345244594</v>
      </c>
      <c r="AN42" s="47">
        <f t="shared" si="35"/>
        <v>13676.649172807984</v>
      </c>
      <c r="AO42" s="46">
        <f t="shared" si="36"/>
        <v>1.3688662861892846</v>
      </c>
      <c r="AP42" s="46">
        <f t="shared" si="37"/>
        <v>2.0157248341876137</v>
      </c>
    </row>
    <row r="43" spans="2:42" x14ac:dyDescent="0.25">
      <c r="B43" s="36"/>
      <c r="C43" s="60"/>
      <c r="D43" s="60"/>
      <c r="E43" s="37" t="s">
        <v>1516</v>
      </c>
      <c r="F43" s="38" t="s">
        <v>1517</v>
      </c>
      <c r="G43" s="38">
        <v>7</v>
      </c>
      <c r="H43" s="38">
        <v>0</v>
      </c>
      <c r="I43" s="39" t="s">
        <v>273</v>
      </c>
      <c r="J43" s="40">
        <v>20</v>
      </c>
      <c r="K43" s="40">
        <v>260</v>
      </c>
      <c r="L43" s="40">
        <v>0</v>
      </c>
      <c r="M43" s="41">
        <v>100</v>
      </c>
      <c r="N43" s="41">
        <v>165.03</v>
      </c>
      <c r="O43" s="42">
        <v>5200</v>
      </c>
      <c r="P43" s="43">
        <v>2000</v>
      </c>
      <c r="Q43" s="43">
        <v>3300.6</v>
      </c>
      <c r="R43" s="44">
        <v>11.28</v>
      </c>
      <c r="S43" s="45"/>
      <c r="T43" s="38">
        <f t="shared" si="19"/>
        <v>7</v>
      </c>
      <c r="U43" s="46">
        <f t="shared" si="20"/>
        <v>2.1144021634015514E-3</v>
      </c>
      <c r="V43" s="47">
        <f t="shared" si="21"/>
        <v>65.03</v>
      </c>
      <c r="W43" s="48">
        <f t="shared" si="22"/>
        <v>3.0205745191450733E-4</v>
      </c>
      <c r="X43" s="43">
        <f t="shared" si="23"/>
        <v>322.57838943671339</v>
      </c>
      <c r="Y43" s="43">
        <f t="shared" si="24"/>
        <v>1300.5999999999999</v>
      </c>
      <c r="Z43" s="43">
        <f t="shared" si="25"/>
        <v>3981.8801831509968</v>
      </c>
      <c r="AA43" s="49">
        <f t="shared" si="26"/>
        <v>3623.1783894367131</v>
      </c>
      <c r="AB43" s="50">
        <f t="shared" si="27"/>
        <v>3728.3522314147908</v>
      </c>
      <c r="AC43" s="43">
        <f t="shared" si="28"/>
        <v>3392.4891286860607</v>
      </c>
      <c r="AD43" s="43">
        <f t="shared" si="29"/>
        <v>1224.347346519465</v>
      </c>
      <c r="AE43" s="43">
        <f t="shared" si="30"/>
        <v>0</v>
      </c>
      <c r="AF43" s="51">
        <f>HLOOKUP(I43,ElecAvoidedCostsWOCC!$A$5:$Q$50,G43+1,FALSE)</f>
        <v>0.98146455242736486</v>
      </c>
      <c r="AG43" s="43">
        <f t="shared" si="31"/>
        <v>5103.6156726222971</v>
      </c>
      <c r="AH43" s="51">
        <f>HLOOKUP(I43,ElecAvoidedCostsWOCC!$A$5:$Q$50,T43+1,FALSE)</f>
        <v>0.98146455242736486</v>
      </c>
      <c r="AI43" s="43">
        <f t="shared" si="32"/>
        <v>0</v>
      </c>
      <c r="AJ43" s="43">
        <f t="shared" si="33"/>
        <v>5103.6156726222971</v>
      </c>
      <c r="AK43" s="43">
        <f>HLOOKUP(I43,ElecAvoidedCostsWOCC!$A$5:$Q$50,G43+1,FALSE)*J43*L43</f>
        <v>0</v>
      </c>
      <c r="AL43" s="43">
        <f t="shared" si="34"/>
        <v>5103.6156726222971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5103.6156726222971</v>
      </c>
      <c r="AN43" s="47">
        <f t="shared" si="35"/>
        <v>6838.3245864039918</v>
      </c>
      <c r="AO43" s="46">
        <f t="shared" si="36"/>
        <v>1.3688662861892846</v>
      </c>
      <c r="AP43" s="46">
        <f t="shared" si="37"/>
        <v>2.0157248341876137</v>
      </c>
    </row>
    <row r="44" spans="2:42" x14ac:dyDescent="0.25">
      <c r="B44" s="36"/>
      <c r="C44" s="60"/>
      <c r="D44" s="60"/>
      <c r="E44" s="37" t="s">
        <v>1518</v>
      </c>
      <c r="F44" s="38" t="s">
        <v>1519</v>
      </c>
      <c r="G44" s="38">
        <v>7</v>
      </c>
      <c r="H44" s="38">
        <v>0</v>
      </c>
      <c r="I44" s="39" t="s">
        <v>273</v>
      </c>
      <c r="J44" s="40">
        <v>41</v>
      </c>
      <c r="K44" s="40">
        <v>260</v>
      </c>
      <c r="L44" s="40">
        <v>0</v>
      </c>
      <c r="M44" s="41">
        <v>150</v>
      </c>
      <c r="N44" s="41">
        <v>165.03</v>
      </c>
      <c r="O44" s="42">
        <v>10660</v>
      </c>
      <c r="P44" s="43">
        <v>6150</v>
      </c>
      <c r="Q44" s="43">
        <v>6766.2300000000005</v>
      </c>
      <c r="R44" s="44">
        <v>11.28</v>
      </c>
      <c r="S44" s="45"/>
      <c r="T44" s="38">
        <f t="shared" si="19"/>
        <v>7</v>
      </c>
      <c r="U44" s="46">
        <f t="shared" si="20"/>
        <v>4.3345244349731801E-3</v>
      </c>
      <c r="V44" s="47">
        <f t="shared" si="21"/>
        <v>15.030000000000001</v>
      </c>
      <c r="W44" s="48">
        <f t="shared" si="22"/>
        <v>6.1921777642474007E-4</v>
      </c>
      <c r="X44" s="43">
        <f t="shared" si="23"/>
        <v>661.2856983452624</v>
      </c>
      <c r="Y44" s="43">
        <f t="shared" si="24"/>
        <v>616.23000000000047</v>
      </c>
      <c r="Z44" s="43">
        <f t="shared" si="25"/>
        <v>8162.8543754595439</v>
      </c>
      <c r="AA44" s="49">
        <f t="shared" si="26"/>
        <v>7427.5156983452625</v>
      </c>
      <c r="AB44" s="50">
        <f t="shared" si="27"/>
        <v>7643.1220744003213</v>
      </c>
      <c r="AC44" s="43">
        <f t="shared" si="28"/>
        <v>6954.6027138064255</v>
      </c>
      <c r="AD44" s="43">
        <f t="shared" si="29"/>
        <v>2509.912060364903</v>
      </c>
      <c r="AE44" s="43">
        <f t="shared" si="30"/>
        <v>0</v>
      </c>
      <c r="AF44" s="51">
        <f>HLOOKUP(I44,ElecAvoidedCostsWOCC!$A$5:$Q$50,G44+1,FALSE)</f>
        <v>0.98146455242736486</v>
      </c>
      <c r="AG44" s="43">
        <f t="shared" si="31"/>
        <v>10462.412128875709</v>
      </c>
      <c r="AH44" s="51">
        <f>HLOOKUP(I44,ElecAvoidedCostsWOCC!$A$5:$Q$50,T44+1,FALSE)</f>
        <v>0.98146455242736486</v>
      </c>
      <c r="AI44" s="43">
        <f t="shared" si="32"/>
        <v>0</v>
      </c>
      <c r="AJ44" s="43">
        <f t="shared" si="33"/>
        <v>10462.412128875709</v>
      </c>
      <c r="AK44" s="43">
        <f>HLOOKUP(I44,ElecAvoidedCostsWOCC!$A$5:$Q$50,G44+1,FALSE)*J44*L44</f>
        <v>0</v>
      </c>
      <c r="AL44" s="43">
        <f t="shared" si="34"/>
        <v>10462.412128875709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10462.412128875709</v>
      </c>
      <c r="AN44" s="47">
        <f t="shared" si="35"/>
        <v>14018.565402128183</v>
      </c>
      <c r="AO44" s="46">
        <f t="shared" si="36"/>
        <v>1.3688662861892846</v>
      </c>
      <c r="AP44" s="46">
        <f t="shared" si="37"/>
        <v>2.0157248341876133</v>
      </c>
    </row>
    <row r="45" spans="2:42" x14ac:dyDescent="0.25">
      <c r="B45" s="36"/>
      <c r="C45" s="60"/>
      <c r="D45" s="60"/>
      <c r="E45" s="37" t="s">
        <v>1520</v>
      </c>
      <c r="F45" s="38" t="s">
        <v>591</v>
      </c>
      <c r="G45" s="38">
        <v>15</v>
      </c>
      <c r="H45" s="38">
        <v>0</v>
      </c>
      <c r="I45" s="39" t="s">
        <v>273</v>
      </c>
      <c r="J45" s="40">
        <v>12</v>
      </c>
      <c r="K45" s="40">
        <v>58</v>
      </c>
      <c r="L45" s="40">
        <v>0</v>
      </c>
      <c r="M45" s="41">
        <v>75</v>
      </c>
      <c r="N45" s="41">
        <v>91.85</v>
      </c>
      <c r="O45" s="42">
        <v>696</v>
      </c>
      <c r="P45" s="43">
        <v>900</v>
      </c>
      <c r="Q45" s="43">
        <v>1102.1999999999998</v>
      </c>
      <c r="R45" s="44">
        <v>2.0093999999999999</v>
      </c>
      <c r="S45" s="45"/>
      <c r="T45" s="38">
        <f t="shared" si="19"/>
        <v>15</v>
      </c>
      <c r="U45" s="46">
        <f t="shared" si="20"/>
        <v>6.0643842268989551E-4</v>
      </c>
      <c r="V45" s="47">
        <f t="shared" si="21"/>
        <v>16.849999999999994</v>
      </c>
      <c r="W45" s="48">
        <f t="shared" si="22"/>
        <v>4.0429228179326367E-5</v>
      </c>
      <c r="X45" s="43">
        <f t="shared" si="23"/>
        <v>43.175876739990869</v>
      </c>
      <c r="Y45" s="43">
        <f t="shared" si="24"/>
        <v>202.19999999999982</v>
      </c>
      <c r="Z45" s="43">
        <f t="shared" si="25"/>
        <v>532.95934759097963</v>
      </c>
      <c r="AA45" s="49">
        <f t="shared" si="26"/>
        <v>1145.3758767399906</v>
      </c>
      <c r="AB45" s="50">
        <f t="shared" si="27"/>
        <v>499.02560635859516</v>
      </c>
      <c r="AC45" s="43">
        <f t="shared" si="28"/>
        <v>1072.4493227902533</v>
      </c>
      <c r="AD45" s="43">
        <f t="shared" si="29"/>
        <v>222.41872372617996</v>
      </c>
      <c r="AE45" s="43">
        <f t="shared" si="30"/>
        <v>0</v>
      </c>
      <c r="AF45" s="51">
        <f>HLOOKUP(I45,ElecAvoidedCostsWOCC!$A$5:$Q$50,G45+1,FALSE)</f>
        <v>1.7462566560958237</v>
      </c>
      <c r="AG45" s="43">
        <f t="shared" si="31"/>
        <v>1215.3946326426933</v>
      </c>
      <c r="AH45" s="51">
        <f>HLOOKUP(I45,ElecAvoidedCostsWOCC!$A$5:$Q$50,T45+1,FALSE)</f>
        <v>1.7462566560958237</v>
      </c>
      <c r="AI45" s="43">
        <f t="shared" si="32"/>
        <v>0</v>
      </c>
      <c r="AJ45" s="43">
        <f t="shared" si="33"/>
        <v>1215.3946326426933</v>
      </c>
      <c r="AK45" s="43">
        <f>HLOOKUP(I45,ElecAvoidedCostsWOCC!$A$5:$Q$50,G45+1,FALSE)*J45*L45</f>
        <v>0</v>
      </c>
      <c r="AL45" s="43">
        <f t="shared" si="34"/>
        <v>1215.3946326426933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1215.3946326426933</v>
      </c>
      <c r="AN45" s="47">
        <f t="shared" si="35"/>
        <v>1559.3528196331426</v>
      </c>
      <c r="AO45" s="46">
        <f t="shared" si="36"/>
        <v>2.4355356061013871</v>
      </c>
      <c r="AP45" s="46">
        <f t="shared" si="37"/>
        <v>1.454010727123296</v>
      </c>
    </row>
    <row r="46" spans="2:42" x14ac:dyDescent="0.25">
      <c r="B46" s="36"/>
      <c r="C46" s="60"/>
      <c r="D46" s="60"/>
      <c r="E46" s="37" t="s">
        <v>1521</v>
      </c>
      <c r="F46" s="38" t="s">
        <v>1522</v>
      </c>
      <c r="G46" s="38">
        <v>15</v>
      </c>
      <c r="H46" s="38">
        <v>0</v>
      </c>
      <c r="I46" s="39" t="s">
        <v>273</v>
      </c>
      <c r="J46" s="40">
        <v>11</v>
      </c>
      <c r="K46" s="40">
        <v>58</v>
      </c>
      <c r="L46" s="40">
        <v>0</v>
      </c>
      <c r="M46" s="41">
        <v>130</v>
      </c>
      <c r="N46" s="41">
        <v>91.85</v>
      </c>
      <c r="O46" s="42">
        <v>638</v>
      </c>
      <c r="P46" s="43">
        <v>1430</v>
      </c>
      <c r="Q46" s="43">
        <v>1010.3499999999999</v>
      </c>
      <c r="R46" s="44">
        <v>2.0093999999999999</v>
      </c>
      <c r="S46" s="45"/>
      <c r="T46" s="38">
        <f t="shared" si="19"/>
        <v>15</v>
      </c>
      <c r="U46" s="46">
        <f t="shared" si="20"/>
        <v>5.5590188746573765E-4</v>
      </c>
      <c r="V46" s="47">
        <f t="shared" si="21"/>
        <v>-38.150000000000006</v>
      </c>
      <c r="W46" s="48">
        <f t="shared" si="22"/>
        <v>3.7060125831049174E-5</v>
      </c>
      <c r="X46" s="43">
        <f t="shared" si="23"/>
        <v>39.577887011658298</v>
      </c>
      <c r="Y46" s="43">
        <f t="shared" si="24"/>
        <v>-419.65000000000009</v>
      </c>
      <c r="Z46" s="43">
        <f t="shared" si="25"/>
        <v>488.54606862506466</v>
      </c>
      <c r="AA46" s="49">
        <f t="shared" si="26"/>
        <v>1049.9278870116582</v>
      </c>
      <c r="AB46" s="50">
        <f t="shared" si="27"/>
        <v>457.44013916204551</v>
      </c>
      <c r="AC46" s="43">
        <f t="shared" si="28"/>
        <v>983.07854589106569</v>
      </c>
      <c r="AD46" s="43">
        <f t="shared" si="29"/>
        <v>203.88383008233166</v>
      </c>
      <c r="AE46" s="43">
        <f t="shared" si="30"/>
        <v>0</v>
      </c>
      <c r="AF46" s="51">
        <f>HLOOKUP(I46,ElecAvoidedCostsWOCC!$A$5:$Q$50,G46+1,FALSE)</f>
        <v>1.7462566560958237</v>
      </c>
      <c r="AG46" s="43">
        <f t="shared" si="31"/>
        <v>1114.1117465891355</v>
      </c>
      <c r="AH46" s="51">
        <f>HLOOKUP(I46,ElecAvoidedCostsWOCC!$A$5:$Q$50,T46+1,FALSE)</f>
        <v>1.7462566560958237</v>
      </c>
      <c r="AI46" s="43">
        <f t="shared" si="32"/>
        <v>0</v>
      </c>
      <c r="AJ46" s="43">
        <f t="shared" si="33"/>
        <v>1114.1117465891355</v>
      </c>
      <c r="AK46" s="43">
        <f>HLOOKUP(I46,ElecAvoidedCostsWOCC!$A$5:$Q$50,G46+1,FALSE)*J46*L46</f>
        <v>0</v>
      </c>
      <c r="AL46" s="43">
        <f t="shared" si="34"/>
        <v>1114.1117465891355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1114.1117465891355</v>
      </c>
      <c r="AN46" s="47">
        <f t="shared" si="35"/>
        <v>1429.4067513303808</v>
      </c>
      <c r="AO46" s="46">
        <f t="shared" si="36"/>
        <v>2.4355356061013871</v>
      </c>
      <c r="AP46" s="46">
        <f t="shared" si="37"/>
        <v>1.4540107271232958</v>
      </c>
    </row>
    <row r="47" spans="2:42" x14ac:dyDescent="0.25">
      <c r="B47" s="36"/>
      <c r="C47" s="60"/>
      <c r="D47" s="60"/>
      <c r="E47" s="37" t="s">
        <v>1523</v>
      </c>
      <c r="F47" s="38" t="s">
        <v>1524</v>
      </c>
      <c r="G47" s="38">
        <v>15</v>
      </c>
      <c r="H47" s="38">
        <v>0</v>
      </c>
      <c r="I47" s="39" t="s">
        <v>273</v>
      </c>
      <c r="J47" s="40">
        <v>11</v>
      </c>
      <c r="K47" s="40">
        <v>58</v>
      </c>
      <c r="L47" s="40">
        <v>0</v>
      </c>
      <c r="M47" s="41">
        <v>100</v>
      </c>
      <c r="N47" s="41">
        <v>91.85</v>
      </c>
      <c r="O47" s="42">
        <v>638</v>
      </c>
      <c r="P47" s="43">
        <v>1100</v>
      </c>
      <c r="Q47" s="43">
        <v>1010.3499999999999</v>
      </c>
      <c r="R47" s="44">
        <v>2.0093999999999999</v>
      </c>
      <c r="S47" s="45"/>
      <c r="T47" s="38">
        <f t="shared" si="19"/>
        <v>15</v>
      </c>
      <c r="U47" s="46">
        <f t="shared" si="20"/>
        <v>5.5590188746573765E-4</v>
      </c>
      <c r="V47" s="47">
        <f t="shared" si="21"/>
        <v>-8.1500000000000057</v>
      </c>
      <c r="W47" s="48">
        <f t="shared" si="22"/>
        <v>3.7060125831049174E-5</v>
      </c>
      <c r="X47" s="43">
        <f t="shared" si="23"/>
        <v>39.577887011658298</v>
      </c>
      <c r="Y47" s="43">
        <f t="shared" si="24"/>
        <v>-89.650000000000091</v>
      </c>
      <c r="Z47" s="43">
        <f t="shared" si="25"/>
        <v>488.54606862506466</v>
      </c>
      <c r="AA47" s="49">
        <f t="shared" si="26"/>
        <v>1049.9278870116582</v>
      </c>
      <c r="AB47" s="50">
        <f t="shared" si="27"/>
        <v>457.44013916204551</v>
      </c>
      <c r="AC47" s="43">
        <f t="shared" si="28"/>
        <v>983.07854589106569</v>
      </c>
      <c r="AD47" s="43">
        <f t="shared" si="29"/>
        <v>203.88383008233166</v>
      </c>
      <c r="AE47" s="43">
        <f t="shared" si="30"/>
        <v>0</v>
      </c>
      <c r="AF47" s="51">
        <f>HLOOKUP(I47,ElecAvoidedCostsWOCC!$A$5:$Q$50,G47+1,FALSE)</f>
        <v>1.7462566560958237</v>
      </c>
      <c r="AG47" s="43">
        <f t="shared" si="31"/>
        <v>1114.1117465891355</v>
      </c>
      <c r="AH47" s="51">
        <f>HLOOKUP(I47,ElecAvoidedCostsWOCC!$A$5:$Q$50,T47+1,FALSE)</f>
        <v>1.7462566560958237</v>
      </c>
      <c r="AI47" s="43">
        <f t="shared" si="32"/>
        <v>0</v>
      </c>
      <c r="AJ47" s="43">
        <f t="shared" si="33"/>
        <v>1114.1117465891355</v>
      </c>
      <c r="AK47" s="43">
        <f>HLOOKUP(I47,ElecAvoidedCostsWOCC!$A$5:$Q$50,G47+1,FALSE)*J47*L47</f>
        <v>0</v>
      </c>
      <c r="AL47" s="43">
        <f t="shared" si="34"/>
        <v>1114.1117465891355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1114.1117465891355</v>
      </c>
      <c r="AN47" s="47">
        <f t="shared" si="35"/>
        <v>1429.4067513303808</v>
      </c>
      <c r="AO47" s="46">
        <f t="shared" si="36"/>
        <v>2.4355356061013871</v>
      </c>
      <c r="AP47" s="46">
        <f t="shared" si="37"/>
        <v>1.4540107271232958</v>
      </c>
    </row>
    <row r="48" spans="2:42" x14ac:dyDescent="0.25">
      <c r="B48" s="36"/>
      <c r="C48" s="60"/>
      <c r="D48" s="60"/>
      <c r="E48" s="37" t="s">
        <v>1525</v>
      </c>
      <c r="F48" s="38" t="s">
        <v>1526</v>
      </c>
      <c r="G48" s="38">
        <v>15</v>
      </c>
      <c r="H48" s="38">
        <v>0</v>
      </c>
      <c r="I48" s="39" t="s">
        <v>273</v>
      </c>
      <c r="J48" s="40">
        <v>11.087</v>
      </c>
      <c r="K48" s="40">
        <v>58</v>
      </c>
      <c r="L48" s="40">
        <v>0</v>
      </c>
      <c r="M48" s="41">
        <v>100</v>
      </c>
      <c r="N48" s="41">
        <v>91.85</v>
      </c>
      <c r="O48" s="42">
        <v>643.04600000000005</v>
      </c>
      <c r="P48" s="43">
        <v>1108.7</v>
      </c>
      <c r="Q48" s="43">
        <v>1018.3409499999999</v>
      </c>
      <c r="R48" s="44">
        <v>2.0093999999999999</v>
      </c>
      <c r="S48" s="45"/>
      <c r="T48" s="38">
        <f t="shared" si="19"/>
        <v>15</v>
      </c>
      <c r="U48" s="46">
        <f t="shared" si="20"/>
        <v>5.6029856603023937E-4</v>
      </c>
      <c r="V48" s="47">
        <f t="shared" si="21"/>
        <v>-8.1500000000000057</v>
      </c>
      <c r="W48" s="48">
        <f t="shared" si="22"/>
        <v>3.735323773534929E-5</v>
      </c>
      <c r="X48" s="43">
        <f t="shared" si="23"/>
        <v>39.89091211802323</v>
      </c>
      <c r="Y48" s="43">
        <f t="shared" si="24"/>
        <v>-90.359050000000138</v>
      </c>
      <c r="Z48" s="43">
        <f t="shared" si="25"/>
        <v>492.4100238950993</v>
      </c>
      <c r="AA48" s="49">
        <f t="shared" si="26"/>
        <v>1058.2318621180232</v>
      </c>
      <c r="AB48" s="50">
        <f t="shared" si="27"/>
        <v>461.05807480814536</v>
      </c>
      <c r="AC48" s="43">
        <f t="shared" si="28"/>
        <v>990.85380348129502</v>
      </c>
      <c r="AD48" s="43">
        <f t="shared" si="29"/>
        <v>205.49636582934644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1122.9233576757952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1122.9233576757952</v>
      </c>
      <c r="AK48" s="43">
        <f>HLOOKUP(I48,ElecAvoidedCostsWOCC!$A$5:$Q$50,G48+1,FALSE)*J48*L48</f>
        <v>0</v>
      </c>
      <c r="AL48" s="43">
        <f t="shared" si="34"/>
        <v>1122.9233576757952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1122.9233576757949</v>
      </c>
      <c r="AN48" s="47">
        <f t="shared" si="35"/>
        <v>1440.7120592727208</v>
      </c>
      <c r="AO48" s="46">
        <f t="shared" si="36"/>
        <v>2.4355356061013871</v>
      </c>
      <c r="AP48" s="46">
        <f t="shared" si="37"/>
        <v>1.4540107271232956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334" priority="4">
      <formula>ISTEXT(J5)</formula>
    </cfRule>
    <cfRule type="notContainsBlanks" dxfId="333" priority="5">
      <formula>LEN(TRIM(J5))&gt;0</formula>
    </cfRule>
  </conditionalFormatting>
  <conditionalFormatting sqref="M5:N52 R5:S52">
    <cfRule type="expression" dxfId="332" priority="2">
      <formula>ISTEXT(M5)</formula>
    </cfRule>
  </conditionalFormatting>
  <conditionalFormatting sqref="M5:N52 R5:S52">
    <cfRule type="notContainsBlanks" dxfId="331" priority="3">
      <formula>LEN(TRIM(M5))&gt;0</formula>
    </cfRule>
  </conditionalFormatting>
  <conditionalFormatting sqref="R5:S52">
    <cfRule type="expression" dxfId="33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18230660</v>
      </c>
      <c r="D2" s="19" t="s">
        <v>116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18230660</v>
      </c>
      <c r="D5" s="60" t="s">
        <v>116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3180472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3180472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3180472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18230622</v>
      </c>
      <c r="D2" s="19" t="s">
        <v>322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18230622</v>
      </c>
      <c r="D5" s="60" t="s">
        <v>322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18231038</v>
      </c>
      <c r="D2" s="19" t="s">
        <v>156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18231038</v>
      </c>
      <c r="D5" s="60" t="s">
        <v>156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18230218</v>
      </c>
      <c r="D2" s="19" t="s">
        <v>168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18230218</v>
      </c>
      <c r="D5" s="60" t="s">
        <v>168</v>
      </c>
      <c r="E5" s="37"/>
      <c r="F5" s="38"/>
      <c r="G5" s="38">
        <v>5</v>
      </c>
      <c r="H5" s="38"/>
      <c r="I5" s="39" t="s">
        <v>273</v>
      </c>
      <c r="J5" s="40">
        <v>1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6.2376926190591853</v>
      </c>
      <c r="AG5" s="43">
        <f t="shared" ref="AG5:AG24" si="11">AF5*J5*K5</f>
        <v>0</v>
      </c>
      <c r="AH5" s="51">
        <f>HLOOKUP(I5,GasAvoidedCostsWOCC!$A$5:$Q$50,T5+1,FALSE)</f>
        <v>6.2376926190591853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58250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505652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563902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505652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F1" workbookViewId="0">
      <selection activeCell="M5" sqref="M5"/>
    </sheetView>
  </sheetViews>
  <sheetFormatPr defaultRowHeight="15" x14ac:dyDescent="0.25"/>
  <cols>
    <col min="2" max="15" width="23.28515625" customWidth="1"/>
    <col min="16" max="16" width="20.140625" customWidth="1"/>
    <col min="17" max="17" width="18.7109375" customWidth="1"/>
  </cols>
  <sheetData>
    <row r="1" spans="1:17" x14ac:dyDescent="0.25">
      <c r="A1" s="74" t="s">
        <v>799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532"/>
      <c r="Q1" s="532"/>
    </row>
    <row r="2" spans="1:17" x14ac:dyDescent="0.25">
      <c r="A2" s="72"/>
      <c r="B2" s="71" t="s">
        <v>800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532"/>
      <c r="Q2" s="532"/>
    </row>
    <row r="3" spans="1:17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532"/>
    </row>
    <row r="4" spans="1:17" ht="26.25" thickBot="1" x14ac:dyDescent="0.3">
      <c r="A4" s="68" t="s">
        <v>290</v>
      </c>
      <c r="B4" s="67" t="s">
        <v>289</v>
      </c>
      <c r="C4" s="67" t="s">
        <v>288</v>
      </c>
      <c r="D4" s="67" t="s">
        <v>287</v>
      </c>
      <c r="E4" s="67" t="s">
        <v>286</v>
      </c>
      <c r="F4" s="67" t="s">
        <v>285</v>
      </c>
      <c r="G4" s="67" t="s">
        <v>284</v>
      </c>
      <c r="H4" s="67" t="s">
        <v>283</v>
      </c>
      <c r="I4" s="67" t="s">
        <v>282</v>
      </c>
      <c r="J4" s="67" t="s">
        <v>281</v>
      </c>
      <c r="K4" s="67" t="s">
        <v>280</v>
      </c>
      <c r="L4" s="67" t="s">
        <v>279</v>
      </c>
      <c r="M4" s="67" t="s">
        <v>278</v>
      </c>
      <c r="N4" s="67" t="s">
        <v>277</v>
      </c>
      <c r="O4" s="67" t="s">
        <v>276</v>
      </c>
      <c r="P4" s="67" t="s">
        <v>275</v>
      </c>
      <c r="Q4" s="67" t="s">
        <v>274</v>
      </c>
    </row>
    <row r="5" spans="1:17" x14ac:dyDescent="0.25">
      <c r="A5" s="66"/>
      <c r="B5" s="65" t="s">
        <v>273</v>
      </c>
      <c r="C5" s="64" t="s">
        <v>272</v>
      </c>
      <c r="D5" s="64" t="s">
        <v>271</v>
      </c>
      <c r="E5" s="64" t="s">
        <v>270</v>
      </c>
      <c r="F5" s="64" t="s">
        <v>269</v>
      </c>
      <c r="G5" s="64" t="s">
        <v>268</v>
      </c>
      <c r="H5" s="64" t="s">
        <v>267</v>
      </c>
      <c r="I5" s="64" t="s">
        <v>238</v>
      </c>
      <c r="J5" s="64" t="s">
        <v>266</v>
      </c>
      <c r="K5" s="64" t="s">
        <v>265</v>
      </c>
      <c r="L5" s="64" t="s">
        <v>264</v>
      </c>
      <c r="M5" s="64" t="s">
        <v>263</v>
      </c>
      <c r="N5" s="64" t="s">
        <v>262</v>
      </c>
      <c r="O5" s="64" t="s">
        <v>261</v>
      </c>
      <c r="P5" s="64" t="s">
        <v>260</v>
      </c>
      <c r="Q5" s="63" t="s">
        <v>259</v>
      </c>
    </row>
    <row r="6" spans="1:17" x14ac:dyDescent="0.25">
      <c r="A6" s="62">
        <v>1</v>
      </c>
      <c r="B6">
        <v>0.16733299209051841</v>
      </c>
      <c r="C6">
        <v>0.1683928698823805</v>
      </c>
      <c r="D6">
        <v>0.16733299209051841</v>
      </c>
      <c r="E6">
        <v>0.1683928698823805</v>
      </c>
      <c r="F6">
        <v>0.13166730206081736</v>
      </c>
      <c r="G6">
        <v>0.12407190276567043</v>
      </c>
      <c r="H6">
        <v>0.13006346215368936</v>
      </c>
      <c r="I6">
        <v>0.13491530338058</v>
      </c>
      <c r="J6">
        <v>0.13106022006848075</v>
      </c>
      <c r="K6">
        <v>0.16486606960502259</v>
      </c>
      <c r="L6">
        <v>0.12300467129960453</v>
      </c>
      <c r="M6">
        <v>0.11058716784826328</v>
      </c>
      <c r="N6">
        <v>0.1237615739009498</v>
      </c>
      <c r="O6">
        <v>0.12901725255183402</v>
      </c>
      <c r="P6">
        <v>0.12572857077965333</v>
      </c>
      <c r="Q6">
        <v>9.3021561990730667E-2</v>
      </c>
    </row>
    <row r="7" spans="1:17" x14ac:dyDescent="0.25">
      <c r="A7" s="62">
        <v>2</v>
      </c>
      <c r="B7">
        <v>0.32407895429725869</v>
      </c>
      <c r="C7">
        <v>0.32624522156800118</v>
      </c>
      <c r="D7">
        <v>0.32407895429725869</v>
      </c>
      <c r="E7">
        <v>0.32624522156800118</v>
      </c>
      <c r="F7">
        <v>0.25486920048442308</v>
      </c>
      <c r="G7">
        <v>0.24013939229335279</v>
      </c>
      <c r="H7">
        <v>0.25179084475576324</v>
      </c>
      <c r="I7">
        <v>0.26117811252788908</v>
      </c>
      <c r="J7">
        <v>0.2537469893723181</v>
      </c>
      <c r="K7">
        <v>0.31917569574752847</v>
      </c>
      <c r="L7">
        <v>0.238145487774022</v>
      </c>
      <c r="M7">
        <v>0.21413766474692755</v>
      </c>
      <c r="N7">
        <v>0.23959114643887974</v>
      </c>
      <c r="O7">
        <v>0.24985882229705006</v>
      </c>
      <c r="P7">
        <v>0.24339540181991248</v>
      </c>
      <c r="Q7">
        <v>0.18004445611416042</v>
      </c>
    </row>
    <row r="8" spans="1:17" x14ac:dyDescent="0.25">
      <c r="A8" s="62">
        <v>3</v>
      </c>
      <c r="B8">
        <v>0.47442203000927674</v>
      </c>
      <c r="C8">
        <v>0.47781420416384934</v>
      </c>
      <c r="D8">
        <v>0.47442203000927674</v>
      </c>
      <c r="E8">
        <v>0.47781420416384934</v>
      </c>
      <c r="F8">
        <v>0.37380238949754474</v>
      </c>
      <c r="G8">
        <v>0.35245004752411496</v>
      </c>
      <c r="H8">
        <v>0.36941178772672068</v>
      </c>
      <c r="I8">
        <v>0.38305468294478695</v>
      </c>
      <c r="J8">
        <v>0.37226207619063617</v>
      </c>
      <c r="K8">
        <v>0.46774445922604913</v>
      </c>
      <c r="L8">
        <v>0.34966889046080962</v>
      </c>
      <c r="M8">
        <v>0.31534828920757851</v>
      </c>
      <c r="N8">
        <v>0.35172548735541798</v>
      </c>
      <c r="O8">
        <v>0.36675803475681179</v>
      </c>
      <c r="P8">
        <v>0.3572386251582097</v>
      </c>
      <c r="Q8">
        <v>0.26518266791864414</v>
      </c>
    </row>
    <row r="9" spans="1:17" x14ac:dyDescent="0.25">
      <c r="A9" s="62">
        <v>4</v>
      </c>
      <c r="B9">
        <v>0.61469575991836234</v>
      </c>
      <c r="C9">
        <v>0.61934456166765095</v>
      </c>
      <c r="D9">
        <v>0.61469575991836234</v>
      </c>
      <c r="E9">
        <v>0.61934456166765095</v>
      </c>
      <c r="F9">
        <v>0.48455059207269152</v>
      </c>
      <c r="G9">
        <v>0.45700552594297</v>
      </c>
      <c r="H9">
        <v>0.47893553960182678</v>
      </c>
      <c r="I9">
        <v>0.49659690211422264</v>
      </c>
      <c r="J9">
        <v>0.48260294509886537</v>
      </c>
      <c r="K9">
        <v>0.60640467790551877</v>
      </c>
      <c r="L9">
        <v>0.45348595395874908</v>
      </c>
      <c r="M9">
        <v>0.40991977068748603</v>
      </c>
      <c r="N9">
        <v>0.45612015645980264</v>
      </c>
      <c r="O9">
        <v>0.47564172816752814</v>
      </c>
      <c r="P9">
        <v>0.4632685635889805</v>
      </c>
      <c r="Q9">
        <v>0.3442572650315045</v>
      </c>
    </row>
    <row r="10" spans="1:17" x14ac:dyDescent="0.25">
      <c r="A10" s="62">
        <v>5</v>
      </c>
      <c r="B10">
        <v>0.74608136726953223</v>
      </c>
      <c r="C10">
        <v>0.75193894907684722</v>
      </c>
      <c r="D10">
        <v>0.74608136726953223</v>
      </c>
      <c r="E10">
        <v>0.75193894907684722</v>
      </c>
      <c r="F10">
        <v>0.58770997916967627</v>
      </c>
      <c r="G10">
        <v>0.55423203263454379</v>
      </c>
      <c r="H10">
        <v>0.58091639417414176</v>
      </c>
      <c r="I10">
        <v>0.60245665116531311</v>
      </c>
      <c r="J10">
        <v>0.58525613292248291</v>
      </c>
      <c r="K10">
        <v>0.73590267439144896</v>
      </c>
      <c r="L10">
        <v>0.54997664447849426</v>
      </c>
      <c r="M10">
        <v>0.49757001749578328</v>
      </c>
      <c r="N10">
        <v>0.55309713970530727</v>
      </c>
      <c r="O10">
        <v>0.57677453203403406</v>
      </c>
      <c r="P10">
        <v>0.56179639031780937</v>
      </c>
      <c r="Q10">
        <v>0.41735559081147244</v>
      </c>
    </row>
    <row r="11" spans="1:17" x14ac:dyDescent="0.25">
      <c r="A11" s="62">
        <v>6</v>
      </c>
      <c r="B11">
        <v>0.86802339036709508</v>
      </c>
      <c r="C11">
        <v>0.87520974434482102</v>
      </c>
      <c r="D11">
        <v>0.86802339036709508</v>
      </c>
      <c r="E11">
        <v>0.87520974434482102</v>
      </c>
      <c r="F11">
        <v>0.6834507057617274</v>
      </c>
      <c r="G11">
        <v>0.64451296603419772</v>
      </c>
      <c r="H11">
        <v>0.67563168574192256</v>
      </c>
      <c r="I11">
        <v>0.70078667509569548</v>
      </c>
      <c r="J11">
        <v>0.68046186461868052</v>
      </c>
      <c r="K11">
        <v>0.85557699681837784</v>
      </c>
      <c r="L11">
        <v>0.63963493033267538</v>
      </c>
      <c r="M11">
        <v>0.57923998498778073</v>
      </c>
      <c r="N11">
        <v>0.64323640603921461</v>
      </c>
      <c r="O11">
        <v>0.67052330811632255</v>
      </c>
      <c r="P11">
        <v>0.65314833133242411</v>
      </c>
      <c r="Q11">
        <v>0.48464496916420324</v>
      </c>
    </row>
    <row r="12" spans="1:17" x14ac:dyDescent="0.25">
      <c r="A12" s="62">
        <v>7</v>
      </c>
      <c r="B12">
        <v>0.98146455242736486</v>
      </c>
      <c r="C12">
        <v>0.98997906970573246</v>
      </c>
      <c r="D12">
        <v>0.98146455242736486</v>
      </c>
      <c r="E12">
        <v>0.98997906970573246</v>
      </c>
      <c r="F12">
        <v>0.77214240604525253</v>
      </c>
      <c r="G12">
        <v>0.72807844751860284</v>
      </c>
      <c r="H12">
        <v>0.76338157655823136</v>
      </c>
      <c r="I12">
        <v>0.79197275307565063</v>
      </c>
      <c r="J12">
        <v>0.76865007992830026</v>
      </c>
      <c r="K12">
        <v>0.96688286522097244</v>
      </c>
      <c r="L12">
        <v>0.72260286363990056</v>
      </c>
      <c r="M12">
        <v>0.65472757705676998</v>
      </c>
      <c r="N12">
        <v>0.72665608790048108</v>
      </c>
      <c r="O12">
        <v>0.75731698561531147</v>
      </c>
      <c r="P12">
        <v>0.73769514975108397</v>
      </c>
      <c r="Q12">
        <v>0.54663349018626395</v>
      </c>
    </row>
    <row r="13" spans="1:17" x14ac:dyDescent="0.25">
      <c r="A13" s="62">
        <v>8</v>
      </c>
      <c r="B13">
        <v>1.1002860132468422</v>
      </c>
      <c r="C13">
        <v>1.1100966347574042</v>
      </c>
      <c r="D13">
        <v>1.1002860132468422</v>
      </c>
      <c r="E13">
        <v>1.1100966347574042</v>
      </c>
      <c r="F13">
        <v>0.86776300125368055</v>
      </c>
      <c r="G13">
        <v>0.81893969980632531</v>
      </c>
      <c r="H13">
        <v>0.85814592606475859</v>
      </c>
      <c r="I13">
        <v>0.88993896271748163</v>
      </c>
      <c r="J13">
        <v>0.86381647063021538</v>
      </c>
      <c r="K13">
        <v>1.083743519639917</v>
      </c>
      <c r="L13">
        <v>0.81291761256657447</v>
      </c>
      <c r="M13">
        <v>0.73816754287203779</v>
      </c>
      <c r="N13">
        <v>0.81738861303932608</v>
      </c>
      <c r="O13">
        <v>0.85122699745722841</v>
      </c>
      <c r="P13">
        <v>0.82947053069305954</v>
      </c>
      <c r="Q13">
        <v>0.61727523772744552</v>
      </c>
    </row>
    <row r="14" spans="1:17" x14ac:dyDescent="0.25">
      <c r="A14" s="62">
        <v>9</v>
      </c>
      <c r="B14">
        <v>1.2117650722221462</v>
      </c>
      <c r="C14">
        <v>1.2228916902547993</v>
      </c>
      <c r="D14">
        <v>1.2117650722221462</v>
      </c>
      <c r="E14">
        <v>1.2228916902547993</v>
      </c>
      <c r="F14">
        <v>0.95737404696464712</v>
      </c>
      <c r="G14">
        <v>0.90409406158925254</v>
      </c>
      <c r="H14">
        <v>0.94700492636421951</v>
      </c>
      <c r="I14">
        <v>0.98180617544797544</v>
      </c>
      <c r="J14">
        <v>0.95305758243241634</v>
      </c>
      <c r="K14">
        <v>1.1936792610968086</v>
      </c>
      <c r="L14">
        <v>0.89760014642757513</v>
      </c>
      <c r="M14">
        <v>0.81654626235265948</v>
      </c>
      <c r="N14">
        <v>0.9024525007657016</v>
      </c>
      <c r="O14">
        <v>0.93938680219374804</v>
      </c>
      <c r="P14">
        <v>0.9155821600609223</v>
      </c>
      <c r="Q14">
        <v>0.68361904688064234</v>
      </c>
    </row>
    <row r="15" spans="1:17" x14ac:dyDescent="0.25">
      <c r="A15" s="62">
        <v>10</v>
      </c>
      <c r="B15">
        <v>1.3162195816798858</v>
      </c>
      <c r="C15">
        <v>1.3287628949071131</v>
      </c>
      <c r="D15">
        <v>1.3162195816798858</v>
      </c>
      <c r="E15">
        <v>1.3287628949071131</v>
      </c>
      <c r="F15">
        <v>1.0411864604679799</v>
      </c>
      <c r="G15">
        <v>0.98376162221104524</v>
      </c>
      <c r="H15">
        <v>1.0301363581848837</v>
      </c>
      <c r="I15">
        <v>1.0678247036332273</v>
      </c>
      <c r="J15">
        <v>1.0364375506645178</v>
      </c>
      <c r="K15">
        <v>1.2963360504949972</v>
      </c>
      <c r="L15">
        <v>0.9768178864594621</v>
      </c>
      <c r="M15">
        <v>0.89014772640088169</v>
      </c>
      <c r="N15">
        <v>0.98196352150092348</v>
      </c>
      <c r="O15">
        <v>1.0217031601940523</v>
      </c>
      <c r="P15">
        <v>0.99603597473739036</v>
      </c>
      <c r="Q15">
        <v>0.74533528594351472</v>
      </c>
    </row>
    <row r="16" spans="1:17" x14ac:dyDescent="0.25">
      <c r="A16" s="62">
        <v>11</v>
      </c>
      <c r="B16">
        <v>1.4141076484747321</v>
      </c>
      <c r="C16">
        <v>1.427980702780224</v>
      </c>
      <c r="D16">
        <v>1.4141076484747321</v>
      </c>
      <c r="E16">
        <v>1.427980702780224</v>
      </c>
      <c r="F16">
        <v>1.1198675649089782</v>
      </c>
      <c r="G16">
        <v>1.0585882215768667</v>
      </c>
      <c r="H16">
        <v>1.1081759070136035</v>
      </c>
      <c r="I16">
        <v>1.1485624099973681</v>
      </c>
      <c r="J16">
        <v>1.1146462035050559</v>
      </c>
      <c r="K16">
        <v>1.3920232096213965</v>
      </c>
      <c r="L16">
        <v>1.0512187370384041</v>
      </c>
      <c r="M16">
        <v>0.9592915076875993</v>
      </c>
      <c r="N16">
        <v>1.056723567175651</v>
      </c>
      <c r="O16">
        <v>1.0988845072787061</v>
      </c>
      <c r="P16">
        <v>1.0714922798913573</v>
      </c>
      <c r="Q16">
        <v>0.8031090516093522</v>
      </c>
    </row>
    <row r="17" spans="1:17" x14ac:dyDescent="0.25">
      <c r="A17" s="62">
        <v>12</v>
      </c>
      <c r="B17">
        <v>1.5057253917505207</v>
      </c>
      <c r="C17">
        <v>1.5209118404856945</v>
      </c>
      <c r="D17">
        <v>1.5057253917505207</v>
      </c>
      <c r="E17">
        <v>1.5209118404856945</v>
      </c>
      <c r="F17">
        <v>1.1934338059610199</v>
      </c>
      <c r="G17">
        <v>1.1285584838048761</v>
      </c>
      <c r="H17">
        <v>1.1811812347431871</v>
      </c>
      <c r="I17" s="533">
        <v>1.2241199295840157</v>
      </c>
      <c r="J17">
        <v>1.1877343419293771</v>
      </c>
      <c r="K17">
        <v>1.4814351081102348</v>
      </c>
      <c r="L17">
        <v>1.1208301167661243</v>
      </c>
      <c r="M17">
        <v>1.0242959445191526</v>
      </c>
      <c r="N17">
        <v>1.126645382767181</v>
      </c>
      <c r="O17">
        <v>1.1709909127665883</v>
      </c>
      <c r="P17">
        <v>1.1419894661023271</v>
      </c>
      <c r="Q17">
        <v>0.85689733006296875</v>
      </c>
    </row>
    <row r="18" spans="1:17" x14ac:dyDescent="0.25">
      <c r="A18" s="62">
        <v>13</v>
      </c>
      <c r="B18">
        <v>1.5914444140447086</v>
      </c>
      <c r="C18">
        <v>1.6079586745987038</v>
      </c>
      <c r="D18">
        <v>1.5914444140447086</v>
      </c>
      <c r="E18">
        <v>1.6079586745987038</v>
      </c>
      <c r="F18">
        <v>1.262268642203892</v>
      </c>
      <c r="G18">
        <v>1.1940753023680699</v>
      </c>
      <c r="H18">
        <v>1.249524962156451</v>
      </c>
      <c r="I18">
        <v>1.2948630662057574</v>
      </c>
      <c r="J18">
        <v>1.2561335944396219</v>
      </c>
      <c r="K18">
        <v>1.5652414464272728</v>
      </c>
      <c r="L18">
        <v>1.1860550334537487</v>
      </c>
      <c r="M18">
        <v>1.0855963002179125</v>
      </c>
      <c r="N18">
        <v>1.192115542273271</v>
      </c>
      <c r="O18">
        <v>1.2385236768860166</v>
      </c>
      <c r="P18">
        <v>1.2079713541496391</v>
      </c>
      <c r="Q18">
        <v>0.90726868133414618</v>
      </c>
    </row>
    <row r="19" spans="1:17" x14ac:dyDescent="0.25">
      <c r="A19" s="62">
        <v>14</v>
      </c>
      <c r="B19">
        <v>1.671426990785674</v>
      </c>
      <c r="C19">
        <v>1.6892178692855708</v>
      </c>
      <c r="D19">
        <v>1.671426990785674</v>
      </c>
      <c r="E19">
        <v>1.6892178692855708</v>
      </c>
      <c r="F19">
        <v>1.3264018470259975</v>
      </c>
      <c r="G19">
        <v>1.2551195642718229</v>
      </c>
      <c r="H19">
        <v>1.3132187227837064</v>
      </c>
      <c r="I19">
        <v>1.3607899082944779</v>
      </c>
      <c r="J19">
        <v>1.3199312836924926</v>
      </c>
      <c r="K19">
        <v>1.64383566819575</v>
      </c>
      <c r="L19">
        <v>1.2468507095935593</v>
      </c>
      <c r="M19">
        <v>1.1428725563779496</v>
      </c>
      <c r="N19">
        <v>1.2531400609424383</v>
      </c>
      <c r="O19">
        <v>1.3016248578286485</v>
      </c>
      <c r="P19">
        <v>1.2695523270593876</v>
      </c>
      <c r="Q19">
        <v>0.95435373544000424</v>
      </c>
    </row>
    <row r="20" spans="1:17" x14ac:dyDescent="0.25">
      <c r="A20" s="62">
        <v>15</v>
      </c>
      <c r="B20">
        <v>1.7462566560958237</v>
      </c>
      <c r="C20">
        <v>1.7654180640246628</v>
      </c>
      <c r="D20">
        <v>1.7462566560958237</v>
      </c>
      <c r="E20">
        <v>1.7654180640246628</v>
      </c>
      <c r="F20">
        <v>1.3863847906946944</v>
      </c>
      <c r="G20">
        <v>1.3122776034026511</v>
      </c>
      <c r="H20">
        <v>1.3728405674059152</v>
      </c>
      <c r="I20">
        <v>1.4225105163514826</v>
      </c>
      <c r="J20">
        <v>1.3795786764137932</v>
      </c>
      <c r="K20">
        <v>1.7172657854551547</v>
      </c>
      <c r="L20">
        <v>1.3038119409093063</v>
      </c>
      <c r="M20">
        <v>1.1967334143112054</v>
      </c>
      <c r="N20">
        <v>1.3102894970712171</v>
      </c>
      <c r="O20">
        <v>1.3606535375205495</v>
      </c>
      <c r="P20">
        <v>1.3271773764776009</v>
      </c>
      <c r="Q20">
        <v>0.99825529834018101</v>
      </c>
    </row>
    <row r="21" spans="1:17" x14ac:dyDescent="0.25">
      <c r="A21" s="62">
        <v>16</v>
      </c>
      <c r="B21">
        <v>1.8164512590232713</v>
      </c>
      <c r="C21">
        <v>1.8369430986021067</v>
      </c>
      <c r="D21">
        <v>1.8164512590232713</v>
      </c>
      <c r="E21">
        <v>1.8369430986021067</v>
      </c>
      <c r="F21">
        <v>1.4424827041151178</v>
      </c>
      <c r="G21">
        <v>1.3656873276257182</v>
      </c>
      <c r="H21">
        <v>1.4285952248160376</v>
      </c>
      <c r="I21">
        <v>1.4802909132542514</v>
      </c>
      <c r="J21">
        <v>1.4352548753129817</v>
      </c>
      <c r="K21">
        <v>1.7858232955743363</v>
      </c>
      <c r="L21">
        <v>1.3569915179078633</v>
      </c>
      <c r="M21">
        <v>1.2469480236267305</v>
      </c>
      <c r="N21">
        <v>1.3636474364953921</v>
      </c>
      <c r="O21">
        <v>1.4156535006300091</v>
      </c>
      <c r="P21">
        <v>1.3809346533937799</v>
      </c>
      <c r="Q21">
        <v>1.0389818243503521</v>
      </c>
    </row>
    <row r="22" spans="1:17" x14ac:dyDescent="0.25">
      <c r="A22" s="62">
        <v>17</v>
      </c>
      <c r="B22">
        <v>1.8825547796046656</v>
      </c>
      <c r="C22">
        <v>1.9042568727616875</v>
      </c>
      <c r="D22">
        <v>1.8825547796046656</v>
      </c>
      <c r="E22">
        <v>1.9042568727616875</v>
      </c>
      <c r="F22">
        <v>1.4954124056274498</v>
      </c>
      <c r="G22">
        <v>1.4161158930274507</v>
      </c>
      <c r="H22">
        <v>1.4812039495411893</v>
      </c>
      <c r="I22">
        <v>1.5348115152614463</v>
      </c>
      <c r="J22">
        <v>1.4877373213404161</v>
      </c>
      <c r="K22">
        <v>1.8499417171462507</v>
      </c>
      <c r="L22">
        <v>1.4072028028168013</v>
      </c>
      <c r="M22">
        <v>1.294478343615926</v>
      </c>
      <c r="N22">
        <v>1.4140659197735452</v>
      </c>
      <c r="O22">
        <v>1.4674605025573007</v>
      </c>
      <c r="P22">
        <v>1.4315873258632867</v>
      </c>
      <c r="Q22">
        <v>1.0773017850587392</v>
      </c>
    </row>
    <row r="23" spans="1:17" x14ac:dyDescent="0.25">
      <c r="A23" s="62">
        <v>18</v>
      </c>
      <c r="B23">
        <v>1.9446021196344847</v>
      </c>
      <c r="C23">
        <v>1.9675158436529916</v>
      </c>
      <c r="D23">
        <v>1.9446021196344847</v>
      </c>
      <c r="E23">
        <v>1.9675158436529916</v>
      </c>
      <c r="F23">
        <v>1.5448681748549362</v>
      </c>
      <c r="G23">
        <v>1.4631901729152874</v>
      </c>
      <c r="H23">
        <v>1.5303809230839329</v>
      </c>
      <c r="I23">
        <v>1.5858203172648686</v>
      </c>
      <c r="J23">
        <v>1.5367606902866857</v>
      </c>
      <c r="K23">
        <v>1.9102505587585572</v>
      </c>
      <c r="L23">
        <v>1.4540966800856938</v>
      </c>
      <c r="M23">
        <v>1.3390143498555009</v>
      </c>
      <c r="N23">
        <v>1.4610959645245529</v>
      </c>
      <c r="O23">
        <v>1.5158456820462676</v>
      </c>
      <c r="P23">
        <v>1.4788709948555001</v>
      </c>
      <c r="Q23">
        <v>1.1130103076093709</v>
      </c>
    </row>
    <row r="24" spans="1:17" x14ac:dyDescent="0.25">
      <c r="A24" s="62">
        <v>19</v>
      </c>
      <c r="B24">
        <v>2.0046548106306235</v>
      </c>
      <c r="C24">
        <v>2.0265733541463362</v>
      </c>
      <c r="D24">
        <v>2.002383665656621</v>
      </c>
      <c r="E24">
        <v>2.0265733541463362</v>
      </c>
      <c r="F24">
        <v>1.5909925233255173</v>
      </c>
      <c r="G24">
        <v>1.5071680285958711</v>
      </c>
      <c r="H24">
        <v>1.5762928068990063</v>
      </c>
      <c r="I24">
        <v>1.6334315085702116</v>
      </c>
      <c r="J24">
        <v>1.5825109792885486</v>
      </c>
      <c r="K24">
        <v>1.9665441288626915</v>
      </c>
      <c r="L24">
        <v>1.4979618165083901</v>
      </c>
      <c r="M24">
        <v>1.3810983012967439</v>
      </c>
      <c r="N24">
        <v>1.5050299927929145</v>
      </c>
      <c r="O24">
        <v>1.5610411303637166</v>
      </c>
      <c r="P24">
        <v>1.5230028094899732</v>
      </c>
      <c r="Q24">
        <v>1.1462969867923456</v>
      </c>
    </row>
    <row r="25" spans="1:17" x14ac:dyDescent="0.25">
      <c r="A25" s="62">
        <v>20</v>
      </c>
      <c r="B25">
        <v>2.0629229085847913</v>
      </c>
      <c r="C25">
        <v>2.0817494155403842</v>
      </c>
      <c r="D25">
        <v>2.0563136709010243</v>
      </c>
      <c r="E25">
        <v>2.0817494155403842</v>
      </c>
      <c r="F25">
        <v>1.6340456947583777</v>
      </c>
      <c r="G25">
        <v>1.5482303609398862</v>
      </c>
      <c r="H25">
        <v>1.6191539252917717</v>
      </c>
      <c r="I25">
        <v>1.6778721099985494</v>
      </c>
      <c r="J25">
        <v>1.6252472963598306</v>
      </c>
      <c r="K25">
        <v>2.0193123538191733</v>
      </c>
      <c r="L25">
        <v>1.5389494947052405</v>
      </c>
      <c r="M25">
        <v>1.4205398031567009</v>
      </c>
      <c r="N25">
        <v>1.546090965976306</v>
      </c>
      <c r="O25">
        <v>1.6033443745697298</v>
      </c>
      <c r="P25">
        <v>1.5642610619526329</v>
      </c>
      <c r="Q25">
        <v>1.1774461766885365</v>
      </c>
    </row>
    <row r="26" spans="1:17" x14ac:dyDescent="0.25">
      <c r="A26" s="62">
        <v>21</v>
      </c>
      <c r="B26">
        <v>2.1203959243180939</v>
      </c>
      <c r="C26">
        <v>2.1341076605686564</v>
      </c>
      <c r="D26">
        <v>2.1074068059610083</v>
      </c>
      <c r="E26">
        <v>2.1341076605686564</v>
      </c>
      <c r="F26">
        <v>1.6747932507221961</v>
      </c>
      <c r="G26">
        <v>1.5871005494410757</v>
      </c>
      <c r="H26">
        <v>1.6597355303679144</v>
      </c>
      <c r="I26">
        <v>1.7199790389013105</v>
      </c>
      <c r="J26">
        <v>1.6656435062499635</v>
      </c>
      <c r="K26">
        <v>2.0692018738025331</v>
      </c>
      <c r="L26">
        <v>1.5777318875431598</v>
      </c>
      <c r="M26">
        <v>1.4579227186442472</v>
      </c>
      <c r="N26">
        <v>1.5849128590865391</v>
      </c>
      <c r="O26">
        <v>1.6432773625629122</v>
      </c>
      <c r="P26">
        <v>1.6032867326144671</v>
      </c>
      <c r="Q26">
        <v>1.2068278600388853</v>
      </c>
    </row>
    <row r="27" spans="1:17" x14ac:dyDescent="0.25">
      <c r="A27" s="62">
        <v>22</v>
      </c>
      <c r="B27">
        <v>2.1762886249274462</v>
      </c>
      <c r="C27">
        <v>2.1831289485491903</v>
      </c>
      <c r="D27">
        <v>2.1551551255301922</v>
      </c>
      <c r="E27">
        <v>2.1831289485491903</v>
      </c>
      <c r="F27">
        <v>1.7129013147311429</v>
      </c>
      <c r="G27">
        <v>1.6234696988556181</v>
      </c>
      <c r="H27">
        <v>1.6977184470680604</v>
      </c>
      <c r="I27">
        <v>1.7593998454466528</v>
      </c>
      <c r="J27">
        <v>1.7033719009029216</v>
      </c>
      <c r="K27">
        <v>2.1154443430916339</v>
      </c>
      <c r="L27">
        <v>1.6140459912708391</v>
      </c>
      <c r="M27">
        <v>1.4930639260784881</v>
      </c>
      <c r="N27">
        <v>1.6212629525547766</v>
      </c>
      <c r="O27">
        <v>1.680524171996336</v>
      </c>
      <c r="P27">
        <v>1.639697194330386</v>
      </c>
      <c r="Q27">
        <v>1.2340640748788392</v>
      </c>
    </row>
    <row r="28" spans="1:17" x14ac:dyDescent="0.25">
      <c r="A28" s="62">
        <v>23</v>
      </c>
      <c r="B28">
        <v>2.2283852079725812</v>
      </c>
      <c r="C28">
        <v>2.2273349529267579</v>
      </c>
      <c r="D28">
        <v>2.198141716525646</v>
      </c>
      <c r="E28">
        <v>2.2273349529267579</v>
      </c>
      <c r="F28">
        <v>1.7467703228395259</v>
      </c>
      <c r="G28">
        <v>1.6556964046756855</v>
      </c>
      <c r="H28">
        <v>1.7314725906766593</v>
      </c>
      <c r="I28">
        <v>1.7945164403996268</v>
      </c>
      <c r="J28">
        <v>1.7368767182029379</v>
      </c>
      <c r="K28">
        <v>2.1569854425545181</v>
      </c>
      <c r="L28">
        <v>1.6462258007399135</v>
      </c>
      <c r="M28">
        <v>1.5241747889307193</v>
      </c>
      <c r="N28">
        <v>1.6534721165650552</v>
      </c>
      <c r="O28">
        <v>1.7135731963766938</v>
      </c>
      <c r="P28">
        <v>1.6719556242383238</v>
      </c>
      <c r="Q28">
        <v>1.2577006381468963</v>
      </c>
    </row>
    <row r="29" spans="1:17" x14ac:dyDescent="0.25">
      <c r="A29" s="62">
        <v>24</v>
      </c>
      <c r="B29">
        <v>2.2800044401132538</v>
      </c>
      <c r="C29">
        <v>2.2693413927277608</v>
      </c>
      <c r="D29">
        <v>2.2389799951272842</v>
      </c>
      <c r="E29">
        <v>2.2693413927277608</v>
      </c>
      <c r="F29">
        <v>1.778984081388435</v>
      </c>
      <c r="G29">
        <v>1.6863588897991042</v>
      </c>
      <c r="H29">
        <v>1.7635810196321495</v>
      </c>
      <c r="I29">
        <v>1.8279160366733165</v>
      </c>
      <c r="J29">
        <v>1.7687411290514943</v>
      </c>
      <c r="K29">
        <v>2.196436175391379</v>
      </c>
      <c r="L29">
        <v>1.6768488329767912</v>
      </c>
      <c r="M29">
        <v>1.5538250271991445</v>
      </c>
      <c r="N29">
        <v>1.6841184654971719</v>
      </c>
      <c r="O29">
        <v>1.7450061604931786</v>
      </c>
      <c r="P29">
        <v>1.7026411358594546</v>
      </c>
      <c r="Q29">
        <v>1.2802827713241176</v>
      </c>
    </row>
    <row r="30" spans="1:17" x14ac:dyDescent="0.25">
      <c r="A30" s="62">
        <v>25</v>
      </c>
      <c r="B30">
        <v>2.3312175480570905</v>
      </c>
      <c r="C30">
        <v>2.3092635518885549</v>
      </c>
      <c r="D30">
        <v>2.2777830444769585</v>
      </c>
      <c r="E30">
        <v>2.3092635518885549</v>
      </c>
      <c r="F30">
        <v>1.8096278012318123</v>
      </c>
      <c r="G30">
        <v>1.7155371142717164</v>
      </c>
      <c r="H30">
        <v>1.7941282482572052</v>
      </c>
      <c r="I30">
        <v>1.8596870646670385</v>
      </c>
      <c r="J30">
        <v>1.7990497352264097</v>
      </c>
      <c r="K30">
        <v>2.2339073078213678</v>
      </c>
      <c r="L30">
        <v>1.7059943946280405</v>
      </c>
      <c r="M30">
        <v>1.582086694391476</v>
      </c>
      <c r="N30">
        <v>1.7132818582759961</v>
      </c>
      <c r="O30">
        <v>1.7749063041907114</v>
      </c>
      <c r="P30">
        <v>1.731834511877655</v>
      </c>
      <c r="Q30">
        <v>1.3018594715098213</v>
      </c>
    </row>
    <row r="31" spans="1:17" x14ac:dyDescent="0.25">
      <c r="A31" s="62">
        <v>26</v>
      </c>
      <c r="B31">
        <v>2.3820928043317169</v>
      </c>
      <c r="C31">
        <v>2.3411796164256136</v>
      </c>
      <c r="D31">
        <v>2.3146577019117149</v>
      </c>
      <c r="E31">
        <v>2.3472103711918675</v>
      </c>
      <c r="F31">
        <v>1.8387820802866464</v>
      </c>
      <c r="G31">
        <v>1.7433067375791467</v>
      </c>
      <c r="H31">
        <v>1.8231942258870202</v>
      </c>
      <c r="I31">
        <v>1.889913165521913</v>
      </c>
      <c r="J31">
        <v>1.8278825508209602</v>
      </c>
      <c r="K31">
        <v>2.2695034525180895</v>
      </c>
      <c r="L31">
        <v>1.7337375406080979</v>
      </c>
      <c r="M31">
        <v>1.6090280996325721</v>
      </c>
      <c r="N31">
        <v>1.7410378601726271</v>
      </c>
      <c r="O31">
        <v>1.8033523587672038</v>
      </c>
      <c r="P31">
        <v>1.7596121712140382</v>
      </c>
      <c r="Q31">
        <v>1.3224773464493014</v>
      </c>
    </row>
    <row r="32" spans="1:17" x14ac:dyDescent="0.25">
      <c r="A32" s="62">
        <v>27</v>
      </c>
      <c r="B32">
        <v>2.4326957323525664</v>
      </c>
      <c r="C32">
        <v>2.3716072831037662</v>
      </c>
      <c r="D32">
        <v>2.3497049182167649</v>
      </c>
      <c r="E32">
        <v>2.3832848119957264</v>
      </c>
      <c r="F32">
        <v>1.8665231645286289</v>
      </c>
      <c r="G32">
        <v>1.7697393606368339</v>
      </c>
      <c r="H32">
        <v>1.8508545946670205</v>
      </c>
      <c r="I32">
        <v>1.9186734621887127</v>
      </c>
      <c r="J32">
        <v>1.8553152621763644</v>
      </c>
      <c r="K32">
        <v>2.3033234242132865</v>
      </c>
      <c r="L32">
        <v>1.7601493126894669</v>
      </c>
      <c r="M32">
        <v>1.6347140121179997</v>
      </c>
      <c r="N32">
        <v>1.767457984335848</v>
      </c>
      <c r="O32">
        <v>1.830418802172401</v>
      </c>
      <c r="P32">
        <v>1.7860464154769511</v>
      </c>
      <c r="Q32">
        <v>1.3421807372610568</v>
      </c>
    </row>
    <row r="33" spans="1:17" x14ac:dyDescent="0.25">
      <c r="A33" s="62">
        <v>28</v>
      </c>
      <c r="B33">
        <v>2.4830892997660925</v>
      </c>
      <c r="C33">
        <v>2.4006194278371362</v>
      </c>
      <c r="D33">
        <v>2.3830200955515455</v>
      </c>
      <c r="E33">
        <v>2.4175841984198332</v>
      </c>
      <c r="F33">
        <v>1.8929231936871693</v>
      </c>
      <c r="G33">
        <v>1.7949027536539408</v>
      </c>
      <c r="H33">
        <v>1.8771809322593787</v>
      </c>
      <c r="I33">
        <v>1.9460428146002364</v>
      </c>
      <c r="J33">
        <v>1.8814194725593814</v>
      </c>
      <c r="K33">
        <v>2.335460574116377</v>
      </c>
      <c r="L33">
        <v>1.7852969641949747</v>
      </c>
      <c r="M33">
        <v>1.6592058539169721</v>
      </c>
      <c r="N33">
        <v>1.7926099192274081</v>
      </c>
      <c r="O33">
        <v>1.8561760992409486</v>
      </c>
      <c r="P33">
        <v>1.8112056609843299</v>
      </c>
      <c r="Q33">
        <v>1.3610118345337914</v>
      </c>
    </row>
    <row r="34" spans="1:17" x14ac:dyDescent="0.25">
      <c r="A34" s="62">
        <v>29</v>
      </c>
      <c r="B34">
        <v>2.533334100811651</v>
      </c>
      <c r="C34">
        <v>2.4282851678792126</v>
      </c>
      <c r="D34">
        <v>2.4146934053444769</v>
      </c>
      <c r="E34">
        <v>2.4502005392959321</v>
      </c>
      <c r="F34">
        <v>1.9180504325609293</v>
      </c>
      <c r="G34">
        <v>1.8188610707189574</v>
      </c>
      <c r="H34">
        <v>1.9022409803659353</v>
      </c>
      <c r="I34">
        <v>1.9720920599053784</v>
      </c>
      <c r="J34">
        <v>1.9062629325041669</v>
      </c>
      <c r="K34">
        <v>2.3660031044399856</v>
      </c>
      <c r="L34">
        <v>1.8092441716249064</v>
      </c>
      <c r="M34">
        <v>1.6825618818114176</v>
      </c>
      <c r="N34">
        <v>1.8165577428070236</v>
      </c>
      <c r="O34">
        <v>1.880690927860915</v>
      </c>
      <c r="P34">
        <v>1.8351546572261441</v>
      </c>
      <c r="Q34">
        <v>1.3790107881676745</v>
      </c>
    </row>
    <row r="35" spans="1:17" ht="15.75" thickBot="1" x14ac:dyDescent="0.3">
      <c r="A35" s="61">
        <v>30</v>
      </c>
      <c r="B35">
        <v>2.5834885283993767</v>
      </c>
      <c r="C35">
        <v>2.4546700656520928</v>
      </c>
      <c r="D35">
        <v>2.4448100873720549</v>
      </c>
      <c r="E35">
        <v>2.4812208311081596</v>
      </c>
      <c r="F35">
        <v>1.9419694888185359</v>
      </c>
      <c r="G35">
        <v>1.8416750519029208</v>
      </c>
      <c r="H35">
        <v>1.9260988599194804</v>
      </c>
      <c r="I35">
        <v>1.9968882386633378</v>
      </c>
      <c r="J35">
        <v>1.929909756681105</v>
      </c>
      <c r="K35">
        <v>2.3950343642418153</v>
      </c>
      <c r="L35">
        <v>1.8320512340009103</v>
      </c>
      <c r="M35">
        <v>1.7048373588164347</v>
      </c>
      <c r="N35">
        <v>1.8393621242611977</v>
      </c>
      <c r="O35">
        <v>1.9040263919236911</v>
      </c>
      <c r="P35">
        <v>1.8579546925814476</v>
      </c>
      <c r="Q35">
        <v>1.3962158113124146</v>
      </c>
    </row>
    <row r="36" spans="1:17" ht="15.75" thickBot="1" x14ac:dyDescent="0.3">
      <c r="A36" s="61">
        <v>31</v>
      </c>
      <c r="B36">
        <f>B35+B35*0.025</f>
        <v>2.648075741609361</v>
      </c>
      <c r="C36">
        <f t="shared" ref="C36:Q50" si="0">C35+C35*0.025</f>
        <v>2.5160368172933949</v>
      </c>
      <c r="D36">
        <f t="shared" si="0"/>
        <v>2.5059303395563561</v>
      </c>
      <c r="E36">
        <f t="shared" si="0"/>
        <v>2.5432513518858637</v>
      </c>
      <c r="F36">
        <f t="shared" si="0"/>
        <v>1.9905187260389994</v>
      </c>
      <c r="G36">
        <f t="shared" si="0"/>
        <v>1.8877169282004937</v>
      </c>
      <c r="H36">
        <f t="shared" si="0"/>
        <v>1.9742513314174674</v>
      </c>
      <c r="I36">
        <f t="shared" si="0"/>
        <v>2.0468104446299211</v>
      </c>
      <c r="J36">
        <f t="shared" si="0"/>
        <v>1.9781575005981327</v>
      </c>
      <c r="K36">
        <f t="shared" si="0"/>
        <v>2.4549102233478606</v>
      </c>
      <c r="L36">
        <f t="shared" si="0"/>
        <v>1.8778525148509331</v>
      </c>
      <c r="M36">
        <f t="shared" si="0"/>
        <v>1.7474582927868456</v>
      </c>
      <c r="N36">
        <f t="shared" si="0"/>
        <v>1.8853461773677276</v>
      </c>
      <c r="O36">
        <f t="shared" si="0"/>
        <v>1.9516270517217833</v>
      </c>
      <c r="P36">
        <f t="shared" si="0"/>
        <v>1.9044035598959839</v>
      </c>
      <c r="Q36">
        <f t="shared" si="0"/>
        <v>1.431121206595225</v>
      </c>
    </row>
    <row r="37" spans="1:17" ht="15.75" thickBot="1" x14ac:dyDescent="0.3">
      <c r="A37" s="61">
        <v>32</v>
      </c>
      <c r="B37">
        <f t="shared" ref="B37:B50" si="1">B36+B36*0.025</f>
        <v>2.7142776351495952</v>
      </c>
      <c r="C37">
        <f t="shared" si="0"/>
        <v>2.5789377377257297</v>
      </c>
      <c r="D37">
        <f t="shared" si="0"/>
        <v>2.5685785980452649</v>
      </c>
      <c r="E37">
        <f t="shared" si="0"/>
        <v>2.6068326356830105</v>
      </c>
      <c r="F37">
        <f t="shared" si="0"/>
        <v>2.0402816941899742</v>
      </c>
      <c r="G37">
        <f t="shared" si="0"/>
        <v>1.9349098514055061</v>
      </c>
      <c r="H37">
        <f t="shared" si="0"/>
        <v>2.0236076147029043</v>
      </c>
      <c r="I37">
        <f t="shared" si="0"/>
        <v>2.0979807057456692</v>
      </c>
      <c r="J37">
        <f t="shared" si="0"/>
        <v>2.0276114381130861</v>
      </c>
      <c r="K37">
        <f t="shared" si="0"/>
        <v>2.5162829789315571</v>
      </c>
      <c r="L37">
        <f t="shared" si="0"/>
        <v>1.9247988277222063</v>
      </c>
      <c r="M37">
        <f t="shared" si="0"/>
        <v>1.7911447501065167</v>
      </c>
      <c r="N37">
        <f t="shared" si="0"/>
        <v>1.9324798318019207</v>
      </c>
      <c r="O37">
        <f t="shared" si="0"/>
        <v>2.0004177280148281</v>
      </c>
      <c r="P37">
        <f t="shared" si="0"/>
        <v>1.9520136488933835</v>
      </c>
      <c r="Q37">
        <f t="shared" si="0"/>
        <v>1.4668992367601057</v>
      </c>
    </row>
    <row r="38" spans="1:17" ht="15.75" thickBot="1" x14ac:dyDescent="0.3">
      <c r="A38" s="61">
        <v>33</v>
      </c>
      <c r="B38">
        <f t="shared" si="1"/>
        <v>2.7821345760283349</v>
      </c>
      <c r="C38">
        <f t="shared" si="0"/>
        <v>2.6434111811688727</v>
      </c>
      <c r="D38">
        <f t="shared" si="0"/>
        <v>2.6327930629963965</v>
      </c>
      <c r="E38">
        <f t="shared" si="0"/>
        <v>2.6720034515750859</v>
      </c>
      <c r="F38">
        <f t="shared" si="0"/>
        <v>2.0912887365447235</v>
      </c>
      <c r="G38">
        <f t="shared" si="0"/>
        <v>1.9832825976906436</v>
      </c>
      <c r="H38">
        <f t="shared" si="0"/>
        <v>2.0741978050704768</v>
      </c>
      <c r="I38">
        <f t="shared" si="0"/>
        <v>2.1504302233893111</v>
      </c>
      <c r="J38">
        <f t="shared" si="0"/>
        <v>2.0783017240659132</v>
      </c>
      <c r="K38">
        <f t="shared" si="0"/>
        <v>2.579190053404846</v>
      </c>
      <c r="L38">
        <f t="shared" si="0"/>
        <v>1.9729187984152614</v>
      </c>
      <c r="M38">
        <f t="shared" si="0"/>
        <v>1.8359233688591796</v>
      </c>
      <c r="N38">
        <f t="shared" si="0"/>
        <v>1.9807918275969687</v>
      </c>
      <c r="O38">
        <f t="shared" si="0"/>
        <v>2.0504281712151986</v>
      </c>
      <c r="P38">
        <f t="shared" si="0"/>
        <v>2.0008139901157183</v>
      </c>
      <c r="Q38">
        <f t="shared" si="0"/>
        <v>1.5035717176791084</v>
      </c>
    </row>
    <row r="39" spans="1:17" ht="15.75" thickBot="1" x14ac:dyDescent="0.3">
      <c r="A39" s="61">
        <v>34</v>
      </c>
      <c r="B39">
        <f t="shared" si="1"/>
        <v>2.8516879404290432</v>
      </c>
      <c r="C39">
        <f t="shared" si="0"/>
        <v>2.7094964606980945</v>
      </c>
      <c r="D39">
        <f t="shared" si="0"/>
        <v>2.6986128895713062</v>
      </c>
      <c r="E39">
        <f t="shared" si="0"/>
        <v>2.7388035378644631</v>
      </c>
      <c r="F39">
        <f t="shared" si="0"/>
        <v>2.1435709549583417</v>
      </c>
      <c r="G39">
        <f t="shared" si="0"/>
        <v>2.0328646626329099</v>
      </c>
      <c r="H39">
        <f t="shared" si="0"/>
        <v>2.1260527501972386</v>
      </c>
      <c r="I39">
        <f t="shared" si="0"/>
        <v>2.2041909789740437</v>
      </c>
      <c r="J39">
        <f t="shared" si="0"/>
        <v>2.1302592671675611</v>
      </c>
      <c r="K39">
        <f t="shared" si="0"/>
        <v>2.6436698047399672</v>
      </c>
      <c r="L39">
        <f t="shared" si="0"/>
        <v>2.0222417683756428</v>
      </c>
      <c r="M39">
        <f t="shared" si="0"/>
        <v>1.8818214530806592</v>
      </c>
      <c r="N39">
        <f t="shared" si="0"/>
        <v>2.030311623286893</v>
      </c>
      <c r="O39">
        <f t="shared" si="0"/>
        <v>2.1016888754955785</v>
      </c>
      <c r="P39">
        <f t="shared" si="0"/>
        <v>2.0508343398686111</v>
      </c>
      <c r="Q39">
        <f t="shared" si="0"/>
        <v>1.541161010621086</v>
      </c>
    </row>
    <row r="40" spans="1:17" ht="15.75" thickBot="1" x14ac:dyDescent="0.3">
      <c r="A40" s="61">
        <v>35</v>
      </c>
      <c r="B40">
        <f t="shared" si="1"/>
        <v>2.9229801389397694</v>
      </c>
      <c r="C40">
        <f t="shared" si="0"/>
        <v>2.7772338722155467</v>
      </c>
      <c r="D40">
        <f t="shared" si="0"/>
        <v>2.7660782118105889</v>
      </c>
      <c r="E40">
        <f t="shared" si="0"/>
        <v>2.8072736263110745</v>
      </c>
      <c r="F40">
        <f t="shared" si="0"/>
        <v>2.1971602288323004</v>
      </c>
      <c r="G40">
        <f t="shared" si="0"/>
        <v>2.0836862791987327</v>
      </c>
      <c r="H40">
        <f t="shared" si="0"/>
        <v>2.1792040689521697</v>
      </c>
      <c r="I40">
        <f t="shared" si="0"/>
        <v>2.2592957534483946</v>
      </c>
      <c r="J40">
        <f t="shared" si="0"/>
        <v>2.1835157488467503</v>
      </c>
      <c r="K40">
        <f t="shared" si="0"/>
        <v>2.7097615498584662</v>
      </c>
      <c r="L40">
        <f t="shared" si="0"/>
        <v>2.0727978125850339</v>
      </c>
      <c r="M40">
        <f t="shared" si="0"/>
        <v>1.9288669894076758</v>
      </c>
      <c r="N40">
        <f t="shared" si="0"/>
        <v>2.0810694138690651</v>
      </c>
      <c r="O40">
        <f t="shared" si="0"/>
        <v>2.1542310973829681</v>
      </c>
      <c r="P40">
        <f t="shared" si="0"/>
        <v>2.1021051983653263</v>
      </c>
      <c r="Q40">
        <f t="shared" si="0"/>
        <v>1.5796900358866131</v>
      </c>
    </row>
    <row r="41" spans="1:17" ht="15.75" thickBot="1" x14ac:dyDescent="0.3">
      <c r="A41" s="61">
        <v>36</v>
      </c>
      <c r="B41">
        <f t="shared" si="1"/>
        <v>2.9960546424132635</v>
      </c>
      <c r="C41">
        <f t="shared" si="0"/>
        <v>2.8466647190209353</v>
      </c>
      <c r="D41">
        <f t="shared" si="0"/>
        <v>2.8352301671058537</v>
      </c>
      <c r="E41">
        <f t="shared" si="0"/>
        <v>2.8774554669688515</v>
      </c>
      <c r="F41">
        <f t="shared" si="0"/>
        <v>2.2520892345531078</v>
      </c>
      <c r="G41">
        <f t="shared" si="0"/>
        <v>2.1357784361787009</v>
      </c>
      <c r="H41">
        <f t="shared" si="0"/>
        <v>2.233684170675974</v>
      </c>
      <c r="I41">
        <f t="shared" si="0"/>
        <v>2.3157781472846044</v>
      </c>
      <c r="J41">
        <f t="shared" si="0"/>
        <v>2.238103642567919</v>
      </c>
      <c r="K41">
        <f t="shared" si="0"/>
        <v>2.777505588604928</v>
      </c>
      <c r="L41">
        <f t="shared" si="0"/>
        <v>2.1246177578996597</v>
      </c>
      <c r="M41">
        <f t="shared" si="0"/>
        <v>1.9770886641428675</v>
      </c>
      <c r="N41">
        <f t="shared" si="0"/>
        <v>2.1330961492157918</v>
      </c>
      <c r="O41">
        <f t="shared" si="0"/>
        <v>2.2080868748175422</v>
      </c>
      <c r="P41">
        <f t="shared" si="0"/>
        <v>2.1546578283244595</v>
      </c>
      <c r="Q41">
        <f t="shared" si="0"/>
        <v>1.6191822867837784</v>
      </c>
    </row>
    <row r="42" spans="1:17" ht="15.75" thickBot="1" x14ac:dyDescent="0.3">
      <c r="A42" s="61">
        <v>37</v>
      </c>
      <c r="B42">
        <f t="shared" si="1"/>
        <v>3.070956008473595</v>
      </c>
      <c r="C42">
        <f t="shared" si="0"/>
        <v>2.9178313369964588</v>
      </c>
      <c r="D42">
        <f t="shared" si="0"/>
        <v>2.9061109212835001</v>
      </c>
      <c r="E42">
        <f t="shared" si="0"/>
        <v>2.9493918536430725</v>
      </c>
      <c r="F42">
        <f t="shared" si="0"/>
        <v>2.3083914654169355</v>
      </c>
      <c r="G42">
        <f t="shared" si="0"/>
        <v>2.1891728970831683</v>
      </c>
      <c r="H42">
        <f t="shared" si="0"/>
        <v>2.2895262749428733</v>
      </c>
      <c r="I42">
        <f t="shared" si="0"/>
        <v>2.3736726009667195</v>
      </c>
      <c r="J42">
        <f t="shared" si="0"/>
        <v>2.2940562336321171</v>
      </c>
      <c r="K42">
        <f t="shared" si="0"/>
        <v>2.8469432283200513</v>
      </c>
      <c r="L42">
        <f t="shared" si="0"/>
        <v>2.1777332018471514</v>
      </c>
      <c r="M42">
        <f t="shared" si="0"/>
        <v>2.0265158807464392</v>
      </c>
      <c r="N42">
        <f t="shared" si="0"/>
        <v>2.1864235529461866</v>
      </c>
      <c r="O42">
        <f t="shared" si="0"/>
        <v>2.2632890466879809</v>
      </c>
      <c r="P42">
        <f t="shared" si="0"/>
        <v>2.208524274032571</v>
      </c>
      <c r="Q42">
        <f t="shared" si="0"/>
        <v>1.6596618439533728</v>
      </c>
    </row>
    <row r="43" spans="1:17" ht="15.75" thickBot="1" x14ac:dyDescent="0.3">
      <c r="A43" s="61">
        <v>38</v>
      </c>
      <c r="B43">
        <f t="shared" si="1"/>
        <v>3.1477299086854349</v>
      </c>
      <c r="C43">
        <f t="shared" si="0"/>
        <v>2.9907771204213702</v>
      </c>
      <c r="D43">
        <f t="shared" si="0"/>
        <v>2.9787636943155875</v>
      </c>
      <c r="E43">
        <f t="shared" si="0"/>
        <v>3.0231266499841492</v>
      </c>
      <c r="F43">
        <f t="shared" si="0"/>
        <v>2.366101252052359</v>
      </c>
      <c r="G43">
        <f t="shared" si="0"/>
        <v>2.2439022195102476</v>
      </c>
      <c r="H43">
        <f t="shared" si="0"/>
        <v>2.3467644318164451</v>
      </c>
      <c r="I43">
        <f t="shared" si="0"/>
        <v>2.4330144159908875</v>
      </c>
      <c r="J43">
        <f t="shared" si="0"/>
        <v>2.35140763947292</v>
      </c>
      <c r="K43">
        <f t="shared" si="0"/>
        <v>2.9181168090280525</v>
      </c>
      <c r="L43">
        <f t="shared" si="0"/>
        <v>2.2321765318933302</v>
      </c>
      <c r="M43">
        <f t="shared" si="0"/>
        <v>2.0771787777651003</v>
      </c>
      <c r="N43">
        <f t="shared" si="0"/>
        <v>2.2410841417698415</v>
      </c>
      <c r="O43">
        <f t="shared" si="0"/>
        <v>2.3198712728551802</v>
      </c>
      <c r="P43">
        <f t="shared" si="0"/>
        <v>2.2637373808833852</v>
      </c>
      <c r="Q43">
        <f t="shared" si="0"/>
        <v>1.7011533900522071</v>
      </c>
    </row>
    <row r="44" spans="1:17" ht="15.75" thickBot="1" x14ac:dyDescent="0.3">
      <c r="A44" s="61">
        <v>39</v>
      </c>
      <c r="B44">
        <f t="shared" si="1"/>
        <v>3.2264231564025709</v>
      </c>
      <c r="C44">
        <f t="shared" si="0"/>
        <v>3.0655465484319047</v>
      </c>
      <c r="D44">
        <f t="shared" si="0"/>
        <v>3.0532327866734774</v>
      </c>
      <c r="E44">
        <f t="shared" si="0"/>
        <v>3.0987048162337527</v>
      </c>
      <c r="F44">
        <f t="shared" si="0"/>
        <v>2.4252537833536678</v>
      </c>
      <c r="G44">
        <f t="shared" si="0"/>
        <v>2.2999997749980037</v>
      </c>
      <c r="H44">
        <f t="shared" si="0"/>
        <v>2.4054335426118563</v>
      </c>
      <c r="I44">
        <f t="shared" si="0"/>
        <v>2.4938397763906597</v>
      </c>
      <c r="J44">
        <f t="shared" si="0"/>
        <v>2.4101928304597431</v>
      </c>
      <c r="K44">
        <f t="shared" si="0"/>
        <v>2.9910697292537538</v>
      </c>
      <c r="L44">
        <f t="shared" si="0"/>
        <v>2.2879809451906636</v>
      </c>
      <c r="M44">
        <f t="shared" si="0"/>
        <v>2.1291082472092278</v>
      </c>
      <c r="N44">
        <f t="shared" si="0"/>
        <v>2.2971112453140874</v>
      </c>
      <c r="O44">
        <f t="shared" si="0"/>
        <v>2.3778680546765596</v>
      </c>
      <c r="P44">
        <f t="shared" si="0"/>
        <v>2.3203308154054696</v>
      </c>
      <c r="Q44">
        <f t="shared" si="0"/>
        <v>1.7436822248035122</v>
      </c>
    </row>
    <row r="45" spans="1:17" ht="15.75" thickBot="1" x14ac:dyDescent="0.3">
      <c r="A45" s="61">
        <v>40</v>
      </c>
      <c r="B45">
        <f t="shared" si="1"/>
        <v>3.3070837353126352</v>
      </c>
      <c r="C45">
        <f t="shared" si="0"/>
        <v>3.1421852121427021</v>
      </c>
      <c r="D45">
        <f t="shared" si="0"/>
        <v>3.1295636063403145</v>
      </c>
      <c r="E45">
        <f t="shared" si="0"/>
        <v>3.1761724366395967</v>
      </c>
      <c r="F45">
        <f t="shared" si="0"/>
        <v>2.4858851279375096</v>
      </c>
      <c r="G45">
        <f t="shared" si="0"/>
        <v>2.3574997693729536</v>
      </c>
      <c r="H45">
        <f t="shared" si="0"/>
        <v>2.4655693811771529</v>
      </c>
      <c r="I45">
        <f t="shared" si="0"/>
        <v>2.5561857708004263</v>
      </c>
      <c r="J45">
        <f t="shared" si="0"/>
        <v>2.4704476512212366</v>
      </c>
      <c r="K45">
        <f t="shared" si="0"/>
        <v>3.0658464724850978</v>
      </c>
      <c r="L45">
        <f t="shared" si="0"/>
        <v>2.3451804688204301</v>
      </c>
      <c r="M45">
        <f t="shared" si="0"/>
        <v>2.1823359533894586</v>
      </c>
      <c r="N45">
        <f t="shared" si="0"/>
        <v>2.3545390264469397</v>
      </c>
      <c r="O45">
        <f t="shared" si="0"/>
        <v>2.4373147560434738</v>
      </c>
      <c r="P45">
        <f t="shared" si="0"/>
        <v>2.3783390857906062</v>
      </c>
      <c r="Q45">
        <f t="shared" si="0"/>
        <v>1.7872742804235999</v>
      </c>
    </row>
    <row r="46" spans="1:17" ht="15.75" thickBot="1" x14ac:dyDescent="0.3">
      <c r="A46" s="61">
        <v>41</v>
      </c>
      <c r="B46">
        <f t="shared" si="1"/>
        <v>3.3897608286954513</v>
      </c>
      <c r="C46">
        <f t="shared" si="0"/>
        <v>3.2207398424462697</v>
      </c>
      <c r="D46">
        <f t="shared" si="0"/>
        <v>3.2078026964988222</v>
      </c>
      <c r="E46">
        <f t="shared" si="0"/>
        <v>3.2555767475555868</v>
      </c>
      <c r="F46">
        <f t="shared" si="0"/>
        <v>2.5480322561359472</v>
      </c>
      <c r="G46">
        <f t="shared" si="0"/>
        <v>2.4164372636072775</v>
      </c>
      <c r="H46">
        <f t="shared" si="0"/>
        <v>2.5272086157065816</v>
      </c>
      <c r="I46">
        <f t="shared" si="0"/>
        <v>2.6200904150704369</v>
      </c>
      <c r="J46">
        <f t="shared" si="0"/>
        <v>2.5322088425017673</v>
      </c>
      <c r="K46">
        <f t="shared" si="0"/>
        <v>3.1424926342972253</v>
      </c>
      <c r="L46">
        <f t="shared" si="0"/>
        <v>2.4038099805409407</v>
      </c>
      <c r="M46">
        <f t="shared" si="0"/>
        <v>2.2368943522241951</v>
      </c>
      <c r="N46">
        <f t="shared" si="0"/>
        <v>2.4134025021081134</v>
      </c>
      <c r="O46">
        <f t="shared" si="0"/>
        <v>2.4982476249445607</v>
      </c>
      <c r="P46">
        <f t="shared" si="0"/>
        <v>2.4377975629353714</v>
      </c>
      <c r="Q46">
        <f t="shared" si="0"/>
        <v>1.8319561374341899</v>
      </c>
    </row>
    <row r="47" spans="1:17" ht="15.75" thickBot="1" x14ac:dyDescent="0.3">
      <c r="A47" s="61">
        <v>42</v>
      </c>
      <c r="B47">
        <f t="shared" si="1"/>
        <v>3.4745048494128374</v>
      </c>
      <c r="C47">
        <f t="shared" si="0"/>
        <v>3.3012583385074263</v>
      </c>
      <c r="D47">
        <f t="shared" si="0"/>
        <v>3.2879977639112927</v>
      </c>
      <c r="E47">
        <f t="shared" si="0"/>
        <v>3.3369661662444763</v>
      </c>
      <c r="F47">
        <f t="shared" si="0"/>
        <v>2.6117330625393458</v>
      </c>
      <c r="G47">
        <f t="shared" si="0"/>
        <v>2.4768481951974595</v>
      </c>
      <c r="H47">
        <f t="shared" si="0"/>
        <v>2.5903888310992462</v>
      </c>
      <c r="I47">
        <f t="shared" si="0"/>
        <v>2.6855926754471979</v>
      </c>
      <c r="J47">
        <f t="shared" si="0"/>
        <v>2.5955140635643112</v>
      </c>
      <c r="K47">
        <f t="shared" si="0"/>
        <v>3.2210549501546559</v>
      </c>
      <c r="L47">
        <f t="shared" si="0"/>
        <v>2.4639052300544644</v>
      </c>
      <c r="M47">
        <f t="shared" si="0"/>
        <v>2.2928167110298001</v>
      </c>
      <c r="N47">
        <f t="shared" si="0"/>
        <v>2.4737375646608162</v>
      </c>
      <c r="O47">
        <f t="shared" si="0"/>
        <v>2.5607038155681745</v>
      </c>
      <c r="P47">
        <f t="shared" si="0"/>
        <v>2.4987425020087559</v>
      </c>
      <c r="Q47">
        <f t="shared" si="0"/>
        <v>1.8777550408700447</v>
      </c>
    </row>
    <row r="48" spans="1:17" ht="15.75" thickBot="1" x14ac:dyDescent="0.3">
      <c r="A48" s="61">
        <v>43</v>
      </c>
      <c r="B48">
        <f t="shared" si="1"/>
        <v>3.5613674706481584</v>
      </c>
      <c r="C48">
        <f t="shared" si="0"/>
        <v>3.3837897969701118</v>
      </c>
      <c r="D48">
        <f t="shared" si="0"/>
        <v>3.370197708009075</v>
      </c>
      <c r="E48">
        <f t="shared" si="0"/>
        <v>3.4203903204005881</v>
      </c>
      <c r="F48">
        <f t="shared" si="0"/>
        <v>2.6770263891028296</v>
      </c>
      <c r="G48">
        <f t="shared" si="0"/>
        <v>2.5387694000773959</v>
      </c>
      <c r="H48">
        <f t="shared" si="0"/>
        <v>2.6551485518767275</v>
      </c>
      <c r="I48">
        <f t="shared" si="0"/>
        <v>2.752732492333378</v>
      </c>
      <c r="J48">
        <f t="shared" si="0"/>
        <v>2.6604019151534191</v>
      </c>
      <c r="K48">
        <f t="shared" si="0"/>
        <v>3.3015813239085223</v>
      </c>
      <c r="L48">
        <f t="shared" si="0"/>
        <v>2.5255028608058261</v>
      </c>
      <c r="M48">
        <f t="shared" si="0"/>
        <v>2.350137128805545</v>
      </c>
      <c r="N48">
        <f t="shared" si="0"/>
        <v>2.5355810037773368</v>
      </c>
      <c r="O48">
        <f t="shared" si="0"/>
        <v>2.6247214109573789</v>
      </c>
      <c r="P48">
        <f t="shared" si="0"/>
        <v>2.5612110645589747</v>
      </c>
      <c r="Q48">
        <f t="shared" si="0"/>
        <v>1.9246989168917958</v>
      </c>
    </row>
    <row r="49" spans="1:17" ht="15.75" thickBot="1" x14ac:dyDescent="0.3">
      <c r="A49" s="61">
        <v>44</v>
      </c>
      <c r="B49">
        <f t="shared" si="1"/>
        <v>3.6504016574143625</v>
      </c>
      <c r="C49">
        <f t="shared" si="0"/>
        <v>3.4683845418943648</v>
      </c>
      <c r="D49">
        <f t="shared" si="0"/>
        <v>3.4544526507093019</v>
      </c>
      <c r="E49">
        <f t="shared" si="0"/>
        <v>3.5059000784106029</v>
      </c>
      <c r="F49">
        <f t="shared" si="0"/>
        <v>2.7439520488304003</v>
      </c>
      <c r="G49">
        <f t="shared" si="0"/>
        <v>2.6022386350793307</v>
      </c>
      <c r="H49">
        <f t="shared" si="0"/>
        <v>2.7215272656736458</v>
      </c>
      <c r="I49">
        <f t="shared" si="0"/>
        <v>2.8215508046417126</v>
      </c>
      <c r="J49">
        <f t="shared" si="0"/>
        <v>2.7269119630322547</v>
      </c>
      <c r="K49">
        <f t="shared" si="0"/>
        <v>3.3841208570062355</v>
      </c>
      <c r="L49">
        <f t="shared" si="0"/>
        <v>2.5886404323259717</v>
      </c>
      <c r="M49">
        <f t="shared" si="0"/>
        <v>2.4088905570256838</v>
      </c>
      <c r="N49">
        <f t="shared" si="0"/>
        <v>2.5989705288717704</v>
      </c>
      <c r="O49">
        <f t="shared" si="0"/>
        <v>2.6903394462313135</v>
      </c>
      <c r="P49">
        <f t="shared" si="0"/>
        <v>2.6252413411729489</v>
      </c>
      <c r="Q49">
        <f t="shared" si="0"/>
        <v>1.9728163898140907</v>
      </c>
    </row>
    <row r="50" spans="1:17" ht="15.75" thickBot="1" x14ac:dyDescent="0.3">
      <c r="A50" s="61">
        <v>45</v>
      </c>
      <c r="B50">
        <f t="shared" si="1"/>
        <v>3.7416616988497218</v>
      </c>
      <c r="C50">
        <f t="shared" si="0"/>
        <v>3.5550941554417239</v>
      </c>
      <c r="D50">
        <f t="shared" si="0"/>
        <v>3.5408139669770344</v>
      </c>
      <c r="E50">
        <f t="shared" si="0"/>
        <v>3.5935475803708679</v>
      </c>
      <c r="F50">
        <f t="shared" si="0"/>
        <v>2.8125508500511605</v>
      </c>
      <c r="G50">
        <f t="shared" si="0"/>
        <v>2.6672946009563141</v>
      </c>
      <c r="H50">
        <f t="shared" si="0"/>
        <v>2.7895654473154869</v>
      </c>
      <c r="I50">
        <f t="shared" si="0"/>
        <v>2.8920895747577555</v>
      </c>
      <c r="J50">
        <f t="shared" si="0"/>
        <v>2.7950847621080612</v>
      </c>
      <c r="K50">
        <f t="shared" si="0"/>
        <v>3.4687238784313914</v>
      </c>
      <c r="L50">
        <f t="shared" si="0"/>
        <v>2.653356443134121</v>
      </c>
      <c r="M50">
        <f t="shared" si="0"/>
        <v>2.469112820951326</v>
      </c>
      <c r="N50">
        <f t="shared" si="0"/>
        <v>2.6639447920935648</v>
      </c>
      <c r="O50">
        <f t="shared" si="0"/>
        <v>2.7575979323870965</v>
      </c>
      <c r="P50">
        <f t="shared" si="0"/>
        <v>2.6908723747022725</v>
      </c>
      <c r="Q50">
        <f t="shared" si="0"/>
        <v>2.0221367995594428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F7" sqref="F7"/>
    </sheetView>
  </sheetViews>
  <sheetFormatPr defaultRowHeight="15" x14ac:dyDescent="0.25"/>
  <cols>
    <col min="2" max="2" width="26.5703125" customWidth="1"/>
    <col min="3" max="7" width="23.42578125" customWidth="1"/>
  </cols>
  <sheetData>
    <row r="1" spans="1:7" x14ac:dyDescent="0.25">
      <c r="A1" s="87" t="s">
        <v>801</v>
      </c>
      <c r="B1" s="83"/>
      <c r="C1" s="83"/>
      <c r="D1" s="83"/>
      <c r="E1" s="83"/>
      <c r="F1" s="534"/>
      <c r="G1" s="534"/>
    </row>
    <row r="2" spans="1:7" x14ac:dyDescent="0.25">
      <c r="A2" s="86"/>
      <c r="B2" s="85" t="s">
        <v>802</v>
      </c>
      <c r="C2" s="84"/>
      <c r="D2" s="83"/>
      <c r="E2" s="83"/>
      <c r="F2" s="534"/>
      <c r="G2" s="534"/>
    </row>
    <row r="3" spans="1:7" x14ac:dyDescent="0.25">
      <c r="A3" s="83"/>
      <c r="B3" s="83"/>
      <c r="C3" s="83"/>
      <c r="D3" s="83" t="s">
        <v>296</v>
      </c>
      <c r="E3" s="83"/>
      <c r="F3" s="83" t="s">
        <v>296</v>
      </c>
      <c r="G3" s="83" t="s">
        <v>296</v>
      </c>
    </row>
    <row r="4" spans="1:7" ht="25.5" x14ac:dyDescent="0.25">
      <c r="A4" s="82" t="s">
        <v>290</v>
      </c>
      <c r="B4" s="82" t="s">
        <v>289</v>
      </c>
      <c r="C4" s="82" t="s">
        <v>295</v>
      </c>
      <c r="D4" s="81" t="s">
        <v>294</v>
      </c>
      <c r="E4" s="81" t="s">
        <v>293</v>
      </c>
      <c r="F4" s="81" t="s">
        <v>292</v>
      </c>
      <c r="G4" s="81" t="s">
        <v>291</v>
      </c>
    </row>
    <row r="5" spans="1:7" x14ac:dyDescent="0.25">
      <c r="A5" s="80"/>
      <c r="B5" s="79" t="s">
        <v>273</v>
      </c>
      <c r="C5" s="79" t="s">
        <v>269</v>
      </c>
      <c r="D5" s="79" t="s">
        <v>265</v>
      </c>
      <c r="E5" s="79" t="s">
        <v>262</v>
      </c>
      <c r="F5" s="79" t="s">
        <v>259</v>
      </c>
      <c r="G5" s="79" t="s">
        <v>260</v>
      </c>
    </row>
    <row r="6" spans="1:7" x14ac:dyDescent="0.25">
      <c r="A6" s="78">
        <v>1</v>
      </c>
      <c r="B6" s="535">
        <v>1.3548293266216893</v>
      </c>
      <c r="C6" s="535">
        <v>1.2783259827605629</v>
      </c>
      <c r="D6" s="535">
        <v>1.4090331034485222</v>
      </c>
      <c r="E6" s="535">
        <v>1.2701980187759467</v>
      </c>
      <c r="F6" s="535">
        <v>1.2717299567634621</v>
      </c>
      <c r="G6" s="535">
        <v>1.2605931792634772</v>
      </c>
    </row>
    <row r="7" spans="1:7" x14ac:dyDescent="0.25">
      <c r="A7" s="78">
        <v>2</v>
      </c>
      <c r="B7" s="536">
        <v>2.6703171371268821</v>
      </c>
      <c r="C7" s="536">
        <v>2.5256353028064855</v>
      </c>
      <c r="D7" s="536">
        <v>2.7745536055735758</v>
      </c>
      <c r="E7" s="536">
        <v>2.5099129709184367</v>
      </c>
      <c r="F7" s="536">
        <v>2.5128326894778721</v>
      </c>
      <c r="G7" s="536">
        <v>2.4916927001135982</v>
      </c>
    </row>
    <row r="8" spans="1:7" x14ac:dyDescent="0.25">
      <c r="A8" s="78">
        <v>3</v>
      </c>
      <c r="B8" s="536">
        <v>3.9276869580520901</v>
      </c>
      <c r="C8" s="536">
        <v>3.7195748779605644</v>
      </c>
      <c r="D8" s="536">
        <v>4.0784645301625151</v>
      </c>
      <c r="E8" s="536">
        <v>3.6967442601345879</v>
      </c>
      <c r="F8" s="536">
        <v>3.7009293790160172</v>
      </c>
      <c r="G8" s="536">
        <v>3.6704308803943571</v>
      </c>
    </row>
    <row r="9" spans="1:7" x14ac:dyDescent="0.25">
      <c r="A9" s="78">
        <v>4</v>
      </c>
      <c r="B9" s="536">
        <v>5.105485487101495</v>
      </c>
      <c r="C9" s="536">
        <v>4.8397103792845089</v>
      </c>
      <c r="D9" s="536">
        <v>5.2984538381854716</v>
      </c>
      <c r="E9" s="536">
        <v>4.810525532358044</v>
      </c>
      <c r="F9" s="536">
        <v>4.8158058898669278</v>
      </c>
      <c r="G9" s="536">
        <v>4.776582361722352</v>
      </c>
    </row>
    <row r="10" spans="1:7" x14ac:dyDescent="0.25">
      <c r="A10" s="78">
        <v>5</v>
      </c>
      <c r="B10" s="536">
        <v>6.2376926190591853</v>
      </c>
      <c r="C10" s="536">
        <v>5.9185825143515052</v>
      </c>
      <c r="D10" s="536">
        <v>6.4708722469310898</v>
      </c>
      <c r="E10" s="536">
        <v>5.8833792450153606</v>
      </c>
      <c r="F10" s="536">
        <v>5.8896942272271122</v>
      </c>
      <c r="G10" s="536">
        <v>5.8423316726130547</v>
      </c>
    </row>
    <row r="11" spans="1:7" x14ac:dyDescent="0.25">
      <c r="A11" s="78">
        <v>6</v>
      </c>
      <c r="B11" s="536">
        <v>7.3090858923981754</v>
      </c>
      <c r="C11" s="536">
        <v>6.9445653103477598</v>
      </c>
      <c r="D11" s="536">
        <v>7.5780765075568528</v>
      </c>
      <c r="E11" s="536">
        <v>6.9040722146551214</v>
      </c>
      <c r="F11" s="536">
        <v>6.9112600527923691</v>
      </c>
      <c r="G11" s="536">
        <v>6.8569601049926145</v>
      </c>
    </row>
    <row r="12" spans="1:7" x14ac:dyDescent="0.25">
      <c r="A12" s="78">
        <v>7</v>
      </c>
      <c r="B12" s="536">
        <v>8.2965739434760017</v>
      </c>
      <c r="C12" s="536">
        <v>7.8937745046652577</v>
      </c>
      <c r="D12" s="536">
        <v>8.5973725795570992</v>
      </c>
      <c r="E12" s="536">
        <v>7.8486517965962808</v>
      </c>
      <c r="F12" s="536">
        <v>7.8565835530610908</v>
      </c>
      <c r="G12" s="536">
        <v>7.7964113979254606</v>
      </c>
    </row>
    <row r="13" spans="1:7" x14ac:dyDescent="0.25">
      <c r="A13" s="78">
        <v>8</v>
      </c>
      <c r="B13" s="536">
        <v>9.2402926861246115</v>
      </c>
      <c r="C13" s="536">
        <v>8.8056338781240395</v>
      </c>
      <c r="D13" s="536">
        <v>9.5692560985168402</v>
      </c>
      <c r="E13" s="536">
        <v>8.7564800537054648</v>
      </c>
      <c r="F13" s="536">
        <v>8.7650182872500775</v>
      </c>
      <c r="G13" s="536">
        <v>8.6999545232915043</v>
      </c>
    </row>
    <row r="14" spans="1:7" x14ac:dyDescent="0.25">
      <c r="A14" s="78">
        <v>9</v>
      </c>
      <c r="B14" s="536">
        <v>10.171846900283375</v>
      </c>
      <c r="C14" s="536">
        <v>9.7086765486627176</v>
      </c>
      <c r="D14" s="536">
        <v>10.527120026479889</v>
      </c>
      <c r="E14" s="536">
        <v>9.6557533900553612</v>
      </c>
      <c r="F14" s="536">
        <v>9.6648276418517671</v>
      </c>
      <c r="G14" s="536">
        <v>9.5954195456748028</v>
      </c>
    </row>
    <row r="15" spans="1:7" x14ac:dyDescent="0.25">
      <c r="A15" s="78">
        <v>10</v>
      </c>
      <c r="B15" s="536">
        <v>11.097220676194201</v>
      </c>
      <c r="C15" s="536">
        <v>10.604958181117064</v>
      </c>
      <c r="D15" s="536">
        <v>11.478464345330913</v>
      </c>
      <c r="E15" s="536">
        <v>10.548384560088387</v>
      </c>
      <c r="F15" s="536">
        <v>10.557967672064937</v>
      </c>
      <c r="G15" s="536">
        <v>10.48408293020751</v>
      </c>
    </row>
    <row r="16" spans="1:7" x14ac:dyDescent="0.25">
      <c r="A16" s="78">
        <v>11</v>
      </c>
      <c r="B16" s="536">
        <v>12.013301571999582</v>
      </c>
      <c r="C16" s="536">
        <v>11.495580288783781</v>
      </c>
      <c r="D16" s="536">
        <v>12.418024223895989</v>
      </c>
      <c r="E16" s="536">
        <v>11.435712291102105</v>
      </c>
      <c r="F16" s="536">
        <v>11.445681081162315</v>
      </c>
      <c r="G16" s="536">
        <v>11.367913647559428</v>
      </c>
    </row>
    <row r="17" spans="1:7" x14ac:dyDescent="0.25">
      <c r="A17" s="78">
        <v>12</v>
      </c>
      <c r="B17" s="536">
        <v>12.921667693276778</v>
      </c>
      <c r="C17" s="536">
        <v>12.379986313269537</v>
      </c>
      <c r="D17" s="536">
        <v>13.348664480611172</v>
      </c>
      <c r="E17" s="536">
        <v>12.316974764501182</v>
      </c>
      <c r="F17" s="536">
        <v>12.327288188317333</v>
      </c>
      <c r="G17" s="536">
        <v>12.245957445397476</v>
      </c>
    </row>
    <row r="18" spans="1:7" x14ac:dyDescent="0.25">
      <c r="A18" s="78">
        <v>13</v>
      </c>
      <c r="B18" s="536">
        <v>13.796231195243948</v>
      </c>
      <c r="C18" s="536">
        <v>13.232715973047561</v>
      </c>
      <c r="D18" s="536">
        <v>14.243162025160677</v>
      </c>
      <c r="E18" s="536">
        <v>13.166974994403176</v>
      </c>
      <c r="F18" s="536">
        <v>13.177536997274302</v>
      </c>
      <c r="G18" s="536">
        <v>13.092744343719232</v>
      </c>
    </row>
    <row r="19" spans="1:7" x14ac:dyDescent="0.25">
      <c r="A19" s="78">
        <v>14</v>
      </c>
      <c r="B19" s="536">
        <v>14.647673017099962</v>
      </c>
      <c r="C19" s="536">
        <v>14.06421015641665</v>
      </c>
      <c r="D19" s="536">
        <v>15.113453770181598</v>
      </c>
      <c r="E19" s="536">
        <v>13.995830435060276</v>
      </c>
      <c r="F19" s="536">
        <v>14.006622677560234</v>
      </c>
      <c r="G19" s="536">
        <v>13.918735600809592</v>
      </c>
    </row>
    <row r="20" spans="1:7" x14ac:dyDescent="0.25">
      <c r="A20" s="78">
        <v>15</v>
      </c>
      <c r="B20" s="536">
        <v>15.482479593143392</v>
      </c>
      <c r="C20" s="536">
        <v>14.879870545519662</v>
      </c>
      <c r="D20" s="536">
        <v>15.966635320841888</v>
      </c>
      <c r="E20" s="536">
        <v>14.808962801648661</v>
      </c>
      <c r="F20" s="536">
        <v>14.819972156103706</v>
      </c>
      <c r="G20" s="536">
        <v>14.729121422760718</v>
      </c>
    </row>
    <row r="21" spans="1:7" x14ac:dyDescent="0.25">
      <c r="A21" s="78">
        <v>16</v>
      </c>
      <c r="B21" s="536">
        <v>16.297072406892482</v>
      </c>
      <c r="C21" s="536">
        <v>15.676851389933049</v>
      </c>
      <c r="D21" s="536">
        <v>16.798346568551668</v>
      </c>
      <c r="E21" s="536">
        <v>15.603617051117684</v>
      </c>
      <c r="F21" s="536">
        <v>15.614804367415214</v>
      </c>
      <c r="G21" s="536">
        <v>15.521186052358718</v>
      </c>
    </row>
    <row r="22" spans="1:7" x14ac:dyDescent="0.25">
      <c r="A22" s="78">
        <v>17</v>
      </c>
      <c r="B22" s="536">
        <v>17.094294898378461</v>
      </c>
      <c r="C22" s="536">
        <v>16.458230562989971</v>
      </c>
      <c r="D22" s="536">
        <v>17.610573948130622</v>
      </c>
      <c r="E22" s="536">
        <v>16.383009569706818</v>
      </c>
      <c r="F22" s="536">
        <v>16.394281334355608</v>
      </c>
      <c r="G22" s="536">
        <v>16.298113248776762</v>
      </c>
    </row>
    <row r="23" spans="1:7" x14ac:dyDescent="0.25">
      <c r="A23" s="78">
        <v>18</v>
      </c>
      <c r="B23" s="536">
        <v>17.876078617173665</v>
      </c>
      <c r="C23" s="536">
        <v>17.225702720326968</v>
      </c>
      <c r="D23" s="536">
        <v>18.407269061097811</v>
      </c>
      <c r="E23" s="536">
        <v>17.148420792828684</v>
      </c>
      <c r="F23" s="536">
        <v>17.159809712523099</v>
      </c>
      <c r="G23" s="536">
        <v>17.06146079087577</v>
      </c>
    </row>
    <row r="24" spans="1:7" x14ac:dyDescent="0.25">
      <c r="A24" s="78">
        <v>19</v>
      </c>
      <c r="B24" s="536">
        <v>18.645684131096878</v>
      </c>
      <c r="C24" s="536">
        <v>17.980381190556535</v>
      </c>
      <c r="D24" s="536">
        <v>19.191170428372999</v>
      </c>
      <c r="E24" s="536">
        <v>17.901186507953973</v>
      </c>
      <c r="F24" s="536">
        <v>17.91265304137648</v>
      </c>
      <c r="G24" s="536">
        <v>17.812040690966928</v>
      </c>
    </row>
    <row r="25" spans="1:7" x14ac:dyDescent="0.25">
      <c r="A25" s="78">
        <v>20</v>
      </c>
      <c r="B25" s="536">
        <v>19.395541552048424</v>
      </c>
      <c r="C25" s="536">
        <v>18.71534547322053</v>
      </c>
      <c r="D25" s="536">
        <v>19.954963719449555</v>
      </c>
      <c r="E25" s="536">
        <v>18.634253875446653</v>
      </c>
      <c r="F25" s="536">
        <v>18.645809797254003</v>
      </c>
      <c r="G25" s="536">
        <v>18.542967902840608</v>
      </c>
    </row>
    <row r="26" spans="1:7" x14ac:dyDescent="0.25">
      <c r="A26" s="78">
        <v>21</v>
      </c>
      <c r="B26" s="536">
        <v>20.12600161164238</v>
      </c>
      <c r="C26" s="536">
        <v>19.430864940616299</v>
      </c>
      <c r="D26" s="536">
        <v>20.699016097878086</v>
      </c>
      <c r="E26" s="536">
        <v>19.347929601304543</v>
      </c>
      <c r="F26" s="536">
        <v>19.359581397508144</v>
      </c>
      <c r="G26" s="536">
        <v>19.25450665130932</v>
      </c>
    </row>
    <row r="27" spans="1:7" x14ac:dyDescent="0.25">
      <c r="A27" s="78">
        <v>22</v>
      </c>
      <c r="B27" s="536">
        <v>20.838159707120742</v>
      </c>
      <c r="C27" s="536">
        <v>20.130458003874452</v>
      </c>
      <c r="D27" s="536">
        <v>21.423692429499123</v>
      </c>
      <c r="E27" s="536">
        <v>20.045790710276801</v>
      </c>
      <c r="F27" s="536">
        <v>20.05751738887837</v>
      </c>
      <c r="G27" s="536">
        <v>19.950631021797587</v>
      </c>
    </row>
    <row r="28" spans="1:7" x14ac:dyDescent="0.25">
      <c r="A28" s="78">
        <v>23</v>
      </c>
      <c r="B28" s="536">
        <v>21.534762552532349</v>
      </c>
      <c r="C28" s="536">
        <v>20.814828670434267</v>
      </c>
      <c r="D28" s="536">
        <v>22.132338291188997</v>
      </c>
      <c r="E28" s="536">
        <v>20.728497505416151</v>
      </c>
      <c r="F28" s="536">
        <v>20.740284657369138</v>
      </c>
      <c r="G28" s="536">
        <v>20.631690689562106</v>
      </c>
    </row>
    <row r="29" spans="1:7" x14ac:dyDescent="0.25">
      <c r="A29" s="78">
        <v>24</v>
      </c>
      <c r="B29" s="536">
        <v>22.220404330844186</v>
      </c>
      <c r="C29" s="536">
        <v>21.488853450540624</v>
      </c>
      <c r="D29" s="536">
        <v>22.829600383167168</v>
      </c>
      <c r="E29" s="536">
        <v>21.400929340757678</v>
      </c>
      <c r="F29" s="536">
        <v>21.41276870738788</v>
      </c>
      <c r="G29" s="536">
        <v>21.302576549581769</v>
      </c>
    </row>
    <row r="30" spans="1:7" x14ac:dyDescent="0.25">
      <c r="A30" s="78">
        <v>25</v>
      </c>
      <c r="B30" s="536">
        <v>22.891286501587491</v>
      </c>
      <c r="C30" s="536">
        <v>22.147461792631514</v>
      </c>
      <c r="D30" s="536">
        <v>23.511725739128039</v>
      </c>
      <c r="E30" s="536">
        <v>22.058007254103462</v>
      </c>
      <c r="F30" s="536">
        <v>22.069894382954804</v>
      </c>
      <c r="G30" s="536">
        <v>21.957979013311917</v>
      </c>
    </row>
    <row r="31" spans="1:7" x14ac:dyDescent="0.25">
      <c r="A31" s="78">
        <v>26</v>
      </c>
      <c r="B31" s="536">
        <v>23.544018680395276</v>
      </c>
      <c r="C31" s="536">
        <v>22.788875198665764</v>
      </c>
      <c r="D31" s="536">
        <v>24.175314859138581</v>
      </c>
      <c r="E31" s="536">
        <v>22.697926378291946</v>
      </c>
      <c r="F31" s="536">
        <v>22.709857133440494</v>
      </c>
      <c r="G31" s="536">
        <v>22.596404532368936</v>
      </c>
    </row>
    <row r="32" spans="1:7" x14ac:dyDescent="0.25">
      <c r="A32" s="78">
        <v>27</v>
      </c>
      <c r="B32" s="536">
        <v>24.181369765158546</v>
      </c>
      <c r="C32" s="536">
        <v>23.414500873527494</v>
      </c>
      <c r="D32" s="536">
        <v>24.823203013912028</v>
      </c>
      <c r="E32" s="536">
        <v>23.322090448627801</v>
      </c>
      <c r="F32" s="536">
        <v>23.334064886867765</v>
      </c>
      <c r="G32" s="536">
        <v>23.219028694999231</v>
      </c>
    </row>
    <row r="33" spans="1:7" ht="15.75" thickBot="1" x14ac:dyDescent="0.3">
      <c r="A33" s="78">
        <v>28</v>
      </c>
      <c r="B33" s="537">
        <v>24.792559579067529</v>
      </c>
      <c r="C33" s="537">
        <v>24.014628229285524</v>
      </c>
      <c r="D33" s="537">
        <v>25.444299524624153</v>
      </c>
      <c r="E33" s="537">
        <v>23.920840973595908</v>
      </c>
      <c r="F33" s="537">
        <v>23.932849622765694</v>
      </c>
      <c r="G33" s="537">
        <v>23.81633189538293</v>
      </c>
    </row>
    <row r="34" spans="1:7" ht="15.75" thickBot="1" x14ac:dyDescent="0.3">
      <c r="A34" s="78">
        <v>29</v>
      </c>
      <c r="B34" s="537">
        <v>25.378673275306259</v>
      </c>
      <c r="C34" s="537">
        <v>24.590303575030152</v>
      </c>
      <c r="D34" s="537">
        <v>26.039728048900621</v>
      </c>
      <c r="E34" s="537">
        <v>24.4952191983696</v>
      </c>
      <c r="F34" s="537">
        <v>24.507253458791858</v>
      </c>
      <c r="G34" s="537">
        <v>24.389349703857743</v>
      </c>
    </row>
    <row r="35" spans="1:7" ht="15.75" thickBot="1" x14ac:dyDescent="0.3">
      <c r="A35" s="77">
        <v>30</v>
      </c>
      <c r="B35" s="537">
        <v>25.940750288939842</v>
      </c>
      <c r="C35" s="537">
        <v>25.146697185263925</v>
      </c>
      <c r="D35" s="537">
        <v>26.620147574163685</v>
      </c>
      <c r="E35" s="537">
        <v>25.050036931447131</v>
      </c>
      <c r="F35" s="537">
        <v>25.062194242566939</v>
      </c>
      <c r="G35" s="537">
        <v>24.942471364130423</v>
      </c>
    </row>
    <row r="36" spans="1:7" ht="15.75" thickBot="1" x14ac:dyDescent="0.3">
      <c r="A36" s="76">
        <v>31</v>
      </c>
      <c r="B36" s="537">
        <f t="shared" ref="B36:G50" si="0">B35+B35*0.025</f>
        <v>26.589269046163338</v>
      </c>
      <c r="C36" s="537">
        <f t="shared" si="0"/>
        <v>25.775364614895523</v>
      </c>
      <c r="D36" s="537">
        <f t="shared" si="0"/>
        <v>27.285651263517778</v>
      </c>
      <c r="E36" s="537">
        <f t="shared" si="0"/>
        <v>25.67628785473331</v>
      </c>
      <c r="F36" s="537">
        <f t="shared" si="0"/>
        <v>25.688749098631114</v>
      </c>
      <c r="G36" s="537">
        <f t="shared" si="0"/>
        <v>25.566033148233682</v>
      </c>
    </row>
    <row r="37" spans="1:7" ht="15.75" thickBot="1" x14ac:dyDescent="0.3">
      <c r="A37" s="75">
        <v>32</v>
      </c>
      <c r="B37" s="538">
        <f t="shared" si="0"/>
        <v>27.254000772317422</v>
      </c>
      <c r="C37" s="538">
        <f t="shared" si="0"/>
        <v>26.419748730267912</v>
      </c>
      <c r="D37" s="538">
        <f t="shared" si="0"/>
        <v>27.967792545105723</v>
      </c>
      <c r="E37" s="538">
        <f t="shared" si="0"/>
        <v>26.318195051101643</v>
      </c>
      <c r="F37" s="538">
        <f t="shared" si="0"/>
        <v>26.330967826096892</v>
      </c>
      <c r="G37" s="538">
        <f t="shared" si="0"/>
        <v>26.205183976939523</v>
      </c>
    </row>
    <row r="38" spans="1:7" ht="15.75" thickBot="1" x14ac:dyDescent="0.3">
      <c r="A38" s="75">
        <v>33</v>
      </c>
      <c r="B38" s="538">
        <f t="shared" si="0"/>
        <v>27.935350791625357</v>
      </c>
      <c r="C38" s="538">
        <f t="shared" si="0"/>
        <v>27.080242448524611</v>
      </c>
      <c r="D38" s="538">
        <f t="shared" si="0"/>
        <v>28.666987358733365</v>
      </c>
      <c r="E38" s="538">
        <f t="shared" si="0"/>
        <v>26.976149927379183</v>
      </c>
      <c r="F38" s="538">
        <f t="shared" si="0"/>
        <v>26.989242021749313</v>
      </c>
      <c r="G38" s="538">
        <f t="shared" si="0"/>
        <v>26.860313576363012</v>
      </c>
    </row>
    <row r="39" spans="1:7" ht="15.75" thickBot="1" x14ac:dyDescent="0.3">
      <c r="A39" s="75">
        <v>34</v>
      </c>
      <c r="B39" s="538">
        <f t="shared" si="0"/>
        <v>28.633734561415991</v>
      </c>
      <c r="C39" s="538">
        <f t="shared" si="0"/>
        <v>27.757248509737728</v>
      </c>
      <c r="D39" s="538">
        <f t="shared" si="0"/>
        <v>29.383662042701701</v>
      </c>
      <c r="E39" s="538">
        <f t="shared" si="0"/>
        <v>27.650553675563664</v>
      </c>
      <c r="F39" s="538">
        <f t="shared" si="0"/>
        <v>27.663973072293047</v>
      </c>
      <c r="G39" s="538">
        <f t="shared" si="0"/>
        <v>27.531821415772086</v>
      </c>
    </row>
    <row r="40" spans="1:7" ht="15.75" thickBot="1" x14ac:dyDescent="0.3">
      <c r="A40" s="75">
        <v>35</v>
      </c>
      <c r="B40" s="538">
        <f t="shared" si="0"/>
        <v>29.349577925451392</v>
      </c>
      <c r="C40" s="538">
        <f t="shared" si="0"/>
        <v>28.451179722481172</v>
      </c>
      <c r="D40" s="538">
        <f t="shared" si="0"/>
        <v>30.118253593769243</v>
      </c>
      <c r="E40" s="538">
        <f t="shared" si="0"/>
        <v>28.341817517452757</v>
      </c>
      <c r="F40" s="538">
        <f t="shared" si="0"/>
        <v>28.355572399100375</v>
      </c>
      <c r="G40" s="538">
        <f t="shared" si="0"/>
        <v>28.220116951166389</v>
      </c>
    </row>
    <row r="41" spans="1:7" ht="15.75" thickBot="1" x14ac:dyDescent="0.3">
      <c r="A41" s="75">
        <v>36</v>
      </c>
      <c r="B41" s="538">
        <f t="shared" si="0"/>
        <v>30.083317373587676</v>
      </c>
      <c r="C41" s="538">
        <f t="shared" si="0"/>
        <v>29.162459215543201</v>
      </c>
      <c r="D41" s="538">
        <f t="shared" si="0"/>
        <v>30.871209933613475</v>
      </c>
      <c r="E41" s="538">
        <f t="shared" si="0"/>
        <v>29.050362955389076</v>
      </c>
      <c r="F41" s="538">
        <f t="shared" si="0"/>
        <v>29.064461709077882</v>
      </c>
      <c r="G41" s="538">
        <f t="shared" si="0"/>
        <v>28.92561987494555</v>
      </c>
    </row>
    <row r="42" spans="1:7" ht="15.75" thickBot="1" x14ac:dyDescent="0.3">
      <c r="A42" s="75">
        <v>37</v>
      </c>
      <c r="B42" s="538">
        <f t="shared" si="0"/>
        <v>30.835400307927369</v>
      </c>
      <c r="C42" s="538">
        <f t="shared" si="0"/>
        <v>29.891520695931781</v>
      </c>
      <c r="D42" s="538">
        <f t="shared" si="0"/>
        <v>31.642990181953813</v>
      </c>
      <c r="E42" s="538">
        <f t="shared" si="0"/>
        <v>29.776622029273803</v>
      </c>
      <c r="F42" s="538">
        <f t="shared" si="0"/>
        <v>29.791073251804828</v>
      </c>
      <c r="G42" s="538">
        <f t="shared" si="0"/>
        <v>29.64876037181919</v>
      </c>
    </row>
    <row r="43" spans="1:7" ht="15.75" thickBot="1" x14ac:dyDescent="0.3">
      <c r="A43" s="75">
        <v>38</v>
      </c>
      <c r="B43" s="538">
        <f t="shared" si="0"/>
        <v>31.606285315625552</v>
      </c>
      <c r="C43" s="538">
        <f t="shared" si="0"/>
        <v>30.638808713330075</v>
      </c>
      <c r="D43" s="538">
        <f t="shared" si="0"/>
        <v>32.434064936502658</v>
      </c>
      <c r="E43" s="538">
        <f t="shared" si="0"/>
        <v>30.521037580005647</v>
      </c>
      <c r="F43" s="538">
        <f t="shared" si="0"/>
        <v>30.535850083099948</v>
      </c>
      <c r="G43" s="538">
        <f t="shared" si="0"/>
        <v>30.389979381114671</v>
      </c>
    </row>
    <row r="44" spans="1:7" ht="15.75" thickBot="1" x14ac:dyDescent="0.3">
      <c r="A44" s="75">
        <v>39</v>
      </c>
      <c r="B44" s="538">
        <f t="shared" si="0"/>
        <v>32.39644244851619</v>
      </c>
      <c r="C44" s="538">
        <f t="shared" si="0"/>
        <v>31.404778931163328</v>
      </c>
      <c r="D44" s="538">
        <f t="shared" si="0"/>
        <v>33.244916559915225</v>
      </c>
      <c r="E44" s="538">
        <f t="shared" si="0"/>
        <v>31.284063519505789</v>
      </c>
      <c r="F44" s="538">
        <f t="shared" si="0"/>
        <v>31.299246335177447</v>
      </c>
      <c r="G44" s="538">
        <f t="shared" si="0"/>
        <v>31.149728865642537</v>
      </c>
    </row>
    <row r="45" spans="1:7" ht="15.75" thickBot="1" x14ac:dyDescent="0.3">
      <c r="A45" s="75">
        <v>40</v>
      </c>
      <c r="B45" s="538">
        <f t="shared" si="0"/>
        <v>33.206353509729098</v>
      </c>
      <c r="C45" s="538">
        <f t="shared" si="0"/>
        <v>32.18989840444241</v>
      </c>
      <c r="D45" s="538">
        <f t="shared" si="0"/>
        <v>34.076039473913106</v>
      </c>
      <c r="E45" s="538">
        <f t="shared" si="0"/>
        <v>32.066165107493433</v>
      </c>
      <c r="F45" s="538">
        <f t="shared" si="0"/>
        <v>32.081727493556883</v>
      </c>
      <c r="G45" s="538">
        <f t="shared" si="0"/>
        <v>31.928472087283602</v>
      </c>
    </row>
    <row r="46" spans="1:7" ht="15.75" thickBot="1" x14ac:dyDescent="0.3">
      <c r="A46" s="75">
        <v>41</v>
      </c>
      <c r="B46" s="538">
        <f t="shared" si="0"/>
        <v>34.036512347472325</v>
      </c>
      <c r="C46" s="538">
        <f t="shared" si="0"/>
        <v>32.994645864553469</v>
      </c>
      <c r="D46" s="538">
        <f t="shared" si="0"/>
        <v>34.927940460760937</v>
      </c>
      <c r="E46" s="538">
        <f t="shared" si="0"/>
        <v>32.867819235180768</v>
      </c>
      <c r="F46" s="538">
        <f t="shared" si="0"/>
        <v>32.883770680895807</v>
      </c>
      <c r="G46" s="538">
        <f t="shared" si="0"/>
        <v>32.72668388946569</v>
      </c>
    </row>
    <row r="47" spans="1:7" ht="15.75" thickBot="1" x14ac:dyDescent="0.3">
      <c r="A47" s="75">
        <v>42</v>
      </c>
      <c r="B47" s="538">
        <f t="shared" si="0"/>
        <v>34.887425156159132</v>
      </c>
      <c r="C47" s="538">
        <f t="shared" si="0"/>
        <v>33.819512011167305</v>
      </c>
      <c r="D47" s="538">
        <f t="shared" si="0"/>
        <v>35.801138972279958</v>
      </c>
      <c r="E47" s="538">
        <f t="shared" si="0"/>
        <v>33.689514716060287</v>
      </c>
      <c r="F47" s="538">
        <f t="shared" si="0"/>
        <v>33.705864947918201</v>
      </c>
      <c r="G47" s="538">
        <f t="shared" si="0"/>
        <v>33.544850986702329</v>
      </c>
    </row>
    <row r="48" spans="1:7" ht="15.75" thickBot="1" x14ac:dyDescent="0.3">
      <c r="A48" s="75">
        <v>43</v>
      </c>
      <c r="B48" s="538">
        <f t="shared" si="0"/>
        <v>35.75961078506311</v>
      </c>
      <c r="C48" s="538">
        <f t="shared" si="0"/>
        <v>34.664999811446485</v>
      </c>
      <c r="D48" s="538">
        <f t="shared" si="0"/>
        <v>36.696167446586955</v>
      </c>
      <c r="E48" s="538">
        <f t="shared" si="0"/>
        <v>34.531752583961797</v>
      </c>
      <c r="F48" s="538">
        <f t="shared" si="0"/>
        <v>34.548511571616153</v>
      </c>
      <c r="G48" s="538">
        <f t="shared" si="0"/>
        <v>34.383472261369889</v>
      </c>
    </row>
    <row r="49" spans="1:7" ht="15.75" thickBot="1" x14ac:dyDescent="0.3">
      <c r="A49" s="75">
        <v>44</v>
      </c>
      <c r="B49" s="538">
        <f t="shared" si="0"/>
        <v>36.653601054689688</v>
      </c>
      <c r="C49" s="538">
        <f t="shared" si="0"/>
        <v>35.531624806732644</v>
      </c>
      <c r="D49" s="538">
        <f t="shared" si="0"/>
        <v>37.613571632751629</v>
      </c>
      <c r="E49" s="538">
        <f t="shared" si="0"/>
        <v>35.395046398560844</v>
      </c>
      <c r="F49" s="538">
        <f t="shared" si="0"/>
        <v>35.412224360906556</v>
      </c>
      <c r="G49" s="538">
        <f t="shared" si="0"/>
        <v>35.243059067904134</v>
      </c>
    </row>
    <row r="50" spans="1:7" ht="15.75" thickBot="1" x14ac:dyDescent="0.3">
      <c r="A50" s="75">
        <v>45</v>
      </c>
      <c r="B50" s="538">
        <f t="shared" si="0"/>
        <v>37.569941081056932</v>
      </c>
      <c r="C50" s="538">
        <f t="shared" si="0"/>
        <v>36.419915426900957</v>
      </c>
      <c r="D50" s="538">
        <f t="shared" si="0"/>
        <v>38.55391092357042</v>
      </c>
      <c r="E50" s="538">
        <f t="shared" si="0"/>
        <v>36.279922558524866</v>
      </c>
      <c r="F50" s="538">
        <f t="shared" si="0"/>
        <v>36.297529969929222</v>
      </c>
      <c r="G50" s="538">
        <f t="shared" si="0"/>
        <v>36.124135544601735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18230626</v>
      </c>
      <c r="D2" s="19" t="s">
        <v>75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18230626</v>
      </c>
      <c r="D5" s="91" t="s">
        <v>75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800</v>
      </c>
      <c r="K5" s="40">
        <v>1360.37</v>
      </c>
      <c r="L5" s="40">
        <v>0</v>
      </c>
      <c r="M5" s="41">
        <v>500</v>
      </c>
      <c r="N5" s="41">
        <v>775.87507373619792</v>
      </c>
      <c r="O5" s="42">
        <v>1088296</v>
      </c>
      <c r="P5" s="43">
        <v>400000</v>
      </c>
      <c r="Q5" s="43">
        <v>620700.05898895836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9.8625564945509989</v>
      </c>
      <c r="V5" s="47">
        <f t="shared" ref="V5:V24" si="2">N5-M5</f>
        <v>275.87507373619792</v>
      </c>
      <c r="W5" s="48">
        <f t="shared" ref="W5:W24" si="3">(O5/A$10)</f>
        <v>0.75865819188853834</v>
      </c>
      <c r="X5" s="43">
        <f t="shared" ref="X5:X24" si="4">W5*A$8</f>
        <v>817158.32506506355</v>
      </c>
      <c r="Y5" s="43">
        <f t="shared" ref="Y5:Y24" si="5">Q5-P5</f>
        <v>220700.05898895836</v>
      </c>
      <c r="Z5" s="43">
        <f t="shared" ref="Z5:Z24" si="6">X5+(A$6*W5)</f>
        <v>1279140.9550410132</v>
      </c>
      <c r="AA5" s="49">
        <f t="shared" ref="AA5:AA24" si="7">Q5+X5</f>
        <v>1437858.3840540219</v>
      </c>
      <c r="AB5" s="50">
        <f t="shared" ref="AB5:AC20" si="8">Z5/(1+ElecDiscountRate)^1</f>
        <v>1197697.5234466414</v>
      </c>
      <c r="AC5" s="43">
        <f t="shared" si="8"/>
        <v>1346309.348365189</v>
      </c>
      <c r="AD5" s="43">
        <f t="shared" ref="AD5:AD24" si="9">-PV(ElecDiscountRate,T5,R5)*J5</f>
        <v>25271.077781939439</v>
      </c>
      <c r="AE5" s="43">
        <v>0</v>
      </c>
      <c r="AF5" s="51">
        <f>HLOOKUP(I5,ElecAvoidedCostsWOCC!$A$5:$Q$50,G5+1,FALSE)</f>
        <v>1.262268642203892</v>
      </c>
      <c r="AG5" s="43">
        <f t="shared" ref="AG5:AG24" si="10">AF5*J5*K5</f>
        <v>1373721.9142359267</v>
      </c>
      <c r="AH5" s="51">
        <f>HLOOKUP(I5,ElecAvoidedCostsWOCC!$A$5:$Q$50,T5+1,FALSE)</f>
        <v>1.262268642203892</v>
      </c>
      <c r="AI5" s="43">
        <f t="shared" ref="AI5:AI24" si="11">AH5*J5*L5</f>
        <v>0</v>
      </c>
      <c r="AJ5" s="43">
        <f>AG5+AI5</f>
        <v>1373721.9142359267</v>
      </c>
      <c r="AK5" s="43">
        <f>HLOOKUP(I5,ElecAvoidedCostsWOCC!$A$5:$Q$50,G5+1,FALSE)*J5*L5</f>
        <v>0</v>
      </c>
      <c r="AL5" s="43">
        <f>AG5+AI5-AK5</f>
        <v>1373721.9142359267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1373721.9142359267</v>
      </c>
      <c r="AN5" s="47">
        <f>AM5*1.1+AD5+AE5</f>
        <v>1536365.183441459</v>
      </c>
      <c r="AO5" s="46">
        <f>IFERROR(AM5/AB5,0)</f>
        <v>1.1469689861950585</v>
      </c>
      <c r="AP5" s="46">
        <f>AN5/AC5</f>
        <v>1.1411680274723286</v>
      </c>
    </row>
    <row r="6" spans="1:42" ht="13.5" customHeight="1" x14ac:dyDescent="0.25">
      <c r="A6" s="52">
        <f>SUMIF('Program Costs'!D:D,C2,'Program Costs'!L:L)</f>
        <v>608947</v>
      </c>
      <c r="B6" s="88" t="s">
        <v>15</v>
      </c>
      <c r="C6" s="91">
        <v>18230626</v>
      </c>
      <c r="D6" s="91" t="s">
        <v>75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53</v>
      </c>
      <c r="K6" s="40">
        <v>1360.37</v>
      </c>
      <c r="L6" s="40">
        <v>0</v>
      </c>
      <c r="M6" s="41">
        <v>750</v>
      </c>
      <c r="N6" s="41">
        <v>775.87507373619792</v>
      </c>
      <c r="O6" s="42">
        <v>72099.61</v>
      </c>
      <c r="P6" s="43">
        <v>39750</v>
      </c>
      <c r="Q6" s="43">
        <v>41121.378908018487</v>
      </c>
      <c r="R6" s="44">
        <v>3.7368999999999999</v>
      </c>
      <c r="S6" s="45"/>
      <c r="T6" s="38">
        <f t="shared" si="0"/>
        <v>13</v>
      </c>
      <c r="U6" s="46">
        <f t="shared" si="1"/>
        <v>0.65339436776400361</v>
      </c>
      <c r="V6" s="47">
        <f t="shared" si="2"/>
        <v>25.875073736197919</v>
      </c>
      <c r="W6" s="48">
        <f t="shared" si="3"/>
        <v>5.0261105212615662E-2</v>
      </c>
      <c r="X6" s="43">
        <f t="shared" si="4"/>
        <v>54136.739035560458</v>
      </c>
      <c r="Y6" s="43">
        <f t="shared" si="5"/>
        <v>1371.378908018487</v>
      </c>
      <c r="Z6" s="43">
        <f t="shared" si="6"/>
        <v>84743.088271467132</v>
      </c>
      <c r="AA6" s="49">
        <f t="shared" si="7"/>
        <v>95258.117943578953</v>
      </c>
      <c r="AB6" s="50">
        <f t="shared" si="8"/>
        <v>79347.460928340006</v>
      </c>
      <c r="AC6" s="43">
        <f t="shared" si="8"/>
        <v>89192.994329193767</v>
      </c>
      <c r="AD6" s="43">
        <f t="shared" si="9"/>
        <v>1674.2089030534878</v>
      </c>
      <c r="AE6" s="43">
        <v>0</v>
      </c>
      <c r="AF6" s="51">
        <f>HLOOKUP(I6,ElecAvoidedCostsWOCC!$A$5:$Q$50,G6+1,FALSE)</f>
        <v>1.262268642203892</v>
      </c>
      <c r="AG6" s="43">
        <f t="shared" si="10"/>
        <v>91009.076818130139</v>
      </c>
      <c r="AH6" s="51">
        <f>HLOOKUP(I6,ElecAvoidedCostsWOCC!$A$5:$Q$50,T6+1,FALSE)</f>
        <v>1.262268642203892</v>
      </c>
      <c r="AI6" s="43">
        <f t="shared" si="11"/>
        <v>0</v>
      </c>
      <c r="AJ6" s="43">
        <f t="shared" ref="AJ6:AJ24" si="12">AG6+AI6</f>
        <v>91009.076818130139</v>
      </c>
      <c r="AK6" s="43">
        <f>HLOOKUP(I6,ElecAvoidedCostsWOCC!$A$5:$Q$50,G6+1,FALSE)*J6*L6</f>
        <v>0</v>
      </c>
      <c r="AL6" s="43">
        <f t="shared" ref="AL6:AL24" si="13">AG6+AI6-AK6</f>
        <v>91009.076818130139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91009.076818130139</v>
      </c>
      <c r="AN6" s="47">
        <f t="shared" ref="AN6:AN24" si="14">AM6*1.1+AD6+AE6</f>
        <v>101784.19340299665</v>
      </c>
      <c r="AO6" s="46">
        <f t="shared" ref="AO6:AO24" si="15">IFERROR(AM6/AB6,0)</f>
        <v>1.1469689861950583</v>
      </c>
      <c r="AP6" s="46">
        <f t="shared" ref="AP6:AP24" si="16">AN6/AC6</f>
        <v>1.1411680274723286</v>
      </c>
    </row>
    <row r="7" spans="1:42" ht="13.5" customHeight="1" x14ac:dyDescent="0.25">
      <c r="A7" s="35" t="s">
        <v>239</v>
      </c>
      <c r="B7" s="88" t="s">
        <v>15</v>
      </c>
      <c r="C7" s="91">
        <v>18230626</v>
      </c>
      <c r="D7" s="91" t="s">
        <v>75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1336.72</v>
      </c>
      <c r="L7" s="40">
        <v>0</v>
      </c>
      <c r="M7" s="41">
        <v>750</v>
      </c>
      <c r="N7" s="41">
        <v>775.88</v>
      </c>
      <c r="O7" s="42">
        <v>13367.2</v>
      </c>
      <c r="P7" s="43">
        <v>7500</v>
      </c>
      <c r="Q7" s="43">
        <v>7758.8</v>
      </c>
      <c r="R7" s="44">
        <v>3.78369</v>
      </c>
      <c r="S7" s="45"/>
      <c r="T7" s="38">
        <f t="shared" si="0"/>
        <v>13</v>
      </c>
      <c r="U7" s="46">
        <f t="shared" si="1"/>
        <v>0.12113870231440904</v>
      </c>
      <c r="V7" s="47">
        <f t="shared" si="2"/>
        <v>25.879999999999995</v>
      </c>
      <c r="W7" s="48">
        <f t="shared" si="3"/>
        <v>9.3183617164930028E-3</v>
      </c>
      <c r="X7" s="43">
        <f t="shared" si="4"/>
        <v>10036.900588451777</v>
      </c>
      <c r="Y7" s="43">
        <f t="shared" si="5"/>
        <v>258.80000000000018</v>
      </c>
      <c r="Z7" s="43">
        <f t="shared" si="6"/>
        <v>15711.289000625042</v>
      </c>
      <c r="AA7" s="49">
        <f t="shared" si="7"/>
        <v>17795.700588451778</v>
      </c>
      <c r="AB7" s="50">
        <f t="shared" si="8"/>
        <v>14710.944757139552</v>
      </c>
      <c r="AC7" s="43">
        <f t="shared" si="8"/>
        <v>16662.641000423013</v>
      </c>
      <c r="AD7" s="43">
        <f t="shared" si="9"/>
        <v>319.84373509040392</v>
      </c>
      <c r="AE7" s="43">
        <v>0</v>
      </c>
      <c r="AF7" s="51">
        <f>HLOOKUP(I7,ElecAvoidedCostsWOCC!$A$5:$Q$50,G7+1,FALSE)</f>
        <v>1.262268642203892</v>
      </c>
      <c r="AG7" s="43">
        <f t="shared" si="10"/>
        <v>16872.997394067868</v>
      </c>
      <c r="AH7" s="51">
        <f>HLOOKUP(I7,ElecAvoidedCostsWOCC!$A$5:$Q$50,T7+1,FALSE)</f>
        <v>1.262268642203892</v>
      </c>
      <c r="AI7" s="43">
        <f t="shared" si="11"/>
        <v>0</v>
      </c>
      <c r="AJ7" s="43">
        <f t="shared" si="12"/>
        <v>16872.997394067868</v>
      </c>
      <c r="AK7" s="43">
        <f>HLOOKUP(I7,ElecAvoidedCostsWOCC!$A$5:$Q$50,G7+1,FALSE)*J7*L7</f>
        <v>0</v>
      </c>
      <c r="AL7" s="43">
        <f t="shared" si="13"/>
        <v>16872.997394067868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16872.997394067865</v>
      </c>
      <c r="AN7" s="47">
        <f t="shared" si="14"/>
        <v>18880.140868565057</v>
      </c>
      <c r="AO7" s="46">
        <f t="shared" si="15"/>
        <v>1.1469689861950585</v>
      </c>
      <c r="AP7" s="46">
        <f t="shared" si="16"/>
        <v>1.1330821367444541</v>
      </c>
    </row>
    <row r="8" spans="1:42" ht="13.5" customHeight="1" x14ac:dyDescent="0.25">
      <c r="A8" s="52">
        <f>SUMIF('Program Costs'!D:D,C2,'Program Costs'!O:O)</f>
        <v>1077110</v>
      </c>
      <c r="B8" s="88" t="s">
        <v>15</v>
      </c>
      <c r="C8" s="91">
        <v>18230626</v>
      </c>
      <c r="D8" s="91" t="s">
        <v>75</v>
      </c>
      <c r="E8" s="37" t="s">
        <v>1544</v>
      </c>
      <c r="F8" s="38" t="s">
        <v>1545</v>
      </c>
      <c r="G8" s="38">
        <v>13</v>
      </c>
      <c r="H8" s="38">
        <v>0</v>
      </c>
      <c r="I8" s="39" t="s">
        <v>269</v>
      </c>
      <c r="J8" s="40">
        <v>40</v>
      </c>
      <c r="K8" s="40">
        <v>1336.72</v>
      </c>
      <c r="L8" s="40">
        <v>0</v>
      </c>
      <c r="M8" s="41">
        <v>1650</v>
      </c>
      <c r="N8" s="41">
        <v>727.16</v>
      </c>
      <c r="O8" s="42">
        <v>53468.800000000003</v>
      </c>
      <c r="P8" s="43">
        <v>66000</v>
      </c>
      <c r="Q8" s="43">
        <v>29086.399999999998</v>
      </c>
      <c r="R8" s="44">
        <v>2.601</v>
      </c>
      <c r="S8" s="45"/>
      <c r="T8" s="38">
        <f t="shared" si="0"/>
        <v>13</v>
      </c>
      <c r="U8" s="46">
        <f t="shared" si="1"/>
        <v>0.48455480925763617</v>
      </c>
      <c r="V8" s="47">
        <f t="shared" si="2"/>
        <v>-922.84</v>
      </c>
      <c r="W8" s="48">
        <f t="shared" si="3"/>
        <v>3.7273446865972011E-2</v>
      </c>
      <c r="X8" s="43">
        <f t="shared" si="4"/>
        <v>40147.602353807109</v>
      </c>
      <c r="Y8" s="43">
        <f t="shared" si="5"/>
        <v>-36913.600000000006</v>
      </c>
      <c r="Z8" s="43">
        <f t="shared" si="6"/>
        <v>62845.156002500167</v>
      </c>
      <c r="AA8" s="49">
        <f t="shared" si="7"/>
        <v>69234.002353807111</v>
      </c>
      <c r="AB8" s="50">
        <f t="shared" si="8"/>
        <v>58843.779028558209</v>
      </c>
      <c r="AC8" s="43">
        <f t="shared" si="8"/>
        <v>64825.844900568452</v>
      </c>
      <c r="AD8" s="43">
        <f t="shared" si="9"/>
        <v>879.47327077021714</v>
      </c>
      <c r="AE8" s="43">
        <v>0</v>
      </c>
      <c r="AF8" s="51">
        <f>HLOOKUP(I8,ElecAvoidedCostsWOCC!$A$5:$Q$50,G8+1,FALSE)</f>
        <v>1.262268642203892</v>
      </c>
      <c r="AG8" s="43">
        <f t="shared" si="10"/>
        <v>67491.989576271473</v>
      </c>
      <c r="AH8" s="51">
        <f>HLOOKUP(I8,ElecAvoidedCostsWOCC!$A$5:$Q$50,T8+1,FALSE)</f>
        <v>1.262268642203892</v>
      </c>
      <c r="AI8" s="43">
        <f t="shared" si="11"/>
        <v>0</v>
      </c>
      <c r="AJ8" s="43">
        <f t="shared" si="12"/>
        <v>67491.989576271473</v>
      </c>
      <c r="AK8" s="43">
        <f>HLOOKUP(I8,ElecAvoidedCostsWOCC!$A$5:$Q$50,G8+1,FALSE)*J8*L8</f>
        <v>0</v>
      </c>
      <c r="AL8" s="43">
        <f t="shared" si="13"/>
        <v>67491.989576271473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67491.989576271459</v>
      </c>
      <c r="AN8" s="47">
        <f t="shared" si="14"/>
        <v>75120.661804668838</v>
      </c>
      <c r="AO8" s="46">
        <f t="shared" si="15"/>
        <v>1.1469689861950585</v>
      </c>
      <c r="AP8" s="46">
        <f t="shared" si="16"/>
        <v>1.1588072923675865</v>
      </c>
    </row>
    <row r="9" spans="1:42" ht="13.5" customHeight="1" x14ac:dyDescent="0.25">
      <c r="A9" s="35" t="s">
        <v>241</v>
      </c>
      <c r="B9" s="88" t="s">
        <v>15</v>
      </c>
      <c r="C9" s="91">
        <v>18230626</v>
      </c>
      <c r="D9" s="91" t="s">
        <v>75</v>
      </c>
      <c r="E9" s="37" t="s">
        <v>1546</v>
      </c>
      <c r="F9" s="38" t="s">
        <v>576</v>
      </c>
      <c r="G9" s="38">
        <v>20</v>
      </c>
      <c r="H9" s="38">
        <v>0</v>
      </c>
      <c r="I9" s="39" t="s">
        <v>269</v>
      </c>
      <c r="J9" s="40">
        <v>1600</v>
      </c>
      <c r="K9" s="40">
        <v>-22.54</v>
      </c>
      <c r="L9" s="40">
        <v>0</v>
      </c>
      <c r="M9" s="41">
        <v>0</v>
      </c>
      <c r="N9" s="41">
        <v>0</v>
      </c>
      <c r="O9" s="42">
        <v>-36064</v>
      </c>
      <c r="P9" s="43">
        <v>0</v>
      </c>
      <c r="Q9" s="43">
        <v>0</v>
      </c>
      <c r="R9" s="44">
        <v>16.214700000000001</v>
      </c>
      <c r="S9" s="45"/>
      <c r="T9" s="38">
        <f t="shared" si="0"/>
        <v>20</v>
      </c>
      <c r="U9" s="46">
        <f t="shared" si="1"/>
        <v>-0.50280896065534086</v>
      </c>
      <c r="V9" s="47">
        <f t="shared" si="2"/>
        <v>0</v>
      </c>
      <c r="W9" s="48">
        <f t="shared" si="3"/>
        <v>-2.5140448032767045E-2</v>
      </c>
      <c r="X9" s="43">
        <f t="shared" si="4"/>
        <v>-27079.027980573712</v>
      </c>
      <c r="Y9" s="43">
        <f t="shared" si="5"/>
        <v>0</v>
      </c>
      <c r="Z9" s="43">
        <f t="shared" si="6"/>
        <v>-42388.228388783107</v>
      </c>
      <c r="AA9" s="49">
        <f t="shared" si="7"/>
        <v>-27079.027980573712</v>
      </c>
      <c r="AB9" s="50">
        <f t="shared" si="8"/>
        <v>-39689.352423954217</v>
      </c>
      <c r="AC9" s="43">
        <f t="shared" si="8"/>
        <v>-25354.895112896731</v>
      </c>
      <c r="AD9" s="43">
        <f t="shared" si="9"/>
        <v>279170.6827408516</v>
      </c>
      <c r="AE9" s="43">
        <f t="shared" ref="AE9:AE24" si="17">-PV(ElecDiscountRate,T9,S9)*J9</f>
        <v>0</v>
      </c>
      <c r="AF9" s="51">
        <f>HLOOKUP(I9,ElecAvoidedCostsWOCC!$A$5:$Q$50,G9+1,FALSE)</f>
        <v>1.6340456947583777</v>
      </c>
      <c r="AG9" s="43">
        <f t="shared" si="10"/>
        <v>-58930.223935766131</v>
      </c>
      <c r="AH9" s="51">
        <f>HLOOKUP(I9,ElecAvoidedCostsWOCC!$A$5:$Q$50,T9+1,FALSE)</f>
        <v>1.6340456947583777</v>
      </c>
      <c r="AI9" s="43">
        <f t="shared" si="11"/>
        <v>0</v>
      </c>
      <c r="AJ9" s="43">
        <f t="shared" si="12"/>
        <v>-58930.223935766131</v>
      </c>
      <c r="AK9" s="43">
        <f>HLOOKUP(I9,ElecAvoidedCostsWOCC!$A$5:$Q$50,G9+1,FALSE)*J9*L9</f>
        <v>0</v>
      </c>
      <c r="AL9" s="43">
        <f t="shared" si="13"/>
        <v>-58930.223935766131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-58930.223935766131</v>
      </c>
      <c r="AN9" s="47">
        <f t="shared" si="14"/>
        <v>214347.43641150885</v>
      </c>
      <c r="AO9" s="46">
        <f t="shared" si="15"/>
        <v>1.4847867333859353</v>
      </c>
      <c r="AP9" s="46">
        <f t="shared" si="16"/>
        <v>-8.4538877190022905</v>
      </c>
    </row>
    <row r="10" spans="1:42" ht="13.5" customHeight="1" x14ac:dyDescent="0.25">
      <c r="A10" s="53">
        <f>SUM(O5:O999)</f>
        <v>1434501.0857800003</v>
      </c>
      <c r="B10" s="88" t="s">
        <v>15</v>
      </c>
      <c r="C10" s="91">
        <v>18230626</v>
      </c>
      <c r="D10" s="91" t="s">
        <v>75</v>
      </c>
      <c r="E10" s="37" t="s">
        <v>1547</v>
      </c>
      <c r="F10" s="38" t="s">
        <v>575</v>
      </c>
      <c r="G10" s="38">
        <v>20</v>
      </c>
      <c r="H10" s="38">
        <v>0</v>
      </c>
      <c r="I10" s="39" t="s">
        <v>269</v>
      </c>
      <c r="J10" s="40">
        <v>60</v>
      </c>
      <c r="K10" s="40">
        <v>-22.54</v>
      </c>
      <c r="L10" s="40">
        <v>0</v>
      </c>
      <c r="M10" s="41">
        <v>0</v>
      </c>
      <c r="N10" s="41">
        <v>0</v>
      </c>
      <c r="O10" s="42">
        <v>-1352.3999999999999</v>
      </c>
      <c r="P10" s="43">
        <v>0</v>
      </c>
      <c r="Q10" s="43">
        <v>0</v>
      </c>
      <c r="R10" s="44">
        <v>16.214700000000001</v>
      </c>
      <c r="S10" s="45"/>
      <c r="T10" s="38">
        <f t="shared" si="0"/>
        <v>20</v>
      </c>
      <c r="U10" s="46">
        <f t="shared" si="1"/>
        <v>-1.8855336024575283E-2</v>
      </c>
      <c r="V10" s="47">
        <f t="shared" si="2"/>
        <v>0</v>
      </c>
      <c r="W10" s="48">
        <f t="shared" si="3"/>
        <v>-9.4276680122876415E-4</v>
      </c>
      <c r="X10" s="43">
        <f t="shared" si="4"/>
        <v>-1015.4635492715141</v>
      </c>
      <c r="Y10" s="43">
        <f t="shared" si="5"/>
        <v>0</v>
      </c>
      <c r="Z10" s="43">
        <f t="shared" si="6"/>
        <v>-1589.5585645793662</v>
      </c>
      <c r="AA10" s="49">
        <f t="shared" si="7"/>
        <v>-1015.4635492715141</v>
      </c>
      <c r="AB10" s="50">
        <f t="shared" si="8"/>
        <v>-1488.3507158982829</v>
      </c>
      <c r="AC10" s="43">
        <f t="shared" si="8"/>
        <v>-950.80856673362746</v>
      </c>
      <c r="AD10" s="43">
        <f t="shared" si="9"/>
        <v>10468.900602781934</v>
      </c>
      <c r="AE10" s="43">
        <f t="shared" si="17"/>
        <v>0</v>
      </c>
      <c r="AF10" s="51">
        <f>HLOOKUP(I10,ElecAvoidedCostsWOCC!$A$5:$Q$50,G10+1,FALSE)</f>
        <v>1.6340456947583777</v>
      </c>
      <c r="AG10" s="43">
        <f t="shared" si="10"/>
        <v>-2209.8833975912298</v>
      </c>
      <c r="AH10" s="51">
        <f>HLOOKUP(I10,ElecAvoidedCostsWOCC!$A$5:$Q$50,T10+1,FALSE)</f>
        <v>1.6340456947583777</v>
      </c>
      <c r="AI10" s="43">
        <f t="shared" si="11"/>
        <v>0</v>
      </c>
      <c r="AJ10" s="43">
        <f t="shared" si="12"/>
        <v>-2209.8833975912298</v>
      </c>
      <c r="AK10" s="43">
        <f>HLOOKUP(I10,ElecAvoidedCostsWOCC!$A$5:$Q$50,G10+1,FALSE)*J10*L10</f>
        <v>0</v>
      </c>
      <c r="AL10" s="43">
        <f t="shared" si="13"/>
        <v>-2209.8833975912298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-2209.8833975912298</v>
      </c>
      <c r="AN10" s="47">
        <f t="shared" si="14"/>
        <v>8038.0288654315809</v>
      </c>
      <c r="AO10" s="46">
        <f t="shared" si="15"/>
        <v>1.4847867333859353</v>
      </c>
      <c r="AP10" s="46">
        <f t="shared" si="16"/>
        <v>-8.4538877190022887</v>
      </c>
    </row>
    <row r="11" spans="1:42" ht="13.5" customHeight="1" x14ac:dyDescent="0.25">
      <c r="A11" s="35" t="s">
        <v>242</v>
      </c>
      <c r="B11" s="88" t="s">
        <v>15</v>
      </c>
      <c r="C11" s="91">
        <v>18230626</v>
      </c>
      <c r="D11" s="91" t="s">
        <v>75</v>
      </c>
      <c r="E11" s="37" t="s">
        <v>1548</v>
      </c>
      <c r="F11" s="38" t="s">
        <v>573</v>
      </c>
      <c r="G11" s="38">
        <v>20</v>
      </c>
      <c r="H11" s="38">
        <v>0</v>
      </c>
      <c r="I11" s="39" t="s">
        <v>269</v>
      </c>
      <c r="J11" s="40">
        <v>20</v>
      </c>
      <c r="K11" s="40">
        <v>-22.54</v>
      </c>
      <c r="L11" s="40">
        <v>0</v>
      </c>
      <c r="M11" s="41">
        <v>0</v>
      </c>
      <c r="N11" s="41">
        <v>0</v>
      </c>
      <c r="O11" s="42">
        <v>-450.79999999999995</v>
      </c>
      <c r="P11" s="43">
        <v>0</v>
      </c>
      <c r="Q11" s="43">
        <v>0</v>
      </c>
      <c r="R11" s="44">
        <v>16.214700000000001</v>
      </c>
      <c r="S11" s="45"/>
      <c r="T11" s="38">
        <f t="shared" si="0"/>
        <v>20</v>
      </c>
      <c r="U11" s="46">
        <f t="shared" si="1"/>
        <v>-6.2851120081917605E-3</v>
      </c>
      <c r="V11" s="47">
        <f t="shared" si="2"/>
        <v>0</v>
      </c>
      <c r="W11" s="48">
        <f t="shared" si="3"/>
        <v>-3.1425560040958803E-4</v>
      </c>
      <c r="X11" s="43">
        <f t="shared" si="4"/>
        <v>-338.48784975717138</v>
      </c>
      <c r="Y11" s="43">
        <f t="shared" si="5"/>
        <v>0</v>
      </c>
      <c r="Z11" s="43">
        <f t="shared" si="6"/>
        <v>-529.85285485978875</v>
      </c>
      <c r="AA11" s="49">
        <f t="shared" si="7"/>
        <v>-338.48784975717138</v>
      </c>
      <c r="AB11" s="50">
        <f t="shared" si="8"/>
        <v>-496.11690529942763</v>
      </c>
      <c r="AC11" s="43">
        <f t="shared" si="8"/>
        <v>-316.93618891120911</v>
      </c>
      <c r="AD11" s="43">
        <f t="shared" si="9"/>
        <v>3489.6335342606449</v>
      </c>
      <c r="AE11" s="43">
        <f t="shared" si="17"/>
        <v>0</v>
      </c>
      <c r="AF11" s="51">
        <f>HLOOKUP(I11,ElecAvoidedCostsWOCC!$A$5:$Q$50,G11+1,FALSE)</f>
        <v>1.6340456947583777</v>
      </c>
      <c r="AG11" s="43">
        <f t="shared" si="10"/>
        <v>-736.62779919707668</v>
      </c>
      <c r="AH11" s="51">
        <f>HLOOKUP(I11,ElecAvoidedCostsWOCC!$A$5:$Q$50,T11+1,FALSE)</f>
        <v>1.6340456947583777</v>
      </c>
      <c r="AI11" s="43">
        <f t="shared" si="11"/>
        <v>0</v>
      </c>
      <c r="AJ11" s="43">
        <f t="shared" si="12"/>
        <v>-736.62779919707668</v>
      </c>
      <c r="AK11" s="43">
        <f>HLOOKUP(I11,ElecAvoidedCostsWOCC!$A$5:$Q$50,G11+1,FALSE)*J11*L11</f>
        <v>0</v>
      </c>
      <c r="AL11" s="43">
        <f t="shared" si="13"/>
        <v>-736.62779919707668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-736.62779919707657</v>
      </c>
      <c r="AN11" s="47">
        <f t="shared" si="14"/>
        <v>2679.3429551438603</v>
      </c>
      <c r="AO11" s="46">
        <f t="shared" si="15"/>
        <v>1.4847867333859353</v>
      </c>
      <c r="AP11" s="46">
        <f t="shared" si="16"/>
        <v>-8.4538877190022887</v>
      </c>
    </row>
    <row r="12" spans="1:42" ht="13.5" customHeight="1" x14ac:dyDescent="0.25">
      <c r="A12" s="54">
        <f>SUM(P5:P1000)</f>
        <v>608947</v>
      </c>
      <c r="B12" s="88" t="s">
        <v>15</v>
      </c>
      <c r="C12" s="91">
        <v>18230626</v>
      </c>
      <c r="D12" s="91" t="s">
        <v>75</v>
      </c>
      <c r="E12" s="37" t="s">
        <v>1549</v>
      </c>
      <c r="F12" s="38" t="s">
        <v>1550</v>
      </c>
      <c r="G12" s="38">
        <v>20</v>
      </c>
      <c r="H12" s="38">
        <v>0</v>
      </c>
      <c r="I12" s="39" t="s">
        <v>269</v>
      </c>
      <c r="J12" s="40">
        <v>400</v>
      </c>
      <c r="K12" s="40">
        <v>-22.54</v>
      </c>
      <c r="L12" s="40">
        <v>0</v>
      </c>
      <c r="M12" s="41">
        <v>0</v>
      </c>
      <c r="N12" s="41">
        <v>0</v>
      </c>
      <c r="O12" s="42">
        <v>-9016</v>
      </c>
      <c r="P12" s="43">
        <v>0</v>
      </c>
      <c r="Q12" s="43">
        <v>0</v>
      </c>
      <c r="R12" s="44">
        <v>16.214700000000001</v>
      </c>
      <c r="S12" s="45"/>
      <c r="T12" s="38">
        <f t="shared" si="0"/>
        <v>20</v>
      </c>
      <c r="U12" s="46">
        <f t="shared" si="1"/>
        <v>-0.12570224016383522</v>
      </c>
      <c r="V12" s="47">
        <f t="shared" si="2"/>
        <v>0</v>
      </c>
      <c r="W12" s="48">
        <f t="shared" si="3"/>
        <v>-6.2851120081917613E-3</v>
      </c>
      <c r="X12" s="43">
        <f t="shared" si="4"/>
        <v>-6769.756995143428</v>
      </c>
      <c r="Y12" s="43">
        <f t="shared" si="5"/>
        <v>0</v>
      </c>
      <c r="Z12" s="43">
        <f t="shared" si="6"/>
        <v>-10597.057097195777</v>
      </c>
      <c r="AA12" s="49">
        <f t="shared" si="7"/>
        <v>-6769.756995143428</v>
      </c>
      <c r="AB12" s="50">
        <f t="shared" si="8"/>
        <v>-9922.3381059885542</v>
      </c>
      <c r="AC12" s="43">
        <f t="shared" si="8"/>
        <v>-6338.7237782241828</v>
      </c>
      <c r="AD12" s="43">
        <f t="shared" si="9"/>
        <v>69792.670685212899</v>
      </c>
      <c r="AE12" s="43">
        <f t="shared" si="17"/>
        <v>0</v>
      </c>
      <c r="AF12" s="51">
        <f>HLOOKUP(I12,ElecAvoidedCostsWOCC!$A$5:$Q$50,G12+1,FALSE)</f>
        <v>1.6340456947583777</v>
      </c>
      <c r="AG12" s="43">
        <f t="shared" si="10"/>
        <v>-14732.555983941533</v>
      </c>
      <c r="AH12" s="51">
        <f>HLOOKUP(I12,ElecAvoidedCostsWOCC!$A$5:$Q$50,T12+1,FALSE)</f>
        <v>1.6340456947583777</v>
      </c>
      <c r="AI12" s="43">
        <f t="shared" si="11"/>
        <v>0</v>
      </c>
      <c r="AJ12" s="43">
        <f t="shared" si="12"/>
        <v>-14732.555983941533</v>
      </c>
      <c r="AK12" s="43">
        <f>HLOOKUP(I12,ElecAvoidedCostsWOCC!$A$5:$Q$50,G12+1,FALSE)*J12*L12</f>
        <v>0</v>
      </c>
      <c r="AL12" s="43">
        <f t="shared" si="13"/>
        <v>-14732.555983941533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-14732.555983941533</v>
      </c>
      <c r="AN12" s="47">
        <f t="shared" si="14"/>
        <v>53586.859102877213</v>
      </c>
      <c r="AO12" s="46">
        <f t="shared" si="15"/>
        <v>1.4847867333859353</v>
      </c>
      <c r="AP12" s="46">
        <f t="shared" si="16"/>
        <v>-8.4538877190022905</v>
      </c>
    </row>
    <row r="13" spans="1:42" ht="13.5" customHeight="1" x14ac:dyDescent="0.25">
      <c r="A13" s="55" t="s">
        <v>245</v>
      </c>
      <c r="B13" s="88" t="s">
        <v>15</v>
      </c>
      <c r="C13" s="91">
        <v>18230626</v>
      </c>
      <c r="D13" s="91" t="s">
        <v>75</v>
      </c>
      <c r="E13" s="37" t="s">
        <v>857</v>
      </c>
      <c r="F13" s="38" t="s">
        <v>1551</v>
      </c>
      <c r="G13" s="38">
        <v>13</v>
      </c>
      <c r="H13" s="38">
        <v>0</v>
      </c>
      <c r="I13" s="39" t="s">
        <v>269</v>
      </c>
      <c r="J13" s="40">
        <v>129.39400000000001</v>
      </c>
      <c r="K13" s="40">
        <v>1360.37</v>
      </c>
      <c r="L13" s="40">
        <v>0</v>
      </c>
      <c r="M13" s="41">
        <v>500</v>
      </c>
      <c r="N13" s="41">
        <v>775.87507373619792</v>
      </c>
      <c r="O13" s="42">
        <v>176023.71577999997</v>
      </c>
      <c r="P13" s="43">
        <v>64697</v>
      </c>
      <c r="Q13" s="43">
        <v>100393.5792910216</v>
      </c>
      <c r="R13" s="44">
        <v>3.7368999999999999</v>
      </c>
      <c r="S13" s="45"/>
      <c r="T13" s="38">
        <f t="shared" si="0"/>
        <v>13</v>
      </c>
      <c r="U13" s="46">
        <f t="shared" si="1"/>
        <v>1.5951945438199144</v>
      </c>
      <c r="V13" s="47">
        <f t="shared" si="2"/>
        <v>275.87507373619792</v>
      </c>
      <c r="W13" s="48">
        <f t="shared" si="3"/>
        <v>0.12270727260153189</v>
      </c>
      <c r="X13" s="43">
        <f t="shared" si="4"/>
        <v>132169.230391836</v>
      </c>
      <c r="Y13" s="43">
        <f t="shared" si="5"/>
        <v>35696.579291021597</v>
      </c>
      <c r="Z13" s="43">
        <f t="shared" si="6"/>
        <v>206891.45592072106</v>
      </c>
      <c r="AA13" s="49">
        <f t="shared" si="7"/>
        <v>232562.80968285759</v>
      </c>
      <c r="AB13" s="50">
        <f t="shared" si="8"/>
        <v>193718.59168606839</v>
      </c>
      <c r="AC13" s="43">
        <f t="shared" si="8"/>
        <v>217755.43977795655</v>
      </c>
      <c r="AD13" s="43">
        <f t="shared" si="9"/>
        <v>4087.4072981453401</v>
      </c>
      <c r="AE13" s="43">
        <f t="shared" si="17"/>
        <v>0</v>
      </c>
      <c r="AF13" s="51">
        <f>HLOOKUP(I13,ElecAvoidedCostsWOCC!$A$5:$Q$50,G13+1,FALSE)</f>
        <v>1.262268642203892</v>
      </c>
      <c r="AG13" s="43">
        <f t="shared" si="10"/>
        <v>222189.2167133044</v>
      </c>
      <c r="AH13" s="51">
        <f>HLOOKUP(I13,ElecAvoidedCostsWOCC!$A$5:$Q$50,T13+1,FALSE)</f>
        <v>1.262268642203892</v>
      </c>
      <c r="AI13" s="43">
        <f t="shared" si="11"/>
        <v>0</v>
      </c>
      <c r="AJ13" s="43">
        <f t="shared" si="12"/>
        <v>222189.2167133044</v>
      </c>
      <c r="AK13" s="43">
        <f>HLOOKUP(I13,ElecAvoidedCostsWOCC!$A$5:$Q$50,G13+1,FALSE)*J13*L13</f>
        <v>0</v>
      </c>
      <c r="AL13" s="43">
        <f t="shared" si="13"/>
        <v>222189.2167133044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222189.21671330437</v>
      </c>
      <c r="AN13" s="47">
        <f t="shared" si="14"/>
        <v>248495.54568278018</v>
      </c>
      <c r="AO13" s="46">
        <f t="shared" si="15"/>
        <v>1.1469689861950585</v>
      </c>
      <c r="AP13" s="46">
        <f t="shared" si="16"/>
        <v>1.1411680274723288</v>
      </c>
    </row>
    <row r="14" spans="1:42" ht="13.5" customHeight="1" x14ac:dyDescent="0.25">
      <c r="A14" s="54">
        <f>SUM(Y5:Y1000)</f>
        <v>230458.77028491875</v>
      </c>
      <c r="B14" s="88" t="s">
        <v>15</v>
      </c>
      <c r="C14" s="91">
        <v>18230626</v>
      </c>
      <c r="D14" s="91" t="s">
        <v>75</v>
      </c>
      <c r="E14" s="37" t="s">
        <v>857</v>
      </c>
      <c r="F14" s="38" t="s">
        <v>1552</v>
      </c>
      <c r="G14" s="38">
        <v>13</v>
      </c>
      <c r="H14" s="38">
        <v>0</v>
      </c>
      <c r="I14" s="39" t="s">
        <v>269</v>
      </c>
      <c r="J14" s="40">
        <v>22</v>
      </c>
      <c r="K14" s="40">
        <v>1502.48</v>
      </c>
      <c r="L14" s="40">
        <v>0</v>
      </c>
      <c r="M14" s="41">
        <v>500</v>
      </c>
      <c r="N14" s="41">
        <v>775.87507373619792</v>
      </c>
      <c r="O14" s="42">
        <v>33054.559999999998</v>
      </c>
      <c r="P14" s="43">
        <v>11000</v>
      </c>
      <c r="Q14" s="43">
        <v>17069.251622196352</v>
      </c>
      <c r="R14" s="44">
        <v>3.7368999999999999</v>
      </c>
      <c r="S14" s="45"/>
      <c r="T14" s="38">
        <f t="shared" si="0"/>
        <v>13</v>
      </c>
      <c r="U14" s="46">
        <f t="shared" si="1"/>
        <v>0.29955312286595337</v>
      </c>
      <c r="V14" s="47">
        <f t="shared" si="2"/>
        <v>275.87507373619792</v>
      </c>
      <c r="W14" s="48">
        <f t="shared" si="3"/>
        <v>2.3042547912765644E-2</v>
      </c>
      <c r="X14" s="43">
        <f t="shared" si="4"/>
        <v>24819.358782319003</v>
      </c>
      <c r="Y14" s="43">
        <f t="shared" si="5"/>
        <v>6069.2516221963524</v>
      </c>
      <c r="Z14" s="43">
        <f t="shared" si="6"/>
        <v>38851.049206153904</v>
      </c>
      <c r="AA14" s="49">
        <f t="shared" si="7"/>
        <v>41888.610404515355</v>
      </c>
      <c r="AB14" s="50">
        <f t="shared" si="8"/>
        <v>36377.386897147851</v>
      </c>
      <c r="AC14" s="43">
        <f t="shared" si="8"/>
        <v>39221.545322579921</v>
      </c>
      <c r="AD14" s="43">
        <f t="shared" si="9"/>
        <v>694.95463900333459</v>
      </c>
      <c r="AE14" s="43">
        <f t="shared" si="17"/>
        <v>0</v>
      </c>
      <c r="AF14" s="51">
        <f>HLOOKUP(I14,ElecAvoidedCostsWOCC!$A$5:$Q$50,G14+1,FALSE)</f>
        <v>1.262268642203892</v>
      </c>
      <c r="AG14" s="43">
        <f t="shared" si="10"/>
        <v>41723.734569847082</v>
      </c>
      <c r="AH14" s="51">
        <f>HLOOKUP(I14,ElecAvoidedCostsWOCC!$A$5:$Q$50,T14+1,FALSE)</f>
        <v>1.262268642203892</v>
      </c>
      <c r="AI14" s="43">
        <f t="shared" si="11"/>
        <v>0</v>
      </c>
      <c r="AJ14" s="43">
        <f t="shared" si="12"/>
        <v>41723.734569847082</v>
      </c>
      <c r="AK14" s="43">
        <f>HLOOKUP(I14,ElecAvoidedCostsWOCC!$A$5:$Q$50,G14+1,FALSE)*J14*L14</f>
        <v>0</v>
      </c>
      <c r="AL14" s="43">
        <f t="shared" si="13"/>
        <v>41723.734569847082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41723.734569847082</v>
      </c>
      <c r="AN14" s="47">
        <f t="shared" si="14"/>
        <v>46591.062665835132</v>
      </c>
      <c r="AO14" s="46">
        <f t="shared" si="15"/>
        <v>1.1469689861950587</v>
      </c>
      <c r="AP14" s="46">
        <f t="shared" si="16"/>
        <v>1.1878946197209768</v>
      </c>
    </row>
    <row r="15" spans="1:42" ht="13.5" customHeight="1" x14ac:dyDescent="0.25">
      <c r="A15" s="56" t="s">
        <v>248</v>
      </c>
      <c r="B15" s="88" t="s">
        <v>15</v>
      </c>
      <c r="C15" s="91">
        <v>18230626</v>
      </c>
      <c r="D15" s="91" t="s">
        <v>75</v>
      </c>
      <c r="E15" s="37" t="s">
        <v>857</v>
      </c>
      <c r="F15" s="38" t="s">
        <v>1553</v>
      </c>
      <c r="G15" s="38">
        <v>13</v>
      </c>
      <c r="H15" s="38">
        <v>0</v>
      </c>
      <c r="I15" s="39" t="s">
        <v>269</v>
      </c>
      <c r="J15" s="40">
        <v>10</v>
      </c>
      <c r="K15" s="40">
        <v>1502.48</v>
      </c>
      <c r="L15" s="40">
        <v>0</v>
      </c>
      <c r="M15" s="41">
        <v>500</v>
      </c>
      <c r="N15" s="41">
        <v>775.87507373619792</v>
      </c>
      <c r="O15" s="42">
        <v>15024.8</v>
      </c>
      <c r="P15" s="43">
        <v>5000</v>
      </c>
      <c r="Q15" s="43">
        <v>7758.7507373619792</v>
      </c>
      <c r="R15" s="44">
        <v>3.7368999999999999</v>
      </c>
      <c r="S15" s="45"/>
      <c r="T15" s="38">
        <f t="shared" si="0"/>
        <v>13</v>
      </c>
      <c r="U15" s="46">
        <f t="shared" si="1"/>
        <v>0.13616051039361518</v>
      </c>
      <c r="V15" s="47">
        <f t="shared" si="2"/>
        <v>275.87507373619792</v>
      </c>
      <c r="W15" s="48">
        <f t="shared" si="3"/>
        <v>1.0473885414893476E-2</v>
      </c>
      <c r="X15" s="43">
        <f t="shared" si="4"/>
        <v>11281.526719235912</v>
      </c>
      <c r="Y15" s="43">
        <f t="shared" si="5"/>
        <v>2758.7507373619792</v>
      </c>
      <c r="Z15" s="43">
        <f t="shared" si="6"/>
        <v>17659.567820979049</v>
      </c>
      <c r="AA15" s="49">
        <f t="shared" si="7"/>
        <v>19040.277456597891</v>
      </c>
      <c r="AB15" s="50">
        <f t="shared" si="8"/>
        <v>16535.175862339933</v>
      </c>
      <c r="AC15" s="43">
        <f t="shared" si="8"/>
        <v>17827.975146627239</v>
      </c>
      <c r="AD15" s="43">
        <f t="shared" si="9"/>
        <v>315.88847227424299</v>
      </c>
      <c r="AE15" s="43">
        <f t="shared" si="17"/>
        <v>0</v>
      </c>
      <c r="AF15" s="51">
        <f>HLOOKUP(I15,ElecAvoidedCostsWOCC!$A$5:$Q$50,G15+1,FALSE)</f>
        <v>1.262268642203892</v>
      </c>
      <c r="AG15" s="43">
        <f t="shared" si="10"/>
        <v>18965.33389538504</v>
      </c>
      <c r="AH15" s="51">
        <f>HLOOKUP(I15,ElecAvoidedCostsWOCC!$A$5:$Q$50,T15+1,FALSE)</f>
        <v>1.262268642203892</v>
      </c>
      <c r="AI15" s="43">
        <f t="shared" si="11"/>
        <v>0</v>
      </c>
      <c r="AJ15" s="43">
        <f t="shared" si="12"/>
        <v>18965.33389538504</v>
      </c>
      <c r="AK15" s="43">
        <f>HLOOKUP(I15,ElecAvoidedCostsWOCC!$A$5:$Q$50,G15+1,FALSE)*J15*L15</f>
        <v>0</v>
      </c>
      <c r="AL15" s="43">
        <f t="shared" si="13"/>
        <v>18965.33389538504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18965.33389538504</v>
      </c>
      <c r="AN15" s="47">
        <f t="shared" si="14"/>
        <v>21177.755757197789</v>
      </c>
      <c r="AO15" s="46">
        <f t="shared" si="15"/>
        <v>1.1469689861950587</v>
      </c>
      <c r="AP15" s="46">
        <f t="shared" si="16"/>
        <v>1.1878946197209768</v>
      </c>
    </row>
    <row r="16" spans="1:42" ht="13.5" customHeight="1" x14ac:dyDescent="0.25">
      <c r="A16" s="53">
        <f>SUM(U5:U999)</f>
        <v>12.77122192290182</v>
      </c>
      <c r="B16" s="88" t="s">
        <v>15</v>
      </c>
      <c r="C16" s="91">
        <v>18230626</v>
      </c>
      <c r="D16" s="91" t="s">
        <v>75</v>
      </c>
      <c r="E16" s="37" t="s">
        <v>857</v>
      </c>
      <c r="F16" s="38" t="s">
        <v>1554</v>
      </c>
      <c r="G16" s="38">
        <v>13</v>
      </c>
      <c r="H16" s="38">
        <v>0</v>
      </c>
      <c r="I16" s="39" t="s">
        <v>269</v>
      </c>
      <c r="J16" s="40">
        <v>10</v>
      </c>
      <c r="K16" s="40">
        <v>1502.48</v>
      </c>
      <c r="L16" s="40">
        <v>0</v>
      </c>
      <c r="M16" s="41">
        <v>750</v>
      </c>
      <c r="N16" s="41">
        <v>775.87507373619792</v>
      </c>
      <c r="O16" s="42">
        <v>15024.8</v>
      </c>
      <c r="P16" s="43">
        <v>7500</v>
      </c>
      <c r="Q16" s="43">
        <v>7758.7507373619792</v>
      </c>
      <c r="R16" s="44">
        <v>3.7368999999999999</v>
      </c>
      <c r="S16" s="45"/>
      <c r="T16" s="38">
        <f t="shared" si="0"/>
        <v>13</v>
      </c>
      <c r="U16" s="46">
        <f t="shared" si="1"/>
        <v>0.13616051039361518</v>
      </c>
      <c r="V16" s="47">
        <f t="shared" si="2"/>
        <v>25.875073736197919</v>
      </c>
      <c r="W16" s="48">
        <f t="shared" si="3"/>
        <v>1.0473885414893476E-2</v>
      </c>
      <c r="X16" s="43">
        <f t="shared" si="4"/>
        <v>11281.526719235912</v>
      </c>
      <c r="Y16" s="43">
        <f t="shared" si="5"/>
        <v>258.75073736197919</v>
      </c>
      <c r="Z16" s="43">
        <f t="shared" si="6"/>
        <v>17659.567820979049</v>
      </c>
      <c r="AA16" s="49">
        <f t="shared" si="7"/>
        <v>19040.277456597891</v>
      </c>
      <c r="AB16" s="50">
        <f t="shared" si="8"/>
        <v>16535.175862339933</v>
      </c>
      <c r="AC16" s="43">
        <f t="shared" si="8"/>
        <v>17827.975146627239</v>
      </c>
      <c r="AD16" s="43">
        <f t="shared" si="9"/>
        <v>315.88847227424299</v>
      </c>
      <c r="AE16" s="43">
        <f t="shared" si="17"/>
        <v>0</v>
      </c>
      <c r="AF16" s="51">
        <f>HLOOKUP(I16,ElecAvoidedCostsWOCC!$A$5:$Q$50,G16+1,FALSE)</f>
        <v>1.262268642203892</v>
      </c>
      <c r="AG16" s="43">
        <f t="shared" si="10"/>
        <v>18965.33389538504</v>
      </c>
      <c r="AH16" s="51">
        <f>HLOOKUP(I16,ElecAvoidedCostsWOCC!$A$5:$Q$50,T16+1,FALSE)</f>
        <v>1.262268642203892</v>
      </c>
      <c r="AI16" s="43">
        <f t="shared" si="11"/>
        <v>0</v>
      </c>
      <c r="AJ16" s="43">
        <f t="shared" si="12"/>
        <v>18965.33389538504</v>
      </c>
      <c r="AK16" s="43">
        <f>HLOOKUP(I16,ElecAvoidedCostsWOCC!$A$5:$Q$50,G16+1,FALSE)*J16*L16</f>
        <v>0</v>
      </c>
      <c r="AL16" s="43">
        <f t="shared" si="13"/>
        <v>18965.33389538504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18965.33389538504</v>
      </c>
      <c r="AN16" s="47">
        <f t="shared" si="14"/>
        <v>21177.755757197789</v>
      </c>
      <c r="AO16" s="46">
        <f t="shared" si="15"/>
        <v>1.1469689861950587</v>
      </c>
      <c r="AP16" s="46">
        <f t="shared" si="16"/>
        <v>1.1878946197209768</v>
      </c>
    </row>
    <row r="17" spans="1:42" ht="13.5" customHeight="1" x14ac:dyDescent="0.25">
      <c r="A17" s="57" t="s">
        <v>251</v>
      </c>
      <c r="B17" s="88" t="s">
        <v>15</v>
      </c>
      <c r="C17" s="91">
        <v>18230626</v>
      </c>
      <c r="D17" s="91" t="s">
        <v>75</v>
      </c>
      <c r="E17" s="37" t="s">
        <v>857</v>
      </c>
      <c r="F17" s="38" t="s">
        <v>1555</v>
      </c>
      <c r="G17" s="38">
        <v>13</v>
      </c>
      <c r="H17" s="38">
        <v>0</v>
      </c>
      <c r="I17" s="39" t="s">
        <v>269</v>
      </c>
      <c r="J17" s="40">
        <v>10</v>
      </c>
      <c r="K17" s="40">
        <v>1502.48</v>
      </c>
      <c r="L17" s="40">
        <v>0</v>
      </c>
      <c r="M17" s="41">
        <v>750</v>
      </c>
      <c r="N17" s="41">
        <v>775.88</v>
      </c>
      <c r="O17" s="42">
        <v>15024.8</v>
      </c>
      <c r="P17" s="43">
        <v>7500</v>
      </c>
      <c r="Q17" s="43">
        <v>7758.8</v>
      </c>
      <c r="R17" s="44">
        <v>3.78369</v>
      </c>
      <c r="S17" s="45"/>
      <c r="T17" s="38">
        <f t="shared" si="0"/>
        <v>13</v>
      </c>
      <c r="U17" s="46">
        <f t="shared" si="1"/>
        <v>0.13616051039361518</v>
      </c>
      <c r="V17" s="47">
        <f t="shared" si="2"/>
        <v>25.879999999999995</v>
      </c>
      <c r="W17" s="48">
        <f t="shared" si="3"/>
        <v>1.0473885414893476E-2</v>
      </c>
      <c r="X17" s="43">
        <f t="shared" si="4"/>
        <v>11281.526719235912</v>
      </c>
      <c r="Y17" s="43">
        <f t="shared" si="5"/>
        <v>258.80000000000018</v>
      </c>
      <c r="Z17" s="43">
        <f t="shared" si="6"/>
        <v>17659.567820979049</v>
      </c>
      <c r="AA17" s="49">
        <f t="shared" si="7"/>
        <v>19040.326719235913</v>
      </c>
      <c r="AB17" s="50">
        <f t="shared" si="8"/>
        <v>16535.175862339933</v>
      </c>
      <c r="AC17" s="43">
        <f t="shared" si="8"/>
        <v>17828.0212726928</v>
      </c>
      <c r="AD17" s="43">
        <f t="shared" si="9"/>
        <v>319.84373509040392</v>
      </c>
      <c r="AE17" s="43">
        <f t="shared" si="17"/>
        <v>0</v>
      </c>
      <c r="AF17" s="51">
        <f>HLOOKUP(I17,ElecAvoidedCostsWOCC!$A$5:$Q$50,G17+1,FALSE)</f>
        <v>1.262268642203892</v>
      </c>
      <c r="AG17" s="43">
        <f t="shared" si="10"/>
        <v>18965.33389538504</v>
      </c>
      <c r="AH17" s="51">
        <f>HLOOKUP(I17,ElecAvoidedCostsWOCC!$A$5:$Q$50,T17+1,FALSE)</f>
        <v>1.262268642203892</v>
      </c>
      <c r="AI17" s="43">
        <f t="shared" si="11"/>
        <v>0</v>
      </c>
      <c r="AJ17" s="43">
        <f t="shared" si="12"/>
        <v>18965.33389538504</v>
      </c>
      <c r="AK17" s="43">
        <f>HLOOKUP(I17,ElecAvoidedCostsWOCC!$A$5:$Q$50,G17+1,FALSE)*J17*L17</f>
        <v>0</v>
      </c>
      <c r="AL17" s="43">
        <f t="shared" si="13"/>
        <v>18965.33389538504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18965.33389538504</v>
      </c>
      <c r="AN17" s="47">
        <f t="shared" si="14"/>
        <v>21181.711020013947</v>
      </c>
      <c r="AO17" s="46">
        <f t="shared" si="15"/>
        <v>1.1469689861950587</v>
      </c>
      <c r="AP17" s="46">
        <f t="shared" si="16"/>
        <v>1.1881134028293985</v>
      </c>
    </row>
    <row r="18" spans="1:42" ht="13.5" customHeight="1" x14ac:dyDescent="0.25">
      <c r="A18" s="58">
        <f>A6+A8</f>
        <v>1686057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1916515.7702849188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1.1359282298219202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1.320389147356454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29" priority="4">
      <formula>ISTEXT(J5)</formula>
    </cfRule>
    <cfRule type="notContainsBlanks" dxfId="328" priority="5">
      <formula>LEN(TRIM(J5))&gt;0</formula>
    </cfRule>
  </conditionalFormatting>
  <conditionalFormatting sqref="M5:N24 R5:S24">
    <cfRule type="expression" dxfId="327" priority="2">
      <formula>ISTEXT(M5)</formula>
    </cfRule>
  </conditionalFormatting>
  <conditionalFormatting sqref="M5:N24 R5:S24">
    <cfRule type="notContainsBlanks" dxfId="326" priority="3">
      <formula>LEN(TRIM(M5))&gt;0</formula>
    </cfRule>
  </conditionalFormatting>
  <conditionalFormatting sqref="R5:S24">
    <cfRule type="expression" dxfId="32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D1" zoomScale="85" zoomScaleNormal="85" workbookViewId="0">
      <selection activeCell="J18" sqref="J1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48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18230434</v>
      </c>
      <c r="D5" s="60" t="s">
        <v>48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120</v>
      </c>
      <c r="L5" s="40">
        <v>0</v>
      </c>
      <c r="M5" s="41">
        <v>75</v>
      </c>
      <c r="N5" s="41">
        <v>136.4</v>
      </c>
      <c r="O5" s="42">
        <v>480000</v>
      </c>
      <c r="P5" s="43">
        <v>300000</v>
      </c>
      <c r="Q5" s="43">
        <v>545600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4.8796306932836959</v>
      </c>
      <c r="V5" s="47">
        <f t="shared" ref="V5:V24" si="2">N5-M5</f>
        <v>61.400000000000006</v>
      </c>
      <c r="W5" s="48">
        <f t="shared" ref="W5:W24" si="3">(O5/A$10)</f>
        <v>0.34854504952026399</v>
      </c>
      <c r="X5" s="43">
        <f t="shared" ref="X5:X24" si="4">W5*A$8</f>
        <v>304597.35277130344</v>
      </c>
      <c r="Y5" s="43">
        <f t="shared" ref="Y5:Y24" si="5">Q5-P5</f>
        <v>245600</v>
      </c>
      <c r="Z5" s="43">
        <f t="shared" ref="Z5:Z24" si="6">X5+(A$6*W5)</f>
        <v>614105.35674529779</v>
      </c>
      <c r="AA5" s="49">
        <f t="shared" ref="AA5:AA24" si="7">Q5+X5</f>
        <v>850197.35277130338</v>
      </c>
      <c r="AB5" s="50">
        <f t="shared" ref="AB5:AC20" si="8">Z5/(1+ElecDiscountRate)^1</f>
        <v>575005.01567911776</v>
      </c>
      <c r="AC5" s="43">
        <f t="shared" si="8"/>
        <v>796064.93705178215</v>
      </c>
      <c r="AD5" s="43">
        <f t="shared" ref="AD5:AD24" si="9">-PV(ElecDiscountRate,T5,R5)*J5</f>
        <v>672042.68877418945</v>
      </c>
      <c r="AE5" s="43">
        <v>0</v>
      </c>
      <c r="AF5" s="51">
        <f>HLOOKUP(I5,ElecAvoidedCostsWOCC!$A$5:$Q$50,G5+1,FALSE)</f>
        <v>1.3264018470259975</v>
      </c>
      <c r="AG5" s="43">
        <f t="shared" ref="AG5:AG24" si="10">AF5*J5*K5</f>
        <v>636672.8865724788</v>
      </c>
      <c r="AH5" s="51">
        <f>HLOOKUP(I5,ElecAvoidedCostsWOCC!$A$5:$Q$50,T5+1,FALSE)</f>
        <v>1.3264018470259975</v>
      </c>
      <c r="AI5" s="43">
        <f t="shared" ref="AI5:AI24" si="11">AH5*J5*L5</f>
        <v>0</v>
      </c>
      <c r="AJ5" s="43">
        <f>AG5+AI5</f>
        <v>636672.8865724788</v>
      </c>
      <c r="AK5" s="43">
        <f>HLOOKUP(I5,ElecAvoidedCostsWOCC!$A$5:$Q$50,G5+1,FALSE)*J5*L5</f>
        <v>0</v>
      </c>
      <c r="AL5" s="43">
        <f>AG5+AI5-AK5</f>
        <v>636672.8865724788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636672.8865724788</v>
      </c>
      <c r="AN5" s="47">
        <f>AM5*1.1+AD5+AE5</f>
        <v>1372382.8640039163</v>
      </c>
      <c r="AO5" s="46">
        <f>IFERROR(AM5/AB5,0)</f>
        <v>1.1072475356071936</v>
      </c>
      <c r="AP5" s="46">
        <f>AN5/AC5</f>
        <v>1.7239584362131579</v>
      </c>
    </row>
    <row r="6" spans="1:42" ht="13.5" customHeight="1" x14ac:dyDescent="0.25">
      <c r="A6" s="52">
        <f>SUMIF('Program Costs'!D:D,C2,'Program Costs'!L:L)</f>
        <v>888000</v>
      </c>
      <c r="B6" s="88" t="s">
        <v>15</v>
      </c>
      <c r="C6" s="60">
        <v>18230434</v>
      </c>
      <c r="D6" s="60" t="s">
        <v>48</v>
      </c>
      <c r="E6" s="37" t="s">
        <v>995</v>
      </c>
      <c r="F6" s="38" t="s">
        <v>996</v>
      </c>
      <c r="G6" s="38">
        <v>14</v>
      </c>
      <c r="H6" s="38">
        <v>0</v>
      </c>
      <c r="I6" s="39" t="s">
        <v>269</v>
      </c>
      <c r="J6" s="40">
        <v>4180</v>
      </c>
      <c r="K6" s="40">
        <v>120</v>
      </c>
      <c r="L6" s="40">
        <v>0</v>
      </c>
      <c r="M6" s="41">
        <v>75</v>
      </c>
      <c r="N6" s="41">
        <v>136.4</v>
      </c>
      <c r="O6" s="42">
        <v>501600</v>
      </c>
      <c r="P6" s="43">
        <v>313500</v>
      </c>
      <c r="Q6" s="43">
        <v>570152</v>
      </c>
      <c r="R6" s="44">
        <v>18.981400000000001</v>
      </c>
      <c r="S6" s="45"/>
      <c r="T6" s="38">
        <f t="shared" si="0"/>
        <v>14</v>
      </c>
      <c r="U6" s="46">
        <f t="shared" si="1"/>
        <v>5.0992140744814627</v>
      </c>
      <c r="V6" s="47">
        <f t="shared" si="2"/>
        <v>61.400000000000006</v>
      </c>
      <c r="W6" s="48">
        <f t="shared" si="3"/>
        <v>0.3642295767486759</v>
      </c>
      <c r="X6" s="43">
        <f t="shared" si="4"/>
        <v>318304.23364601209</v>
      </c>
      <c r="Y6" s="43">
        <f t="shared" si="5"/>
        <v>256652</v>
      </c>
      <c r="Z6" s="43">
        <f t="shared" si="6"/>
        <v>641740.0977988363</v>
      </c>
      <c r="AA6" s="49">
        <f t="shared" si="7"/>
        <v>888456.23364601214</v>
      </c>
      <c r="AB6" s="50">
        <f t="shared" si="8"/>
        <v>600880.24138467817</v>
      </c>
      <c r="AC6" s="43">
        <f t="shared" si="8"/>
        <v>831887.85921911243</v>
      </c>
      <c r="AD6" s="43">
        <f t="shared" si="9"/>
        <v>702284.60976902791</v>
      </c>
      <c r="AE6" s="43">
        <v>0</v>
      </c>
      <c r="AF6" s="51">
        <f>HLOOKUP(I6,ElecAvoidedCostsWOCC!$A$5:$Q$50,G6+1,FALSE)</f>
        <v>1.3264018470259975</v>
      </c>
      <c r="AG6" s="43">
        <f t="shared" si="10"/>
        <v>665323.16646824032</v>
      </c>
      <c r="AH6" s="51">
        <f>HLOOKUP(I6,ElecAvoidedCostsWOCC!$A$5:$Q$50,T6+1,FALSE)</f>
        <v>1.3264018470259975</v>
      </c>
      <c r="AI6" s="43">
        <f t="shared" si="11"/>
        <v>0</v>
      </c>
      <c r="AJ6" s="43">
        <f t="shared" ref="AJ6:AJ24" si="12">AG6+AI6</f>
        <v>665323.16646824032</v>
      </c>
      <c r="AK6" s="43">
        <f>HLOOKUP(I6,ElecAvoidedCostsWOCC!$A$5:$Q$50,G6+1,FALSE)*J6*L6</f>
        <v>0</v>
      </c>
      <c r="AL6" s="43">
        <f t="shared" ref="AL6:AL24" si="13">AG6+AI6-AK6</f>
        <v>665323.16646824032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665323.16646824032</v>
      </c>
      <c r="AN6" s="47">
        <f t="shared" ref="AN6:AN24" si="14">AM6*1.1+AD6+AE6</f>
        <v>1434140.0928840924</v>
      </c>
      <c r="AO6" s="46">
        <f t="shared" ref="AO6:AO24" si="15">IFERROR(AM6/AB6,0)</f>
        <v>1.1072475356071934</v>
      </c>
      <c r="AP6" s="46">
        <f t="shared" ref="AP6:AP24" si="16">AN6/AC6</f>
        <v>1.7239584362131575</v>
      </c>
    </row>
    <row r="7" spans="1:42" ht="13.5" customHeight="1" x14ac:dyDescent="0.25">
      <c r="A7" s="35" t="s">
        <v>239</v>
      </c>
      <c r="B7" s="88" t="s">
        <v>15</v>
      </c>
      <c r="C7" s="60">
        <v>18230434</v>
      </c>
      <c r="D7" s="60" t="s">
        <v>48</v>
      </c>
      <c r="E7" s="37" t="s">
        <v>997</v>
      </c>
      <c r="F7" s="38" t="s">
        <v>579</v>
      </c>
      <c r="G7" s="38">
        <v>12</v>
      </c>
      <c r="H7" s="38">
        <v>0</v>
      </c>
      <c r="I7" s="39" t="s">
        <v>267</v>
      </c>
      <c r="J7" s="40">
        <v>5000</v>
      </c>
      <c r="K7" s="40">
        <v>68</v>
      </c>
      <c r="L7" s="40">
        <v>0</v>
      </c>
      <c r="M7" s="41">
        <v>50</v>
      </c>
      <c r="N7" s="41">
        <v>103.49</v>
      </c>
      <c r="O7" s="42">
        <v>340000</v>
      </c>
      <c r="P7" s="43">
        <v>250000</v>
      </c>
      <c r="Q7" s="43">
        <v>517450</v>
      </c>
      <c r="R7" s="44">
        <v>-0.08</v>
      </c>
      <c r="S7" s="45"/>
      <c r="T7" s="38">
        <f t="shared" si="0"/>
        <v>12</v>
      </c>
      <c r="U7" s="46">
        <f t="shared" si="1"/>
        <v>2.962632920922244</v>
      </c>
      <c r="V7" s="47">
        <f t="shared" si="2"/>
        <v>53.489999999999995</v>
      </c>
      <c r="W7" s="48">
        <f t="shared" si="3"/>
        <v>0.24688607674352034</v>
      </c>
      <c r="X7" s="43">
        <f t="shared" si="4"/>
        <v>215756.45821300661</v>
      </c>
      <c r="Y7" s="43">
        <f t="shared" si="5"/>
        <v>267450</v>
      </c>
      <c r="Z7" s="43">
        <f t="shared" si="6"/>
        <v>434991.29436125269</v>
      </c>
      <c r="AA7" s="49">
        <f t="shared" si="7"/>
        <v>733206.45821300661</v>
      </c>
      <c r="AB7" s="50">
        <f t="shared" si="8"/>
        <v>407295.21943937516</v>
      </c>
      <c r="AC7" s="43">
        <f t="shared" si="8"/>
        <v>686522.90094850806</v>
      </c>
      <c r="AD7" s="43">
        <f t="shared" si="9"/>
        <v>-3211.2166596793231</v>
      </c>
      <c r="AE7" s="43">
        <v>0</v>
      </c>
      <c r="AF7" s="51">
        <f>HLOOKUP(I7,ElecAvoidedCostsWOCC!$A$5:$Q$50,G7+1,FALSE)</f>
        <v>1.1811812347431871</v>
      </c>
      <c r="AG7" s="43">
        <f t="shared" si="10"/>
        <v>401601.61981268361</v>
      </c>
      <c r="AH7" s="51">
        <f>HLOOKUP(I7,ElecAvoidedCostsWOCC!$A$5:$Q$50,T7+1,FALSE)</f>
        <v>1.1811812347431871</v>
      </c>
      <c r="AI7" s="43">
        <f t="shared" si="11"/>
        <v>0</v>
      </c>
      <c r="AJ7" s="43">
        <f t="shared" si="12"/>
        <v>401601.61981268361</v>
      </c>
      <c r="AK7" s="43">
        <f>HLOOKUP(I7,ElecAvoidedCostsWOCC!$A$5:$Q$50,G7+1,FALSE)*J7*L7</f>
        <v>0</v>
      </c>
      <c r="AL7" s="43">
        <f t="shared" si="13"/>
        <v>401601.61981268361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401601.61981268361</v>
      </c>
      <c r="AN7" s="47">
        <f t="shared" si="14"/>
        <v>438550.56513427268</v>
      </c>
      <c r="AO7" s="46">
        <f t="shared" si="15"/>
        <v>0.98602095149918889</v>
      </c>
      <c r="AP7" s="46">
        <f t="shared" si="16"/>
        <v>0.63879961546565467</v>
      </c>
    </row>
    <row r="8" spans="1:42" ht="13.5" customHeight="1" x14ac:dyDescent="0.25">
      <c r="A8" s="52">
        <f>SUMIF('Program Costs'!D:D,C2,'Program Costs'!O:O)</f>
        <v>873911</v>
      </c>
      <c r="B8" s="88" t="s">
        <v>15</v>
      </c>
      <c r="C8" s="60">
        <v>18230434</v>
      </c>
      <c r="D8" s="60" t="s">
        <v>48</v>
      </c>
      <c r="E8" s="37" t="s">
        <v>998</v>
      </c>
      <c r="F8" s="38" t="s">
        <v>580</v>
      </c>
      <c r="G8" s="38">
        <v>12</v>
      </c>
      <c r="H8" s="38">
        <v>0</v>
      </c>
      <c r="I8" s="39" t="s">
        <v>267</v>
      </c>
      <c r="J8" s="40">
        <v>100</v>
      </c>
      <c r="K8" s="40">
        <v>118</v>
      </c>
      <c r="L8" s="40">
        <v>0</v>
      </c>
      <c r="M8" s="41">
        <v>50</v>
      </c>
      <c r="N8" s="41">
        <v>196.59</v>
      </c>
      <c r="O8" s="42">
        <v>11800</v>
      </c>
      <c r="P8" s="43">
        <v>5000</v>
      </c>
      <c r="Q8" s="43">
        <v>19659</v>
      </c>
      <c r="R8" s="44">
        <v>4.46</v>
      </c>
      <c r="S8" s="45"/>
      <c r="T8" s="38">
        <f t="shared" si="0"/>
        <v>12</v>
      </c>
      <c r="U8" s="46">
        <f t="shared" si="1"/>
        <v>0.10282078960847787</v>
      </c>
      <c r="V8" s="47">
        <f t="shared" si="2"/>
        <v>146.59</v>
      </c>
      <c r="W8" s="48">
        <f t="shared" si="3"/>
        <v>8.5683991340398235E-3</v>
      </c>
      <c r="X8" s="43">
        <f t="shared" si="4"/>
        <v>7488.018255627876</v>
      </c>
      <c r="Y8" s="43">
        <f t="shared" si="5"/>
        <v>14659</v>
      </c>
      <c r="Z8" s="43">
        <f t="shared" si="6"/>
        <v>15096.756686655239</v>
      </c>
      <c r="AA8" s="49">
        <f t="shared" si="7"/>
        <v>27147.018255627874</v>
      </c>
      <c r="AB8" s="50">
        <f t="shared" si="8"/>
        <v>14135.539968778312</v>
      </c>
      <c r="AC8" s="43">
        <f t="shared" si="8"/>
        <v>25418.556419127221</v>
      </c>
      <c r="AD8" s="43">
        <f t="shared" si="9"/>
        <v>3580.5065755424453</v>
      </c>
      <c r="AE8" s="43">
        <v>0</v>
      </c>
      <c r="AF8" s="51">
        <f>HLOOKUP(I8,ElecAvoidedCostsWOCC!$A$5:$Q$50,G8+1,FALSE)</f>
        <v>1.1811812347431871</v>
      </c>
      <c r="AG8" s="43">
        <f t="shared" si="10"/>
        <v>13937.938569969607</v>
      </c>
      <c r="AH8" s="51">
        <f>HLOOKUP(I8,ElecAvoidedCostsWOCC!$A$5:$Q$50,T8+1,FALSE)</f>
        <v>1.1811812347431871</v>
      </c>
      <c r="AI8" s="43">
        <f t="shared" si="11"/>
        <v>0</v>
      </c>
      <c r="AJ8" s="43">
        <f t="shared" si="12"/>
        <v>13937.938569969607</v>
      </c>
      <c r="AK8" s="43">
        <f>HLOOKUP(I8,ElecAvoidedCostsWOCC!$A$5:$Q$50,G8+1,FALSE)*J8*L8</f>
        <v>0</v>
      </c>
      <c r="AL8" s="43">
        <f t="shared" si="13"/>
        <v>13937.938569969607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13937.938569969609</v>
      </c>
      <c r="AN8" s="47">
        <f t="shared" si="14"/>
        <v>18912.239002509017</v>
      </c>
      <c r="AO8" s="46">
        <f t="shared" si="15"/>
        <v>0.98602095149918911</v>
      </c>
      <c r="AP8" s="46">
        <f t="shared" si="16"/>
        <v>0.74403277238347565</v>
      </c>
    </row>
    <row r="9" spans="1:42" ht="13.5" customHeight="1" x14ac:dyDescent="0.25">
      <c r="A9" s="35" t="s">
        <v>241</v>
      </c>
      <c r="B9" s="88" t="s">
        <v>15</v>
      </c>
      <c r="C9" s="60">
        <v>18230434</v>
      </c>
      <c r="D9" s="60" t="s">
        <v>48</v>
      </c>
      <c r="E9" s="37" t="s">
        <v>999</v>
      </c>
      <c r="F9" s="38" t="s">
        <v>585</v>
      </c>
      <c r="G9" s="38">
        <v>14</v>
      </c>
      <c r="H9" s="38">
        <v>0</v>
      </c>
      <c r="I9" s="39" t="s">
        <v>269</v>
      </c>
      <c r="J9" s="40">
        <v>30</v>
      </c>
      <c r="K9" s="40">
        <v>120</v>
      </c>
      <c r="L9" s="40">
        <v>0</v>
      </c>
      <c r="M9" s="41">
        <v>125</v>
      </c>
      <c r="N9" s="41">
        <v>136.4</v>
      </c>
      <c r="O9" s="42">
        <v>3600</v>
      </c>
      <c r="P9" s="43">
        <v>3750</v>
      </c>
      <c r="Q9" s="43">
        <v>4092</v>
      </c>
      <c r="R9" s="44">
        <v>18.981400000000001</v>
      </c>
      <c r="S9" s="45"/>
      <c r="T9" s="38">
        <f t="shared" si="0"/>
        <v>14</v>
      </c>
      <c r="U9" s="46">
        <f t="shared" si="1"/>
        <v>3.6597230199627725E-2</v>
      </c>
      <c r="V9" s="47">
        <f t="shared" si="2"/>
        <v>11.400000000000006</v>
      </c>
      <c r="W9" s="48">
        <f t="shared" si="3"/>
        <v>2.6140878714019803E-3</v>
      </c>
      <c r="X9" s="43">
        <f t="shared" si="4"/>
        <v>2284.4801457847761</v>
      </c>
      <c r="Y9" s="43">
        <f t="shared" si="5"/>
        <v>342</v>
      </c>
      <c r="Z9" s="43">
        <f t="shared" si="6"/>
        <v>4605.7901755897346</v>
      </c>
      <c r="AA9" s="49">
        <f t="shared" si="7"/>
        <v>6376.4801457847761</v>
      </c>
      <c r="AB9" s="50">
        <f t="shared" si="8"/>
        <v>4312.5376175933843</v>
      </c>
      <c r="AC9" s="43">
        <f t="shared" si="8"/>
        <v>5970.4870278883673</v>
      </c>
      <c r="AD9" s="43">
        <f t="shared" si="9"/>
        <v>5040.3201658064208</v>
      </c>
      <c r="AE9" s="43">
        <f t="shared" ref="AE9:AE24" si="17">-PV(ElecDiscountRate,T9,S9)*J9</f>
        <v>0</v>
      </c>
      <c r="AF9" s="51">
        <f>HLOOKUP(I9,ElecAvoidedCostsWOCC!$A$5:$Q$50,G9+1,FALSE)</f>
        <v>1.3264018470259975</v>
      </c>
      <c r="AG9" s="43">
        <f t="shared" si="10"/>
        <v>4775.0466492935911</v>
      </c>
      <c r="AH9" s="51">
        <f>HLOOKUP(I9,ElecAvoidedCostsWOCC!$A$5:$Q$50,T9+1,FALSE)</f>
        <v>1.3264018470259975</v>
      </c>
      <c r="AI9" s="43">
        <f t="shared" si="11"/>
        <v>0</v>
      </c>
      <c r="AJ9" s="43">
        <f t="shared" si="12"/>
        <v>4775.0466492935911</v>
      </c>
      <c r="AK9" s="43">
        <f>HLOOKUP(I9,ElecAvoidedCostsWOCC!$A$5:$Q$50,G9+1,FALSE)*J9*L9</f>
        <v>0</v>
      </c>
      <c r="AL9" s="43">
        <f t="shared" si="13"/>
        <v>4775.0466492935911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4775.0466492935911</v>
      </c>
      <c r="AN9" s="47">
        <f t="shared" si="14"/>
        <v>10292.871480029371</v>
      </c>
      <c r="AO9" s="46">
        <f t="shared" si="15"/>
        <v>1.1072475356071934</v>
      </c>
      <c r="AP9" s="46">
        <f t="shared" si="16"/>
        <v>1.7239584362131573</v>
      </c>
    </row>
    <row r="10" spans="1:42" ht="13.5" customHeight="1" x14ac:dyDescent="0.25">
      <c r="A10" s="53">
        <f>SUM(O5:O999)</f>
        <v>1377153.4000000001</v>
      </c>
      <c r="B10" s="88" t="s">
        <v>15</v>
      </c>
      <c r="C10" s="60">
        <v>18230434</v>
      </c>
      <c r="D10" s="60" t="s">
        <v>48</v>
      </c>
      <c r="E10" s="37" t="s">
        <v>1000</v>
      </c>
      <c r="F10" s="38" t="s">
        <v>586</v>
      </c>
      <c r="G10" s="38">
        <v>14</v>
      </c>
      <c r="H10" s="38">
        <v>0</v>
      </c>
      <c r="I10" s="39" t="s">
        <v>269</v>
      </c>
      <c r="J10" s="40">
        <v>30</v>
      </c>
      <c r="K10" s="40">
        <v>120</v>
      </c>
      <c r="L10" s="40">
        <v>0</v>
      </c>
      <c r="M10" s="41">
        <v>125</v>
      </c>
      <c r="N10" s="41">
        <v>136.4</v>
      </c>
      <c r="O10" s="42">
        <v>3600</v>
      </c>
      <c r="P10" s="43">
        <v>3750</v>
      </c>
      <c r="Q10" s="43">
        <v>4092</v>
      </c>
      <c r="R10" s="44">
        <v>18.981400000000001</v>
      </c>
      <c r="S10" s="45"/>
      <c r="T10" s="38">
        <f t="shared" si="0"/>
        <v>14</v>
      </c>
      <c r="U10" s="46">
        <f t="shared" si="1"/>
        <v>3.6597230199627725E-2</v>
      </c>
      <c r="V10" s="47">
        <f t="shared" si="2"/>
        <v>11.400000000000006</v>
      </c>
      <c r="W10" s="48">
        <f t="shared" si="3"/>
        <v>2.6140878714019803E-3</v>
      </c>
      <c r="X10" s="43">
        <f t="shared" si="4"/>
        <v>2284.4801457847761</v>
      </c>
      <c r="Y10" s="43">
        <f t="shared" si="5"/>
        <v>342</v>
      </c>
      <c r="Z10" s="43">
        <f t="shared" si="6"/>
        <v>4605.7901755897346</v>
      </c>
      <c r="AA10" s="49">
        <f t="shared" si="7"/>
        <v>6376.4801457847761</v>
      </c>
      <c r="AB10" s="50">
        <f t="shared" si="8"/>
        <v>4312.5376175933843</v>
      </c>
      <c r="AC10" s="43">
        <f t="shared" si="8"/>
        <v>5970.4870278883673</v>
      </c>
      <c r="AD10" s="43">
        <f t="shared" si="9"/>
        <v>5040.3201658064208</v>
      </c>
      <c r="AE10" s="43">
        <f t="shared" si="17"/>
        <v>0</v>
      </c>
      <c r="AF10" s="51">
        <f>HLOOKUP(I10,ElecAvoidedCostsWOCC!$A$5:$Q$50,G10+1,FALSE)</f>
        <v>1.3264018470259975</v>
      </c>
      <c r="AG10" s="43">
        <f t="shared" si="10"/>
        <v>4775.0466492935911</v>
      </c>
      <c r="AH10" s="51">
        <f>HLOOKUP(I10,ElecAvoidedCostsWOCC!$A$5:$Q$50,T10+1,FALSE)</f>
        <v>1.3264018470259975</v>
      </c>
      <c r="AI10" s="43">
        <f t="shared" si="11"/>
        <v>0</v>
      </c>
      <c r="AJ10" s="43">
        <f t="shared" si="12"/>
        <v>4775.0466492935911</v>
      </c>
      <c r="AK10" s="43">
        <f>HLOOKUP(I10,ElecAvoidedCostsWOCC!$A$5:$Q$50,G10+1,FALSE)*J10*L10</f>
        <v>0</v>
      </c>
      <c r="AL10" s="43">
        <f t="shared" si="13"/>
        <v>4775.0466492935911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4775.0466492935911</v>
      </c>
      <c r="AN10" s="47">
        <f t="shared" si="14"/>
        <v>10292.871480029371</v>
      </c>
      <c r="AO10" s="46">
        <f t="shared" si="15"/>
        <v>1.1072475356071934</v>
      </c>
      <c r="AP10" s="46">
        <f t="shared" si="16"/>
        <v>1.7239584362131573</v>
      </c>
    </row>
    <row r="11" spans="1:42" ht="13.5" customHeight="1" x14ac:dyDescent="0.25">
      <c r="A11" s="35" t="s">
        <v>242</v>
      </c>
      <c r="B11" s="88" t="s">
        <v>15</v>
      </c>
      <c r="C11" s="60">
        <v>18230434</v>
      </c>
      <c r="D11" s="60" t="s">
        <v>48</v>
      </c>
      <c r="E11" s="37" t="s">
        <v>1001</v>
      </c>
      <c r="F11" s="38" t="s">
        <v>1002</v>
      </c>
      <c r="G11" s="38">
        <v>12</v>
      </c>
      <c r="H11" s="38">
        <v>0</v>
      </c>
      <c r="I11" s="39" t="s">
        <v>267</v>
      </c>
      <c r="J11" s="40">
        <v>30</v>
      </c>
      <c r="K11" s="40">
        <v>68</v>
      </c>
      <c r="L11" s="40">
        <v>0</v>
      </c>
      <c r="M11" s="41">
        <v>100</v>
      </c>
      <c r="N11" s="41">
        <v>103.49</v>
      </c>
      <c r="O11" s="42">
        <v>2040</v>
      </c>
      <c r="P11" s="43">
        <v>3000</v>
      </c>
      <c r="Q11" s="43">
        <v>3104.7</v>
      </c>
      <c r="R11" s="44">
        <v>-0.08</v>
      </c>
      <c r="S11" s="45"/>
      <c r="T11" s="38">
        <f t="shared" si="0"/>
        <v>12</v>
      </c>
      <c r="U11" s="46">
        <f t="shared" si="1"/>
        <v>1.7775797525533463E-2</v>
      </c>
      <c r="V11" s="47">
        <f t="shared" si="2"/>
        <v>3.4899999999999949</v>
      </c>
      <c r="W11" s="48">
        <f t="shared" si="3"/>
        <v>1.481316460461122E-3</v>
      </c>
      <c r="X11" s="43">
        <f t="shared" si="4"/>
        <v>1294.5387492780396</v>
      </c>
      <c r="Y11" s="43">
        <f t="shared" si="5"/>
        <v>104.69999999999982</v>
      </c>
      <c r="Z11" s="43">
        <f t="shared" si="6"/>
        <v>2609.947766167516</v>
      </c>
      <c r="AA11" s="49">
        <f t="shared" si="7"/>
        <v>4399.2387492780399</v>
      </c>
      <c r="AB11" s="50">
        <f t="shared" si="8"/>
        <v>2443.771316636251</v>
      </c>
      <c r="AC11" s="43">
        <f t="shared" si="8"/>
        <v>4119.1374056910481</v>
      </c>
      <c r="AD11" s="43">
        <f t="shared" si="9"/>
        <v>-19.267299958075938</v>
      </c>
      <c r="AE11" s="43">
        <f t="shared" si="17"/>
        <v>0</v>
      </c>
      <c r="AF11" s="51">
        <f>HLOOKUP(I11,ElecAvoidedCostsWOCC!$A$5:$Q$50,G11+1,FALSE)</f>
        <v>1.1811812347431871</v>
      </c>
      <c r="AG11" s="43">
        <f t="shared" si="10"/>
        <v>2409.6097188761019</v>
      </c>
      <c r="AH11" s="51">
        <f>HLOOKUP(I11,ElecAvoidedCostsWOCC!$A$5:$Q$50,T11+1,FALSE)</f>
        <v>1.1811812347431871</v>
      </c>
      <c r="AI11" s="43">
        <f t="shared" si="11"/>
        <v>0</v>
      </c>
      <c r="AJ11" s="43">
        <f t="shared" si="12"/>
        <v>2409.6097188761019</v>
      </c>
      <c r="AK11" s="43">
        <f>HLOOKUP(I11,ElecAvoidedCostsWOCC!$A$5:$Q$50,G11+1,FALSE)*J11*L11</f>
        <v>0</v>
      </c>
      <c r="AL11" s="43">
        <f t="shared" si="13"/>
        <v>2409.6097188761019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2409.6097188761014</v>
      </c>
      <c r="AN11" s="47">
        <f t="shared" si="14"/>
        <v>2631.3033908056359</v>
      </c>
      <c r="AO11" s="46">
        <f t="shared" si="15"/>
        <v>0.98602095149918878</v>
      </c>
      <c r="AP11" s="46">
        <f t="shared" si="16"/>
        <v>0.63879961546565467</v>
      </c>
    </row>
    <row r="12" spans="1:42" ht="13.5" customHeight="1" x14ac:dyDescent="0.25">
      <c r="A12" s="54">
        <f>SUM(P5:P1000)</f>
        <v>888000</v>
      </c>
      <c r="B12" s="88" t="s">
        <v>15</v>
      </c>
      <c r="C12" s="60">
        <v>18230434</v>
      </c>
      <c r="D12" s="60" t="s">
        <v>48</v>
      </c>
      <c r="E12" s="37" t="s">
        <v>1003</v>
      </c>
      <c r="F12" s="38" t="s">
        <v>1004</v>
      </c>
      <c r="G12" s="38">
        <v>12</v>
      </c>
      <c r="H12" s="38">
        <v>0</v>
      </c>
      <c r="I12" s="39" t="s">
        <v>267</v>
      </c>
      <c r="J12" s="40">
        <v>30</v>
      </c>
      <c r="K12" s="40">
        <v>118</v>
      </c>
      <c r="L12" s="40">
        <v>0</v>
      </c>
      <c r="M12" s="41">
        <v>100</v>
      </c>
      <c r="N12" s="41">
        <v>196.59</v>
      </c>
      <c r="O12" s="42">
        <v>3540</v>
      </c>
      <c r="P12" s="43">
        <v>3000</v>
      </c>
      <c r="Q12" s="43">
        <v>5897.7</v>
      </c>
      <c r="R12" s="44">
        <v>4.46</v>
      </c>
      <c r="S12" s="45"/>
      <c r="T12" s="38">
        <f t="shared" si="0"/>
        <v>12</v>
      </c>
      <c r="U12" s="46">
        <f t="shared" si="1"/>
        <v>3.0846236882543364E-2</v>
      </c>
      <c r="V12" s="47">
        <f t="shared" si="2"/>
        <v>96.59</v>
      </c>
      <c r="W12" s="48">
        <f t="shared" si="3"/>
        <v>2.5705197402119471E-3</v>
      </c>
      <c r="X12" s="43">
        <f t="shared" si="4"/>
        <v>2246.4054766883628</v>
      </c>
      <c r="Y12" s="43">
        <f t="shared" si="5"/>
        <v>2897.7</v>
      </c>
      <c r="Z12" s="43">
        <f t="shared" si="6"/>
        <v>4529.0270059965715</v>
      </c>
      <c r="AA12" s="49">
        <f t="shared" si="7"/>
        <v>8144.1054766883626</v>
      </c>
      <c r="AB12" s="50">
        <f t="shared" si="8"/>
        <v>4240.6619906334936</v>
      </c>
      <c r="AC12" s="43">
        <f t="shared" si="8"/>
        <v>7625.5669257381669</v>
      </c>
      <c r="AD12" s="43">
        <f t="shared" si="9"/>
        <v>1074.1519726627334</v>
      </c>
      <c r="AE12" s="43">
        <f t="shared" si="17"/>
        <v>0</v>
      </c>
      <c r="AF12" s="51">
        <f>HLOOKUP(I12,ElecAvoidedCostsWOCC!$A$5:$Q$50,G12+1,FALSE)</f>
        <v>1.1811812347431871</v>
      </c>
      <c r="AG12" s="43">
        <f t="shared" si="10"/>
        <v>4181.3815709908831</v>
      </c>
      <c r="AH12" s="51">
        <f>HLOOKUP(I12,ElecAvoidedCostsWOCC!$A$5:$Q$50,T12+1,FALSE)</f>
        <v>1.1811812347431871</v>
      </c>
      <c r="AI12" s="43">
        <f t="shared" si="11"/>
        <v>0</v>
      </c>
      <c r="AJ12" s="43">
        <f t="shared" si="12"/>
        <v>4181.3815709908831</v>
      </c>
      <c r="AK12" s="43">
        <f>HLOOKUP(I12,ElecAvoidedCostsWOCC!$A$5:$Q$50,G12+1,FALSE)*J12*L12</f>
        <v>0</v>
      </c>
      <c r="AL12" s="43">
        <f t="shared" si="13"/>
        <v>4181.3815709908831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4181.3815709908822</v>
      </c>
      <c r="AN12" s="47">
        <f t="shared" si="14"/>
        <v>5673.6717007527041</v>
      </c>
      <c r="AO12" s="46">
        <f t="shared" si="15"/>
        <v>0.986020951499189</v>
      </c>
      <c r="AP12" s="46">
        <f t="shared" si="16"/>
        <v>0.74403277238347543</v>
      </c>
    </row>
    <row r="13" spans="1:42" ht="13.5" customHeight="1" x14ac:dyDescent="0.25">
      <c r="A13" s="55" t="s">
        <v>245</v>
      </c>
      <c r="B13" s="88" t="s">
        <v>15</v>
      </c>
      <c r="C13" s="60">
        <v>18230434</v>
      </c>
      <c r="D13" s="60" t="s">
        <v>48</v>
      </c>
      <c r="E13" s="37" t="s">
        <v>1005</v>
      </c>
      <c r="F13" s="38" t="s">
        <v>577</v>
      </c>
      <c r="G13" s="38">
        <v>12</v>
      </c>
      <c r="H13" s="38">
        <v>0</v>
      </c>
      <c r="I13" s="39" t="s">
        <v>267</v>
      </c>
      <c r="J13" s="40">
        <v>20</v>
      </c>
      <c r="K13" s="40">
        <v>324.58</v>
      </c>
      <c r="L13" s="40">
        <v>0</v>
      </c>
      <c r="M13" s="41">
        <v>75</v>
      </c>
      <c r="N13" s="41">
        <v>411.53</v>
      </c>
      <c r="O13" s="42">
        <v>6491.5999999999995</v>
      </c>
      <c r="P13" s="43">
        <v>1500</v>
      </c>
      <c r="Q13" s="43">
        <v>8230.5999999999985</v>
      </c>
      <c r="R13" s="44">
        <v>-0.24340000000000001</v>
      </c>
      <c r="S13" s="45"/>
      <c r="T13" s="38">
        <f t="shared" si="0"/>
        <v>12</v>
      </c>
      <c r="U13" s="46">
        <f t="shared" si="1"/>
        <v>5.6565376086643637E-2</v>
      </c>
      <c r="V13" s="47">
        <f t="shared" si="2"/>
        <v>336.53</v>
      </c>
      <c r="W13" s="48">
        <f t="shared" si="3"/>
        <v>4.7137813405536367E-3</v>
      </c>
      <c r="X13" s="43">
        <f t="shared" si="4"/>
        <v>4119.4253651045692</v>
      </c>
      <c r="Y13" s="43">
        <f t="shared" si="5"/>
        <v>6730.5999999999985</v>
      </c>
      <c r="Z13" s="43">
        <f t="shared" si="6"/>
        <v>8305.2631955161996</v>
      </c>
      <c r="AA13" s="49">
        <f t="shared" si="7"/>
        <v>12350.025365104568</v>
      </c>
      <c r="AB13" s="50">
        <f t="shared" si="8"/>
        <v>7776.46366621367</v>
      </c>
      <c r="AC13" s="43">
        <f t="shared" si="8"/>
        <v>11563.694162082928</v>
      </c>
      <c r="AD13" s="43">
        <f t="shared" si="9"/>
        <v>-39.08050674829736</v>
      </c>
      <c r="AE13" s="43">
        <f t="shared" si="17"/>
        <v>0</v>
      </c>
      <c r="AF13" s="51">
        <f>HLOOKUP(I13,ElecAvoidedCostsWOCC!$A$5:$Q$50,G13+1,FALSE)</f>
        <v>1.1811812347431871</v>
      </c>
      <c r="AG13" s="43">
        <f t="shared" si="10"/>
        <v>7667.7561034588734</v>
      </c>
      <c r="AH13" s="51">
        <f>HLOOKUP(I13,ElecAvoidedCostsWOCC!$A$5:$Q$50,T13+1,FALSE)</f>
        <v>1.1811812347431871</v>
      </c>
      <c r="AI13" s="43">
        <f t="shared" si="11"/>
        <v>0</v>
      </c>
      <c r="AJ13" s="43">
        <f t="shared" si="12"/>
        <v>7667.7561034588734</v>
      </c>
      <c r="AK13" s="43">
        <f>HLOOKUP(I13,ElecAvoidedCostsWOCC!$A$5:$Q$50,G13+1,FALSE)*J13*L13</f>
        <v>0</v>
      </c>
      <c r="AL13" s="43">
        <f t="shared" si="13"/>
        <v>7667.7561034588734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7667.7561034588734</v>
      </c>
      <c r="AN13" s="47">
        <f t="shared" si="14"/>
        <v>8395.4512070564633</v>
      </c>
      <c r="AO13" s="46">
        <f t="shared" si="15"/>
        <v>0.98602095149918889</v>
      </c>
      <c r="AP13" s="46">
        <f t="shared" si="16"/>
        <v>0.72601809502926362</v>
      </c>
    </row>
    <row r="14" spans="1:42" ht="13.5" customHeight="1" x14ac:dyDescent="0.25">
      <c r="A14" s="54">
        <f>SUM(Y5:Y1000)</f>
        <v>814969.79999999993</v>
      </c>
      <c r="B14" s="88" t="s">
        <v>15</v>
      </c>
      <c r="C14" s="60">
        <v>18230434</v>
      </c>
      <c r="D14" s="60" t="s">
        <v>48</v>
      </c>
      <c r="E14" s="37" t="s">
        <v>1006</v>
      </c>
      <c r="F14" s="38" t="s">
        <v>578</v>
      </c>
      <c r="G14" s="38">
        <v>12</v>
      </c>
      <c r="H14" s="38">
        <v>0</v>
      </c>
      <c r="I14" s="39" t="s">
        <v>267</v>
      </c>
      <c r="J14" s="40">
        <v>60</v>
      </c>
      <c r="K14" s="40">
        <v>408.03</v>
      </c>
      <c r="L14" s="40">
        <v>0</v>
      </c>
      <c r="M14" s="41">
        <v>75</v>
      </c>
      <c r="N14" s="41">
        <v>411.53</v>
      </c>
      <c r="O14" s="42">
        <v>24481.8</v>
      </c>
      <c r="P14" s="43">
        <v>4500</v>
      </c>
      <c r="Q14" s="43">
        <v>24691.8</v>
      </c>
      <c r="R14" s="44">
        <v>2.6875</v>
      </c>
      <c r="S14" s="45"/>
      <c r="T14" s="38">
        <f t="shared" si="0"/>
        <v>12</v>
      </c>
      <c r="U14" s="46">
        <f t="shared" si="1"/>
        <v>0.21332525483362996</v>
      </c>
      <c r="V14" s="47">
        <f t="shared" si="2"/>
        <v>336.53</v>
      </c>
      <c r="W14" s="48">
        <f t="shared" si="3"/>
        <v>1.7777104569469165E-2</v>
      </c>
      <c r="X14" s="43">
        <f t="shared" si="4"/>
        <v>15535.607231409367</v>
      </c>
      <c r="Y14" s="43">
        <f t="shared" si="5"/>
        <v>20191.8</v>
      </c>
      <c r="Z14" s="43">
        <f t="shared" si="6"/>
        <v>31321.676089097986</v>
      </c>
      <c r="AA14" s="49">
        <f t="shared" si="7"/>
        <v>40227.407231409365</v>
      </c>
      <c r="AB14" s="50">
        <f t="shared" si="8"/>
        <v>29327.412068443806</v>
      </c>
      <c r="AC14" s="43">
        <f t="shared" si="8"/>
        <v>37666.111639896408</v>
      </c>
      <c r="AD14" s="43">
        <f t="shared" si="9"/>
        <v>1294.5217159332269</v>
      </c>
      <c r="AE14" s="43">
        <f t="shared" si="17"/>
        <v>0</v>
      </c>
      <c r="AF14" s="51">
        <f>HLOOKUP(I14,ElecAvoidedCostsWOCC!$A$5:$Q$50,G14+1,FALSE)</f>
        <v>1.1811812347431871</v>
      </c>
      <c r="AG14" s="43">
        <f t="shared" si="10"/>
        <v>28917.442752735758</v>
      </c>
      <c r="AH14" s="51">
        <f>HLOOKUP(I14,ElecAvoidedCostsWOCC!$A$5:$Q$50,T14+1,FALSE)</f>
        <v>1.1811812347431871</v>
      </c>
      <c r="AI14" s="43">
        <f t="shared" si="11"/>
        <v>0</v>
      </c>
      <c r="AJ14" s="43">
        <f t="shared" si="12"/>
        <v>28917.442752735758</v>
      </c>
      <c r="AK14" s="43">
        <f>HLOOKUP(I14,ElecAvoidedCostsWOCC!$A$5:$Q$50,G14+1,FALSE)*J14*L14</f>
        <v>0</v>
      </c>
      <c r="AL14" s="43">
        <f t="shared" si="13"/>
        <v>28917.442752735758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28917.442752735755</v>
      </c>
      <c r="AN14" s="47">
        <f t="shared" si="14"/>
        <v>33103.70874394256</v>
      </c>
      <c r="AO14" s="46">
        <f t="shared" si="15"/>
        <v>0.98602095149918878</v>
      </c>
      <c r="AP14" s="46">
        <f t="shared" si="16"/>
        <v>0.87887247455823669</v>
      </c>
    </row>
    <row r="15" spans="1:42" ht="13.5" customHeight="1" x14ac:dyDescent="0.25">
      <c r="A15" s="56" t="s">
        <v>248</v>
      </c>
      <c r="B15" s="88" t="s">
        <v>15</v>
      </c>
      <c r="C15" s="60">
        <v>18230434</v>
      </c>
      <c r="D15" s="60" t="s">
        <v>48</v>
      </c>
      <c r="E15" s="37" t="s">
        <v>1007</v>
      </c>
      <c r="F15" s="38" t="s">
        <v>1008</v>
      </c>
      <c r="G15" s="38">
        <v>12</v>
      </c>
      <c r="H15" s="38">
        <v>0</v>
      </c>
      <c r="I15" s="39" t="s">
        <v>267</v>
      </c>
      <c r="J15" s="40">
        <v>0</v>
      </c>
      <c r="K15" s="40">
        <v>324.58</v>
      </c>
      <c r="L15" s="40">
        <v>0</v>
      </c>
      <c r="M15" s="41">
        <v>200</v>
      </c>
      <c r="N15" s="41">
        <v>411.53</v>
      </c>
      <c r="O15" s="42">
        <v>0</v>
      </c>
      <c r="P15" s="43">
        <v>0</v>
      </c>
      <c r="Q15" s="43">
        <v>0</v>
      </c>
      <c r="R15" s="44">
        <v>-0.24340000000000001</v>
      </c>
      <c r="S15" s="45"/>
      <c r="T15" s="38">
        <f t="shared" si="0"/>
        <v>12</v>
      </c>
      <c r="U15" s="46">
        <f t="shared" si="1"/>
        <v>0</v>
      </c>
      <c r="V15" s="47">
        <f t="shared" si="2"/>
        <v>211.52999999999997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1.1811812347431871</v>
      </c>
      <c r="AG15" s="43">
        <f t="shared" si="10"/>
        <v>0</v>
      </c>
      <c r="AH15" s="51">
        <f>HLOOKUP(I15,ElecAvoidedCostsWOCC!$A$5:$Q$50,T15+1,FALSE)</f>
        <v>1.1811812347431871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13.436005604023485</v>
      </c>
      <c r="B16" s="88" t="s">
        <v>15</v>
      </c>
      <c r="C16" s="60">
        <v>18230434</v>
      </c>
      <c r="D16" s="60" t="s">
        <v>48</v>
      </c>
      <c r="E16" s="37" t="s">
        <v>1007</v>
      </c>
      <c r="F16" s="38" t="s">
        <v>1009</v>
      </c>
      <c r="G16" s="38">
        <v>12</v>
      </c>
      <c r="H16" s="38">
        <v>0</v>
      </c>
      <c r="I16" s="39" t="s">
        <v>267</v>
      </c>
      <c r="J16" s="40">
        <v>0</v>
      </c>
      <c r="K16" s="40">
        <v>408.03</v>
      </c>
      <c r="L16" s="40">
        <v>0</v>
      </c>
      <c r="M16" s="41">
        <v>200</v>
      </c>
      <c r="N16" s="41">
        <v>411.53</v>
      </c>
      <c r="O16" s="42">
        <v>0</v>
      </c>
      <c r="P16" s="43">
        <v>0</v>
      </c>
      <c r="Q16" s="43">
        <v>0</v>
      </c>
      <c r="R16" s="44">
        <v>2.6875</v>
      </c>
      <c r="S16" s="45"/>
      <c r="T16" s="38">
        <f t="shared" si="0"/>
        <v>12</v>
      </c>
      <c r="U16" s="46">
        <f t="shared" si="1"/>
        <v>0</v>
      </c>
      <c r="V16" s="47">
        <f t="shared" si="2"/>
        <v>211.52999999999997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1.1811812347431871</v>
      </c>
      <c r="AG16" s="43">
        <f t="shared" si="10"/>
        <v>0</v>
      </c>
      <c r="AH16" s="51">
        <f>HLOOKUP(I16,ElecAvoidedCostsWOCC!$A$5:$Q$50,T16+1,FALSE)</f>
        <v>1.1811812347431871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18230434</v>
      </c>
      <c r="D17" s="60" t="s">
        <v>48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1761911</v>
      </c>
      <c r="B18" s="88" t="s">
        <v>15</v>
      </c>
      <c r="C18" s="60">
        <v>18230434</v>
      </c>
      <c r="D18" s="60" t="s">
        <v>48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18230434</v>
      </c>
      <c r="D19" s="60" t="s">
        <v>48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2576880.7999999998</v>
      </c>
      <c r="B20" s="88" t="s">
        <v>15</v>
      </c>
      <c r="C20" s="60">
        <v>18230434</v>
      </c>
      <c r="D20" s="60" t="s">
        <v>48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18230434</v>
      </c>
      <c r="D21" s="60" t="s">
        <v>48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1.0730619785670483</v>
      </c>
      <c r="B22" s="88" t="s">
        <v>15</v>
      </c>
      <c r="C22" s="60">
        <v>18230434</v>
      </c>
      <c r="D22" s="60" t="s">
        <v>48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18230434</v>
      </c>
      <c r="D23" s="60" t="s">
        <v>48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1.3819471907591816</v>
      </c>
      <c r="B24" s="88" t="s">
        <v>15</v>
      </c>
      <c r="C24" s="60">
        <v>18230434</v>
      </c>
      <c r="D24" s="60" t="s">
        <v>48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18230434</v>
      </c>
      <c r="D25" s="60" t="s">
        <v>48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Z25/(1+ElecDiscountRate)^1</f>
        <v>0</v>
      </c>
      <c r="AC25" s="43">
        <f t="shared" ref="AC25:AC50" si="28">AA25/(1+ElecDiscountRate)^1</f>
        <v>0</v>
      </c>
      <c r="AD25" s="43">
        <f t="shared" ref="AD25:AD50" si="29">-PV(ElecDiscountRate,T25,R25)*J25</f>
        <v>0</v>
      </c>
      <c r="AE25" s="43">
        <f t="shared" ref="AE25:AE50" si="30">-PV(ElecDiscountRate,T25,S25)*J25</f>
        <v>0</v>
      </c>
      <c r="AF25" s="51" t="e">
        <f>HLOOKUP(I25,ElecAvoidedCostsWOCC!$A$5:$Q$50,G25+1,FALSE)</f>
        <v>#N/A</v>
      </c>
      <c r="AG25" s="43" t="e">
        <f t="shared" ref="AG25:AG50" si="31">AF25*J25*K25</f>
        <v>#N/A</v>
      </c>
      <c r="AH25" s="51" t="e">
        <f>HLOOKUP(I25,ElecAvoidedCostsWOCC!$A$5:$Q$50,T25+1,FALSE)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HLOOKUP(I25,ElecAvoidedCostsWOCC!$A$5:$Q$50,G25+1,FALSE)*J25*L25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88" t="s">
        <v>15</v>
      </c>
      <c r="C26" s="60">
        <v>18230434</v>
      </c>
      <c r="D26" s="60" t="s">
        <v>48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15</v>
      </c>
      <c r="C27" s="60">
        <v>18230434</v>
      </c>
      <c r="D27" s="60" t="s">
        <v>48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15</v>
      </c>
      <c r="C28" s="60">
        <v>18230434</v>
      </c>
      <c r="D28" s="60" t="s">
        <v>48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0 R5:S50">
    <cfRule type="expression" dxfId="322" priority="2">
      <formula>ISTEXT(M5)</formula>
    </cfRule>
  </conditionalFormatting>
  <conditionalFormatting sqref="M5:N50 R5:S50">
    <cfRule type="notContainsBlanks" dxfId="321" priority="3">
      <formula>LEN(TRIM(M5))&gt;0</formula>
    </cfRule>
  </conditionalFormatting>
  <conditionalFormatting sqref="R5:S50">
    <cfRule type="expression" dxfId="3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CA79402C4015F42A3F864417A666F67" ma:contentTypeVersion="16" ma:contentTypeDescription="" ma:contentTypeScope="" ma:versionID="c7fb71a88d34f7704d290f2a8b974cb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2023-11-01T07:00:00+00:00</OpenedDate>
    <SignificantOrder xmlns="dc463f71-b30c-4ab2-9473-d307f9d35888">false</SignificantOrder>
    <Date1 xmlns="dc463f71-b30c-4ab2-9473-d307f9d35888">2023-11-01T07:00:00+00:00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230892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E02B431-6B77-4484-A72A-D4717F548328}"/>
</file>

<file path=customXml/itemProps2.xml><?xml version="1.0" encoding="utf-8"?>
<ds:datastoreItem xmlns:ds="http://schemas.openxmlformats.org/officeDocument/2006/customXml" ds:itemID="{32401780-90E0-43C6-AA27-EFB123E90162}"/>
</file>

<file path=customXml/itemProps3.xml><?xml version="1.0" encoding="utf-8"?>
<ds:datastoreItem xmlns:ds="http://schemas.openxmlformats.org/officeDocument/2006/customXml" ds:itemID="{6CDDB8F5-4729-4E37-B83A-7BF96D197ED8}"/>
</file>

<file path=customXml/itemProps4.xml><?xml version="1.0" encoding="utf-8"?>
<ds:datastoreItem xmlns:ds="http://schemas.openxmlformats.org/officeDocument/2006/customXml" ds:itemID="{8993D61A-B955-42F2-B710-E3A1FA92A5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</vt:i4>
      </vt:variant>
    </vt:vector>
  </HeadingPairs>
  <TitlesOfParts>
    <vt:vector size="78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EV Chargers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Midstream HVAC &amp;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Foodservice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2023-10-25T00:13:26Z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0x0101006E56B4D1795A2E4DB2F0B01679ED314A006CA79402C4015F42A3F864417A666F67</vt:lpwstr>
  </property>
  <property fmtid="{D5CDD505-2E9C-101B-9397-08002B2CF9AE}" pid="3" name="_docset_NoMedatataSyncRequired">
    <vt:lpwstr>False</vt:lpwstr>
  </property>
</Properties>
</file>