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025\WA-ID Schedule 195 Modifications\WA\"/>
    </mc:Choice>
  </mc:AlternateContent>
  <xr:revisionPtr revIDLastSave="0" documentId="8_{E6435594-E33F-4B55-9C40-A5AC93F28346}" xr6:coauthVersionLast="47" xr6:coauthVersionMax="47" xr10:uidLastSave="{00000000-0000-0000-0000-000000000000}"/>
  <bookViews>
    <workbookView xWindow="33435" yWindow="2310" windowWidth="19185" windowHeight="9255" xr2:uid="{BE2AD22F-EB4F-47EF-886A-504F38ADE32E}"/>
  </bookViews>
  <sheets>
    <sheet name="Budget" sheetId="1" r:id="rId1"/>
  </sheets>
  <definedNames>
    <definedName name="_xlnm.Print_Area" localSheetId="0">Budget!$A$1:$T$29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G23" i="1" l="1"/>
  <c r="F23" i="1"/>
  <c r="E23" i="1"/>
  <c r="D23" i="1"/>
  <c r="C23" i="1"/>
  <c r="B23" i="1"/>
  <c r="B27" i="1" s="1"/>
  <c r="B29" i="1" s="1"/>
  <c r="I22" i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H22" i="1"/>
  <c r="G22" i="1"/>
  <c r="I21" i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G20" i="1"/>
  <c r="H20" i="1" s="1"/>
  <c r="F15" i="1"/>
  <c r="F14" i="1"/>
  <c r="G14" i="1" s="1"/>
  <c r="F11" i="1"/>
  <c r="G10" i="1"/>
  <c r="G11" i="1" s="1"/>
  <c r="F10" i="1"/>
  <c r="E10" i="1"/>
  <c r="D10" i="1"/>
  <c r="C10" i="1"/>
  <c r="G7" i="1"/>
  <c r="F7" i="1"/>
  <c r="E7" i="1"/>
  <c r="E15" i="1" s="1"/>
  <c r="D7" i="1"/>
  <c r="C7" i="1"/>
  <c r="G6" i="1"/>
  <c r="H6" i="1" s="1"/>
  <c r="E27" i="1" l="1"/>
  <c r="G17" i="1"/>
  <c r="F27" i="1"/>
  <c r="G15" i="1"/>
  <c r="H14" i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I6" i="1"/>
  <c r="H10" i="1"/>
  <c r="H11" i="1" s="1"/>
  <c r="H7" i="1"/>
  <c r="H15" i="1" s="1"/>
  <c r="I20" i="1"/>
  <c r="H23" i="1"/>
  <c r="B28" i="1"/>
  <c r="C28" i="1" s="1"/>
  <c r="D28" i="1" s="1"/>
  <c r="E28" i="1" s="1"/>
  <c r="F28" i="1" s="1"/>
  <c r="G28" i="1" s="1"/>
  <c r="C16" i="1"/>
  <c r="C15" i="1" s="1"/>
  <c r="C27" i="1" s="1"/>
  <c r="C29" i="1" s="1"/>
  <c r="D16" i="1"/>
  <c r="D15" i="1" s="1"/>
  <c r="D27" i="1" s="1"/>
  <c r="D29" i="1" l="1"/>
  <c r="E29" i="1" s="1"/>
  <c r="F29" i="1" s="1"/>
  <c r="J20" i="1"/>
  <c r="I23" i="1"/>
  <c r="I17" i="1"/>
  <c r="H27" i="1"/>
  <c r="J6" i="1"/>
  <c r="I10" i="1"/>
  <c r="I11" i="1" s="1"/>
  <c r="I7" i="1"/>
  <c r="I15" i="1" s="1"/>
  <c r="H17" i="1"/>
  <c r="H28" i="1" s="1"/>
  <c r="I28" i="1" s="1"/>
  <c r="G27" i="1"/>
  <c r="G29" i="1" l="1"/>
  <c r="H29" i="1" s="1"/>
  <c r="J10" i="1"/>
  <c r="J11" i="1" s="1"/>
  <c r="K6" i="1"/>
  <c r="J7" i="1"/>
  <c r="J15" i="1" s="1"/>
  <c r="J17" i="1"/>
  <c r="I27" i="1"/>
  <c r="K20" i="1"/>
  <c r="J23" i="1"/>
  <c r="I29" i="1" l="1"/>
  <c r="L20" i="1"/>
  <c r="K23" i="1"/>
  <c r="K17" i="1"/>
  <c r="L6" i="1"/>
  <c r="K10" i="1"/>
  <c r="K11" i="1" s="1"/>
  <c r="K7" i="1"/>
  <c r="K15" i="1" s="1"/>
  <c r="J27" i="1"/>
  <c r="J29" i="1" s="1"/>
  <c r="J28" i="1"/>
  <c r="K28" i="1" s="1"/>
  <c r="L17" i="1" l="1"/>
  <c r="K27" i="1"/>
  <c r="K29" i="1" s="1"/>
  <c r="M6" i="1"/>
  <c r="L7" i="1"/>
  <c r="L15" i="1" s="1"/>
  <c r="L10" i="1"/>
  <c r="L11" i="1" s="1"/>
  <c r="M20" i="1"/>
  <c r="L23" i="1"/>
  <c r="M23" i="1" l="1"/>
  <c r="N20" i="1"/>
  <c r="M7" i="1"/>
  <c r="M15" i="1" s="1"/>
  <c r="N6" i="1"/>
  <c r="M10" i="1"/>
  <c r="M11" i="1" s="1"/>
  <c r="M17" i="1"/>
  <c r="L27" i="1"/>
  <c r="L29" i="1" s="1"/>
  <c r="L28" i="1"/>
  <c r="M28" i="1" l="1"/>
  <c r="N7" i="1"/>
  <c r="N15" i="1" s="1"/>
  <c r="O6" i="1"/>
  <c r="N10" i="1"/>
  <c r="N11" i="1" s="1"/>
  <c r="M27" i="1"/>
  <c r="M29" i="1" s="1"/>
  <c r="N17" i="1"/>
  <c r="N23" i="1"/>
  <c r="O20" i="1"/>
  <c r="P20" i="1" l="1"/>
  <c r="O23" i="1"/>
  <c r="N28" i="1"/>
  <c r="O7" i="1"/>
  <c r="O15" i="1" s="1"/>
  <c r="P6" i="1"/>
  <c r="O10" i="1"/>
  <c r="O11" i="1" s="1"/>
  <c r="O17" i="1"/>
  <c r="N27" i="1"/>
  <c r="N29" i="1" s="1"/>
  <c r="P17" i="1" l="1"/>
  <c r="O27" i="1"/>
  <c r="O29" i="1" s="1"/>
  <c r="Q6" i="1"/>
  <c r="P7" i="1"/>
  <c r="P15" i="1" s="1"/>
  <c r="P10" i="1"/>
  <c r="P11" i="1" s="1"/>
  <c r="O28" i="1"/>
  <c r="Q20" i="1"/>
  <c r="P23" i="1"/>
  <c r="P28" i="1" l="1"/>
  <c r="Q17" i="1"/>
  <c r="P27" i="1"/>
  <c r="P29" i="1" s="1"/>
  <c r="R20" i="1"/>
  <c r="Q23" i="1"/>
  <c r="R6" i="1"/>
  <c r="Q10" i="1"/>
  <c r="Q11" i="1" s="1"/>
  <c r="Q7" i="1"/>
  <c r="Q15" i="1" s="1"/>
  <c r="R17" i="1" l="1"/>
  <c r="Q27" i="1"/>
  <c r="Q29" i="1" s="1"/>
  <c r="R7" i="1"/>
  <c r="R15" i="1" s="1"/>
  <c r="S6" i="1"/>
  <c r="R10" i="1"/>
  <c r="R11" i="1" s="1"/>
  <c r="R23" i="1"/>
  <c r="S20" i="1"/>
  <c r="S23" i="1" s="1"/>
  <c r="Q28" i="1"/>
  <c r="R28" i="1" l="1"/>
  <c r="S7" i="1"/>
  <c r="S15" i="1" s="1"/>
  <c r="S10" i="1"/>
  <c r="S11" i="1" s="1"/>
  <c r="S27" i="1" s="1"/>
  <c r="R27" i="1"/>
  <c r="R29" i="1" s="1"/>
  <c r="S29" i="1" s="1"/>
  <c r="S17" i="1"/>
  <c r="S28" i="1" l="1"/>
</calcChain>
</file>

<file path=xl/sharedStrings.xml><?xml version="1.0" encoding="utf-8"?>
<sst xmlns="http://schemas.openxmlformats.org/spreadsheetml/2006/main" count="50" uniqueCount="35">
  <si>
    <t xml:space="preserve">Forecasted Budget </t>
  </si>
  <si>
    <t>Therms per block</t>
  </si>
  <si>
    <t xml:space="preserve">Voluntary Renewable Natural Gas Program </t>
  </si>
  <si>
    <t>Estimated program growth</t>
  </si>
  <si>
    <t>Cost per block</t>
  </si>
  <si>
    <t>Notes and Assumptions</t>
  </si>
  <si>
    <t>2021-2024 are actuals, 2025 is partial assumuptions with actuals through 5/31/25 combined with assumptions for remainder of 2025</t>
  </si>
  <si>
    <t>Forecasted Participation (Blocks)</t>
  </si>
  <si>
    <t>Forecasted Demand (therms)</t>
  </si>
  <si>
    <t xml:space="preserve">Revenues </t>
  </si>
  <si>
    <t>RNG Sales Revenue</t>
  </si>
  <si>
    <t>Revenues Less Offset</t>
  </si>
  <si>
    <t>RNG Purchases</t>
  </si>
  <si>
    <t>Price Per Therm</t>
  </si>
  <si>
    <t>RTC Attribute</t>
  </si>
  <si>
    <t>Future commitment, RTCs trued up following year</t>
  </si>
  <si>
    <t>RNG Commodity</t>
  </si>
  <si>
    <t>-</t>
  </si>
  <si>
    <t>Purchased RTC bundled with RNG 2022/2023, program only paid for RTC. Unbundled fuel cost $3.67/Dth or $0.367 / therm. 2024 forward - new contract for RTC only</t>
  </si>
  <si>
    <t>RTCs Bought</t>
  </si>
  <si>
    <t>RTCs procured for previous years</t>
  </si>
  <si>
    <t>A&amp;G</t>
  </si>
  <si>
    <t>Program Admin</t>
  </si>
  <si>
    <t>Up to 15% of program revenue, consistent with average % of MCE</t>
  </si>
  <si>
    <t>Communication, Education, Outreach</t>
  </si>
  <si>
    <t>Computer/Software</t>
  </si>
  <si>
    <t>Includes MRETS subscription and cost to retire RTCs, in 2024 MRETS subscription increased from  $2,200  to $2,5000</t>
  </si>
  <si>
    <t>A&amp;G Totals</t>
  </si>
  <si>
    <t>Total Expenses</t>
  </si>
  <si>
    <t>Net Annual Program Income/Operating Reserves</t>
  </si>
  <si>
    <t>Annual program net operating cost</t>
  </si>
  <si>
    <t>Account Balance</t>
  </si>
  <si>
    <t>Account balance before all RTC obligations have been paid</t>
  </si>
  <si>
    <t>Net Total Program Income/Operating Reserves</t>
  </si>
  <si>
    <t>Account balance after all RTC obligations have been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</si>
</sst>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wrapText="1"/>
    </xf>
    <xf numFmtId="8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2" fillId="0" borderId="0" xfId="0" applyFont="1"/>
    <xf numFmtId="0" fontId="0" fillId="2" borderId="0" xfId="0" applyFill="1"/>
    <xf numFmtId="164" fontId="0" fillId="2" borderId="0" xfId="1" applyNumberFormat="1" applyFont="1" applyFill="1"/>
    <xf numFmtId="164" fontId="0" fillId="0" borderId="0" xfId="1" applyNumberFormat="1" applyFont="1" applyFill="1"/>
    <xf numFmtId="0" fontId="3" fillId="2" borderId="0" xfId="0" applyFont="1" applyFill="1" applyAlignment="1">
      <alignment horizontal="center"/>
    </xf>
    <xf numFmtId="44" fontId="0" fillId="2" borderId="0" xfId="2" applyFont="1" applyFill="1"/>
    <xf numFmtId="44" fontId="0" fillId="0" borderId="0" xfId="2" applyFont="1" applyFill="1"/>
    <xf numFmtId="44" fontId="2" fillId="2" borderId="1" xfId="0" applyNumberFormat="1" applyFont="1" applyFill="1" applyBorder="1"/>
    <xf numFmtId="44" fontId="2" fillId="0" borderId="2" xfId="2" applyFont="1" applyFill="1" applyBorder="1"/>
    <xf numFmtId="0" fontId="5" fillId="2" borderId="0" xfId="0" applyFont="1" applyFill="1"/>
    <xf numFmtId="44" fontId="0" fillId="2" borderId="0" xfId="0" applyNumberFormat="1" applyFill="1"/>
    <xf numFmtId="44" fontId="0" fillId="0" borderId="0" xfId="0" applyNumberFormat="1"/>
    <xf numFmtId="44" fontId="7" fillId="2" borderId="0" xfId="2" applyFont="1" applyFill="1"/>
    <xf numFmtId="8" fontId="0" fillId="2" borderId="0" xfId="2" applyNumberFormat="1" applyFont="1" applyFill="1"/>
    <xf numFmtId="44" fontId="0" fillId="0" borderId="0" xfId="2" applyFont="1"/>
    <xf numFmtId="8" fontId="0" fillId="0" borderId="0" xfId="2" applyNumberFormat="1" applyFont="1" applyFill="1"/>
    <xf numFmtId="44" fontId="2" fillId="2" borderId="0" xfId="0" applyNumberFormat="1" applyFont="1" applyFill="1"/>
    <xf numFmtId="44" fontId="2" fillId="0" borderId="0" xfId="0" applyNumberFormat="1" applyFont="1"/>
    <xf numFmtId="9" fontId="0" fillId="0" borderId="0" xfId="3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44" fontId="0" fillId="3" borderId="0" xfId="2" applyFont="1" applyFill="1" applyProtection="1">
      <protection locked="0" hidden="1"/>
    </xf>
    <xf numFmtId="2" fontId="2" fillId="3" borderId="1" xfId="0" applyNumberFormat="1" applyFont="1" applyFill="1" applyBorder="1" applyProtection="1">
      <protection locked="0" hidden="1"/>
    </xf>
    <xf numFmtId="0" fontId="5" fillId="3" borderId="0" xfId="0" applyFont="1" applyFill="1" applyProtection="1">
      <protection locked="0" hidden="1"/>
    </xf>
    <xf numFmtId="0" fontId="0" fillId="3" borderId="0" xfId="0" applyFill="1" applyProtection="1">
      <protection locked="0" hidden="1"/>
    </xf>
    <xf numFmtId="44" fontId="0" fillId="3" borderId="0" xfId="0" applyNumberFormat="1" applyFill="1" applyProtection="1">
      <protection locked="0" hidden="1"/>
    </xf>
    <xf numFmtId="44" fontId="6" fillId="3" borderId="0" xfId="2" applyFont="1" applyFill="1" applyProtection="1">
      <protection locked="0" hidden="1"/>
    </xf>
    <xf numFmtId="44" fontId="1" fillId="3" borderId="0" xfId="2" applyFont="1" applyFill="1" applyProtection="1">
      <protection locked="0" hidden="1"/>
    </xf>
    <xf numFmtId="8" fontId="1" fillId="3" borderId="0" xfId="2" applyNumberFormat="1" applyFont="1" applyFill="1" applyProtection="1">
      <protection locked="0" hidden="1"/>
    </xf>
    <xf numFmtId="44" fontId="2" fillId="3" borderId="1" xfId="0" applyNumberFormat="1" applyFont="1" applyFill="1" applyBorder="1" applyProtection="1">
      <protection locked="0" hidden="1"/>
    </xf>
    <xf numFmtId="0" fontId="0" fillId="3" borderId="0" xfId="0" applyFill="1" applyAlignment="1" applyProtection="1">
      <alignment wrapText="1"/>
      <protection locked="0" hidden="1"/>
    </xf>
    <xf numFmtId="0" fontId="0" fillId="0" borderId="0" xfId="0" applyAlignment="1" applyProtection="1">
      <alignment wrapText="1"/>
      <protection locked="0" hidden="1"/>
    </xf>
    <xf numFmtId="0" fontId="8" fillId="3" borderId="0" xfId="0" applyFont="1" applyFill="1" applyAlignment="1" applyProtection="1">
      <alignment wrapText="1"/>
      <protection locked="0" hidden="1"/>
    </xf>
    <xf numFmtId="0" fontId="3" fillId="0" borderId="0" xfId="0" applyFont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42FE2-EBD3-4102-A3B3-2163AF2650C7}">
  <dimension ref="A1:T36"/>
  <sheetViews>
    <sheetView tabSelected="1" topLeftCell="C1" zoomScale="80" zoomScaleNormal="80" workbookViewId="0">
      <selection activeCell="C34" sqref="C34"/>
    </sheetView>
  </sheetViews>
  <sheetFormatPr defaultRowHeight="15" x14ac:dyDescent="0.25"/>
  <cols>
    <col min="1" max="1" width="22.85546875" customWidth="1"/>
    <col min="2" max="2" width="12" bestFit="1" customWidth="1"/>
    <col min="3" max="3" width="13" bestFit="1" customWidth="1"/>
    <col min="4" max="4" width="12.28515625" bestFit="1" customWidth="1"/>
    <col min="5" max="5" width="14" customWidth="1"/>
    <col min="6" max="8" width="12.28515625" bestFit="1" customWidth="1"/>
    <col min="9" max="11" width="13" bestFit="1" customWidth="1"/>
    <col min="12" max="15" width="13.42578125" customWidth="1"/>
    <col min="16" max="16" width="13.42578125" bestFit="1" customWidth="1"/>
    <col min="17" max="17" width="13.42578125" customWidth="1"/>
    <col min="18" max="19" width="13" bestFit="1" customWidth="1"/>
    <col min="20" max="20" width="108" customWidth="1"/>
  </cols>
  <sheetData>
    <row r="1" spans="1:20" ht="15" customHeight="1" x14ac:dyDescent="0.25">
      <c r="A1" s="44" t="s">
        <v>0</v>
      </c>
      <c r="B1" s="44"/>
      <c r="C1" s="44"/>
      <c r="D1" s="2"/>
      <c r="E1" s="3" t="s">
        <v>1</v>
      </c>
      <c r="F1" s="2">
        <v>2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"/>
    </row>
    <row r="2" spans="1:20" ht="15" customHeight="1" x14ac:dyDescent="0.25">
      <c r="A2" s="44" t="s">
        <v>2</v>
      </c>
      <c r="B2" s="44"/>
      <c r="C2" s="44"/>
      <c r="D2" s="2"/>
      <c r="E2" s="3" t="s">
        <v>3</v>
      </c>
      <c r="F2" s="2">
        <v>1.02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4"/>
    </row>
    <row r="3" spans="1:20" ht="15" customHeight="1" x14ac:dyDescent="0.25">
      <c r="A3" s="27"/>
      <c r="B3" s="1"/>
      <c r="C3" s="1"/>
      <c r="D3" s="2"/>
      <c r="E3" s="3" t="s">
        <v>4</v>
      </c>
      <c r="F3" s="5">
        <v>5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4"/>
    </row>
    <row r="4" spans="1:20" ht="15" customHeight="1" x14ac:dyDescent="0.25">
      <c r="A4" s="27"/>
      <c r="B4" s="1"/>
      <c r="C4" s="1"/>
      <c r="D4" s="2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6" t="s">
        <v>5</v>
      </c>
    </row>
    <row r="5" spans="1:20" ht="15" customHeight="1" x14ac:dyDescent="0.25">
      <c r="A5" s="28"/>
      <c r="B5" s="7">
        <v>2021</v>
      </c>
      <c r="C5" s="7">
        <v>2022</v>
      </c>
      <c r="D5" s="7">
        <v>2023</v>
      </c>
      <c r="E5" s="7">
        <v>2024</v>
      </c>
      <c r="F5" s="8">
        <v>2025</v>
      </c>
      <c r="G5" s="8">
        <v>2026</v>
      </c>
      <c r="H5" s="8">
        <v>2027</v>
      </c>
      <c r="I5" s="8">
        <v>2028</v>
      </c>
      <c r="J5" s="8">
        <v>2029</v>
      </c>
      <c r="K5" s="8">
        <v>2030</v>
      </c>
      <c r="L5" s="8">
        <v>2031</v>
      </c>
      <c r="M5" s="8">
        <v>2032</v>
      </c>
      <c r="N5" s="8">
        <v>2033</v>
      </c>
      <c r="O5" s="8">
        <v>2034</v>
      </c>
      <c r="P5" s="8">
        <v>2035</v>
      </c>
      <c r="Q5" s="8">
        <v>2036</v>
      </c>
      <c r="R5" s="8">
        <v>2037</v>
      </c>
      <c r="S5" s="8">
        <v>2038</v>
      </c>
      <c r="T5" s="4" t="s">
        <v>6</v>
      </c>
    </row>
    <row r="6" spans="1:20" ht="30" x14ac:dyDescent="0.25">
      <c r="A6" s="4" t="s">
        <v>7</v>
      </c>
      <c r="B6" s="9"/>
      <c r="C6" s="10">
        <v>8199</v>
      </c>
      <c r="D6" s="10">
        <v>11546</v>
      </c>
      <c r="E6" s="10">
        <v>11924</v>
      </c>
      <c r="F6" s="11">
        <v>12124.8</v>
      </c>
      <c r="G6" s="11">
        <f>F6*$F2</f>
        <v>12367.296</v>
      </c>
      <c r="H6" s="11">
        <f t="shared" ref="H6:S6" si="0">G6*$F2</f>
        <v>12614.64192</v>
      </c>
      <c r="I6" s="11">
        <f t="shared" si="0"/>
        <v>12866.934758400001</v>
      </c>
      <c r="J6" s="11">
        <f t="shared" si="0"/>
        <v>13124.273453568001</v>
      </c>
      <c r="K6" s="11">
        <f t="shared" si="0"/>
        <v>13386.758922639361</v>
      </c>
      <c r="L6" s="11">
        <f t="shared" si="0"/>
        <v>13654.494101092148</v>
      </c>
      <c r="M6" s="11">
        <f t="shared" si="0"/>
        <v>13927.583983113991</v>
      </c>
      <c r="N6" s="11">
        <f t="shared" si="0"/>
        <v>14206.135662776271</v>
      </c>
      <c r="O6" s="11">
        <f t="shared" si="0"/>
        <v>14490.258376031796</v>
      </c>
      <c r="P6" s="11">
        <f t="shared" si="0"/>
        <v>14780.063543552433</v>
      </c>
      <c r="Q6" s="11">
        <f t="shared" si="0"/>
        <v>15075.664814423482</v>
      </c>
      <c r="R6" s="11">
        <f t="shared" si="0"/>
        <v>15377.178110711951</v>
      </c>
      <c r="S6" s="11">
        <f t="shared" si="0"/>
        <v>15684.721672926191</v>
      </c>
      <c r="T6" s="4"/>
    </row>
    <row r="7" spans="1:20" ht="15" customHeight="1" x14ac:dyDescent="0.25">
      <c r="A7" s="4" t="s">
        <v>8</v>
      </c>
      <c r="B7" s="9"/>
      <c r="C7" s="10">
        <f>C6*1.5</f>
        <v>12298.5</v>
      </c>
      <c r="D7" s="10">
        <f t="shared" ref="D7:E7" si="1">D6*1.5</f>
        <v>17319</v>
      </c>
      <c r="E7" s="10">
        <f t="shared" si="1"/>
        <v>17886</v>
      </c>
      <c r="F7" s="11">
        <f>F6*1.5</f>
        <v>18187.199999999997</v>
      </c>
      <c r="G7" s="11">
        <f>G6*$F1</f>
        <v>24734.592000000001</v>
      </c>
      <c r="H7" s="11">
        <f t="shared" ref="H7:S7" si="2">H6*$F1</f>
        <v>25229.28384</v>
      </c>
      <c r="I7" s="11">
        <f t="shared" si="2"/>
        <v>25733.869516800001</v>
      </c>
      <c r="J7" s="11">
        <f t="shared" si="2"/>
        <v>26248.546907136002</v>
      </c>
      <c r="K7" s="11">
        <f t="shared" si="2"/>
        <v>26773.517845278722</v>
      </c>
      <c r="L7" s="11">
        <f t="shared" si="2"/>
        <v>27308.988202184297</v>
      </c>
      <c r="M7" s="11">
        <f t="shared" si="2"/>
        <v>27855.167966227982</v>
      </c>
      <c r="N7" s="11">
        <f t="shared" si="2"/>
        <v>28412.271325552541</v>
      </c>
      <c r="O7" s="11">
        <f t="shared" si="2"/>
        <v>28980.516752063591</v>
      </c>
      <c r="P7" s="11">
        <f t="shared" si="2"/>
        <v>29560.127087104865</v>
      </c>
      <c r="Q7" s="11">
        <f t="shared" si="2"/>
        <v>30151.329628846965</v>
      </c>
      <c r="R7" s="11">
        <f t="shared" si="2"/>
        <v>30754.356221423903</v>
      </c>
      <c r="S7" s="11">
        <f t="shared" si="2"/>
        <v>31369.443345852382</v>
      </c>
    </row>
    <row r="8" spans="1:20" ht="15" customHeight="1" x14ac:dyDescent="0.25">
      <c r="A8" s="28"/>
      <c r="B8" s="12"/>
      <c r="C8" s="12"/>
      <c r="D8" s="12"/>
      <c r="E8" s="1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4"/>
    </row>
    <row r="9" spans="1:20" ht="15" customHeight="1" x14ac:dyDescent="0.25">
      <c r="A9" s="29" t="s">
        <v>9</v>
      </c>
      <c r="B9" s="7"/>
      <c r="C9" s="7"/>
      <c r="D9" s="7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ht="15" customHeight="1" thickBot="1" x14ac:dyDescent="0.3">
      <c r="A10" s="30" t="s">
        <v>10</v>
      </c>
      <c r="B10" s="9">
        <v>0</v>
      </c>
      <c r="C10" s="13">
        <f>5*(C6)</f>
        <v>40995</v>
      </c>
      <c r="D10" s="13">
        <f>5*(D6)</f>
        <v>57730</v>
      </c>
      <c r="E10" s="13">
        <f t="shared" ref="E10" si="3">5*(E6)</f>
        <v>59620</v>
      </c>
      <c r="F10" s="14">
        <f>$F$3*(F6)</f>
        <v>60624</v>
      </c>
      <c r="G10" s="14">
        <f t="shared" ref="G10:S10" si="4">$F$3*(G6)</f>
        <v>61836.480000000003</v>
      </c>
      <c r="H10" s="14">
        <f t="shared" si="4"/>
        <v>63073.209600000002</v>
      </c>
      <c r="I10" s="14">
        <f t="shared" si="4"/>
        <v>64334.673792000001</v>
      </c>
      <c r="J10" s="14">
        <f t="shared" si="4"/>
        <v>65621.367267840003</v>
      </c>
      <c r="K10" s="14">
        <f t="shared" si="4"/>
        <v>66933.794613196806</v>
      </c>
      <c r="L10" s="14">
        <f t="shared" si="4"/>
        <v>68272.470505460748</v>
      </c>
      <c r="M10" s="14">
        <f t="shared" si="4"/>
        <v>69637.919915569961</v>
      </c>
      <c r="N10" s="14">
        <f t="shared" si="4"/>
        <v>71030.678313881348</v>
      </c>
      <c r="O10" s="14">
        <f t="shared" si="4"/>
        <v>72451.291880158984</v>
      </c>
      <c r="P10" s="14">
        <f t="shared" si="4"/>
        <v>73900.317717762169</v>
      </c>
      <c r="Q10" s="14">
        <f t="shared" si="4"/>
        <v>75378.324072117408</v>
      </c>
      <c r="R10" s="14">
        <f t="shared" si="4"/>
        <v>76885.890553559759</v>
      </c>
      <c r="S10" s="14">
        <f t="shared" si="4"/>
        <v>78423.608364630956</v>
      </c>
      <c r="T10" s="4"/>
    </row>
    <row r="11" spans="1:20" ht="15" customHeight="1" thickBot="1" x14ac:dyDescent="0.3">
      <c r="A11" s="31" t="s">
        <v>11</v>
      </c>
      <c r="B11" s="15">
        <v>0</v>
      </c>
      <c r="C11" s="15">
        <v>39290.300000000003</v>
      </c>
      <c r="D11" s="15">
        <v>54975.33</v>
      </c>
      <c r="E11" s="15">
        <v>53067.839999999997</v>
      </c>
      <c r="F11" s="16">
        <f t="shared" ref="F11:S11" si="5">SUM(F10*0.97)</f>
        <v>58805.279999999999</v>
      </c>
      <c r="G11" s="16">
        <f t="shared" si="5"/>
        <v>59981.385600000001</v>
      </c>
      <c r="H11" s="16">
        <f t="shared" si="5"/>
        <v>61181.013312000003</v>
      </c>
      <c r="I11" s="16">
        <f t="shared" si="5"/>
        <v>62404.633578239998</v>
      </c>
      <c r="J11" s="16">
        <f t="shared" si="5"/>
        <v>63652.7262498048</v>
      </c>
      <c r="K11" s="16">
        <f t="shared" si="5"/>
        <v>64925.7807748009</v>
      </c>
      <c r="L11" s="16">
        <f t="shared" si="5"/>
        <v>66224.29639029692</v>
      </c>
      <c r="M11" s="16">
        <f t="shared" si="5"/>
        <v>67548.782318102865</v>
      </c>
      <c r="N11" s="16">
        <f t="shared" si="5"/>
        <v>68899.757964464909</v>
      </c>
      <c r="O11" s="16">
        <f t="shared" si="5"/>
        <v>70277.753123754213</v>
      </c>
      <c r="P11" s="16">
        <f t="shared" si="5"/>
        <v>71683.308186229304</v>
      </c>
      <c r="Q11" s="16">
        <f t="shared" si="5"/>
        <v>73116.974349953889</v>
      </c>
      <c r="R11" s="16">
        <f t="shared" si="5"/>
        <v>74579.313836952962</v>
      </c>
      <c r="S11" s="16">
        <f t="shared" si="5"/>
        <v>76070.900113692027</v>
      </c>
      <c r="T11" s="4"/>
    </row>
    <row r="12" spans="1:20" ht="15" customHeight="1" x14ac:dyDescent="0.25">
      <c r="A12" s="4"/>
      <c r="B12" s="9"/>
      <c r="C12" s="9"/>
      <c r="D12" s="9"/>
      <c r="E12" s="9"/>
      <c r="T12" s="4"/>
    </row>
    <row r="13" spans="1:20" ht="15" customHeight="1" x14ac:dyDescent="0.25">
      <c r="A13" s="29" t="s">
        <v>12</v>
      </c>
      <c r="B13" s="17"/>
      <c r="C13" s="9"/>
      <c r="D13" s="9"/>
      <c r="E13" s="9"/>
      <c r="T13" s="4"/>
    </row>
    <row r="14" spans="1:20" ht="15" customHeight="1" x14ac:dyDescent="0.25">
      <c r="A14" s="30" t="s">
        <v>13</v>
      </c>
      <c r="B14" s="34"/>
      <c r="C14" s="35">
        <v>2.4</v>
      </c>
      <c r="D14" s="35">
        <v>2.4</v>
      </c>
      <c r="E14" s="35">
        <v>1.48</v>
      </c>
      <c r="F14" s="35">
        <f>E14*1.02</f>
        <v>1.5096000000000001</v>
      </c>
      <c r="G14" s="35">
        <f t="shared" ref="G14:S14" si="6">F14*1.02</f>
        <v>1.539792</v>
      </c>
      <c r="H14" s="35">
        <f t="shared" si="6"/>
        <v>1.5705878400000002</v>
      </c>
      <c r="I14" s="35">
        <f t="shared" si="6"/>
        <v>1.6019995968000003</v>
      </c>
      <c r="J14" s="35">
        <f t="shared" si="6"/>
        <v>1.6340395887360002</v>
      </c>
      <c r="K14" s="35">
        <f t="shared" si="6"/>
        <v>1.6667203805107202</v>
      </c>
      <c r="L14" s="35">
        <f t="shared" si="6"/>
        <v>1.7000547881209347</v>
      </c>
      <c r="M14" s="35">
        <f t="shared" si="6"/>
        <v>1.7340558838833535</v>
      </c>
      <c r="N14" s="35">
        <f t="shared" si="6"/>
        <v>1.7687370015610206</v>
      </c>
      <c r="O14" s="35">
        <f t="shared" si="6"/>
        <v>1.8041117415922412</v>
      </c>
      <c r="P14" s="35">
        <f t="shared" si="6"/>
        <v>1.840193976424086</v>
      </c>
      <c r="Q14" s="35">
        <f t="shared" si="6"/>
        <v>1.8769978559525677</v>
      </c>
      <c r="R14" s="35">
        <f t="shared" si="6"/>
        <v>1.9145378130716191</v>
      </c>
      <c r="S14" s="35">
        <f t="shared" si="6"/>
        <v>1.9528285693330516</v>
      </c>
      <c r="T14" s="41"/>
    </row>
    <row r="15" spans="1:20" ht="15" customHeight="1" x14ac:dyDescent="0.25">
      <c r="A15" s="30" t="s">
        <v>14</v>
      </c>
      <c r="B15" s="34"/>
      <c r="C15" s="36">
        <f>(C7*C14)-C16</f>
        <v>25002.850499999997</v>
      </c>
      <c r="D15" s="36">
        <f>(D7*D14)-D16</f>
        <v>35209.527000000002</v>
      </c>
      <c r="E15" s="32">
        <f t="shared" ref="E15:S15" si="7">(E7*E14)</f>
        <v>26471.279999999999</v>
      </c>
      <c r="F15" s="32">
        <f t="shared" si="7"/>
        <v>27455.397119999998</v>
      </c>
      <c r="G15" s="32">
        <f t="shared" si="7"/>
        <v>38086.126884864003</v>
      </c>
      <c r="H15" s="32">
        <f t="shared" si="7"/>
        <v>39624.806411012512</v>
      </c>
      <c r="I15" s="32">
        <f t="shared" si="7"/>
        <v>41225.648590017423</v>
      </c>
      <c r="J15" s="32">
        <f t="shared" si="7"/>
        <v>42891.164793054122</v>
      </c>
      <c r="K15" s="32">
        <f t="shared" si="7"/>
        <v>44623.967850693509</v>
      </c>
      <c r="L15" s="32">
        <f t="shared" si="7"/>
        <v>46426.77615186153</v>
      </c>
      <c r="M15" s="32">
        <f t="shared" si="7"/>
        <v>48302.417908396739</v>
      </c>
      <c r="N15" s="32">
        <f t="shared" si="7"/>
        <v>50253.835591895964</v>
      </c>
      <c r="O15" s="32">
        <f t="shared" si="7"/>
        <v>52284.09054980857</v>
      </c>
      <c r="P15" s="32">
        <f t="shared" si="7"/>
        <v>54396.367808020834</v>
      </c>
      <c r="Q15" s="32">
        <f t="shared" si="7"/>
        <v>56593.981067464883</v>
      </c>
      <c r="R15" s="32">
        <f t="shared" si="7"/>
        <v>58880.377902590459</v>
      </c>
      <c r="S15" s="32">
        <f t="shared" si="7"/>
        <v>61259.145169855125</v>
      </c>
      <c r="T15" s="41" t="s">
        <v>15</v>
      </c>
    </row>
    <row r="16" spans="1:20" ht="15" customHeight="1" x14ac:dyDescent="0.25">
      <c r="A16" s="30" t="s">
        <v>16</v>
      </c>
      <c r="B16" s="35"/>
      <c r="C16" s="37">
        <f>(C7*0.367)</f>
        <v>4513.5495000000001</v>
      </c>
      <c r="D16" s="37">
        <f>(D7*0.367)</f>
        <v>6356.0730000000003</v>
      </c>
      <c r="E16" s="37" t="s">
        <v>17</v>
      </c>
      <c r="F16" s="32" t="s">
        <v>17</v>
      </c>
      <c r="G16" s="32" t="s">
        <v>17</v>
      </c>
      <c r="H16" s="32" t="s">
        <v>17</v>
      </c>
      <c r="I16" s="32" t="s">
        <v>17</v>
      </c>
      <c r="J16" s="32" t="s">
        <v>17</v>
      </c>
      <c r="K16" s="32" t="s">
        <v>17</v>
      </c>
      <c r="L16" s="32" t="s">
        <v>17</v>
      </c>
      <c r="M16" s="32" t="s">
        <v>17</v>
      </c>
      <c r="N16" s="32" t="s">
        <v>17</v>
      </c>
      <c r="O16" s="32" t="s">
        <v>17</v>
      </c>
      <c r="P16" s="32" t="s">
        <v>17</v>
      </c>
      <c r="Q16" s="32" t="s">
        <v>17</v>
      </c>
      <c r="R16" s="32" t="s">
        <v>17</v>
      </c>
      <c r="S16" s="32" t="s">
        <v>17</v>
      </c>
      <c r="T16" s="41" t="s">
        <v>18</v>
      </c>
    </row>
    <row r="17" spans="1:20" ht="15" customHeight="1" x14ac:dyDescent="0.25">
      <c r="A17" s="30" t="s">
        <v>19</v>
      </c>
      <c r="B17" s="35"/>
      <c r="C17" s="37">
        <v>11893.05</v>
      </c>
      <c r="D17" s="37">
        <v>30068.07</v>
      </c>
      <c r="E17" s="37">
        <v>16955.22</v>
      </c>
      <c r="F17" s="32">
        <v>23736.5</v>
      </c>
      <c r="G17" s="36">
        <f>SUM(E15:F15)-F17</f>
        <v>30190.177119999993</v>
      </c>
      <c r="H17" s="32">
        <f t="shared" ref="H17:S17" si="8">G15</f>
        <v>38086.126884864003</v>
      </c>
      <c r="I17" s="32">
        <f t="shared" si="8"/>
        <v>39624.806411012512</v>
      </c>
      <c r="J17" s="32">
        <f t="shared" si="8"/>
        <v>41225.648590017423</v>
      </c>
      <c r="K17" s="32">
        <f t="shared" si="8"/>
        <v>42891.164793054122</v>
      </c>
      <c r="L17" s="32">
        <f t="shared" si="8"/>
        <v>44623.967850693509</v>
      </c>
      <c r="M17" s="32">
        <f t="shared" si="8"/>
        <v>46426.77615186153</v>
      </c>
      <c r="N17" s="32">
        <f t="shared" si="8"/>
        <v>48302.417908396739</v>
      </c>
      <c r="O17" s="32">
        <f t="shared" si="8"/>
        <v>50253.835591895964</v>
      </c>
      <c r="P17" s="32">
        <f t="shared" si="8"/>
        <v>52284.09054980857</v>
      </c>
      <c r="Q17" s="32">
        <f t="shared" si="8"/>
        <v>54396.367808020834</v>
      </c>
      <c r="R17" s="32">
        <f t="shared" si="8"/>
        <v>56593.981067464883</v>
      </c>
      <c r="S17" s="32">
        <f t="shared" si="8"/>
        <v>58880.377902590459</v>
      </c>
      <c r="T17" s="41" t="s">
        <v>20</v>
      </c>
    </row>
    <row r="18" spans="1:20" ht="15" customHeight="1" x14ac:dyDescent="0.25">
      <c r="A18" s="4"/>
      <c r="B18" s="9"/>
      <c r="C18" s="20"/>
      <c r="D18" s="20"/>
      <c r="E18" s="13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42"/>
    </row>
    <row r="19" spans="1:20" ht="15" customHeight="1" x14ac:dyDescent="0.25">
      <c r="A19" s="29" t="s">
        <v>21</v>
      </c>
      <c r="B19" s="9"/>
      <c r="C19" s="9"/>
      <c r="D19" s="9"/>
      <c r="E19" s="9"/>
      <c r="T19" s="42"/>
    </row>
    <row r="20" spans="1:20" ht="15" customHeight="1" x14ac:dyDescent="0.25">
      <c r="A20" s="30" t="s">
        <v>22</v>
      </c>
      <c r="B20" s="38">
        <v>4996.54</v>
      </c>
      <c r="C20" s="38">
        <v>15406.390000000001</v>
      </c>
      <c r="D20" s="38">
        <v>537.66999999999996</v>
      </c>
      <c r="E20" s="38">
        <v>5745.21</v>
      </c>
      <c r="F20" s="38">
        <v>8565.6479999999974</v>
      </c>
      <c r="G20" s="38">
        <f>E20*1.03</f>
        <v>5917.5663000000004</v>
      </c>
      <c r="H20" s="38">
        <f>G20*1.03</f>
        <v>6095.0932890000004</v>
      </c>
      <c r="I20" s="38">
        <f t="shared" ref="H20:S22" si="9">H20*1.03</f>
        <v>6277.9460876700005</v>
      </c>
      <c r="J20" s="38">
        <f t="shared" si="9"/>
        <v>6466.284470300101</v>
      </c>
      <c r="K20" s="38">
        <f t="shared" si="9"/>
        <v>6660.273004409104</v>
      </c>
      <c r="L20" s="38">
        <f t="shared" si="9"/>
        <v>6860.081194541377</v>
      </c>
      <c r="M20" s="38">
        <f t="shared" si="9"/>
        <v>7065.8836303776188</v>
      </c>
      <c r="N20" s="38">
        <f t="shared" si="9"/>
        <v>7277.8601392889477</v>
      </c>
      <c r="O20" s="38">
        <f t="shared" si="9"/>
        <v>7496.1959434676164</v>
      </c>
      <c r="P20" s="38">
        <f t="shared" si="9"/>
        <v>7721.0818217716451</v>
      </c>
      <c r="Q20" s="38">
        <f t="shared" si="9"/>
        <v>7952.7142764247947</v>
      </c>
      <c r="R20" s="38">
        <f t="shared" si="9"/>
        <v>8191.2957047175387</v>
      </c>
      <c r="S20" s="38">
        <f t="shared" si="9"/>
        <v>8437.0345758590647</v>
      </c>
      <c r="T20" s="41" t="s">
        <v>23</v>
      </c>
    </row>
    <row r="21" spans="1:20" ht="15" customHeight="1" x14ac:dyDescent="0.25">
      <c r="A21" s="30" t="s">
        <v>24</v>
      </c>
      <c r="B21" s="38"/>
      <c r="C21" s="38">
        <v>5307.6900000000005</v>
      </c>
      <c r="D21" s="38"/>
      <c r="E21" s="38"/>
      <c r="F21" s="38">
        <v>5000</v>
      </c>
      <c r="G21" s="38">
        <v>10000</v>
      </c>
      <c r="H21" s="38">
        <v>7500</v>
      </c>
      <c r="I21" s="38">
        <f t="shared" si="9"/>
        <v>7725</v>
      </c>
      <c r="J21" s="38">
        <f t="shared" si="9"/>
        <v>7956.75</v>
      </c>
      <c r="K21" s="38">
        <f t="shared" si="9"/>
        <v>8195.4524999999994</v>
      </c>
      <c r="L21" s="38">
        <f t="shared" si="9"/>
        <v>8441.3160749999988</v>
      </c>
      <c r="M21" s="38">
        <f t="shared" si="9"/>
        <v>8694.5555572499998</v>
      </c>
      <c r="N21" s="38">
        <f t="shared" si="9"/>
        <v>8955.3922239674994</v>
      </c>
      <c r="O21" s="38">
        <f t="shared" si="9"/>
        <v>9224.0539906865251</v>
      </c>
      <c r="P21" s="38">
        <f t="shared" si="9"/>
        <v>9500.7756104071213</v>
      </c>
      <c r="Q21" s="38">
        <f t="shared" si="9"/>
        <v>9785.7988787193353</v>
      </c>
      <c r="R21" s="38">
        <f t="shared" si="9"/>
        <v>10079.372845080916</v>
      </c>
      <c r="S21" s="38">
        <f t="shared" si="9"/>
        <v>10381.754030433343</v>
      </c>
      <c r="T21" s="43" t="s">
        <v>23</v>
      </c>
    </row>
    <row r="22" spans="1:20" ht="15" customHeight="1" x14ac:dyDescent="0.25">
      <c r="A22" s="30" t="s">
        <v>25</v>
      </c>
      <c r="B22" s="39"/>
      <c r="C22" s="38">
        <v>2381.65</v>
      </c>
      <c r="D22" s="39">
        <v>2258.15</v>
      </c>
      <c r="E22" s="38">
        <v>2607.6</v>
      </c>
      <c r="F22" s="38">
        <v>2847.78</v>
      </c>
      <c r="G22" s="38">
        <f>F22*1.03</f>
        <v>2933.2134000000001</v>
      </c>
      <c r="H22" s="38">
        <f t="shared" si="9"/>
        <v>3021.2098020000003</v>
      </c>
      <c r="I22" s="38">
        <f t="shared" si="9"/>
        <v>3111.8460960600005</v>
      </c>
      <c r="J22" s="38">
        <f t="shared" si="9"/>
        <v>3205.2014789418008</v>
      </c>
      <c r="K22" s="38">
        <f t="shared" si="9"/>
        <v>3301.3575233100551</v>
      </c>
      <c r="L22" s="38">
        <f t="shared" si="9"/>
        <v>3400.3982490093567</v>
      </c>
      <c r="M22" s="38">
        <f t="shared" si="9"/>
        <v>3502.4101964796373</v>
      </c>
      <c r="N22" s="38">
        <f t="shared" si="9"/>
        <v>3607.4825023740264</v>
      </c>
      <c r="O22" s="38">
        <f t="shared" si="9"/>
        <v>3715.706977445247</v>
      </c>
      <c r="P22" s="38">
        <f t="shared" si="9"/>
        <v>3827.1781867686045</v>
      </c>
      <c r="Q22" s="38">
        <f t="shared" si="9"/>
        <v>3941.9935323716627</v>
      </c>
      <c r="R22" s="38">
        <f t="shared" si="9"/>
        <v>4060.2533383428126</v>
      </c>
      <c r="S22" s="38">
        <f t="shared" si="9"/>
        <v>4182.0609384930967</v>
      </c>
      <c r="T22" s="41" t="s">
        <v>26</v>
      </c>
    </row>
    <row r="23" spans="1:20" ht="15" customHeight="1" x14ac:dyDescent="0.25">
      <c r="A23" s="31" t="s">
        <v>27</v>
      </c>
      <c r="B23" s="40">
        <f t="shared" ref="B23:S23" si="10">SUM(B20:B22)</f>
        <v>4996.54</v>
      </c>
      <c r="C23" s="40">
        <f t="shared" si="10"/>
        <v>23095.730000000003</v>
      </c>
      <c r="D23" s="40">
        <f t="shared" si="10"/>
        <v>2795.82</v>
      </c>
      <c r="E23" s="40">
        <f t="shared" si="10"/>
        <v>8352.81</v>
      </c>
      <c r="F23" s="40">
        <f t="shared" si="10"/>
        <v>16413.427999999996</v>
      </c>
      <c r="G23" s="40">
        <f t="shared" si="10"/>
        <v>18850.779699999999</v>
      </c>
      <c r="H23" s="40">
        <f t="shared" si="10"/>
        <v>16616.303091000002</v>
      </c>
      <c r="I23" s="40">
        <f t="shared" si="10"/>
        <v>17114.792183730002</v>
      </c>
      <c r="J23" s="40">
        <f t="shared" si="10"/>
        <v>17628.235949241902</v>
      </c>
      <c r="K23" s="40">
        <f t="shared" si="10"/>
        <v>18157.08302771916</v>
      </c>
      <c r="L23" s="40">
        <f t="shared" si="10"/>
        <v>18701.795518550731</v>
      </c>
      <c r="M23" s="40">
        <f t="shared" si="10"/>
        <v>19262.849384107256</v>
      </c>
      <c r="N23" s="40">
        <f t="shared" si="10"/>
        <v>19840.734865630475</v>
      </c>
      <c r="O23" s="40">
        <f t="shared" si="10"/>
        <v>20435.956911599387</v>
      </c>
      <c r="P23" s="40">
        <f t="shared" si="10"/>
        <v>21049.035618947371</v>
      </c>
      <c r="Q23" s="40">
        <f t="shared" si="10"/>
        <v>21680.506687515794</v>
      </c>
      <c r="R23" s="40">
        <f t="shared" si="10"/>
        <v>22330.921888141267</v>
      </c>
      <c r="S23" s="40">
        <f t="shared" si="10"/>
        <v>23000.849544785506</v>
      </c>
      <c r="T23" s="41"/>
    </row>
    <row r="24" spans="1:20" ht="15" customHeight="1" x14ac:dyDescent="0.25">
      <c r="A24" s="4"/>
      <c r="B24" s="21"/>
      <c r="C24" s="13"/>
      <c r="D24" s="21"/>
      <c r="E24" s="13"/>
      <c r="F24" s="22"/>
      <c r="G24" s="14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4"/>
    </row>
    <row r="25" spans="1:20" ht="15" customHeight="1" x14ac:dyDescent="0.25">
      <c r="A25" s="31" t="s">
        <v>28</v>
      </c>
      <c r="B25" s="33">
        <f t="shared" ref="B25:S25" si="11">SUM(B15,B23)</f>
        <v>4996.54</v>
      </c>
      <c r="C25" s="33">
        <f t="shared" si="11"/>
        <v>48098.580499999996</v>
      </c>
      <c r="D25" s="33">
        <f t="shared" si="11"/>
        <v>38005.347000000002</v>
      </c>
      <c r="E25" s="33">
        <f t="shared" si="11"/>
        <v>34824.089999999997</v>
      </c>
      <c r="F25" s="33">
        <f t="shared" si="11"/>
        <v>43868.825119999994</v>
      </c>
      <c r="G25" s="33">
        <f t="shared" si="11"/>
        <v>56936.906584864002</v>
      </c>
      <c r="H25" s="33">
        <f t="shared" si="11"/>
        <v>56241.109502012514</v>
      </c>
      <c r="I25" s="33">
        <f t="shared" si="11"/>
        <v>58340.440773747425</v>
      </c>
      <c r="J25" s="33">
        <f t="shared" si="11"/>
        <v>60519.400742296028</v>
      </c>
      <c r="K25" s="33">
        <f t="shared" si="11"/>
        <v>62781.050878412672</v>
      </c>
      <c r="L25" s="33">
        <f t="shared" si="11"/>
        <v>65128.571670412261</v>
      </c>
      <c r="M25" s="33">
        <f t="shared" si="11"/>
        <v>67565.267292503995</v>
      </c>
      <c r="N25" s="33">
        <f t="shared" si="11"/>
        <v>70094.570457526439</v>
      </c>
      <c r="O25" s="33">
        <f t="shared" si="11"/>
        <v>72720.047461407958</v>
      </c>
      <c r="P25" s="33">
        <f t="shared" si="11"/>
        <v>75445.403426968202</v>
      </c>
      <c r="Q25" s="33">
        <f t="shared" si="11"/>
        <v>78274.487754980684</v>
      </c>
      <c r="R25" s="33">
        <f t="shared" si="11"/>
        <v>81211.299790731719</v>
      </c>
      <c r="S25" s="33">
        <f t="shared" si="11"/>
        <v>84259.994714640634</v>
      </c>
      <c r="T25" s="4"/>
    </row>
    <row r="26" spans="1:20" x14ac:dyDescent="0.25">
      <c r="A26" s="4"/>
      <c r="B26" s="9"/>
      <c r="C26" s="9"/>
      <c r="D26" s="9"/>
      <c r="E26" s="9"/>
      <c r="T26" s="4"/>
    </row>
    <row r="27" spans="1:20" ht="15" customHeight="1" x14ac:dyDescent="0.25">
      <c r="A27" s="30" t="s">
        <v>29</v>
      </c>
      <c r="B27" s="18">
        <f>B10-B25</f>
        <v>-4996.54</v>
      </c>
      <c r="C27" s="18">
        <f t="shared" ref="C27:S27" si="12">C11-C25</f>
        <v>-8808.2804999999935</v>
      </c>
      <c r="D27" s="18">
        <f t="shared" si="12"/>
        <v>16969.983</v>
      </c>
      <c r="E27" s="18">
        <f t="shared" si="12"/>
        <v>18243.75</v>
      </c>
      <c r="F27" s="19">
        <f t="shared" si="12"/>
        <v>14936.454880000005</v>
      </c>
      <c r="G27" s="19">
        <f t="shared" si="12"/>
        <v>3044.4790151359994</v>
      </c>
      <c r="H27" s="19">
        <f t="shared" si="12"/>
        <v>4939.9038099874888</v>
      </c>
      <c r="I27" s="19">
        <f t="shared" si="12"/>
        <v>4064.1928044925735</v>
      </c>
      <c r="J27" s="19">
        <f t="shared" si="12"/>
        <v>3133.3255075087727</v>
      </c>
      <c r="K27" s="19">
        <f t="shared" si="12"/>
        <v>2144.7298963882276</v>
      </c>
      <c r="L27" s="19">
        <f t="shared" si="12"/>
        <v>1095.7247198846599</v>
      </c>
      <c r="M27" s="19">
        <f t="shared" si="12"/>
        <v>-16.484974401129875</v>
      </c>
      <c r="N27" s="19">
        <f t="shared" si="12"/>
        <v>-1194.8124930615304</v>
      </c>
      <c r="O27" s="19">
        <f t="shared" si="12"/>
        <v>-2442.2943376537442</v>
      </c>
      <c r="P27" s="19">
        <f t="shared" si="12"/>
        <v>-3762.0952407388977</v>
      </c>
      <c r="Q27" s="19">
        <f t="shared" si="12"/>
        <v>-5157.5134050267952</v>
      </c>
      <c r="R27" s="19">
        <f t="shared" si="12"/>
        <v>-6631.9859537787561</v>
      </c>
      <c r="S27" s="19">
        <f t="shared" si="12"/>
        <v>-8189.094600948607</v>
      </c>
      <c r="T27" s="4" t="s">
        <v>30</v>
      </c>
    </row>
    <row r="28" spans="1:20" s="8" customFormat="1" ht="15" customHeight="1" x14ac:dyDescent="0.25">
      <c r="A28" s="30" t="s">
        <v>31</v>
      </c>
      <c r="B28" s="18">
        <f>B11-B17-B23</f>
        <v>-4996.54</v>
      </c>
      <c r="C28" s="18">
        <f t="shared" ref="C28:S28" si="13">B28+(C11-C17-C23)</f>
        <v>-695.01999999999953</v>
      </c>
      <c r="D28" s="18">
        <f t="shared" si="13"/>
        <v>21416.420000000002</v>
      </c>
      <c r="E28" s="18">
        <f t="shared" si="13"/>
        <v>49176.229999999996</v>
      </c>
      <c r="F28" s="19">
        <f t="shared" si="13"/>
        <v>67831.581999999995</v>
      </c>
      <c r="G28" s="19">
        <f t="shared" si="13"/>
        <v>78772.010780000011</v>
      </c>
      <c r="H28" s="19">
        <f t="shared" si="13"/>
        <v>85250.59411613601</v>
      </c>
      <c r="I28" s="19">
        <f t="shared" si="13"/>
        <v>90915.629099633486</v>
      </c>
      <c r="J28" s="19">
        <f t="shared" si="13"/>
        <v>95714.470810178958</v>
      </c>
      <c r="K28" s="19">
        <f t="shared" si="13"/>
        <v>99592.003764206573</v>
      </c>
      <c r="L28" s="19">
        <f t="shared" si="13"/>
        <v>102490.53678525926</v>
      </c>
      <c r="M28" s="19">
        <f t="shared" si="13"/>
        <v>104349.69356739335</v>
      </c>
      <c r="N28" s="19">
        <f t="shared" si="13"/>
        <v>105106.29875783104</v>
      </c>
      <c r="O28" s="19">
        <f t="shared" si="13"/>
        <v>104694.2593780899</v>
      </c>
      <c r="P28" s="19">
        <f t="shared" si="13"/>
        <v>103044.44139556326</v>
      </c>
      <c r="Q28" s="19">
        <f t="shared" si="13"/>
        <v>100084.54124998052</v>
      </c>
      <c r="R28" s="19">
        <f t="shared" si="13"/>
        <v>95738.952131327329</v>
      </c>
      <c r="S28" s="19">
        <f t="shared" si="13"/>
        <v>89928.624797643395</v>
      </c>
      <c r="T28" t="s">
        <v>32</v>
      </c>
    </row>
    <row r="29" spans="1:20" ht="15" customHeight="1" x14ac:dyDescent="0.25">
      <c r="A29" s="31" t="s">
        <v>33</v>
      </c>
      <c r="B29" s="24">
        <f>B27</f>
        <v>-4996.54</v>
      </c>
      <c r="C29" s="24">
        <f t="shared" ref="C29:S29" si="14">B29+C27</f>
        <v>-13804.820499999994</v>
      </c>
      <c r="D29" s="24">
        <f t="shared" si="14"/>
        <v>3165.1625000000058</v>
      </c>
      <c r="E29" s="24">
        <f t="shared" si="14"/>
        <v>21408.912500000006</v>
      </c>
      <c r="F29" s="25">
        <f t="shared" si="14"/>
        <v>36345.367380000011</v>
      </c>
      <c r="G29" s="25">
        <f t="shared" si="14"/>
        <v>39389.84639513601</v>
      </c>
      <c r="H29" s="25">
        <f t="shared" si="14"/>
        <v>44329.750205123499</v>
      </c>
      <c r="I29" s="25">
        <f t="shared" si="14"/>
        <v>48393.943009616072</v>
      </c>
      <c r="J29" s="25">
        <f t="shared" si="14"/>
        <v>51527.268517124845</v>
      </c>
      <c r="K29" s="25">
        <f t="shared" si="14"/>
        <v>53671.998413513073</v>
      </c>
      <c r="L29" s="25">
        <f t="shared" si="14"/>
        <v>54767.723133397732</v>
      </c>
      <c r="M29" s="25">
        <f t="shared" si="14"/>
        <v>54751.238158996603</v>
      </c>
      <c r="N29" s="25">
        <f t="shared" si="14"/>
        <v>53556.425665935072</v>
      </c>
      <c r="O29" s="25">
        <f t="shared" si="14"/>
        <v>51114.131328281328</v>
      </c>
      <c r="P29" s="25">
        <f t="shared" si="14"/>
        <v>47352.03608754243</v>
      </c>
      <c r="Q29" s="25">
        <f t="shared" si="14"/>
        <v>42194.522682515635</v>
      </c>
      <c r="R29" s="25">
        <f t="shared" si="14"/>
        <v>35562.536728736879</v>
      </c>
      <c r="S29" s="25">
        <f t="shared" si="14"/>
        <v>27373.442127788272</v>
      </c>
      <c r="T29" s="4" t="s">
        <v>34</v>
      </c>
    </row>
    <row r="32" spans="1:20" x14ac:dyDescent="0.25">
      <c r="F32" s="19"/>
      <c r="G32" s="19"/>
      <c r="H32" s="19"/>
      <c r="I32" s="19"/>
      <c r="J32" s="19"/>
    </row>
    <row r="34" spans="2:2" x14ac:dyDescent="0.25">
      <c r="B34" s="26"/>
    </row>
    <row r="35" spans="2:2" x14ac:dyDescent="0.25">
      <c r="B35" s="26"/>
    </row>
    <row r="36" spans="2:2" x14ac:dyDescent="0.25">
      <c r="B36" s="26"/>
    </row>
  </sheetData>
  <sheetProtection sheet="1" objects="1" scenarios="1"/>
  <mergeCells count="2">
    <mergeCell ref="A1:C1"/>
    <mergeCell ref="A2:C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D81C8147EA5C054FABB9E4614EA1062E" ma:contentTypeVersion="19" ma:contentTypeDescription="" ma:contentTypeScope="" ma:versionID="0d62ffe713bfac7de110a60f194e350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Pending</CaseStatus>
    <OpenedDate xmlns="dc463f71-b30c-4ab2-9473-d307f9d35888">2025-10-15T07:00:00+00:00</OpenedDate>
    <SignificantOrder xmlns="dc463f71-b30c-4ab2-9473-d307f9d35888">false</SignificantOrder>
    <Date1 xmlns="dc463f71-b30c-4ab2-9473-d307f9d35888">2025-10-15T07:00:00+00:00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250775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B3B01782-9C2A-4520-BD79-4B78D01C145B}"/>
</file>

<file path=customXml/itemProps2.xml><?xml version="1.0" encoding="utf-8"?>
<ds:datastoreItem xmlns:ds="http://schemas.openxmlformats.org/officeDocument/2006/customXml" ds:itemID="{481A55E7-F530-481F-A198-7C48636374F2}"/>
</file>

<file path=customXml/itemProps3.xml><?xml version="1.0" encoding="utf-8"?>
<ds:datastoreItem xmlns:ds="http://schemas.openxmlformats.org/officeDocument/2006/customXml" ds:itemID="{0C09AC4D-C4B1-4AA3-9143-F67ECB72497C}"/>
</file>

<file path=customXml/itemProps4.xml><?xml version="1.0" encoding="utf-8"?>
<ds:datastoreItem xmlns:ds="http://schemas.openxmlformats.org/officeDocument/2006/customXml" ds:itemID="{BA48C750-B476-4952-8639-6E2CC08744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Lisa</dc:creator>
  <cp:lastModifiedBy>Ghering, Amanda</cp:lastModifiedBy>
  <dcterms:created xsi:type="dcterms:W3CDTF">2025-08-25T21:38:54Z</dcterms:created>
  <dcterms:modified xsi:type="dcterms:W3CDTF">2025-09-17T18:48:34Z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0x0101006E56B4D1795A2E4DB2F0B01679ED314A00D81C8147EA5C054FABB9E4614EA1062E</vt:lpwstr>
  </property>
</Properties>
</file>