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5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xl/customProperty6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Tariffs\1. Open Advices\2025-XX Electric Schedule 141COL - Colstrip Adjustment Rider (UE-25XXXX) (Eff. 01-01-26)\Workpapers\"/>
    </mc:Choice>
  </mc:AlternateContent>
  <xr:revisionPtr revIDLastSave="0" documentId="8_{8F17500F-CA06-47AE-8E75-291EF3C816F3}" xr6:coauthVersionLast="47" xr6:coauthVersionMax="47" xr10:uidLastSave="{00000000-0000-0000-0000-000000000000}"/>
  <bookViews>
    <workbookView xWindow="-110" yWindow="-110" windowWidth="19420" windowHeight="10300" tabRatio="931" xr2:uid="{00000000-000D-0000-FFFF-FFFF00000000}"/>
  </bookViews>
  <sheets>
    <sheet name="Sch 141COL Rates" sheetId="100" r:id="rId1"/>
    <sheet name="Lighting Rates" sheetId="95" r:id="rId2"/>
    <sheet name="Rate Impacts" sheetId="99" r:id="rId3"/>
    <sheet name="Workpapers -&gt;" sheetId="87" r:id="rId4"/>
    <sheet name="Lighting RD" sheetId="97" r:id="rId5"/>
    <sheet name="Rate Spread and Design" sheetId="74" r:id="rId6"/>
    <sheet name="Inputs" sheetId="89" r:id="rId7"/>
  </sheets>
  <definedNames>
    <definedName name="__________________six6" localSheetId="2" hidden="1">{#N/A,#N/A,FALSE,"CRPT";#N/A,#N/A,FALSE,"TREND";#N/A,#N/A,FALSE,"%Curve"}</definedName>
    <definedName name="__________________six6" localSheetId="5" hidden="1">{#N/A,#N/A,FALSE,"CRPT";#N/A,#N/A,FALSE,"TREND";#N/A,#N/A,FALSE,"%Curve"}</definedName>
    <definedName name="__________________six6" localSheetId="0" hidden="1">{#N/A,#N/A,FALSE,"CRPT";#N/A,#N/A,FALSE,"TREND";#N/A,#N/A,FALSE,"%Curve"}</definedName>
    <definedName name="__________________six6" hidden="1">{#N/A,#N/A,FALSE,"CRPT";#N/A,#N/A,FALSE,"TREND";#N/A,#N/A,FALSE,"%Curve"}</definedName>
    <definedName name="__________________www1" localSheetId="2" hidden="1">{#N/A,#N/A,FALSE,"schA"}</definedName>
    <definedName name="__________________www1" localSheetId="5" hidden="1">{#N/A,#N/A,FALSE,"schA"}</definedName>
    <definedName name="__________________www1" localSheetId="0" hidden="1">{#N/A,#N/A,FALSE,"schA"}</definedName>
    <definedName name="__________________www1" hidden="1">{#N/A,#N/A,FALSE,"schA"}</definedName>
    <definedName name="_________________six6" localSheetId="2" hidden="1">{#N/A,#N/A,FALSE,"CRPT";#N/A,#N/A,FALSE,"TREND";#N/A,#N/A,FALSE,"%Curve"}</definedName>
    <definedName name="_________________six6" localSheetId="5" hidden="1">{#N/A,#N/A,FALSE,"CRPT";#N/A,#N/A,FALSE,"TREND";#N/A,#N/A,FALSE,"%Curve"}</definedName>
    <definedName name="_________________six6" localSheetId="0" hidden="1">{#N/A,#N/A,FALSE,"CRPT";#N/A,#N/A,FALSE,"TREND";#N/A,#N/A,FALSE,"%Curve"}</definedName>
    <definedName name="_________________six6" hidden="1">{#N/A,#N/A,FALSE,"CRPT";#N/A,#N/A,FALSE,"TREND";#N/A,#N/A,FALSE,"%Curve"}</definedName>
    <definedName name="_________________www1" localSheetId="2" hidden="1">{#N/A,#N/A,FALSE,"schA"}</definedName>
    <definedName name="_________________www1" localSheetId="5" hidden="1">{#N/A,#N/A,FALSE,"schA"}</definedName>
    <definedName name="_________________www1" localSheetId="0" hidden="1">{#N/A,#N/A,FALSE,"schA"}</definedName>
    <definedName name="_________________www1" hidden="1">{#N/A,#N/A,FALSE,"schA"}</definedName>
    <definedName name="________________six6" localSheetId="2" hidden="1">{#N/A,#N/A,FALSE,"CRPT";#N/A,#N/A,FALSE,"TREND";#N/A,#N/A,FALSE,"%Curve"}</definedName>
    <definedName name="________________six6" localSheetId="5" hidden="1">{#N/A,#N/A,FALSE,"CRPT";#N/A,#N/A,FALSE,"TREND";#N/A,#N/A,FALSE,"%Curve"}</definedName>
    <definedName name="________________six6" localSheetId="0" hidden="1">{#N/A,#N/A,FALSE,"CRPT";#N/A,#N/A,FALSE,"TREND";#N/A,#N/A,FALSE,"%Curve"}</definedName>
    <definedName name="________________six6" hidden="1">{#N/A,#N/A,FALSE,"CRPT";#N/A,#N/A,FALSE,"TREND";#N/A,#N/A,FALSE,"%Curve"}</definedName>
    <definedName name="________________www1" localSheetId="2" hidden="1">{#N/A,#N/A,FALSE,"schA"}</definedName>
    <definedName name="________________www1" localSheetId="5" hidden="1">{#N/A,#N/A,FALSE,"schA"}</definedName>
    <definedName name="________________www1" localSheetId="0" hidden="1">{#N/A,#N/A,FALSE,"schA"}</definedName>
    <definedName name="________________www1" hidden="1">{#N/A,#N/A,FALSE,"schA"}</definedName>
    <definedName name="_______________six6" localSheetId="2" hidden="1">{#N/A,#N/A,FALSE,"CRPT";#N/A,#N/A,FALSE,"TREND";#N/A,#N/A,FALSE,"%Curve"}</definedName>
    <definedName name="_______________six6" localSheetId="5" hidden="1">{#N/A,#N/A,FALSE,"CRPT";#N/A,#N/A,FALSE,"TREND";#N/A,#N/A,FALSE,"%Curve"}</definedName>
    <definedName name="_______________six6" localSheetId="0" hidden="1">{#N/A,#N/A,FALSE,"CRPT";#N/A,#N/A,FALSE,"TREND";#N/A,#N/A,FALSE,"%Curve"}</definedName>
    <definedName name="_______________six6" hidden="1">{#N/A,#N/A,FALSE,"CRPT";#N/A,#N/A,FALSE,"TREND";#N/A,#N/A,FALSE,"%Curve"}</definedName>
    <definedName name="_______________www1" localSheetId="2" hidden="1">{#N/A,#N/A,FALSE,"schA"}</definedName>
    <definedName name="_______________www1" localSheetId="5" hidden="1">{#N/A,#N/A,FALSE,"schA"}</definedName>
    <definedName name="_______________www1" localSheetId="0" hidden="1">{#N/A,#N/A,FALSE,"schA"}</definedName>
    <definedName name="_______________www1" hidden="1">{#N/A,#N/A,FALSE,"schA"}</definedName>
    <definedName name="______________six6" localSheetId="2" hidden="1">{#N/A,#N/A,FALSE,"CRPT";#N/A,#N/A,FALSE,"TREND";#N/A,#N/A,FALSE,"%Curve"}</definedName>
    <definedName name="______________six6" localSheetId="5" hidden="1">{#N/A,#N/A,FALSE,"CRPT";#N/A,#N/A,FALSE,"TREND";#N/A,#N/A,FALSE,"%Curve"}</definedName>
    <definedName name="______________six6" localSheetId="0" hidden="1">{#N/A,#N/A,FALSE,"CRPT";#N/A,#N/A,FALSE,"TREND";#N/A,#N/A,FALSE,"%Curve"}</definedName>
    <definedName name="______________six6" hidden="1">{#N/A,#N/A,FALSE,"CRPT";#N/A,#N/A,FALSE,"TREND";#N/A,#N/A,FALSE,"%Curve"}</definedName>
    <definedName name="______________www1" localSheetId="2" hidden="1">{#N/A,#N/A,FALSE,"schA"}</definedName>
    <definedName name="______________www1" localSheetId="5" hidden="1">{#N/A,#N/A,FALSE,"schA"}</definedName>
    <definedName name="______________www1" localSheetId="0" hidden="1">{#N/A,#N/A,FALSE,"schA"}</definedName>
    <definedName name="______________www1" hidden="1">{#N/A,#N/A,FALSE,"schA"}</definedName>
    <definedName name="_____________six6" localSheetId="2" hidden="1">{#N/A,#N/A,FALSE,"CRPT";#N/A,#N/A,FALSE,"TREND";#N/A,#N/A,FALSE,"%Curve"}</definedName>
    <definedName name="_____________six6" localSheetId="5" hidden="1">{#N/A,#N/A,FALSE,"CRPT";#N/A,#N/A,FALSE,"TREND";#N/A,#N/A,FALSE,"%Curve"}</definedName>
    <definedName name="_____________six6" localSheetId="0" hidden="1">{#N/A,#N/A,FALSE,"CRPT";#N/A,#N/A,FALSE,"TREND";#N/A,#N/A,FALSE,"%Curve"}</definedName>
    <definedName name="_____________six6" hidden="1">{#N/A,#N/A,FALSE,"CRPT";#N/A,#N/A,FALSE,"TREND";#N/A,#N/A,FALSE,"%Curve"}</definedName>
    <definedName name="_____________www1" localSheetId="2" hidden="1">{#N/A,#N/A,FALSE,"schA"}</definedName>
    <definedName name="_____________www1" localSheetId="5" hidden="1">{#N/A,#N/A,FALSE,"schA"}</definedName>
    <definedName name="_____________www1" localSheetId="0" hidden="1">{#N/A,#N/A,FALSE,"schA"}</definedName>
    <definedName name="_____________www1" hidden="1">{#N/A,#N/A,FALSE,"schA"}</definedName>
    <definedName name="____________six6" localSheetId="2" hidden="1">{#N/A,#N/A,FALSE,"CRPT";#N/A,#N/A,FALSE,"TREND";#N/A,#N/A,FALSE,"%Curve"}</definedName>
    <definedName name="____________six6" localSheetId="5" hidden="1">{#N/A,#N/A,FALSE,"CRPT";#N/A,#N/A,FALSE,"TREND";#N/A,#N/A,FALSE,"%Curve"}</definedName>
    <definedName name="____________six6" localSheetId="0" hidden="1">{#N/A,#N/A,FALSE,"CRPT";#N/A,#N/A,FALSE,"TREND";#N/A,#N/A,FALSE,"%Curve"}</definedName>
    <definedName name="____________six6" hidden="1">{#N/A,#N/A,FALSE,"CRPT";#N/A,#N/A,FALSE,"TREND";#N/A,#N/A,FALSE,"%Curve"}</definedName>
    <definedName name="____________www1" localSheetId="2" hidden="1">{#N/A,#N/A,FALSE,"schA"}</definedName>
    <definedName name="____________www1" localSheetId="5" hidden="1">{#N/A,#N/A,FALSE,"schA"}</definedName>
    <definedName name="____________www1" localSheetId="0" hidden="1">{#N/A,#N/A,FALSE,"schA"}</definedName>
    <definedName name="____________www1" hidden="1">{#N/A,#N/A,FALSE,"schA"}</definedName>
    <definedName name="___________six6" localSheetId="2" hidden="1">{#N/A,#N/A,FALSE,"CRPT";#N/A,#N/A,FALSE,"TREND";#N/A,#N/A,FALSE,"%Curve"}</definedName>
    <definedName name="___________six6" localSheetId="5" hidden="1">{#N/A,#N/A,FALSE,"CRPT";#N/A,#N/A,FALSE,"TREND";#N/A,#N/A,FALSE,"%Curve"}</definedName>
    <definedName name="___________six6" localSheetId="0" hidden="1">{#N/A,#N/A,FALSE,"CRPT";#N/A,#N/A,FALSE,"TREND";#N/A,#N/A,FALSE,"%Curve"}</definedName>
    <definedName name="___________six6" hidden="1">{#N/A,#N/A,FALSE,"CRPT";#N/A,#N/A,FALSE,"TREND";#N/A,#N/A,FALSE,"%Curve"}</definedName>
    <definedName name="___________www1" localSheetId="2" hidden="1">{#N/A,#N/A,FALSE,"schA"}</definedName>
    <definedName name="___________www1" localSheetId="5" hidden="1">{#N/A,#N/A,FALSE,"schA"}</definedName>
    <definedName name="___________www1" localSheetId="0" hidden="1">{#N/A,#N/A,FALSE,"schA"}</definedName>
    <definedName name="___________www1" hidden="1">{#N/A,#N/A,FALSE,"schA"}</definedName>
    <definedName name="__________six6" localSheetId="2" hidden="1">{#N/A,#N/A,FALSE,"CRPT";#N/A,#N/A,FALSE,"TREND";#N/A,#N/A,FALSE,"%Curve"}</definedName>
    <definedName name="__________six6" localSheetId="5" hidden="1">{#N/A,#N/A,FALSE,"CRPT";#N/A,#N/A,FALSE,"TREND";#N/A,#N/A,FALSE,"%Curve"}</definedName>
    <definedName name="__________six6" localSheetId="0" hidden="1">{#N/A,#N/A,FALSE,"CRPT";#N/A,#N/A,FALSE,"TREND";#N/A,#N/A,FALSE,"%Curve"}</definedName>
    <definedName name="__________six6" hidden="1">{#N/A,#N/A,FALSE,"CRPT";#N/A,#N/A,FALSE,"TREND";#N/A,#N/A,FALSE,"%Curve"}</definedName>
    <definedName name="__________www1" localSheetId="2" hidden="1">{#N/A,#N/A,FALSE,"schA"}</definedName>
    <definedName name="__________www1" localSheetId="5" hidden="1">{#N/A,#N/A,FALSE,"schA"}</definedName>
    <definedName name="__________www1" localSheetId="0" hidden="1">{#N/A,#N/A,FALSE,"schA"}</definedName>
    <definedName name="__________www1" hidden="1">{#N/A,#N/A,FALSE,"schA"}</definedName>
    <definedName name="_________six6" localSheetId="2" hidden="1">{#N/A,#N/A,FALSE,"CRPT";#N/A,#N/A,FALSE,"TREND";#N/A,#N/A,FALSE,"%Curve"}</definedName>
    <definedName name="_________six6" localSheetId="5" hidden="1">{#N/A,#N/A,FALSE,"CRPT";#N/A,#N/A,FALSE,"TREND";#N/A,#N/A,FALSE,"%Curve"}</definedName>
    <definedName name="_________six6" localSheetId="0" hidden="1">{#N/A,#N/A,FALSE,"CRPT";#N/A,#N/A,FALSE,"TREND";#N/A,#N/A,FALSE,"%Curve"}</definedName>
    <definedName name="_________six6" hidden="1">{#N/A,#N/A,FALSE,"CRPT";#N/A,#N/A,FALSE,"TREND";#N/A,#N/A,FALSE,"%Curve"}</definedName>
    <definedName name="_________www1" localSheetId="2" hidden="1">{#N/A,#N/A,FALSE,"schA"}</definedName>
    <definedName name="_________www1" localSheetId="5" hidden="1">{#N/A,#N/A,FALSE,"schA"}</definedName>
    <definedName name="_________www1" localSheetId="0" hidden="1">{#N/A,#N/A,FALSE,"schA"}</definedName>
    <definedName name="_________www1" hidden="1">{#N/A,#N/A,FALSE,"schA"}</definedName>
    <definedName name="________six6" localSheetId="2" hidden="1">{#N/A,#N/A,FALSE,"CRPT";#N/A,#N/A,FALSE,"TREND";#N/A,#N/A,FALSE,"%Curve"}</definedName>
    <definedName name="________six6" localSheetId="5" hidden="1">{#N/A,#N/A,FALSE,"CRPT";#N/A,#N/A,FALSE,"TREND";#N/A,#N/A,FALSE,"%Curve"}</definedName>
    <definedName name="________six6" localSheetId="0" hidden="1">{#N/A,#N/A,FALSE,"CRPT";#N/A,#N/A,FALSE,"TREND";#N/A,#N/A,FALSE,"%Curve"}</definedName>
    <definedName name="________six6" hidden="1">{#N/A,#N/A,FALSE,"CRPT";#N/A,#N/A,FALSE,"TREND";#N/A,#N/A,FALSE,"%Curve"}</definedName>
    <definedName name="________www1" localSheetId="2" hidden="1">{#N/A,#N/A,FALSE,"schA"}</definedName>
    <definedName name="________www1" localSheetId="5" hidden="1">{#N/A,#N/A,FALSE,"schA"}</definedName>
    <definedName name="________www1" localSheetId="0" hidden="1">{#N/A,#N/A,FALSE,"schA"}</definedName>
    <definedName name="________www1" hidden="1">{#N/A,#N/A,FALSE,"schA"}</definedName>
    <definedName name="_______ex1" localSheetId="2" hidden="1">{#N/A,#N/A,FALSE,"Summ";#N/A,#N/A,FALSE,"General"}</definedName>
    <definedName name="_______ex1" localSheetId="0" hidden="1">{#N/A,#N/A,FALSE,"Summ";#N/A,#N/A,FALSE,"General"}</definedName>
    <definedName name="_______ex1" hidden="1">{#N/A,#N/A,FALSE,"Summ";#N/A,#N/A,FALSE,"General"}</definedName>
    <definedName name="_______new1" localSheetId="2" hidden="1">{#N/A,#N/A,FALSE,"Summ";#N/A,#N/A,FALSE,"General"}</definedName>
    <definedName name="_______new1" localSheetId="0" hidden="1">{#N/A,#N/A,FALSE,"Summ";#N/A,#N/A,FALSE,"General"}</definedName>
    <definedName name="_______new1" hidden="1">{#N/A,#N/A,FALSE,"Summ";#N/A,#N/A,FALSE,"General"}</definedName>
    <definedName name="_______six6" localSheetId="2" hidden="1">{#N/A,#N/A,FALSE,"CRPT";#N/A,#N/A,FALSE,"TREND";#N/A,#N/A,FALSE,"%Curve"}</definedName>
    <definedName name="_______six6" localSheetId="5" hidden="1">{#N/A,#N/A,FALSE,"CRPT";#N/A,#N/A,FALSE,"TREND";#N/A,#N/A,FALSE,"%Curve"}</definedName>
    <definedName name="_______six6" localSheetId="0" hidden="1">{#N/A,#N/A,FALSE,"CRPT";#N/A,#N/A,FALSE,"TREND";#N/A,#N/A,FALSE,"%Curve"}</definedName>
    <definedName name="_______six6" hidden="1">{#N/A,#N/A,FALSE,"CRPT";#N/A,#N/A,FALSE,"TREND";#N/A,#N/A,FALSE,"%Curve"}</definedName>
    <definedName name="_______www1" localSheetId="2" hidden="1">{#N/A,#N/A,FALSE,"schA"}</definedName>
    <definedName name="_______www1" localSheetId="5" hidden="1">{#N/A,#N/A,FALSE,"schA"}</definedName>
    <definedName name="_______www1" localSheetId="0" hidden="1">{#N/A,#N/A,FALSE,"schA"}</definedName>
    <definedName name="_______www1" hidden="1">{#N/A,#N/A,FALSE,"schA"}</definedName>
    <definedName name="______ex1" localSheetId="2" hidden="1">{#N/A,#N/A,FALSE,"Summ";#N/A,#N/A,FALSE,"General"}</definedName>
    <definedName name="______ex1" localSheetId="0" hidden="1">{#N/A,#N/A,FALSE,"Summ";#N/A,#N/A,FALSE,"General"}</definedName>
    <definedName name="______ex1" hidden="1">{#N/A,#N/A,FALSE,"Summ";#N/A,#N/A,FALSE,"General"}</definedName>
    <definedName name="______new1" localSheetId="2" hidden="1">{#N/A,#N/A,FALSE,"Summ";#N/A,#N/A,FALSE,"General"}</definedName>
    <definedName name="______new1" localSheetId="0" hidden="1">{#N/A,#N/A,FALSE,"Summ";#N/A,#N/A,FALSE,"General"}</definedName>
    <definedName name="______new1" hidden="1">{#N/A,#N/A,FALSE,"Summ";#N/A,#N/A,FALSE,"General"}</definedName>
    <definedName name="______six6" localSheetId="2" hidden="1">{#N/A,#N/A,FALSE,"CRPT";#N/A,#N/A,FALSE,"TREND";#N/A,#N/A,FALSE,"%Curve"}</definedName>
    <definedName name="______six6" localSheetId="5" hidden="1">{#N/A,#N/A,FALSE,"CRPT";#N/A,#N/A,FALSE,"TREND";#N/A,#N/A,FALSE,"%Curve"}</definedName>
    <definedName name="______six6" localSheetId="0" hidden="1">{#N/A,#N/A,FALSE,"CRPT";#N/A,#N/A,FALSE,"TREND";#N/A,#N/A,FALSE,"%Curve"}</definedName>
    <definedName name="______six6" hidden="1">{#N/A,#N/A,FALSE,"CRPT";#N/A,#N/A,FALSE,"TREND";#N/A,#N/A,FALSE,"%Curve"}</definedName>
    <definedName name="______www1" localSheetId="2" hidden="1">{#N/A,#N/A,FALSE,"schA"}</definedName>
    <definedName name="______www1" localSheetId="5" hidden="1">{#N/A,#N/A,FALSE,"schA"}</definedName>
    <definedName name="______www1" localSheetId="0" hidden="1">{#N/A,#N/A,FALSE,"schA"}</definedName>
    <definedName name="______www1" hidden="1">{#N/A,#N/A,FALSE,"schA"}</definedName>
    <definedName name="_____ex1" localSheetId="2" hidden="1">{#N/A,#N/A,FALSE,"Summ";#N/A,#N/A,FALSE,"General"}</definedName>
    <definedName name="_____ex1" localSheetId="0" hidden="1">{#N/A,#N/A,FALSE,"Summ";#N/A,#N/A,FALSE,"General"}</definedName>
    <definedName name="_____ex1" hidden="1">{#N/A,#N/A,FALSE,"Summ";#N/A,#N/A,FALSE,"General"}</definedName>
    <definedName name="_____new1" localSheetId="2" hidden="1">{#N/A,#N/A,FALSE,"Summ";#N/A,#N/A,FALSE,"General"}</definedName>
    <definedName name="_____new1" localSheetId="0" hidden="1">{#N/A,#N/A,FALSE,"Summ";#N/A,#N/A,FALSE,"General"}</definedName>
    <definedName name="_____new1" hidden="1">{#N/A,#N/A,FALSE,"Summ";#N/A,#N/A,FALSE,"General"}</definedName>
    <definedName name="_____six6" localSheetId="2" hidden="1">{#N/A,#N/A,FALSE,"CRPT";#N/A,#N/A,FALSE,"TREND";#N/A,#N/A,FALSE,"%Curve"}</definedName>
    <definedName name="_____six6" localSheetId="5" hidden="1">{#N/A,#N/A,FALSE,"CRPT";#N/A,#N/A,FALSE,"TREND";#N/A,#N/A,FALSE,"%Curve"}</definedName>
    <definedName name="_____six6" localSheetId="0" hidden="1">{#N/A,#N/A,FALSE,"CRPT";#N/A,#N/A,FALSE,"TREND";#N/A,#N/A,FALSE,"%Curve"}</definedName>
    <definedName name="_____six6" hidden="1">{#N/A,#N/A,FALSE,"CRPT";#N/A,#N/A,FALSE,"TREND";#N/A,#N/A,FALSE,"%Curve"}</definedName>
    <definedName name="_____www1" localSheetId="2" hidden="1">{#N/A,#N/A,FALSE,"schA"}</definedName>
    <definedName name="_____www1" localSheetId="5" hidden="1">{#N/A,#N/A,FALSE,"schA"}</definedName>
    <definedName name="_____www1" localSheetId="0" hidden="1">{#N/A,#N/A,FALSE,"schA"}</definedName>
    <definedName name="_____www1" hidden="1">{#N/A,#N/A,FALSE,"schA"}</definedName>
    <definedName name="____ex1" localSheetId="2" hidden="1">{#N/A,#N/A,FALSE,"Summ";#N/A,#N/A,FALSE,"General"}</definedName>
    <definedName name="____ex1" localSheetId="0" hidden="1">{#N/A,#N/A,FALSE,"Summ";#N/A,#N/A,FALSE,"General"}</definedName>
    <definedName name="____ex1" hidden="1">{#N/A,#N/A,FALSE,"Summ";#N/A,#N/A,FALSE,"General"}</definedName>
    <definedName name="____new1" localSheetId="2" hidden="1">{#N/A,#N/A,FALSE,"Summ";#N/A,#N/A,FALSE,"General"}</definedName>
    <definedName name="____new1" localSheetId="0" hidden="1">{#N/A,#N/A,FALSE,"Summ";#N/A,#N/A,FALSE,"General"}</definedName>
    <definedName name="____new1" hidden="1">{#N/A,#N/A,FALSE,"Summ";#N/A,#N/A,FALSE,"General"}</definedName>
    <definedName name="____six6" localSheetId="2" hidden="1">{#N/A,#N/A,FALSE,"CRPT";#N/A,#N/A,FALSE,"TREND";#N/A,#N/A,FALSE,"%Curve"}</definedName>
    <definedName name="____six6" localSheetId="5" hidden="1">{#N/A,#N/A,FALSE,"CRPT";#N/A,#N/A,FALSE,"TREND";#N/A,#N/A,FALSE,"%Curve"}</definedName>
    <definedName name="____six6" localSheetId="0" hidden="1">{#N/A,#N/A,FALSE,"CRPT";#N/A,#N/A,FALSE,"TREND";#N/A,#N/A,FALSE,"%Curve"}</definedName>
    <definedName name="____six6" hidden="1">{#N/A,#N/A,FALSE,"CRPT";#N/A,#N/A,FALSE,"TREND";#N/A,#N/A,FALSE,"%Curve"}</definedName>
    <definedName name="____www1" localSheetId="2" hidden="1">{#N/A,#N/A,FALSE,"schA"}</definedName>
    <definedName name="____www1" localSheetId="5" hidden="1">{#N/A,#N/A,FALSE,"schA"}</definedName>
    <definedName name="____www1" localSheetId="0" hidden="1">{#N/A,#N/A,FALSE,"schA"}</definedName>
    <definedName name="____www1" hidden="1">{#N/A,#N/A,FALSE,"schA"}</definedName>
    <definedName name="___ex1" localSheetId="2" hidden="1">{#N/A,#N/A,FALSE,"Summ";#N/A,#N/A,FALSE,"General"}</definedName>
    <definedName name="___ex1" localSheetId="0" hidden="1">{#N/A,#N/A,FALSE,"Summ";#N/A,#N/A,FALSE,"General"}</definedName>
    <definedName name="___ex1" hidden="1">{#N/A,#N/A,FALSE,"Summ";#N/A,#N/A,FALSE,"General"}</definedName>
    <definedName name="___new1" localSheetId="2" hidden="1">{#N/A,#N/A,FALSE,"Summ";#N/A,#N/A,FALSE,"General"}</definedName>
    <definedName name="___new1" localSheetId="0" hidden="1">{#N/A,#N/A,FALSE,"Summ";#N/A,#N/A,FALSE,"General"}</definedName>
    <definedName name="___new1" hidden="1">{#N/A,#N/A,FALSE,"Summ";#N/A,#N/A,FALSE,"General"}</definedName>
    <definedName name="___six6" localSheetId="2" hidden="1">{#N/A,#N/A,FALSE,"CRPT";#N/A,#N/A,FALSE,"TREND";#N/A,#N/A,FALSE,"%Curve"}</definedName>
    <definedName name="___six6" localSheetId="5" hidden="1">{#N/A,#N/A,FALSE,"CRPT";#N/A,#N/A,FALSE,"TREND";#N/A,#N/A,FALSE,"%Curve"}</definedName>
    <definedName name="___six6" localSheetId="0" hidden="1">{#N/A,#N/A,FALSE,"CRPT";#N/A,#N/A,FALSE,"TREND";#N/A,#N/A,FALSE,"%Curve"}</definedName>
    <definedName name="___six6" hidden="1">{#N/A,#N/A,FALSE,"CRPT";#N/A,#N/A,FALSE,"TREND";#N/A,#N/A,FALSE,"%Curve"}</definedName>
    <definedName name="___www1" localSheetId="2" hidden="1">{#N/A,#N/A,FALSE,"schA"}</definedName>
    <definedName name="___www1" localSheetId="5" hidden="1">{#N/A,#N/A,FALSE,"schA"}</definedName>
    <definedName name="___www1" localSheetId="0" hidden="1">{#N/A,#N/A,FALSE,"schA"}</definedName>
    <definedName name="___www1" hidden="1">{#N/A,#N/A,FALSE,"schA"}</definedName>
    <definedName name="__123Graph_A" hidden="1">#REF!</definedName>
    <definedName name="__123Graph_B" hidden="1">#REF!</definedName>
    <definedName name="__123Graph_D" hidden="1">#REF!</definedName>
    <definedName name="__123Graph_ECURRENT" hidden="1">#REF!</definedName>
    <definedName name="__ex1" localSheetId="2" hidden="1">{#N/A,#N/A,FALSE,"Summ";#N/A,#N/A,FALSE,"General"}</definedName>
    <definedName name="__ex1" localSheetId="0" hidden="1">{#N/A,#N/A,FALSE,"Summ";#N/A,#N/A,FALSE,"General"}</definedName>
    <definedName name="__ex1" hidden="1">{#N/A,#N/A,FALSE,"Summ";#N/A,#N/A,FALSE,"General"}</definedName>
    <definedName name="__new1" localSheetId="2" hidden="1">{#N/A,#N/A,FALSE,"Summ";#N/A,#N/A,FALSE,"General"}</definedName>
    <definedName name="__new1" localSheetId="0" hidden="1">{#N/A,#N/A,FALSE,"Summ";#N/A,#N/A,FALSE,"General"}</definedName>
    <definedName name="__new1" hidden="1">{#N/A,#N/A,FALSE,"Summ";#N/A,#N/A,FALSE,"General"}</definedName>
    <definedName name="__six6" localSheetId="2" hidden="1">{#N/A,#N/A,FALSE,"CRPT";#N/A,#N/A,FALSE,"TREND";#N/A,#N/A,FALSE,"%Curve"}</definedName>
    <definedName name="__six6" localSheetId="5" hidden="1">{#N/A,#N/A,FALSE,"CRPT";#N/A,#N/A,FALSE,"TREND";#N/A,#N/A,FALSE,"%Curve"}</definedName>
    <definedName name="__six6" localSheetId="0" hidden="1">{#N/A,#N/A,FALSE,"CRPT";#N/A,#N/A,FALSE,"TREND";#N/A,#N/A,FALSE,"%Curve"}</definedName>
    <definedName name="__six6" hidden="1">{#N/A,#N/A,FALSE,"CRPT";#N/A,#N/A,FALSE,"TREND";#N/A,#N/A,FALSE,"%Curve"}</definedName>
    <definedName name="__www1" localSheetId="2" hidden="1">{#N/A,#N/A,FALSE,"schA"}</definedName>
    <definedName name="__www1" localSheetId="5" hidden="1">{#N/A,#N/A,FALSE,"schA"}</definedName>
    <definedName name="__www1" localSheetId="0" hidden="1">{#N/A,#N/A,FALSE,"schA"}</definedName>
    <definedName name="__www1" hidden="1">{#N/A,#N/A,FALSE,"schA"}</definedName>
    <definedName name="_2__123Graph_ABUDG6_Dtons_inv" hidden="1">#REF!</definedName>
    <definedName name="_3__123Graph_ABUDG6_Dtons_inv" hidden="1">#REF!</definedName>
    <definedName name="_4__123Graph_ABUDG6_Dtons_inv" hidden="1">#REF!</definedName>
    <definedName name="_6__123Graph_CBUDG6_D_ESCRPR" hidden="1">#REF!</definedName>
    <definedName name="_7__123Graph_CBUDG6_D_ESCRPR" hidden="1">#REF!</definedName>
    <definedName name="_7__123Graph_DBUDG6_D_ESCRPR" hidden="1">#REF!</definedName>
    <definedName name="_8__123Graph_DBUDG6_D_ESCRPR" hidden="1">#REF!</definedName>
    <definedName name="_ex1" localSheetId="2" hidden="1">{#N/A,#N/A,FALSE,"Summ";#N/A,#N/A,FALSE,"General"}</definedName>
    <definedName name="_ex1" localSheetId="5" hidden="1">{#N/A,#N/A,FALSE,"Summ";#N/A,#N/A,FALSE,"General"}</definedName>
    <definedName name="_ex1" localSheetId="0" hidden="1">{#N/A,#N/A,FALSE,"Summ";#N/A,#N/A,FALSE,"General"}</definedName>
    <definedName name="_ex1" hidden="1">{#N/A,#N/A,FALSE,"Summ";#N/A,#N/A,FALSE,"General"}</definedName>
    <definedName name="_Fill" hidden="1">#REF!</definedName>
    <definedName name="_Key1" hidden="1">#REF!</definedName>
    <definedName name="_Key2" hidden="1">#REF!</definedName>
    <definedName name="_new1" localSheetId="2" hidden="1">{#N/A,#N/A,FALSE,"Summ";#N/A,#N/A,FALSE,"General"}</definedName>
    <definedName name="_new1" localSheetId="5" hidden="1">{#N/A,#N/A,FALSE,"Summ";#N/A,#N/A,FALSE,"General"}</definedName>
    <definedName name="_new1" localSheetId="0" hidden="1">{#N/A,#N/A,FALSE,"Summ";#N/A,#N/A,FALSE,"General"}</definedName>
    <definedName name="_new1" hidden="1">{#N/A,#N/A,FALSE,"Summ";#N/A,#N/A,FALSE,"General"}</definedName>
    <definedName name="_Parse_In" hidden="1">#REF!</definedName>
    <definedName name="_six6" localSheetId="2" hidden="1">{#N/A,#N/A,FALSE,"CRPT";#N/A,#N/A,FALSE,"TREND";#N/A,#N/A,FALSE,"%Curve"}</definedName>
    <definedName name="_six6" localSheetId="5" hidden="1">{#N/A,#N/A,FALSE,"CRPT";#N/A,#N/A,FALSE,"TREND";#N/A,#N/A,FALSE,"%Curve"}</definedName>
    <definedName name="_six6" localSheetId="0" hidden="1">{#N/A,#N/A,FALSE,"CRPT";#N/A,#N/A,FALSE,"TREND";#N/A,#N/A,FALSE,"%Curve"}</definedName>
    <definedName name="_six6" hidden="1">{#N/A,#N/A,FALSE,"CRPT";#N/A,#N/A,FALSE,"TREND";#N/A,#N/A,FALSE,"%Curve"}</definedName>
    <definedName name="_Sort" hidden="1">#REF!</definedName>
    <definedName name="_www1" localSheetId="2" hidden="1">{#N/A,#N/A,FALSE,"schA"}</definedName>
    <definedName name="_www1" localSheetId="5" hidden="1">{#N/A,#N/A,FALSE,"schA"}</definedName>
    <definedName name="_www1" localSheetId="0" hidden="1">{#N/A,#N/A,FALSE,"schA"}</definedName>
    <definedName name="_www1" hidden="1">{#N/A,#N/A,FALSE,"schA"}</definedName>
    <definedName name="a" localSheetId="2" hidden="1">{#N/A,#N/A,FALSE,"Coversheet";#N/A,#N/A,FALSE,"QA"}</definedName>
    <definedName name="a" localSheetId="5" hidden="1">{#N/A,#N/A,FALSE,"Coversheet";#N/A,#N/A,FALSE,"QA"}</definedName>
    <definedName name="a" localSheetId="0" hidden="1">{#N/A,#N/A,FALSE,"Coversheet";#N/A,#N/A,FALSE,"QA"}</definedName>
    <definedName name="a" hidden="1">{#N/A,#N/A,FALSE,"Coversheet";#N/A,#N/A,FALSE,"QA"}</definedName>
    <definedName name="AAAAAAAAAAAAAA" localSheetId="2" hidden="1">{#N/A,#N/A,FALSE,"Coversheet";#N/A,#N/A,FALSE,"QA"}</definedName>
    <definedName name="AAAAAAAAAAAAAA" localSheetId="5" hidden="1">{#N/A,#N/A,FALSE,"Coversheet";#N/A,#N/A,FALSE,"QA"}</definedName>
    <definedName name="AAAAAAAAAAAAAA" localSheetId="0" hidden="1">{#N/A,#N/A,FALSE,"Coversheet";#N/A,#N/A,FALSE,"QA"}</definedName>
    <definedName name="AAAAAAAAAAAAAA" hidden="1">{#N/A,#N/A,FALSE,"Coversheet";#N/A,#N/A,FALSE,"QA"}</definedName>
    <definedName name="b" localSheetId="2" hidden="1">{#N/A,#N/A,FALSE,"Coversheet";#N/A,#N/A,FALSE,"QA"}</definedName>
    <definedName name="b" localSheetId="5" hidden="1">{#N/A,#N/A,FALSE,"Coversheet";#N/A,#N/A,FALSE,"QA"}</definedName>
    <definedName name="b" localSheetId="0" hidden="1">{#N/A,#N/A,FALSE,"Coversheet";#N/A,#N/A,FALSE,"QA"}</definedName>
    <definedName name="b" hidden="1">{#N/A,#N/A,FALSE,"Coversheet";#N/A,#N/A,FALSE,"QA"}</definedName>
    <definedName name="BEm" hidden="1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um" hidden="1">#REF!</definedName>
    <definedName name="DELETE01" localSheetId="2" hidden="1">{#N/A,#N/A,FALSE,"Coversheet";#N/A,#N/A,FALSE,"QA"}</definedName>
    <definedName name="DELETE01" localSheetId="5" hidden="1">{#N/A,#N/A,FALSE,"Coversheet";#N/A,#N/A,FALSE,"QA"}</definedName>
    <definedName name="DELETE01" localSheetId="0" hidden="1">{#N/A,#N/A,FALSE,"Coversheet";#N/A,#N/A,FALSE,"QA"}</definedName>
    <definedName name="DELETE01" hidden="1">{#N/A,#N/A,FALSE,"Coversheet";#N/A,#N/A,FALSE,"QA"}</definedName>
    <definedName name="DELETE02" localSheetId="2" hidden="1">{#N/A,#N/A,FALSE,"Schedule F";#N/A,#N/A,FALSE,"Schedule G"}</definedName>
    <definedName name="DELETE02" localSheetId="5" hidden="1">{#N/A,#N/A,FALSE,"Schedule F";#N/A,#N/A,FALSE,"Schedule G"}</definedName>
    <definedName name="DELETE02" localSheetId="0" hidden="1">{#N/A,#N/A,FALSE,"Schedule F";#N/A,#N/A,FALSE,"Schedule G"}</definedName>
    <definedName name="DELETE02" hidden="1">{#N/A,#N/A,FALSE,"Schedule F";#N/A,#N/A,FALSE,"Schedule G"}</definedName>
    <definedName name="Delete06" localSheetId="2" hidden="1">{#N/A,#N/A,FALSE,"Coversheet";#N/A,#N/A,FALSE,"QA"}</definedName>
    <definedName name="Delete06" localSheetId="5" hidden="1">{#N/A,#N/A,FALSE,"Coversheet";#N/A,#N/A,FALSE,"QA"}</definedName>
    <definedName name="Delete06" localSheetId="0" hidden="1">{#N/A,#N/A,FALSE,"Coversheet";#N/A,#N/A,FALSE,"QA"}</definedName>
    <definedName name="Delete06" hidden="1">{#N/A,#N/A,FALSE,"Coversheet";#N/A,#N/A,FALSE,"QA"}</definedName>
    <definedName name="Delete09" localSheetId="2" hidden="1">{#N/A,#N/A,FALSE,"Coversheet";#N/A,#N/A,FALSE,"QA"}</definedName>
    <definedName name="Delete09" localSheetId="5" hidden="1">{#N/A,#N/A,FALSE,"Coversheet";#N/A,#N/A,FALSE,"QA"}</definedName>
    <definedName name="Delete09" localSheetId="0" hidden="1">{#N/A,#N/A,FALSE,"Coversheet";#N/A,#N/A,FALSE,"QA"}</definedName>
    <definedName name="Delete09" hidden="1">{#N/A,#N/A,FALSE,"Coversheet";#N/A,#N/A,FALSE,"QA"}</definedName>
    <definedName name="Delete1" localSheetId="2" hidden="1">{#N/A,#N/A,FALSE,"Coversheet";#N/A,#N/A,FALSE,"QA"}</definedName>
    <definedName name="Delete1" localSheetId="5" hidden="1">{#N/A,#N/A,FALSE,"Coversheet";#N/A,#N/A,FALSE,"QA"}</definedName>
    <definedName name="Delete1" localSheetId="0" hidden="1">{#N/A,#N/A,FALSE,"Coversheet";#N/A,#N/A,FALSE,"QA"}</definedName>
    <definedName name="Delete1" hidden="1">{#N/A,#N/A,FALSE,"Coversheet";#N/A,#N/A,FALSE,"QA"}</definedName>
    <definedName name="Delete10" localSheetId="2" hidden="1">{#N/A,#N/A,FALSE,"Schedule F";#N/A,#N/A,FALSE,"Schedule G"}</definedName>
    <definedName name="Delete10" localSheetId="5" hidden="1">{#N/A,#N/A,FALSE,"Schedule F";#N/A,#N/A,FALSE,"Schedule G"}</definedName>
    <definedName name="Delete10" localSheetId="0" hidden="1">{#N/A,#N/A,FALSE,"Schedule F";#N/A,#N/A,FALSE,"Schedule G"}</definedName>
    <definedName name="Delete10" hidden="1">{#N/A,#N/A,FALSE,"Schedule F";#N/A,#N/A,FALSE,"Schedule G"}</definedName>
    <definedName name="Delete21" localSheetId="2" hidden="1">{#N/A,#N/A,FALSE,"Coversheet";#N/A,#N/A,FALSE,"QA"}</definedName>
    <definedName name="Delete21" localSheetId="5" hidden="1">{#N/A,#N/A,FALSE,"Coversheet";#N/A,#N/A,FALSE,"QA"}</definedName>
    <definedName name="Delete21" localSheetId="0" hidden="1">{#N/A,#N/A,FALSE,"Coversheet";#N/A,#N/A,FALSE,"QA"}</definedName>
    <definedName name="Delete21" hidden="1">{#N/A,#N/A,FALSE,"Coversheet";#N/A,#N/A,FALSE,"QA"}</definedName>
    <definedName name="df" localSheetId="2" hidden="1">{#N/A,#N/A,FALSE,"CESTSUM";#N/A,#N/A,FALSE,"est sum A";#N/A,#N/A,FALSE,"est detail A"}</definedName>
    <definedName name="df" localSheetId="0" hidden="1">{#N/A,#N/A,FALSE,"CESTSUM";#N/A,#N/A,FALSE,"est sum A";#N/A,#N/A,FALSE,"est detail A"}</definedName>
    <definedName name="df" hidden="1">{#N/A,#N/A,FALSE,"CESTSUM";#N/A,#N/A,FALSE,"est sum A";#N/A,#N/A,FALSE,"est detail A"}</definedName>
    <definedName name="DFIT" localSheetId="2" hidden="1">{#N/A,#N/A,FALSE,"Coversheet";#N/A,#N/A,FALSE,"QA"}</definedName>
    <definedName name="DFIT" localSheetId="5" hidden="1">{#N/A,#N/A,FALSE,"Coversheet";#N/A,#N/A,FALSE,"QA"}</definedName>
    <definedName name="DFIT" localSheetId="0" hidden="1">{#N/A,#N/A,FALSE,"Coversheet";#N/A,#N/A,FALSE,"QA"}</definedName>
    <definedName name="DFIT" hidden="1">{#N/A,#N/A,FALSE,"Coversheet";#N/A,#N/A,FALSE,"QA"}</definedName>
    <definedName name="DUDE" hidden="1">#REF!</definedName>
    <definedName name="ee" localSheetId="2" hidden="1">{#N/A,#N/A,FALSE,"Month ";#N/A,#N/A,FALSE,"YTD";#N/A,#N/A,FALSE,"12 mo ended"}</definedName>
    <definedName name="ee" localSheetId="5" hidden="1">{#N/A,#N/A,FALSE,"Month ";#N/A,#N/A,FALSE,"YTD";#N/A,#N/A,FALSE,"12 mo ended"}</definedName>
    <definedName name="ee" localSheetId="0" hidden="1">{#N/A,#N/A,FALSE,"Month ";#N/A,#N/A,FALSE,"YTD";#N/A,#N/A,FALSE,"12 mo ended"}</definedName>
    <definedName name="ee" hidden="1">{#N/A,#N/A,FALSE,"Month ";#N/A,#N/A,FALSE,"YTD";#N/A,#N/A,FALSE,"12 mo ended"}</definedName>
    <definedName name="EPMWorkbookOptions_2" hidden="1">"neDegofIWXJPzMBMrNgumTsYj5aNFMCdt0dWNNTCh0hB8BniemvYxQ1RY+NOmRs/FCA9sIzxmCT5vumtDpsVa3qv7M2IYa5obKFX3pp+Mh4VTQj/znhJEqWf+OOzafvwiaPD4fNmeM+zrbVZEO7sptIa5SoFczLXsWKbjoNX7WjsWKRctw590jW1NhvoTKwddPyo09OheZd+KQZHaVv3kNUAru2icYD2kKMJjo9So1kQMiuzSxIxCAF8C+7M"</definedName>
    <definedName name="EPMWorkbookOptions_3" hidden="1">"VxdZAe4rWoo4ueI7yp9aL1sb/wYatDFMcDO1IDLRemvldT6MOaOfOwv5QWFCZP9RoWzWpwU/N6oYt3Csf/YwUpIHQF5IOkeTnB/ViFcQbw8Dhu2N2EIB0tpGuTLaQDRmODr+QKzue7b5riDXgyh4PyIwCZqZfrYIc7hb4c2LEFYGlhiAQ+L8wpQfE0Geuo8KrwqSPmXxRyD8NMBUAL96+H+7knOidgrIex7awfvljWPZt1QIAkWc36mlOi+X"</definedName>
    <definedName name="EPMWorkbookOptions_4" hidden="1">"oz+eNUefI19hNf9H8nTxXtSXhr5UhPr8MUwf78rn48c2Hb+CKmUIdVnnZwYOiH0tiKQ264C4mIhYU5UXZ7Ux7PUGg36/fz6GVw3HMNeECGHobgkktlmDQCDPFV5aGkCe1N8Jh9csMxpdn49gr9kIFkUpMxjedbfskdqsxZ6mGwBLK6h/chEeDnu9T1yF+01nLxOlgp4xFbG15Y/UZg3+7hYSMLDA/AUfQQbNpi+TpMweP5sZuasFkNRmDQCV"</definedName>
    <definedName name="EPMWorkbookOptions_5" hidden="1">"Ka/9wfPHp+EbNhu+SI4qeJFZa6kjtlmHOlkTdVGWtAuSd91w8lJJCPRlrhZAUps1AFQVHSxUrDJYXhDBUbMRLIiCycM/M9ASR2yzBnGavFCBYABwQd7+ajZvmSTVLS93tQCS2qwBoC7OL3mjxzb8pCOUo8zdFcMOu9E3fC10xDZrQHcvqBq+c7kkdw0/4kgUiS+wg6VqhOfnLXDENmsA9/Djks8UbMMPMrAapAOM0NwSR2qzDnGy+stIDy4v"</definedName>
    <definedName name="EPMWorkbookOptions_6" hidden="1">"yV7DTzBKulTv8Ipusf1u5USbNXicC7y2UIWLboMNP9BIJYkvuoqgivJEbB8tPhVU6oYcxNGkl/RK1jQcV6u+ulg0Vl935FT4jKC/lR3Zg076YlrZGMUBG5ooLCo7mvkK08hjcxSbvteJ6QwiGdPoqqMcf9gkq8aJ/r2JLHNlwzlEL3mFiv3rl7xs8h7p+F9/XVb5gioAAA=="</definedName>
    <definedName name="error" localSheetId="2" hidden="1">{#N/A,#N/A,FALSE,"Coversheet";#N/A,#N/A,FALSE,"QA"}</definedName>
    <definedName name="error" localSheetId="5" hidden="1">{#N/A,#N/A,FALSE,"Coversheet";#N/A,#N/A,FALSE,"QA"}</definedName>
    <definedName name="error" localSheetId="0" hidden="1">{#N/A,#N/A,FALSE,"Coversheet";#N/A,#N/A,FALSE,"QA"}</definedName>
    <definedName name="error" hidden="1">{#N/A,#N/A,FALSE,"Coversheet";#N/A,#N/A,FALSE,"QA"}</definedName>
    <definedName name="Estimate" localSheetId="2" hidden="1">{#N/A,#N/A,FALSE,"Summ";#N/A,#N/A,FALSE,"General"}</definedName>
    <definedName name="Estimate" localSheetId="5" hidden="1">{#N/A,#N/A,FALSE,"Summ";#N/A,#N/A,FALSE,"General"}</definedName>
    <definedName name="Estimate" localSheetId="0" hidden="1">{#N/A,#N/A,FALSE,"Summ";#N/A,#N/A,FALSE,"General"}</definedName>
    <definedName name="Estimate" hidden="1">{#N/A,#N/A,FALSE,"Summ";#N/A,#N/A,FALSE,"General"}</definedName>
    <definedName name="ex" localSheetId="2" hidden="1">{#N/A,#N/A,FALSE,"Summ";#N/A,#N/A,FALSE,"General"}</definedName>
    <definedName name="ex" localSheetId="5" hidden="1">{#N/A,#N/A,FALSE,"Summ";#N/A,#N/A,FALSE,"General"}</definedName>
    <definedName name="ex" localSheetId="0" hidden="1">{#N/A,#N/A,FALSE,"Summ";#N/A,#N/A,FALSE,"General"}</definedName>
    <definedName name="ex" hidden="1">{#N/A,#N/A,FALSE,"Summ";#N/A,#N/A,FALSE,"General"}</definedName>
    <definedName name="F" hidden="1">#REF!</definedName>
    <definedName name="fdasfdas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asfdas" localSheetId="5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asfdas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localSheetId="5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localSheetId="2" hidden="1">{#N/A,#N/A,FALSE,"Month ";#N/A,#N/A,FALSE,"YTD";#N/A,#N/A,FALSE,"12 mo ended"}</definedName>
    <definedName name="fdsafdasfdsa" localSheetId="5" hidden="1">{#N/A,#N/A,FALSE,"Month ";#N/A,#N/A,FALSE,"YTD";#N/A,#N/A,FALSE,"12 mo ended"}</definedName>
    <definedName name="fdsafdasfdsa" localSheetId="0" hidden="1">{#N/A,#N/A,FALSE,"Month ";#N/A,#N/A,FALSE,"YTD";#N/A,#N/A,FALSE,"12 mo ended"}</definedName>
    <definedName name="fdsafdasfdsa" hidden="1">{#N/A,#N/A,FALSE,"Month ";#N/A,#N/A,FALSE,"YTD";#N/A,#N/A,FALSE,"12 mo ended"}</definedName>
    <definedName name="ffff" localSheetId="2" hidden="1">{#N/A,#N/A,FALSE,"Coversheet";#N/A,#N/A,FALSE,"QA"}</definedName>
    <definedName name="ffff" localSheetId="5" hidden="1">{#N/A,#N/A,FALSE,"Coversheet";#N/A,#N/A,FALSE,"QA"}</definedName>
    <definedName name="ffff" localSheetId="0" hidden="1">{#N/A,#N/A,FALSE,"Coversheet";#N/A,#N/A,FALSE,"QA"}</definedName>
    <definedName name="ffff" hidden="1">{#N/A,#N/A,FALSE,"Coversheet";#N/A,#N/A,FALSE,"QA"}</definedName>
    <definedName name="fffgf" localSheetId="2" hidden="1">{#N/A,#N/A,FALSE,"Coversheet";#N/A,#N/A,FALSE,"QA"}</definedName>
    <definedName name="fffgf" localSheetId="5" hidden="1">{#N/A,#N/A,FALSE,"Coversheet";#N/A,#N/A,FALSE,"QA"}</definedName>
    <definedName name="fffgf" localSheetId="0" hidden="1">{#N/A,#N/A,FALSE,"Coversheet";#N/A,#N/A,FALSE,"QA"}</definedName>
    <definedName name="fffgf" hidden="1">{#N/A,#N/A,FALSE,"Coversheet";#N/A,#N/A,FALSE,"QA"}</definedName>
    <definedName name="helllo" localSheetId="2" hidden="1">{#N/A,#N/A,FALSE,"Pg 6b CustCount_Gas";#N/A,#N/A,FALSE,"QA";#N/A,#N/A,FALSE,"Report";#N/A,#N/A,FALSE,"forecast"}</definedName>
    <definedName name="helllo" localSheetId="5" hidden="1">{#N/A,#N/A,FALSE,"Pg 6b CustCount_Gas";#N/A,#N/A,FALSE,"QA";#N/A,#N/A,FALSE,"Report";#N/A,#N/A,FALSE,"forecast"}</definedName>
    <definedName name="helllo" localSheetId="0" hidden="1">{#N/A,#N/A,FALSE,"Pg 6b CustCount_Gas";#N/A,#N/A,FALSE,"QA";#N/A,#N/A,FALSE,"Report";#N/A,#N/A,FALSE,"forecast"}</definedName>
    <definedName name="helllo" hidden="1">{#N/A,#N/A,FALSE,"Pg 6b CustCount_Gas";#N/A,#N/A,FALSE,"QA";#N/A,#N/A,FALSE,"Report";#N/A,#N/A,FALSE,"forecast"}</definedName>
    <definedName name="Hello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lo" localSheetId="5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lo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localSheetId="2" hidden="1">{#N/A,#N/A,FALSE,"Coversheet";#N/A,#N/A,FALSE,"QA"}</definedName>
    <definedName name="HELP" localSheetId="5" hidden="1">{#N/A,#N/A,FALSE,"Coversheet";#N/A,#N/A,FALSE,"QA"}</definedName>
    <definedName name="HELP" localSheetId="0" hidden="1">{#N/A,#N/A,FALSE,"Coversheet";#N/A,#N/A,FALSE,"QA"}</definedName>
    <definedName name="HELP" hidden="1">{#N/A,#N/A,FALSE,"Coversheet";#N/A,#N/A,FALSE,"QA"}</definedName>
    <definedName name="income_satement_ytd" localSheetId="2" hidden="1">{#N/A,#N/A,FALSE,"monthly";#N/A,#N/A,FALSE,"year to date";#N/A,#N/A,FALSE,"12_months_IS";#N/A,#N/A,FALSE,"balance sheet";#N/A,#N/A,FALSE,"op_revenues_12m";#N/A,#N/A,FALSE,"op_revenues_ytd";#N/A,#N/A,FALSE,"op_revenues_cm"}</definedName>
    <definedName name="income_satement_ytd" localSheetId="5" hidden="1">{#N/A,#N/A,FALSE,"monthly";#N/A,#N/A,FALSE,"year to date";#N/A,#N/A,FALSE,"12_months_IS";#N/A,#N/A,FALSE,"balance sheet";#N/A,#N/A,FALSE,"op_revenues_12m";#N/A,#N/A,FALSE,"op_revenues_ytd";#N/A,#N/A,FALSE,"op_revenues_cm"}</definedName>
    <definedName name="income_satement_ytd" localSheetId="0" hidden="1">{#N/A,#N/A,FALSE,"monthly";#N/A,#N/A,FALSE,"year to date";#N/A,#N/A,FALSE,"12_months_IS";#N/A,#N/A,FALSE,"balance sheet";#N/A,#N/A,FALSE,"op_revenues_12m";#N/A,#N/A,FALSE,"op_revenues_ytd";#N/A,#N/A,FALSE,"op_revenues_cm"}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Sytd" localSheetId="2" hidden="1">{#N/A,#N/A,FALSE,"monthly";#N/A,#N/A,FALSE,"year to date";#N/A,#N/A,FALSE,"12_months_IS";#N/A,#N/A,FALSE,"balance sheet";#N/A,#N/A,FALSE,"op_revenues_12m";#N/A,#N/A,FALSE,"op_revenues_ytd";#N/A,#N/A,FALSE,"op_revenues_cm"}</definedName>
    <definedName name="ISytd" localSheetId="5" hidden="1">{#N/A,#N/A,FALSE,"monthly";#N/A,#N/A,FALSE,"year to date";#N/A,#N/A,FALSE,"12_months_IS";#N/A,#N/A,FALSE,"balance sheet";#N/A,#N/A,FALSE,"op_revenues_12m";#N/A,#N/A,FALSE,"op_revenues_ytd";#N/A,#N/A,FALSE,"op_revenues_cm"}</definedName>
    <definedName name="ISytd" localSheetId="0" hidden="1">{#N/A,#N/A,FALSE,"monthly";#N/A,#N/A,FALSE,"year to date";#N/A,#N/A,FALSE,"12_months_IS";#N/A,#N/A,FALSE,"balance sheet";#N/A,#N/A,FALSE,"op_revenues_12m";#N/A,#N/A,FALSE,"op_revenues_ytd";#N/A,#N/A,FALSE,"op_revenues_cm"}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e" localSheetId="2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5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fkljsdkljiejgr" localSheetId="2" hidden="1">{#N/A,#N/A,FALSE,"Summ";#N/A,#N/A,FALSE,"General"}</definedName>
    <definedName name="jfkljsdkljiejgr" localSheetId="5" hidden="1">{#N/A,#N/A,FALSE,"Summ";#N/A,#N/A,FALSE,"General"}</definedName>
    <definedName name="jfkljsdkljiejgr" localSheetId="0" hidden="1">{#N/A,#N/A,FALSE,"Summ";#N/A,#N/A,FALSE,"General"}</definedName>
    <definedName name="jfkljsdkljiejgr" hidden="1">{#N/A,#N/A,FALSE,"Summ";#N/A,#N/A,FALSE,"General"}</definedName>
    <definedName name="k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localSheetId="5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localSheetId="5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ookup" localSheetId="2" hidden="1">{#N/A,#N/A,FALSE,"Coversheet";#N/A,#N/A,FALSE,"QA"}</definedName>
    <definedName name="lookup" localSheetId="5" hidden="1">{#N/A,#N/A,FALSE,"Coversheet";#N/A,#N/A,FALSE,"QA"}</definedName>
    <definedName name="lookup" localSheetId="0" hidden="1">{#N/A,#N/A,FALSE,"Coversheet";#N/A,#N/A,FALSE,"QA"}</definedName>
    <definedName name="lookup" hidden="1">{#N/A,#N/A,FALSE,"Coversheet";#N/A,#N/A,FALSE,"QA"}</definedName>
    <definedName name="Miller" localSheetId="2" hidden="1">{#N/A,#N/A,FALSE,"Expenditures";#N/A,#N/A,FALSE,"Property Placed In-Service";#N/A,#N/A,FALSE,"CWIP Balances"}</definedName>
    <definedName name="Miller" localSheetId="5" hidden="1">{#N/A,#N/A,FALSE,"Expenditures";#N/A,#N/A,FALSE,"Property Placed In-Service";#N/A,#N/A,FALSE,"CWIP Balances"}</definedName>
    <definedName name="Miller" localSheetId="0" hidden="1">{#N/A,#N/A,FALSE,"Expenditures";#N/A,#N/A,FALSE,"Property Placed In-Service";#N/A,#N/A,FALSE,"CWIP Balances"}</definedName>
    <definedName name="Miller" hidden="1">{#N/A,#N/A,FALSE,"Expenditures";#N/A,#N/A,FALSE,"Property Placed In-Service";#N/A,#N/A,FALSE,"CWIP Balances"}</definedName>
    <definedName name="new" localSheetId="2" hidden="1">{#N/A,#N/A,FALSE,"Summ";#N/A,#N/A,FALSE,"General"}</definedName>
    <definedName name="new" localSheetId="5" hidden="1">{#N/A,#N/A,FALSE,"Summ";#N/A,#N/A,FALSE,"General"}</definedName>
    <definedName name="new" localSheetId="0" hidden="1">{#N/A,#N/A,FALSE,"Summ";#N/A,#N/A,FALSE,"General"}</definedName>
    <definedName name="new" hidden="1">{#N/A,#N/A,FALSE,"Summ";#N/A,#N/A,FALSE,"General"}</definedName>
    <definedName name="p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" localSheetId="5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_xlnm.Print_Area" localSheetId="5">'Rate Spread and Design'!$A$1:$K$58</definedName>
    <definedName name="q" localSheetId="2" hidden="1">{#N/A,#N/A,FALSE,"Coversheet";#N/A,#N/A,FALSE,"QA"}</definedName>
    <definedName name="q" localSheetId="5" hidden="1">{#N/A,#N/A,FALSE,"Coversheet";#N/A,#N/A,FALSE,"QA"}</definedName>
    <definedName name="q" localSheetId="0" hidden="1">{#N/A,#N/A,FALSE,"Coversheet";#N/A,#N/A,FALSE,"QA"}</definedName>
    <definedName name="q" hidden="1">{#N/A,#N/A,FALSE,"Coversheet";#N/A,#N/A,FALSE,"QA"}</definedName>
    <definedName name="qqq" localSheetId="2" hidden="1">{#N/A,#N/A,FALSE,"schA"}</definedName>
    <definedName name="qqq" localSheetId="5" hidden="1">{#N/A,#N/A,FALSE,"schA"}</definedName>
    <definedName name="qqq" localSheetId="0" hidden="1">{#N/A,#N/A,FALSE,"schA"}</definedName>
    <definedName name="qqq" hidden="1">{#N/A,#N/A,FALSE,"schA"}</definedName>
    <definedName name="re" localSheetId="2" hidden="1">{#N/A,#N/A,FALSE,"Pg 6b CustCount_Gas";#N/A,#N/A,FALSE,"QA";#N/A,#N/A,FALSE,"Report";#N/A,#N/A,FALSE,"forecast"}</definedName>
    <definedName name="re" localSheetId="0" hidden="1">{#N/A,#N/A,FALSE,"Pg 6b CustCount_Gas";#N/A,#N/A,FALSE,"QA";#N/A,#N/A,FALSE,"Report";#N/A,#N/A,FALSE,"forecast"}</definedName>
    <definedName name="re" hidden="1">{#N/A,#N/A,FALSE,"Pg 6b CustCount_Gas";#N/A,#N/A,FALSE,"QA";#N/A,#N/A,FALSE,"Report";#N/A,#N/A,FALSE,"forecast"}</definedName>
    <definedName name="retail_CC" localSheetId="2" hidden="1">{#N/A,#N/A,FALSE,"Loans";#N/A,#N/A,FALSE,"Program Costs";#N/A,#N/A,FALSE,"Measures";#N/A,#N/A,FALSE,"Net Lost Rev";#N/A,#N/A,FALSE,"Incentive"}</definedName>
    <definedName name="retail_CC" localSheetId="5" hidden="1">{#N/A,#N/A,FALSE,"Loans";#N/A,#N/A,FALSE,"Program Costs";#N/A,#N/A,FALSE,"Measures";#N/A,#N/A,FALSE,"Net Lost Rev";#N/A,#N/A,FALSE,"Incentive"}</definedName>
    <definedName name="retail_CC" localSheetId="0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2" hidden="1">{#N/A,#N/A,FALSE,"Loans";#N/A,#N/A,FALSE,"Program Costs";#N/A,#N/A,FALSE,"Measures";#N/A,#N/A,FALSE,"Net Lost Rev";#N/A,#N/A,FALSE,"Incentive"}</definedName>
    <definedName name="retail_CC1" localSheetId="5" hidden="1">{#N/A,#N/A,FALSE,"Loans";#N/A,#N/A,FALSE,"Program Costs";#N/A,#N/A,FALSE,"Measures";#N/A,#N/A,FALSE,"Net Lost Rev";#N/A,#N/A,FALSE,"Incentive"}</definedName>
    <definedName name="retail_CC1" localSheetId="0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sdlfhsdlhfkl" localSheetId="2" hidden="1">{#N/A,#N/A,FALSE,"Summ";#N/A,#N/A,FALSE,"General"}</definedName>
    <definedName name="sdlfhsdlhfkl" localSheetId="5" hidden="1">{#N/A,#N/A,FALSE,"Summ";#N/A,#N/A,FALSE,"General"}</definedName>
    <definedName name="sdlfhsdlhfkl" localSheetId="0" hidden="1">{#N/A,#N/A,FALSE,"Summ";#N/A,#N/A,FALSE,"General"}</definedName>
    <definedName name="sdlfhsdlhfkl" hidden="1">{#N/A,#N/A,FALSE,"Summ";#N/A,#N/A,FALSE,"General"}</definedName>
    <definedName name="seven" localSheetId="2" hidden="1">{#N/A,#N/A,FALSE,"CRPT";#N/A,#N/A,FALSE,"TREND";#N/A,#N/A,FALSE,"%Curve"}</definedName>
    <definedName name="seven" localSheetId="5" hidden="1">{#N/A,#N/A,FALSE,"CRPT";#N/A,#N/A,FALSE,"TREND";#N/A,#N/A,FALSE,"%Curve"}</definedName>
    <definedName name="seven" localSheetId="0" hidden="1">{#N/A,#N/A,FALSE,"CRPT";#N/A,#N/A,FALSE,"TREND";#N/A,#N/A,FALSE,"%Curve"}</definedName>
    <definedName name="seven" hidden="1">{#N/A,#N/A,FALSE,"CRPT";#N/A,#N/A,FALSE,"TREND";#N/A,#N/A,FALSE,"%Curve"}</definedName>
    <definedName name="six" localSheetId="2" hidden="1">{#N/A,#N/A,FALSE,"Drill Sites";"WP 212",#N/A,FALSE,"MWAG EOR";"WP 213",#N/A,FALSE,"MWAG EOR";#N/A,#N/A,FALSE,"Misc. Facility";#N/A,#N/A,FALSE,"WWTP"}</definedName>
    <definedName name="six" localSheetId="5" hidden="1">{#N/A,#N/A,FALSE,"Drill Sites";"WP 212",#N/A,FALSE,"MWAG EOR";"WP 213",#N/A,FALSE,"MWAG EOR";#N/A,#N/A,FALSE,"Misc. Facility";#N/A,#N/A,FALSE,"WWTP"}</definedName>
    <definedName name="six" localSheetId="0" hidden="1">{#N/A,#N/A,FALSE,"Drill Sites";"WP 212",#N/A,FALSE,"MWAG EOR";"WP 213",#N/A,FALSE,"MWAG EOR";#N/A,#N/A,FALSE,"Misc. Facility";#N/A,#N/A,FALSE,"WWTP"}</definedName>
    <definedName name="six" hidden="1">{#N/A,#N/A,FALSE,"Drill Sites";"WP 212",#N/A,FALSE,"MWAG EOR";"WP 213",#N/A,FALSE,"MWAG EOR";#N/A,#N/A,FALSE,"Misc. Facility";#N/A,#N/A,FALSE,"WWTP"}</definedName>
    <definedName name="t" localSheetId="2" hidden="1">{#N/A,#N/A,FALSE,"CESTSUM";#N/A,#N/A,FALSE,"est sum A";#N/A,#N/A,FALSE,"est detail A"}</definedName>
    <definedName name="t" localSheetId="5" hidden="1">{#N/A,#N/A,FALSE,"CESTSUM";#N/A,#N/A,FALSE,"est sum A";#N/A,#N/A,FALSE,"est detail A"}</definedName>
    <definedName name="t" localSheetId="0" hidden="1">{#N/A,#N/A,FALSE,"CESTSUM";#N/A,#N/A,FALSE,"est sum A";#N/A,#N/A,FALSE,"est detail A"}</definedName>
    <definedName name="t" hidden="1">{#N/A,#N/A,FALSE,"CESTSUM";#N/A,#N/A,FALSE,"est sum A";#N/A,#N/A,FALSE,"est detail A"}</definedName>
    <definedName name="tem" localSheetId="2" hidden="1">{#N/A,#N/A,FALSE,"Summ";#N/A,#N/A,FALSE,"General"}</definedName>
    <definedName name="tem" localSheetId="5" hidden="1">{#N/A,#N/A,FALSE,"Summ";#N/A,#N/A,FALSE,"General"}</definedName>
    <definedName name="tem" localSheetId="0" hidden="1">{#N/A,#N/A,FALSE,"Summ";#N/A,#N/A,FALSE,"General"}</definedName>
    <definedName name="tem" hidden="1">{#N/A,#N/A,FALSE,"Summ";#N/A,#N/A,FALSE,"General"}</definedName>
    <definedName name="TEMP" localSheetId="2" hidden="1">{#N/A,#N/A,FALSE,"Summ";#N/A,#N/A,FALSE,"General"}</definedName>
    <definedName name="TEMP" localSheetId="5" hidden="1">{#N/A,#N/A,FALSE,"Summ";#N/A,#N/A,FALSE,"General"}</definedName>
    <definedName name="TEMP" localSheetId="0" hidden="1">{#N/A,#N/A,FALSE,"Summ";#N/A,#N/A,FALSE,"General"}</definedName>
    <definedName name="TEMP" hidden="1">{#N/A,#N/A,FALSE,"Summ";#N/A,#N/A,FALSE,"General"}</definedName>
    <definedName name="Temp1" localSheetId="2" hidden="1">{#N/A,#N/A,FALSE,"CESTSUM";#N/A,#N/A,FALSE,"est sum A";#N/A,#N/A,FALSE,"est detail A"}</definedName>
    <definedName name="Temp1" localSheetId="5" hidden="1">{#N/A,#N/A,FALSE,"CESTSUM";#N/A,#N/A,FALSE,"est sum A";#N/A,#N/A,FALSE,"est detail A"}</definedName>
    <definedName name="Temp1" localSheetId="0" hidden="1">{#N/A,#N/A,FALSE,"CESTSUM";#N/A,#N/A,FALSE,"est sum A";#N/A,#N/A,FALSE,"est detail A"}</definedName>
    <definedName name="Temp1" hidden="1">{#N/A,#N/A,FALSE,"CESTSUM";#N/A,#N/A,FALSE,"est sum A";#N/A,#N/A,FALSE,"est detail A"}</definedName>
    <definedName name="temp2" localSheetId="2" hidden="1">{#N/A,#N/A,FALSE,"CESTSUM";#N/A,#N/A,FALSE,"est sum A";#N/A,#N/A,FALSE,"est detail A"}</definedName>
    <definedName name="temp2" localSheetId="5" hidden="1">{#N/A,#N/A,FALSE,"CESTSUM";#N/A,#N/A,FALSE,"est sum A";#N/A,#N/A,FALSE,"est detail A"}</definedName>
    <definedName name="temp2" localSheetId="0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r" localSheetId="2" hidden="1">{#N/A,#N/A,FALSE,"CESTSUM";#N/A,#N/A,FALSE,"est sum A";#N/A,#N/A,FALSE,"est detail A"}</definedName>
    <definedName name="tr" localSheetId="5" hidden="1">{#N/A,#N/A,FALSE,"CESTSUM";#N/A,#N/A,FALSE,"est sum A";#N/A,#N/A,FALSE,"est detail A"}</definedName>
    <definedName name="tr" localSheetId="0" hidden="1">{#N/A,#N/A,FALSE,"CESTSUM";#N/A,#N/A,FALSE,"est sum A";#N/A,#N/A,FALSE,"est detail A"}</definedName>
    <definedName name="tr" hidden="1">{#N/A,#N/A,FALSE,"CESTSUM";#N/A,#N/A,FALSE,"est sum A";#N/A,#N/A,FALSE,"est detail A"}</definedName>
    <definedName name="Transfer" hidden="1">#REF!</definedName>
    <definedName name="Transfers" hidden="1">#REF!</definedName>
    <definedName name="u" localSheetId="2" hidden="1">{#N/A,#N/A,FALSE,"Summ";#N/A,#N/A,FALSE,"General"}</definedName>
    <definedName name="u" localSheetId="5" hidden="1">{#N/A,#N/A,FALSE,"Summ";#N/A,#N/A,FALSE,"General"}</definedName>
    <definedName name="u" localSheetId="0" hidden="1">{#N/A,#N/A,FALSE,"Summ";#N/A,#N/A,FALSE,"General"}</definedName>
    <definedName name="u" hidden="1">{#N/A,#N/A,FALSE,"Summ";#N/A,#N/A,FALSE,"General"}</definedName>
    <definedName name="v" localSheetId="2" hidden="1">{#N/A,#N/A,FALSE,"Coversheet";#N/A,#N/A,FALSE,"QA"}</definedName>
    <definedName name="v" localSheetId="5" hidden="1">{#N/A,#N/A,FALSE,"Coversheet";#N/A,#N/A,FALSE,"QA"}</definedName>
    <definedName name="v" localSheetId="0" hidden="1">{#N/A,#N/A,FALSE,"Coversheet";#N/A,#N/A,FALSE,"QA"}</definedName>
    <definedName name="v" hidden="1">{#N/A,#N/A,FALSE,"Coversheet";#N/A,#N/A,FALSE,"QA"}</definedName>
    <definedName name="Value" localSheetId="2" hidden="1">{#N/A,#N/A,FALSE,"Summ";#N/A,#N/A,FALSE,"General"}</definedName>
    <definedName name="Value" localSheetId="5" hidden="1">{#N/A,#N/A,FALSE,"Summ";#N/A,#N/A,FALSE,"General"}</definedName>
    <definedName name="Value" localSheetId="0" hidden="1">{#N/A,#N/A,FALSE,"Summ";#N/A,#N/A,FALSE,"General"}</definedName>
    <definedName name="Value" hidden="1">{#N/A,#N/A,FALSE,"Summ";#N/A,#N/A,FALSE,"General"}</definedName>
    <definedName name="w" localSheetId="2" hidden="1">{#N/A,#N/A,FALSE,"Schedule F";#N/A,#N/A,FALSE,"Schedule G"}</definedName>
    <definedName name="w" localSheetId="5" hidden="1">{#N/A,#N/A,FALSE,"Schedule F";#N/A,#N/A,FALSE,"Schedule G"}</definedName>
    <definedName name="w" localSheetId="0" hidden="1">{#N/A,#N/A,FALSE,"Schedule F";#N/A,#N/A,FALSE,"Schedule G"}</definedName>
    <definedName name="w" hidden="1">{#N/A,#N/A,FALSE,"Schedule F";#N/A,#N/A,FALSE,"Schedule G"}</definedName>
    <definedName name="we" localSheetId="2" hidden="1">{#N/A,#N/A,FALSE,"Pg 6b CustCount_Gas";#N/A,#N/A,FALSE,"QA";#N/A,#N/A,FALSE,"Report";#N/A,#N/A,FALSE,"forecast"}</definedName>
    <definedName name="we" localSheetId="5" hidden="1">{#N/A,#N/A,FALSE,"Pg 6b CustCount_Gas";#N/A,#N/A,FALSE,"QA";#N/A,#N/A,FALSE,"Report";#N/A,#N/A,FALSE,"forecast"}</definedName>
    <definedName name="we" localSheetId="0" hidden="1">{#N/A,#N/A,FALSE,"Pg 6b CustCount_Gas";#N/A,#N/A,FALSE,"QA";#N/A,#N/A,FALSE,"Report";#N/A,#N/A,FALSE,"forecast"}</definedName>
    <definedName name="we" hidden="1">{#N/A,#N/A,FALSE,"Pg 6b CustCount_Gas";#N/A,#N/A,FALSE,"QA";#N/A,#N/A,FALSE,"Report";#N/A,#N/A,FALSE,"forecast"}</definedName>
    <definedName name="WH" localSheetId="2" hidden="1">{#N/A,#N/A,FALSE,"Coversheet";#N/A,#N/A,FALSE,"QA"}</definedName>
    <definedName name="WH" localSheetId="5" hidden="1">{#N/A,#N/A,FALSE,"Coversheet";#N/A,#N/A,FALSE,"QA"}</definedName>
    <definedName name="WH" localSheetId="0" hidden="1">{#N/A,#N/A,FALSE,"Coversheet";#N/A,#N/A,FALSE,"QA"}</definedName>
    <definedName name="WH" hidden="1">{#N/A,#N/A,FALSE,"Coversheet";#N/A,#N/A,FALSE,"QA"}</definedName>
    <definedName name="wrn.1._.Bi._.Monthly._.CR." localSheetId="2" hidden="1">{#N/A,#N/A,FALSE,"Drill Sites";"WP 212",#N/A,FALSE,"MWAG EOR";"WP 213",#N/A,FALSE,"MWAG EOR";#N/A,#N/A,FALSE,"Misc. Facility";#N/A,#N/A,FALSE,"WWTP"}</definedName>
    <definedName name="wrn.1._.Bi._.Monthly._.CR." localSheetId="5" hidden="1">{#N/A,#N/A,FALSE,"Drill Sites";"WP 212",#N/A,FALSE,"MWAG EOR";"WP 213",#N/A,FALSE,"MWAG EOR";#N/A,#N/A,FALSE,"Misc. Facility";#N/A,#N/A,FALSE,"WWTP"}</definedName>
    <definedName name="wrn.1._.Bi._.Monthly._.CR." localSheetId="0" hidden="1">{#N/A,#N/A,FALSE,"Drill Sites";"WP 212",#N/A,FALSE,"MWAG EOR";"WP 213",#N/A,FALSE,"MWAG EOR";#N/A,#N/A,FALSE,"Misc. Facility";#N/A,#N/A,FALSE,"WWTP"}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localSheetId="2" hidden="1">{#N/A,#N/A,FALSE,"Balance_Sheet";#N/A,#N/A,FALSE,"income_statement_monthly";#N/A,#N/A,FALSE,"income_statement_Quarter";#N/A,#N/A,FALSE,"income_statement_ytd";#N/A,#N/A,FALSE,"income_statement_12Months"}</definedName>
    <definedName name="wrn.10_day._.Package." localSheetId="5" hidden="1">{#N/A,#N/A,FALSE,"Balance_Sheet";#N/A,#N/A,FALSE,"income_statement_monthly";#N/A,#N/A,FALSE,"income_statement_Quarter";#N/A,#N/A,FALSE,"income_statement_ytd";#N/A,#N/A,FALSE,"income_statement_12Months"}</definedName>
    <definedName name="wrn.10_day._.Package." localSheetId="0" hidden="1">{#N/A,#N/A,FALSE,"Balance_Sheet";#N/A,#N/A,FALSE,"income_statement_monthly";#N/A,#N/A,FALSE,"income_statement_Quarter";#N/A,#N/A,FALSE,"income_statement_ytd";#N/A,#N/A,FALSE,"income_statement_12Months"}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AAI." localSheetId="2" hidden="1">{#N/A,#N/A,FALSE,"CRPT";#N/A,#N/A,FALSE,"TREND";#N/A,#N/A,FALSE,"%Curve"}</definedName>
    <definedName name="wrn.AAI." localSheetId="5" hidden="1">{#N/A,#N/A,FALSE,"CRPT";#N/A,#N/A,FALSE,"TREND";#N/A,#N/A,FALSE,"%Curve"}</definedName>
    <definedName name="wrn.AAI." localSheetId="0" hidden="1">{#N/A,#N/A,FALSE,"CRPT";#N/A,#N/A,FALSE,"TREND";#N/A,#N/A,FALSE,"%Curve"}</definedName>
    <definedName name="wrn.AAI." hidden="1">{#N/A,#N/A,FALSE,"CRPT";#N/A,#N/A,FALSE,"TREND";#N/A,#N/A,FALSE,"%Curve"}</definedName>
    <definedName name="wrn.AAI._.Report." localSheetId="2" hidden="1">{#N/A,#N/A,FALSE,"CRPT";#N/A,#N/A,FALSE,"TREND";#N/A,#N/A,FALSE,"% CURVE"}</definedName>
    <definedName name="wrn.AAI._.Report." localSheetId="5" hidden="1">{#N/A,#N/A,FALSE,"CRPT";#N/A,#N/A,FALSE,"TREND";#N/A,#N/A,FALSE,"% CURVE"}</definedName>
    <definedName name="wrn.AAI._.Report." localSheetId="0" hidden="1">{#N/A,#N/A,FALSE,"CRPT";#N/A,#N/A,FALSE,"TREND";#N/A,#N/A,FALSE,"% CURVE"}</definedName>
    <definedName name="wrn.AAI._.Report." hidden="1">{#N/A,#N/A,FALSE,"CRPT";#N/A,#N/A,FALSE,"TREND";#N/A,#N/A,FALSE,"% CURVE"}</definedName>
    <definedName name="wrn.Anvil." localSheetId="2" hidden="1">{#N/A,#N/A,FALSE,"CRPT";#N/A,#N/A,FALSE,"PCS ";#N/A,#N/A,FALSE,"TREND";#N/A,#N/A,FALSE,"% CURVE";#N/A,#N/A,FALSE,"FWICALC";#N/A,#N/A,FALSE,"CONTINGENCY";#N/A,#N/A,FALSE,"7616 Fab";#N/A,#N/A,FALSE,"7616 NSK"}</definedName>
    <definedName name="wrn.Anvil." localSheetId="5" hidden="1">{#N/A,#N/A,FALSE,"CRPT";#N/A,#N/A,FALSE,"PCS ";#N/A,#N/A,FALSE,"TREND";#N/A,#N/A,FALSE,"% CURVE";#N/A,#N/A,FALSE,"FWICALC";#N/A,#N/A,FALSE,"CONTINGENCY";#N/A,#N/A,FALSE,"7616 Fab";#N/A,#N/A,FALSE,"7616 NSK"}</definedName>
    <definedName name="wrn.Anvil." localSheetId="0" hidden="1">{#N/A,#N/A,FALSE,"CRPT";#N/A,#N/A,FALSE,"PCS ";#N/A,#N/A,FALSE,"TREND";#N/A,#N/A,FALSE,"% CURVE";#N/A,#N/A,FALSE,"FWICALC";#N/A,#N/A,FALSE,"CONTINGENCY";#N/A,#N/A,FALSE,"7616 Fab";#N/A,#N/A,FALSE,"7616 NSK"}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localSheetId="5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2" hidden="1">{#N/A,#N/A,FALSE,"Pg 6b CustCount_Gas";#N/A,#N/A,FALSE,"QA";#N/A,#N/A,FALSE,"Report";#N/A,#N/A,FALSE,"forecast"}</definedName>
    <definedName name="wrn.Customer._.Counts._.Gas." localSheetId="5" hidden="1">{#N/A,#N/A,FALSE,"Pg 6b CustCount_Gas";#N/A,#N/A,FALSE,"QA";#N/A,#N/A,FALSE,"Report";#N/A,#N/A,FALSE,"forecast"}</definedName>
    <definedName name="wrn.Customer._.Counts._.Gas." localSheetId="0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wrn.ECR." localSheetId="2" hidden="1">{#N/A,#N/A,FALSE,"schA"}</definedName>
    <definedName name="wrn.ECR." localSheetId="5" hidden="1">{#N/A,#N/A,FALSE,"schA"}</definedName>
    <definedName name="wrn.ECR." localSheetId="0" hidden="1">{#N/A,#N/A,FALSE,"schA"}</definedName>
    <definedName name="wrn.ECR." hidden="1">{#N/A,#N/A,FALSE,"schA"}</definedName>
    <definedName name="wrn.ESTIMATE." localSheetId="2" hidden="1">{#N/A,#N/A,FALSE,"CESTSUM";#N/A,#N/A,FALSE,"est sum A";#N/A,#N/A,FALSE,"est detail A"}</definedName>
    <definedName name="wrn.ESTIMATE." localSheetId="5" hidden="1">{#N/A,#N/A,FALSE,"CESTSUM";#N/A,#N/A,FALSE,"est sum A";#N/A,#N/A,FALSE,"est detail A"}</definedName>
    <definedName name="wrn.ESTIMATE." localSheetId="0" hidden="1">{#N/A,#N/A,FALSE,"CESTSUM";#N/A,#N/A,FALSE,"est sum A";#N/A,#N/A,FALSE,"est detail A"}</definedName>
    <definedName name="wrn.ESTIMATE." hidden="1">{#N/A,#N/A,FALSE,"CESTSUM";#N/A,#N/A,FALSE,"est sum A";#N/A,#N/A,FALSE,"est detail A"}</definedName>
    <definedName name="wrn.Fundamental." localSheetId="2" hidden="1">{#N/A,#N/A,TRUE,"CoverPage";#N/A,#N/A,TRUE,"Gas";#N/A,#N/A,TRUE,"Power";#N/A,#N/A,TRUE,"Historical DJ Mthly Prices"}</definedName>
    <definedName name="wrn.Fundamental." localSheetId="5" hidden="1">{#N/A,#N/A,TRUE,"CoverPage";#N/A,#N/A,TRUE,"Gas";#N/A,#N/A,TRUE,"Power";#N/A,#N/A,TRUE,"Historical DJ Mthly Prices"}</definedName>
    <definedName name="wrn.Fundamental." localSheetId="0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Fundamental2" localSheetId="2" hidden="1">{#N/A,#N/A,TRUE,"CoverPage";#N/A,#N/A,TRUE,"Gas";#N/A,#N/A,TRUE,"Power";#N/A,#N/A,TRUE,"Historical DJ Mthly Prices"}</definedName>
    <definedName name="wrn.Fundamental2" localSheetId="5" hidden="1">{#N/A,#N/A,TRUE,"CoverPage";#N/A,#N/A,TRUE,"Gas";#N/A,#N/A,TRUE,"Power";#N/A,#N/A,TRUE,"Historical DJ Mthly Prices"}</definedName>
    <definedName name="wrn.Fundamental2" localSheetId="0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IEO." localSheetId="2" hidden="1">{#N/A,#N/A,FALSE,"SUMMARY";#N/A,#N/A,FALSE,"AE7616";#N/A,#N/A,FALSE,"AE7617";#N/A,#N/A,FALSE,"AE7618";#N/A,#N/A,FALSE,"AE7619"}</definedName>
    <definedName name="wrn.IEO." localSheetId="5" hidden="1">{#N/A,#N/A,FALSE,"SUMMARY";#N/A,#N/A,FALSE,"AE7616";#N/A,#N/A,FALSE,"AE7617";#N/A,#N/A,FALSE,"AE7618";#N/A,#N/A,FALSE,"AE7619"}</definedName>
    <definedName name="wrn.IEO." localSheetId="0" hidden="1">{#N/A,#N/A,FALSE,"SUMMARY";#N/A,#N/A,FALSE,"AE7616";#N/A,#N/A,FALSE,"AE7617";#N/A,#N/A,FALSE,"AE7618";#N/A,#N/A,FALSE,"AE7619"}</definedName>
    <definedName name="wrn.IEO." hidden="1">{#N/A,#N/A,FALSE,"SUMMARY";#N/A,#N/A,FALSE,"AE7616";#N/A,#N/A,FALSE,"AE7617";#N/A,#N/A,FALSE,"AE7618";#N/A,#N/A,FALSE,"AE7619"}</definedName>
    <definedName name="wrn.Incentive._.Overhead." localSheetId="2" hidden="1">{#N/A,#N/A,FALSE,"Coversheet";#N/A,#N/A,FALSE,"QA"}</definedName>
    <definedName name="wrn.Incentive._.Overhead." localSheetId="5" hidden="1">{#N/A,#N/A,FALSE,"Coversheet";#N/A,#N/A,FALSE,"QA"}</definedName>
    <definedName name="wrn.Incentive._.Overhead." localSheetId="0" hidden="1">{#N/A,#N/A,FALSE,"Coversheet";#N/A,#N/A,FALSE,"QA"}</definedName>
    <definedName name="wrn.Incentive._.Overhead." hidden="1">{#N/A,#N/A,FALSE,"Coversheet";#N/A,#N/A,FALSE,"QA"}</definedName>
    <definedName name="wrn.limit_reports." localSheetId="2" hidden="1">{#N/A,#N/A,FALSE,"Schedule F";#N/A,#N/A,FALSE,"Schedule G"}</definedName>
    <definedName name="wrn.limit_reports." localSheetId="5" hidden="1">{#N/A,#N/A,FALSE,"Schedule F";#N/A,#N/A,FALSE,"Schedule G"}</definedName>
    <definedName name="wrn.limit_reports." localSheetId="0" hidden="1">{#N/A,#N/A,FALSE,"Schedule F";#N/A,#N/A,FALSE,"Schedule G"}</definedName>
    <definedName name="wrn.limit_reports." hidden="1">{#N/A,#N/A,FALSE,"Schedule F";#N/A,#N/A,FALSE,"Schedule G"}</definedName>
    <definedName name="wrn.MARGIN_WO_QTR." localSheetId="2" hidden="1">{#N/A,#N/A,FALSE,"Month ";#N/A,#N/A,FALSE,"YTD";#N/A,#N/A,FALSE,"12 mo ended"}</definedName>
    <definedName name="wrn.MARGIN_WO_QTR." localSheetId="5" hidden="1">{#N/A,#N/A,FALSE,"Month ";#N/A,#N/A,FALSE,"YTD";#N/A,#N/A,FALSE,"12 mo ended"}</definedName>
    <definedName name="wrn.MARGIN_WO_QTR." localSheetId="0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unicipal._.Reports.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localSheetId="5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OR._.Carrying._.Charge._.JV." localSheetId="2" hidden="1">{#N/A,#N/A,FALSE,"Loans";#N/A,#N/A,FALSE,"Program Costs";#N/A,#N/A,FALSE,"Measures";#N/A,#N/A,FALSE,"Net Lost Rev";#N/A,#N/A,FALSE,"Incentive"}</definedName>
    <definedName name="wrn.OR._.Carrying._.Charge._.JV." localSheetId="5" hidden="1">{#N/A,#N/A,FALSE,"Loans";#N/A,#N/A,FALSE,"Program Costs";#N/A,#N/A,FALSE,"Measures";#N/A,#N/A,FALSE,"Net Lost Rev";#N/A,#N/A,FALSE,"Incentive"}</definedName>
    <definedName name="wrn.OR._.Carrying._.Charge._.JV." localSheetId="0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2" hidden="1">{#N/A,#N/A,FALSE,"Loans";#N/A,#N/A,FALSE,"Program Costs";#N/A,#N/A,FALSE,"Measures";#N/A,#N/A,FALSE,"Net Lost Rev";#N/A,#N/A,FALSE,"Incentive"}</definedName>
    <definedName name="wrn.OR._.Carrying._.Charge._.JV.1" localSheetId="5" hidden="1">{#N/A,#N/A,FALSE,"Loans";#N/A,#N/A,FALSE,"Program Costs";#N/A,#N/A,FALSE,"Measures";#N/A,#N/A,FALSE,"Net Lost Rev";#N/A,#N/A,FALSE,"Incentive"}</definedName>
    <definedName name="wrn.OR._.Carrying._.Charge._.JV.1" localSheetId="0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roject._.Services." localSheetId="2" hidden="1">{#N/A,#N/A,FALSE,"BASE";#N/A,#N/A,FALSE,"LOOPS";#N/A,#N/A,FALSE,"PLC"}</definedName>
    <definedName name="wrn.Project._.Services." localSheetId="5" hidden="1">{#N/A,#N/A,FALSE,"BASE";#N/A,#N/A,FALSE,"LOOPS";#N/A,#N/A,FALSE,"PLC"}</definedName>
    <definedName name="wrn.Project._.Services." localSheetId="0" hidden="1">{#N/A,#N/A,FALSE,"BASE";#N/A,#N/A,FALSE,"LOOPS";#N/A,#N/A,FALSE,"PLC"}</definedName>
    <definedName name="wrn.Project._.Services." hidden="1">{#N/A,#N/A,FALSE,"BASE";#N/A,#N/A,FALSE,"LOOPS";#N/A,#N/A,FALSE,"PLC"}</definedName>
    <definedName name="wrn.SCHEDULE." localSheetId="2" hidden="1">{#N/A,#N/A,FALSE,"7617 Fab";#N/A,#N/A,FALSE,"7617 NSK"}</definedName>
    <definedName name="wrn.SCHEDULE." localSheetId="5" hidden="1">{#N/A,#N/A,FALSE,"7617 Fab";#N/A,#N/A,FALSE,"7617 NSK"}</definedName>
    <definedName name="wrn.SCHEDULE." localSheetId="0" hidden="1">{#N/A,#N/A,FALSE,"7617 Fab";#N/A,#N/A,FALSE,"7617 NSK"}</definedName>
    <definedName name="wrn.SCHEDULE." hidden="1">{#N/A,#N/A,FALSE,"7617 Fab";#N/A,#N/A,FALSE,"7617 NSK"}</definedName>
    <definedName name="wrn.SLB." localSheetId="2" hidden="1">{#N/A,#N/A,FALSE,"SUMMARY";#N/A,#N/A,FALSE,"AE7616";#N/A,#N/A,FALSE,"AE7617";#N/A,#N/A,FALSE,"AE7618";#N/A,#N/A,FALSE,"AE7619";#N/A,#N/A,FALSE,"Target Materials"}</definedName>
    <definedName name="wrn.SLB." localSheetId="5" hidden="1">{#N/A,#N/A,FALSE,"SUMMARY";#N/A,#N/A,FALSE,"AE7616";#N/A,#N/A,FALSE,"AE7617";#N/A,#N/A,FALSE,"AE7618";#N/A,#N/A,FALSE,"AE7619";#N/A,#N/A,FALSE,"Target Materials"}</definedName>
    <definedName name="wrn.SLB." localSheetId="0" hidden="1">{#N/A,#N/A,FALSE,"SUMMARY";#N/A,#N/A,FALSE,"AE7616";#N/A,#N/A,FALSE,"AE7617";#N/A,#N/A,FALSE,"AE7618";#N/A,#N/A,FALSE,"AE7619";#N/A,#N/A,FALSE,"Target Materials"}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localSheetId="2" hidden="1">{#N/A,#N/A,FALSE,"2002 Small Tool OH";#N/A,#N/A,FALSE,"QA"}</definedName>
    <definedName name="wrn.Small._.Tools._.Overhead." localSheetId="5" hidden="1">{#N/A,#N/A,FALSE,"2002 Small Tool OH";#N/A,#N/A,FALSE,"QA"}</definedName>
    <definedName name="wrn.Small._.Tools._.Overhead." localSheetId="0" hidden="1">{#N/A,#N/A,FALSE,"2002 Small Tool OH";#N/A,#N/A,FALSE,"QA"}</definedName>
    <definedName name="wrn.Small._.Tools._.Overhead." hidden="1">{#N/A,#N/A,FALSE,"2002 Small Tool OH";#N/A,#N/A,FALSE,"QA"}</definedName>
    <definedName name="wrn.Summary." localSheetId="2" hidden="1">{#N/A,#N/A,FALSE,"Summ";#N/A,#N/A,FALSE,"General"}</definedName>
    <definedName name="wrn.Summary." localSheetId="5" hidden="1">{#N/A,#N/A,FALSE,"Summ";#N/A,#N/A,FALSE,"General"}</definedName>
    <definedName name="wrn.Summary." localSheetId="0" hidden="1">{#N/A,#N/A,FALSE,"Summ";#N/A,#N/A,FALSE,"General"}</definedName>
    <definedName name="wrn.Summary." hidden="1">{#N/A,#N/A,FALSE,"Summ";#N/A,#N/A,FALSE,"General"}</definedName>
    <definedName name="wrn.USIM_Data." localSheetId="2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5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localSheetId="0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localSheetId="2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5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localSheetId="2" hidden="1">{#N/A,#N/A,FALSE,"Expenditures";#N/A,#N/A,FALSE,"Property Placed In-Service";#N/A,#N/A,FALSE,"CWIP Balances"}</definedName>
    <definedName name="wrn.USIM_Data_Abbrev3." localSheetId="5" hidden="1">{#N/A,#N/A,FALSE,"Expenditures";#N/A,#N/A,FALSE,"Property Placed In-Service";#N/A,#N/A,FALSE,"CWIP Balances"}</definedName>
    <definedName name="wrn.USIM_Data_Abbrev3." localSheetId="0" hidden="1">{#N/A,#N/A,FALSE,"Expenditures";#N/A,#N/A,FALSE,"Property Placed In-Service";#N/A,#N/A,FALSE,"CWIP Balances"}</definedName>
    <definedName name="wrn.USIM_Data_Abbrev3." hidden="1">{#N/A,#N/A,FALSE,"Expenditures";#N/A,#N/A,FALSE,"Property Placed In-Service";#N/A,#N/A,FALSE,"CWIP Balances"}</definedName>
    <definedName name="wrn.VERIFY." localSheetId="2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VERIFY." localSheetId="5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VERIFY." localSheetId="0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ww" localSheetId="2" hidden="1">{#N/A,#N/A,FALSE,"schA"}</definedName>
    <definedName name="www" localSheetId="5" hidden="1">{#N/A,#N/A,FALSE,"schA"}</definedName>
    <definedName name="www" localSheetId="0" hidden="1">{#N/A,#N/A,FALSE,"schA"}</definedName>
    <definedName name="www" hidden="1">{#N/A,#N/A,FALSE,"schA"}</definedName>
    <definedName name="x" localSheetId="2" hidden="1">{#N/A,#N/A,FALSE,"Coversheet";#N/A,#N/A,FALSE,"QA"}</definedName>
    <definedName name="x" localSheetId="5" hidden="1">{#N/A,#N/A,FALSE,"Coversheet";#N/A,#N/A,FALSE,"QA"}</definedName>
    <definedName name="x" localSheetId="0" hidden="1">{#N/A,#N/A,FALSE,"Coversheet";#N/A,#N/A,FALSE,"QA"}</definedName>
    <definedName name="x" hidden="1">{#N/A,#N/A,FALSE,"Coversheet";#N/A,#N/A,FALSE,"QA"}</definedName>
    <definedName name="xx" localSheetId="2" hidden="1">{#N/A,#N/A,FALSE,"Balance_Sheet";#N/A,#N/A,FALSE,"income_statement_monthly";#N/A,#N/A,FALSE,"income_statement_Quarter";#N/A,#N/A,FALSE,"income_statement_ytd";#N/A,#N/A,FALSE,"income_statement_12Months"}</definedName>
    <definedName name="xx" localSheetId="5" hidden="1">{#N/A,#N/A,FALSE,"Balance_Sheet";#N/A,#N/A,FALSE,"income_statement_monthly";#N/A,#N/A,FALSE,"income_statement_Quarter";#N/A,#N/A,FALSE,"income_statement_ytd";#N/A,#N/A,FALSE,"income_statement_12Months"}</definedName>
    <definedName name="xx" localSheetId="0" hidden="1">{#N/A,#N/A,FALSE,"Balance_Sheet";#N/A,#N/A,FALSE,"income_statement_monthly";#N/A,#N/A,FALSE,"income_statement_Quarter";#N/A,#N/A,FALSE,"income_statement_ytd";#N/A,#N/A,FALSE,"income_statement_12Months"}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XXXX" localSheetId="2" hidden="1">{#N/A,#N/A,FALSE,"2002 Small Tool OH";#N/A,#N/A,FALSE,"QA"}</definedName>
    <definedName name="XXXX" localSheetId="0" hidden="1">{#N/A,#N/A,FALSE,"2002 Small Tool OH";#N/A,#N/A,FALSE,"QA"}</definedName>
    <definedName name="XXXX" hidden="1">{#N/A,#N/A,FALSE,"2002 Small Tool OH";#N/A,#N/A,FALSE,"QA"}</definedName>
    <definedName name="y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localSheetId="5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uf" localSheetId="2" hidden="1">{#N/A,#N/A,FALSE,"Summ";#N/A,#N/A,FALSE,"General"}</definedName>
    <definedName name="yuf" localSheetId="5" hidden="1">{#N/A,#N/A,FALSE,"Summ";#N/A,#N/A,FALSE,"General"}</definedName>
    <definedName name="yuf" localSheetId="0" hidden="1">{#N/A,#N/A,FALSE,"Summ";#N/A,#N/A,FALSE,"General"}</definedName>
    <definedName name="yuf" hidden="1">{#N/A,#N/A,FALSE,"Summ";#N/A,#N/A,FALSE,"General"}</definedName>
    <definedName name="z" localSheetId="2" hidden="1">{#N/A,#N/A,FALSE,"Coversheet";#N/A,#N/A,FALSE,"QA"}</definedName>
    <definedName name="z" localSheetId="5" hidden="1">{#N/A,#N/A,FALSE,"Coversheet";#N/A,#N/A,FALSE,"QA"}</definedName>
    <definedName name="z" localSheetId="0" hidden="1">{#N/A,#N/A,FALSE,"Coversheet";#N/A,#N/A,FALSE,"QA"}</definedName>
    <definedName name="z" hidden="1">{#N/A,#N/A,FALSE,"Coversheet";#N/A,#N/A,FALSE,"QA"}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9" i="95" l="1"/>
  <c r="E171" i="95"/>
  <c r="E172" i="95"/>
  <c r="E173" i="95"/>
  <c r="E174" i="95"/>
  <c r="E175" i="95"/>
  <c r="E176" i="95"/>
  <c r="E170" i="95"/>
  <c r="A31" i="99"/>
  <c r="A32" i="99"/>
  <c r="A33" i="99" s="1"/>
  <c r="A34" i="99" s="1"/>
  <c r="A35" i="99" s="1"/>
  <c r="A36" i="99" s="1"/>
  <c r="A37" i="99" s="1"/>
  <c r="E150" i="95" l="1"/>
  <c r="E151" i="95"/>
  <c r="E152" i="95"/>
  <c r="E153" i="95"/>
  <c r="E154" i="95"/>
  <c r="E155" i="95"/>
  <c r="E156" i="95"/>
  <c r="E157" i="95"/>
  <c r="E158" i="95"/>
  <c r="E159" i="95"/>
  <c r="E160" i="95"/>
  <c r="E161" i="95"/>
  <c r="E162" i="95"/>
  <c r="E163" i="95"/>
  <c r="E149" i="95"/>
  <c r="E146" i="95"/>
  <c r="E145" i="95"/>
  <c r="E143" i="95"/>
  <c r="E142" i="95"/>
  <c r="E141" i="95"/>
  <c r="E140" i="95"/>
  <c r="E138" i="95"/>
  <c r="E137" i="95"/>
  <c r="E136" i="95"/>
  <c r="E135" i="95"/>
  <c r="E134" i="95"/>
  <c r="E128" i="95"/>
  <c r="E129" i="95"/>
  <c r="E130" i="95"/>
  <c r="E131" i="95"/>
  <c r="E132" i="95"/>
  <c r="E127" i="95"/>
  <c r="E121" i="95"/>
  <c r="E120" i="95"/>
  <c r="E119" i="95"/>
  <c r="E118" i="95"/>
  <c r="E117" i="95"/>
  <c r="E116" i="95"/>
  <c r="E115" i="95"/>
  <c r="E114" i="95"/>
  <c r="E113" i="95"/>
  <c r="E112" i="95"/>
  <c r="E110" i="95"/>
  <c r="E105" i="95"/>
  <c r="E106" i="95"/>
  <c r="E107" i="95"/>
  <c r="E108" i="95"/>
  <c r="E104" i="95"/>
  <c r="E82" i="95"/>
  <c r="E83" i="95"/>
  <c r="E84" i="95"/>
  <c r="E85" i="95"/>
  <c r="E86" i="95"/>
  <c r="E87" i="95"/>
  <c r="E88" i="95"/>
  <c r="E89" i="95"/>
  <c r="E81" i="95"/>
  <c r="E100" i="95"/>
  <c r="E99" i="95"/>
  <c r="E98" i="95"/>
  <c r="E97" i="95"/>
  <c r="E96" i="95"/>
  <c r="E95" i="95"/>
  <c r="E94" i="95"/>
  <c r="E93" i="95"/>
  <c r="E92" i="95"/>
  <c r="E91" i="95"/>
  <c r="E78" i="95"/>
  <c r="E68" i="95"/>
  <c r="E69" i="95"/>
  <c r="E70" i="95"/>
  <c r="E71" i="95"/>
  <c r="E72" i="95"/>
  <c r="E73" i="95"/>
  <c r="E74" i="95"/>
  <c r="E75" i="95"/>
  <c r="E76" i="95"/>
  <c r="E67" i="95"/>
  <c r="E62" i="95"/>
  <c r="E63" i="95"/>
  <c r="E64" i="95"/>
  <c r="E65" i="95"/>
  <c r="E61" i="95"/>
  <c r="E58" i="95"/>
  <c r="E57" i="95"/>
  <c r="E56" i="95"/>
  <c r="E55" i="95"/>
  <c r="E54" i="95"/>
  <c r="E53" i="95"/>
  <c r="E52" i="95"/>
  <c r="E51" i="95"/>
  <c r="E50" i="95"/>
  <c r="E43" i="95"/>
  <c r="E44" i="95"/>
  <c r="E45" i="95"/>
  <c r="E46" i="95"/>
  <c r="E47" i="95"/>
  <c r="E42" i="95"/>
  <c r="E39" i="95"/>
  <c r="E38" i="95"/>
  <c r="E37" i="95"/>
  <c r="E36" i="95"/>
  <c r="E35" i="95"/>
  <c r="E34" i="95"/>
  <c r="E33" i="95"/>
  <c r="E32" i="95"/>
  <c r="E29" i="95"/>
  <c r="E20" i="95"/>
  <c r="E21" i="95"/>
  <c r="E22" i="95"/>
  <c r="E23" i="95"/>
  <c r="E24" i="95"/>
  <c r="E25" i="95"/>
  <c r="E26" i="95"/>
  <c r="E27" i="95"/>
  <c r="E19" i="95"/>
  <c r="A3" i="100"/>
  <c r="D7" i="100"/>
  <c r="E7" i="100"/>
  <c r="A10" i="100"/>
  <c r="B43" i="100"/>
  <c r="C43" i="100"/>
  <c r="D10" i="100"/>
  <c r="A11" i="100"/>
  <c r="A12" i="100"/>
  <c r="A13" i="100" s="1"/>
  <c r="A14" i="100" s="1"/>
  <c r="A15" i="100" s="1"/>
  <c r="A16" i="100" s="1"/>
  <c r="A17" i="100" s="1"/>
  <c r="A18" i="100" s="1"/>
  <c r="A19" i="100" s="1"/>
  <c r="A20" i="100" s="1"/>
  <c r="A21" i="100" s="1"/>
  <c r="A22" i="100" s="1"/>
  <c r="A23" i="100" s="1"/>
  <c r="A24" i="100" s="1"/>
  <c r="A25" i="100" s="1"/>
  <c r="A26" i="100" s="1"/>
  <c r="A27" i="100" s="1"/>
  <c r="A28" i="100" s="1"/>
  <c r="A29" i="100" s="1"/>
  <c r="A30" i="100" s="1"/>
  <c r="A31" i="100" s="1"/>
  <c r="A32" i="100" s="1"/>
  <c r="A33" i="100" s="1"/>
  <c r="A34" i="100" s="1"/>
  <c r="A35" i="100" s="1"/>
  <c r="A36" i="100" s="1"/>
  <c r="A37" i="100" s="1"/>
  <c r="A38" i="100" s="1"/>
  <c r="A39" i="100" s="1"/>
  <c r="A40" i="100" s="1"/>
  <c r="A41" i="100" s="1"/>
  <c r="A42" i="100" s="1"/>
  <c r="A43" i="100" s="1"/>
  <c r="A44" i="100" s="1"/>
  <c r="A45" i="100" s="1"/>
  <c r="A46" i="100" s="1"/>
  <c r="A47" i="100" s="1"/>
  <c r="A48" i="100" s="1"/>
  <c r="A49" i="100" s="1"/>
  <c r="A50" i="100" s="1"/>
  <c r="A51" i="100" s="1"/>
  <c r="A52" i="100" s="1"/>
  <c r="A53" i="100" s="1"/>
  <c r="A54" i="100" s="1"/>
  <c r="A55" i="100" s="1"/>
  <c r="A56" i="100" s="1"/>
  <c r="A57" i="100" s="1"/>
  <c r="A58" i="100" s="1"/>
  <c r="A59" i="100" s="1"/>
  <c r="A60" i="100" s="1"/>
  <c r="A61" i="100" s="1"/>
  <c r="A62" i="100" s="1"/>
  <c r="A63" i="100" s="1"/>
  <c r="A64" i="100" s="1"/>
  <c r="A65" i="100" s="1"/>
  <c r="A66" i="100" s="1"/>
  <c r="A67" i="100" s="1"/>
  <c r="A68" i="100" s="1"/>
  <c r="A69" i="100" s="1"/>
  <c r="A70" i="100" s="1"/>
  <c r="A71" i="100" s="1"/>
  <c r="A72" i="100" s="1"/>
  <c r="B45" i="100"/>
  <c r="B46" i="100"/>
  <c r="C46" i="100"/>
  <c r="F13" i="100"/>
  <c r="B47" i="100"/>
  <c r="C14" i="99"/>
  <c r="F14" i="100"/>
  <c r="F47" i="100" s="1"/>
  <c r="B48" i="100"/>
  <c r="C48" i="100"/>
  <c r="F15" i="100"/>
  <c r="B49" i="100"/>
  <c r="C49" i="100"/>
  <c r="B52" i="100"/>
  <c r="B53" i="100"/>
  <c r="C53" i="100"/>
  <c r="F20" i="100"/>
  <c r="F53" i="100" s="1"/>
  <c r="B54" i="100"/>
  <c r="C54" i="100"/>
  <c r="F21" i="100"/>
  <c r="F54" i="100" s="1"/>
  <c r="B55" i="100"/>
  <c r="C55" i="100"/>
  <c r="B58" i="100"/>
  <c r="B59" i="100"/>
  <c r="C59" i="100"/>
  <c r="B60" i="100"/>
  <c r="C60" i="100"/>
  <c r="F27" i="100"/>
  <c r="F60" i="100" s="1"/>
  <c r="B63" i="100"/>
  <c r="C63" i="100"/>
  <c r="B64" i="100"/>
  <c r="C64" i="100"/>
  <c r="B65" i="100"/>
  <c r="C65" i="100"/>
  <c r="B66" i="100"/>
  <c r="C66" i="100"/>
  <c r="D33" i="100"/>
  <c r="B68" i="100"/>
  <c r="B35" i="99"/>
  <c r="C35" i="99"/>
  <c r="D37" i="100"/>
  <c r="F48" i="100"/>
  <c r="F49" i="100"/>
  <c r="F59" i="100"/>
  <c r="A1" i="99"/>
  <c r="A2" i="99"/>
  <c r="A3" i="99"/>
  <c r="A10" i="99"/>
  <c r="A11" i="99"/>
  <c r="A12" i="99"/>
  <c r="A13" i="99" s="1"/>
  <c r="A14" i="99" s="1"/>
  <c r="A15" i="99" s="1"/>
  <c r="A16" i="99" s="1"/>
  <c r="A17" i="99" s="1"/>
  <c r="A18" i="99" s="1"/>
  <c r="A19" i="99" s="1"/>
  <c r="A20" i="99" s="1"/>
  <c r="A21" i="99" s="1"/>
  <c r="A22" i="99" s="1"/>
  <c r="A23" i="99" s="1"/>
  <c r="A24" i="99" s="1"/>
  <c r="A25" i="99" s="1"/>
  <c r="A26" i="99" s="1"/>
  <c r="A27" i="99" s="1"/>
  <c r="A28" i="99" s="1"/>
  <c r="A29" i="99" s="1"/>
  <c r="A30" i="99" s="1"/>
  <c r="A38" i="99" s="1"/>
  <c r="A39" i="99" s="1"/>
  <c r="A40" i="99" s="1"/>
  <c r="A41" i="99" s="1"/>
  <c r="A42" i="99" s="1"/>
  <c r="A43" i="99" s="1"/>
  <c r="A44" i="99" s="1"/>
  <c r="A45" i="99" s="1"/>
  <c r="A46" i="99" s="1"/>
  <c r="A47" i="99" s="1"/>
  <c r="A48" i="99" s="1"/>
  <c r="D13" i="100"/>
  <c r="D14" i="100"/>
  <c r="D47" i="100"/>
  <c r="D15" i="100"/>
  <c r="D48" i="100"/>
  <c r="D49" i="100"/>
  <c r="D20" i="100"/>
  <c r="D53" i="100"/>
  <c r="D21" i="100"/>
  <c r="D54" i="100"/>
  <c r="D22" i="100"/>
  <c r="D55" i="100"/>
  <c r="D26" i="100"/>
  <c r="D59" i="100"/>
  <c r="D27" i="100"/>
  <c r="D60" i="100"/>
  <c r="D32" i="100"/>
  <c r="D45" i="99"/>
  <c r="E45" i="99"/>
  <c r="C45" i="99"/>
  <c r="C20" i="99" l="1"/>
  <c r="C21" i="99"/>
  <c r="G44" i="99"/>
  <c r="C10" i="99"/>
  <c r="C26" i="99"/>
  <c r="J17" i="99"/>
  <c r="C13" i="99"/>
  <c r="C27" i="99"/>
  <c r="J28" i="99"/>
  <c r="C15" i="99"/>
  <c r="C16" i="99"/>
  <c r="C33" i="99"/>
  <c r="D16" i="100"/>
  <c r="C70" i="100"/>
  <c r="B70" i="100"/>
  <c r="F22" i="100"/>
  <c r="F55" i="100" s="1"/>
  <c r="F31" i="100"/>
  <c r="F33" i="100" s="1"/>
  <c r="C47" i="100"/>
  <c r="C32" i="99"/>
  <c r="C31" i="99"/>
  <c r="C22" i="99"/>
  <c r="C30" i="99"/>
  <c r="J23" i="99"/>
  <c r="A3" i="74"/>
  <c r="A2" i="74"/>
  <c r="A1" i="74"/>
  <c r="A3" i="97"/>
  <c r="A2" i="97"/>
  <c r="A1" i="97"/>
  <c r="A1" i="95"/>
  <c r="A3" i="95"/>
  <c r="J37" i="99" l="1"/>
  <c r="M14" i="74"/>
  <c r="D33" i="99" l="1"/>
  <c r="D35" i="99"/>
  <c r="C42" i="74"/>
  <c r="C43" i="74" s="1"/>
  <c r="C38" i="74"/>
  <c r="C39" i="74" s="1"/>
  <c r="C34" i="74"/>
  <c r="C35" i="74" s="1"/>
  <c r="C22" i="74"/>
  <c r="C23" i="74" s="1"/>
  <c r="C30" i="74"/>
  <c r="C31" i="74" s="1"/>
  <c r="C26" i="74"/>
  <c r="C27" i="74" s="1"/>
  <c r="M13" i="74"/>
  <c r="C14" i="74"/>
  <c r="C15" i="74" s="1"/>
  <c r="E15" i="99"/>
  <c r="E14" i="99"/>
  <c r="A2" i="95"/>
  <c r="F161" i="97"/>
  <c r="F160" i="97"/>
  <c r="F159" i="97"/>
  <c r="F158" i="97"/>
  <c r="F157" i="97"/>
  <c r="D159" i="95" s="1"/>
  <c r="F156" i="97"/>
  <c r="D158" i="95" s="1"/>
  <c r="F155" i="97"/>
  <c r="D157" i="95" s="1"/>
  <c r="F154" i="97"/>
  <c r="F153" i="97"/>
  <c r="D155" i="95" s="1"/>
  <c r="F152" i="97"/>
  <c r="F151" i="97"/>
  <c r="D153" i="95" s="1"/>
  <c r="F150" i="97"/>
  <c r="H150" i="97" s="1"/>
  <c r="F149" i="97"/>
  <c r="B149" i="97"/>
  <c r="B150" i="97" s="1"/>
  <c r="B151" i="97" s="1"/>
  <c r="B152" i="97" s="1"/>
  <c r="B153" i="97" s="1"/>
  <c r="B154" i="97" s="1"/>
  <c r="B155" i="97" s="1"/>
  <c r="B156" i="97" s="1"/>
  <c r="B157" i="97" s="1"/>
  <c r="B158" i="97" s="1"/>
  <c r="B159" i="97" s="1"/>
  <c r="B160" i="97" s="1"/>
  <c r="B161" i="97" s="1"/>
  <c r="F148" i="97"/>
  <c r="B148" i="97"/>
  <c r="F147" i="97"/>
  <c r="F146" i="97"/>
  <c r="F144" i="97"/>
  <c r="H144" i="97" s="1"/>
  <c r="D146" i="95"/>
  <c r="F143" i="97"/>
  <c r="B143" i="97"/>
  <c r="B144" i="97"/>
  <c r="F141" i="97"/>
  <c r="D143" i="95" s="1"/>
  <c r="F140" i="97"/>
  <c r="F139" i="97"/>
  <c r="D141" i="95" s="1"/>
  <c r="F138" i="97"/>
  <c r="F136" i="97"/>
  <c r="F135" i="97"/>
  <c r="F134" i="97"/>
  <c r="D136" i="95" s="1"/>
  <c r="B134" i="97"/>
  <c r="B135" i="97" s="1"/>
  <c r="B136" i="97" s="1"/>
  <c r="F133" i="97"/>
  <c r="B133" i="97"/>
  <c r="F132" i="97"/>
  <c r="D134" i="95" s="1"/>
  <c r="F130" i="97"/>
  <c r="F129" i="97"/>
  <c r="D131" i="95" s="1"/>
  <c r="F128" i="97"/>
  <c r="D130" i="95" s="1"/>
  <c r="F127" i="97"/>
  <c r="D129" i="95" s="1"/>
  <c r="F126" i="97"/>
  <c r="B126" i="97"/>
  <c r="F125" i="97"/>
  <c r="H125" i="97" s="1"/>
  <c r="F122" i="97"/>
  <c r="F119" i="97"/>
  <c r="F118" i="97"/>
  <c r="F117" i="97"/>
  <c r="F116" i="97"/>
  <c r="H116" i="97" s="1"/>
  <c r="F115" i="97"/>
  <c r="D117" i="95" s="1"/>
  <c r="F114" i="97"/>
  <c r="H114" i="97" s="1"/>
  <c r="F113" i="97"/>
  <c r="F112" i="97"/>
  <c r="D114" i="95" s="1"/>
  <c r="F111" i="97"/>
  <c r="F110" i="97"/>
  <c r="H110" i="97" s="1"/>
  <c r="F108" i="97"/>
  <c r="H108" i="97" s="1"/>
  <c r="F106" i="97"/>
  <c r="D108" i="95" s="1"/>
  <c r="F105" i="97"/>
  <c r="H105" i="97" s="1"/>
  <c r="F104" i="97"/>
  <c r="D106" i="95" s="1"/>
  <c r="F103" i="97"/>
  <c r="F102" i="97"/>
  <c r="D104" i="95" s="1"/>
  <c r="B102" i="97"/>
  <c r="B103" i="97"/>
  <c r="B104" i="97"/>
  <c r="B105" i="97" s="1"/>
  <c r="B106" i="97" s="1"/>
  <c r="B108" i="97" s="1"/>
  <c r="F101" i="97"/>
  <c r="F98" i="97"/>
  <c r="F97" i="97"/>
  <c r="D99" i="95" s="1"/>
  <c r="F96" i="97"/>
  <c r="F95" i="97"/>
  <c r="F94" i="97"/>
  <c r="F93" i="97"/>
  <c r="D95" i="95" s="1"/>
  <c r="F92" i="97"/>
  <c r="F91" i="97"/>
  <c r="F90" i="97"/>
  <c r="F89" i="97"/>
  <c r="F87" i="97"/>
  <c r="D89" i="95" s="1"/>
  <c r="F86" i="97"/>
  <c r="F85" i="97"/>
  <c r="D87" i="95" s="1"/>
  <c r="F84" i="97"/>
  <c r="F83" i="97"/>
  <c r="F82" i="97"/>
  <c r="D84" i="95" s="1"/>
  <c r="F81" i="97"/>
  <c r="D83" i="95" s="1"/>
  <c r="F80" i="97"/>
  <c r="D82" i="95" s="1"/>
  <c r="B80" i="97"/>
  <c r="B81" i="97"/>
  <c r="B82" i="97"/>
  <c r="B83" i="97"/>
  <c r="B84" i="97"/>
  <c r="B85" i="97"/>
  <c r="B86" i="97"/>
  <c r="F79" i="97"/>
  <c r="D81" i="95" s="1"/>
  <c r="F75" i="97"/>
  <c r="H75" i="97" s="1"/>
  <c r="F74" i="97"/>
  <c r="F73" i="97"/>
  <c r="H73" i="97" s="1"/>
  <c r="F72" i="97"/>
  <c r="H72" i="97" s="1"/>
  <c r="F71" i="97"/>
  <c r="F70" i="97"/>
  <c r="F69" i="97"/>
  <c r="D70" i="95" s="1"/>
  <c r="F68" i="97"/>
  <c r="H68" i="97" s="1"/>
  <c r="F67" i="97"/>
  <c r="F66" i="97"/>
  <c r="F64" i="97"/>
  <c r="F63" i="97"/>
  <c r="F62" i="97"/>
  <c r="D63" i="95" s="1"/>
  <c r="F61" i="97"/>
  <c r="F60" i="97"/>
  <c r="D61" i="95" s="1"/>
  <c r="F59" i="97"/>
  <c r="F57" i="97"/>
  <c r="F56" i="97"/>
  <c r="H56" i="97" s="1"/>
  <c r="F55" i="97"/>
  <c r="H55" i="97" s="1"/>
  <c r="F54" i="97"/>
  <c r="H54" i="97" s="1"/>
  <c r="F53" i="97"/>
  <c r="F52" i="97"/>
  <c r="D53" i="95" s="1"/>
  <c r="F51" i="97"/>
  <c r="B51" i="97"/>
  <c r="B52" i="97" s="1"/>
  <c r="B53" i="97" s="1"/>
  <c r="B54" i="97" s="1"/>
  <c r="B55" i="97" s="1"/>
  <c r="B56" i="97" s="1"/>
  <c r="B57" i="97" s="1"/>
  <c r="B59" i="97" s="1"/>
  <c r="B60" i="97" s="1"/>
  <c r="B61" i="97" s="1"/>
  <c r="B62" i="97" s="1"/>
  <c r="B63" i="97" s="1"/>
  <c r="F50" i="97"/>
  <c r="D51" i="95" s="1"/>
  <c r="B50" i="97"/>
  <c r="F49" i="97"/>
  <c r="D50" i="95" s="1"/>
  <c r="F46" i="97"/>
  <c r="F45" i="97"/>
  <c r="D46" i="95" s="1"/>
  <c r="F44" i="97"/>
  <c r="C44" i="97"/>
  <c r="C45" i="97" s="1"/>
  <c r="C46" i="97" s="1"/>
  <c r="F43" i="97"/>
  <c r="F42" i="97"/>
  <c r="F41" i="97"/>
  <c r="D42" i="95" s="1"/>
  <c r="F40" i="97"/>
  <c r="F38" i="97"/>
  <c r="D39" i="95" s="1"/>
  <c r="F37" i="97"/>
  <c r="D38" i="95" s="1"/>
  <c r="F36" i="97"/>
  <c r="F35" i="97"/>
  <c r="F34" i="97"/>
  <c r="F33" i="97"/>
  <c r="F32" i="97"/>
  <c r="D33" i="95" s="1"/>
  <c r="B32" i="97"/>
  <c r="B33" i="97" s="1"/>
  <c r="B34" i="97" s="1"/>
  <c r="B35" i="97" s="1"/>
  <c r="F31" i="97"/>
  <c r="D32" i="95" s="1"/>
  <c r="F27" i="97"/>
  <c r="D27" i="95" s="1"/>
  <c r="F26" i="97"/>
  <c r="F25" i="97"/>
  <c r="F24" i="97"/>
  <c r="F23" i="97"/>
  <c r="D23" i="95" s="1"/>
  <c r="F22" i="97"/>
  <c r="D22" i="95" s="1"/>
  <c r="F21" i="97"/>
  <c r="D21" i="95" s="1"/>
  <c r="F20" i="97"/>
  <c r="D20" i="95" s="1"/>
  <c r="F19" i="97"/>
  <c r="H19" i="97" s="1"/>
  <c r="F18" i="97"/>
  <c r="D18" i="95" s="1"/>
  <c r="F15" i="97"/>
  <c r="D15" i="95" s="1"/>
  <c r="F14" i="97"/>
  <c r="D14" i="95" s="1"/>
  <c r="F13" i="97"/>
  <c r="H13" i="97" s="1"/>
  <c r="B13" i="97"/>
  <c r="B14" i="97"/>
  <c r="B15" i="97"/>
  <c r="F12" i="97"/>
  <c r="H12" i="97" s="1"/>
  <c r="F10" i="97"/>
  <c r="D10" i="95" s="1"/>
  <c r="H10" i="97"/>
  <c r="A9" i="97"/>
  <c r="A10" i="97"/>
  <c r="A11" i="97"/>
  <c r="A12" i="97" s="1"/>
  <c r="A13" i="97" s="1"/>
  <c r="A14" i="97" s="1"/>
  <c r="A15" i="97" s="1"/>
  <c r="A16" i="97" s="1"/>
  <c r="A17" i="97" s="1"/>
  <c r="A18" i="97" s="1"/>
  <c r="A19" i="97" s="1"/>
  <c r="A20" i="97" s="1"/>
  <c r="A21" i="97"/>
  <c r="A22" i="97"/>
  <c r="A23" i="97" s="1"/>
  <c r="A24" i="97" s="1"/>
  <c r="A25" i="97" s="1"/>
  <c r="A26" i="97" s="1"/>
  <c r="A27" i="97" s="1"/>
  <c r="A28" i="97" s="1"/>
  <c r="A29" i="97" s="1"/>
  <c r="A30" i="97" s="1"/>
  <c r="A31" i="97" s="1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A44" i="97" s="1"/>
  <c r="A45" i="97" s="1"/>
  <c r="A46" i="97" s="1"/>
  <c r="A47" i="97" s="1"/>
  <c r="A48" i="97" s="1"/>
  <c r="A49" i="97" s="1"/>
  <c r="A50" i="97" s="1"/>
  <c r="A51" i="97" s="1"/>
  <c r="A52" i="97" s="1"/>
  <c r="A53" i="97" s="1"/>
  <c r="A54" i="97" s="1"/>
  <c r="A55" i="97" s="1"/>
  <c r="A56" i="97" s="1"/>
  <c r="A57" i="97" s="1"/>
  <c r="A58" i="97" s="1"/>
  <c r="A59" i="97" s="1"/>
  <c r="A60" i="97" s="1"/>
  <c r="A61" i="97" s="1"/>
  <c r="A62" i="97" s="1"/>
  <c r="A63" i="97" s="1"/>
  <c r="A64" i="97" s="1"/>
  <c r="A65" i="97" s="1"/>
  <c r="A66" i="97" s="1"/>
  <c r="A67" i="97" s="1"/>
  <c r="A68" i="97" s="1"/>
  <c r="A69" i="97" s="1"/>
  <c r="A70" i="97" s="1"/>
  <c r="A71" i="97" s="1"/>
  <c r="A72" i="97" s="1"/>
  <c r="A73" i="97" s="1"/>
  <c r="A74" i="97" s="1"/>
  <c r="A75" i="97" s="1"/>
  <c r="A76" i="97" s="1"/>
  <c r="A77" i="97" s="1"/>
  <c r="A78" i="97" s="1"/>
  <c r="A79" i="97" s="1"/>
  <c r="A80" i="97" s="1"/>
  <c r="A81" i="97" s="1"/>
  <c r="A82" i="97" s="1"/>
  <c r="A83" i="97" s="1"/>
  <c r="A84" i="97" s="1"/>
  <c r="A85" i="97" s="1"/>
  <c r="A86" i="97" s="1"/>
  <c r="A87" i="97" s="1"/>
  <c r="A88" i="97" s="1"/>
  <c r="A89" i="97" s="1"/>
  <c r="A90" i="97" s="1"/>
  <c r="A91" i="97" s="1"/>
  <c r="A92" i="97" s="1"/>
  <c r="A93" i="97" s="1"/>
  <c r="A94" i="97" s="1"/>
  <c r="A95" i="97" s="1"/>
  <c r="A96" i="97" s="1"/>
  <c r="A97" i="97" s="1"/>
  <c r="A98" i="97" s="1"/>
  <c r="A99" i="97" s="1"/>
  <c r="A100" i="97" s="1"/>
  <c r="A101" i="97" s="1"/>
  <c r="A102" i="97" s="1"/>
  <c r="A103" i="97" s="1"/>
  <c r="A104" i="97" s="1"/>
  <c r="A105" i="97" s="1"/>
  <c r="A106" i="97" s="1"/>
  <c r="A107" i="97" s="1"/>
  <c r="A108" i="97" s="1"/>
  <c r="A109" i="97" s="1"/>
  <c r="A110" i="97" s="1"/>
  <c r="A111" i="97" s="1"/>
  <c r="A112" i="97" s="1"/>
  <c r="A113" i="97" s="1"/>
  <c r="A114" i="97" s="1"/>
  <c r="A115" i="97" s="1"/>
  <c r="A116" i="97" s="1"/>
  <c r="A117" i="97" s="1"/>
  <c r="A118" i="97" s="1"/>
  <c r="A119" i="97" s="1"/>
  <c r="A120" i="97" s="1"/>
  <c r="A121" i="97" s="1"/>
  <c r="A122" i="97" s="1"/>
  <c r="A123" i="97" s="1"/>
  <c r="A124" i="97" s="1"/>
  <c r="A125" i="97" s="1"/>
  <c r="A126" i="97" s="1"/>
  <c r="A127" i="97" s="1"/>
  <c r="A128" i="97" s="1"/>
  <c r="A129" i="97" s="1"/>
  <c r="A130" i="97" s="1"/>
  <c r="A131" i="97" s="1"/>
  <c r="A132" i="97" s="1"/>
  <c r="A133" i="97" s="1"/>
  <c r="A134" i="97" s="1"/>
  <c r="A135" i="97" s="1"/>
  <c r="A136" i="97" s="1"/>
  <c r="A137" i="97" s="1"/>
  <c r="A138" i="97" s="1"/>
  <c r="A139" i="97" s="1"/>
  <c r="A140" i="97" s="1"/>
  <c r="A141" i="97" s="1"/>
  <c r="A142" i="97" s="1"/>
  <c r="A143" i="97" s="1"/>
  <c r="A144" i="97" s="1"/>
  <c r="A145" i="97" s="1"/>
  <c r="A146" i="97" s="1"/>
  <c r="A147" i="97" s="1"/>
  <c r="A148" i="97" s="1"/>
  <c r="A149" i="97" s="1"/>
  <c r="A150" i="97" s="1"/>
  <c r="A151" i="97" s="1"/>
  <c r="A152" i="97" s="1"/>
  <c r="A153" i="97" s="1"/>
  <c r="A154" i="97" s="1"/>
  <c r="A155" i="97" s="1"/>
  <c r="A156" i="97" s="1"/>
  <c r="A157" i="97" s="1"/>
  <c r="A158" i="97" s="1"/>
  <c r="A159" i="97" s="1"/>
  <c r="A160" i="97" s="1"/>
  <c r="A161" i="97" s="1"/>
  <c r="A162" i="97" s="1"/>
  <c r="A163" i="97" s="1"/>
  <c r="A164" i="97" s="1"/>
  <c r="A165" i="97" s="1"/>
  <c r="A166" i="97" s="1"/>
  <c r="A167" i="97" s="1"/>
  <c r="A168" i="97" s="1"/>
  <c r="A169" i="97" s="1"/>
  <c r="E15" i="95"/>
  <c r="E14" i="95"/>
  <c r="E13" i="95"/>
  <c r="E12" i="95"/>
  <c r="A9" i="95"/>
  <c r="A10" i="95"/>
  <c r="A11" i="95"/>
  <c r="A12" i="95"/>
  <c r="A13" i="95"/>
  <c r="A14" i="95" s="1"/>
  <c r="A15" i="95" s="1"/>
  <c r="A16" i="95" s="1"/>
  <c r="A17" i="95" s="1"/>
  <c r="A18" i="95" s="1"/>
  <c r="A19" i="95" s="1"/>
  <c r="A20" i="95" s="1"/>
  <c r="A21" i="95" s="1"/>
  <c r="A22" i="95" s="1"/>
  <c r="A23" i="95" s="1"/>
  <c r="A24" i="95" s="1"/>
  <c r="A25" i="95" s="1"/>
  <c r="A26" i="95" s="1"/>
  <c r="A27" i="95" s="1"/>
  <c r="A28" i="95" s="1"/>
  <c r="A29" i="95" s="1"/>
  <c r="A30" i="95" s="1"/>
  <c r="A31" i="95" s="1"/>
  <c r="A32" i="95" s="1"/>
  <c r="A33" i="95" s="1"/>
  <c r="A34" i="95" s="1"/>
  <c r="A35" i="95" s="1"/>
  <c r="A36" i="95" s="1"/>
  <c r="A37" i="95" s="1"/>
  <c r="A38" i="95" s="1"/>
  <c r="A39" i="95" s="1"/>
  <c r="A40" i="95" s="1"/>
  <c r="A41" i="95" s="1"/>
  <c r="A42" i="95" s="1"/>
  <c r="A43" i="95" s="1"/>
  <c r="A44" i="95" s="1"/>
  <c r="A45" i="95" s="1"/>
  <c r="A46" i="95" s="1"/>
  <c r="A47" i="95" s="1"/>
  <c r="A48" i="95" s="1"/>
  <c r="A49" i="95" s="1"/>
  <c r="A50" i="95" s="1"/>
  <c r="A51" i="95" s="1"/>
  <c r="A52" i="95" s="1"/>
  <c r="A53" i="95" s="1"/>
  <c r="A54" i="95" s="1"/>
  <c r="A55" i="95" s="1"/>
  <c r="A56" i="95" s="1"/>
  <c r="A57" i="95" s="1"/>
  <c r="A58" i="95" s="1"/>
  <c r="A59" i="95" s="1"/>
  <c r="A60" i="95" s="1"/>
  <c r="A61" i="95" s="1"/>
  <c r="A62" i="95" s="1"/>
  <c r="A63" i="95" s="1"/>
  <c r="A64" i="95" s="1"/>
  <c r="A65" i="95" s="1"/>
  <c r="A66" i="95" s="1"/>
  <c r="A67" i="95" s="1"/>
  <c r="A68" i="95" s="1"/>
  <c r="A69" i="95" s="1"/>
  <c r="A70" i="95" s="1"/>
  <c r="A71" i="95" s="1"/>
  <c r="A72" i="95" s="1"/>
  <c r="A73" i="95" s="1"/>
  <c r="A74" i="95" s="1"/>
  <c r="A75" i="95" s="1"/>
  <c r="A76" i="95" s="1"/>
  <c r="A77" i="95" s="1"/>
  <c r="A78" i="95" s="1"/>
  <c r="A79" i="95" s="1"/>
  <c r="A80" i="95" s="1"/>
  <c r="A81" i="95" s="1"/>
  <c r="A82" i="95" s="1"/>
  <c r="A83" i="95" s="1"/>
  <c r="A84" i="95" s="1"/>
  <c r="A85" i="95" s="1"/>
  <c r="A86" i="95" s="1"/>
  <c r="A87" i="95" s="1"/>
  <c r="A88" i="95" s="1"/>
  <c r="A89" i="95" s="1"/>
  <c r="A90" i="95" s="1"/>
  <c r="A91" i="95" s="1"/>
  <c r="A92" i="95" s="1"/>
  <c r="A93" i="95" s="1"/>
  <c r="A94" i="95" s="1"/>
  <c r="A95" i="95" s="1"/>
  <c r="A96" i="95" s="1"/>
  <c r="A97" i="95" s="1"/>
  <c r="A98" i="95" s="1"/>
  <c r="A99" i="95" s="1"/>
  <c r="A100" i="95" s="1"/>
  <c r="A101" i="95" s="1"/>
  <c r="A102" i="95" s="1"/>
  <c r="A103" i="95" s="1"/>
  <c r="A104" i="95" s="1"/>
  <c r="A105" i="95" s="1"/>
  <c r="A106" i="95" s="1"/>
  <c r="A107" i="95" s="1"/>
  <c r="A108" i="95" s="1"/>
  <c r="A109" i="95" s="1"/>
  <c r="A110" i="95" s="1"/>
  <c r="A111" i="95" s="1"/>
  <c r="A112" i="95" s="1"/>
  <c r="A113" i="95" s="1"/>
  <c r="A114" i="95" s="1"/>
  <c r="A115" i="95" s="1"/>
  <c r="A116" i="95" s="1"/>
  <c r="A117" i="95" s="1"/>
  <c r="A118" i="95" s="1"/>
  <c r="A119" i="95" s="1"/>
  <c r="A120" i="95" s="1"/>
  <c r="A121" i="95" s="1"/>
  <c r="A122" i="95" s="1"/>
  <c r="A123" i="95" s="1"/>
  <c r="A124" i="95" s="1"/>
  <c r="A125" i="95" s="1"/>
  <c r="A126" i="95" s="1"/>
  <c r="A127" i="95" s="1"/>
  <c r="A128" i="95" s="1"/>
  <c r="A129" i="95" s="1"/>
  <c r="A130" i="95" s="1"/>
  <c r="A131" i="95" s="1"/>
  <c r="A132" i="95" s="1"/>
  <c r="A133" i="95" s="1"/>
  <c r="A134" i="95" s="1"/>
  <c r="A135" i="95" s="1"/>
  <c r="A136" i="95" s="1"/>
  <c r="A137" i="95" s="1"/>
  <c r="A138" i="95" s="1"/>
  <c r="A139" i="95" s="1"/>
  <c r="A140" i="95" s="1"/>
  <c r="A141" i="95" s="1"/>
  <c r="A142" i="95" s="1"/>
  <c r="A143" i="95" s="1"/>
  <c r="A144" i="95" s="1"/>
  <c r="A145" i="95" s="1"/>
  <c r="A146" i="95" s="1"/>
  <c r="A147" i="95" s="1"/>
  <c r="A148" i="95" s="1"/>
  <c r="A149" i="95" s="1"/>
  <c r="A150" i="95" s="1"/>
  <c r="A151" i="95" s="1"/>
  <c r="A152" i="95" s="1"/>
  <c r="A153" i="95" s="1"/>
  <c r="A154" i="95" s="1"/>
  <c r="A155" i="95" s="1"/>
  <c r="A156" i="95" s="1"/>
  <c r="A157" i="95" s="1"/>
  <c r="A158" i="95" s="1"/>
  <c r="A159" i="95" s="1"/>
  <c r="A160" i="95" s="1"/>
  <c r="A161" i="95" s="1"/>
  <c r="A162" i="95" s="1"/>
  <c r="A163" i="95" s="1"/>
  <c r="A164" i="95" s="1"/>
  <c r="A165" i="95" s="1"/>
  <c r="A166" i="95" s="1"/>
  <c r="A167" i="95" s="1"/>
  <c r="A168" i="95" s="1"/>
  <c r="A169" i="95" s="1"/>
  <c r="A170" i="95" s="1"/>
  <c r="A171" i="95" s="1"/>
  <c r="A172" i="95" s="1"/>
  <c r="A173" i="95" s="1"/>
  <c r="A174" i="95" s="1"/>
  <c r="A175" i="95" s="1"/>
  <c r="A176" i="95" s="1"/>
  <c r="A177" i="95" s="1"/>
  <c r="A178" i="95" s="1"/>
  <c r="A179" i="95" s="1"/>
  <c r="D7" i="74"/>
  <c r="D7" i="99" s="1"/>
  <c r="K7" i="74"/>
  <c r="A10" i="74"/>
  <c r="A11" i="74" s="1"/>
  <c r="A12" i="74" s="1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l="1"/>
  <c r="A47" i="74" s="1"/>
  <c r="A48" i="74" s="1"/>
  <c r="A49" i="74" s="1"/>
  <c r="A50" i="74" s="1"/>
  <c r="A51" i="74" s="1"/>
  <c r="A52" i="74" s="1"/>
  <c r="A53" i="74" s="1"/>
  <c r="A54" i="74" s="1"/>
  <c r="A55" i="74" s="1"/>
  <c r="A56" i="74" s="1"/>
  <c r="A57" i="74" s="1"/>
  <c r="K54" i="74"/>
  <c r="D31" i="99"/>
  <c r="K31" i="99" s="1"/>
  <c r="L31" i="99" s="1"/>
  <c r="H159" i="97"/>
  <c r="D161" i="95"/>
  <c r="H103" i="97"/>
  <c r="H36" i="97"/>
  <c r="H71" i="97"/>
  <c r="H101" i="97"/>
  <c r="H45" i="97"/>
  <c r="D74" i="95"/>
  <c r="C18" i="74"/>
  <c r="C19" i="74" s="1"/>
  <c r="M15" i="74"/>
  <c r="D71" i="95"/>
  <c r="H70" i="97"/>
  <c r="H151" i="97"/>
  <c r="H23" i="97"/>
  <c r="H141" i="97"/>
  <c r="H129" i="97"/>
  <c r="H97" i="97"/>
  <c r="D112" i="95"/>
  <c r="D19" i="95"/>
  <c r="D62" i="95"/>
  <c r="H61" i="97"/>
  <c r="H111" i="97"/>
  <c r="D113" i="95"/>
  <c r="D52" i="95"/>
  <c r="H51" i="97"/>
  <c r="D41" i="95"/>
  <c r="H40" i="97"/>
  <c r="D149" i="95"/>
  <c r="H147" i="97"/>
  <c r="H27" i="97"/>
  <c r="H152" i="97"/>
  <c r="H82" i="97"/>
  <c r="H134" i="97"/>
  <c r="D57" i="95"/>
  <c r="H155" i="97"/>
  <c r="D68" i="95"/>
  <c r="H67" i="97"/>
  <c r="H33" i="97"/>
  <c r="D34" i="95"/>
  <c r="D137" i="95"/>
  <c r="H135" i="97"/>
  <c r="H62" i="97"/>
  <c r="H104" i="97"/>
  <c r="H130" i="97"/>
  <c r="D72" i="95"/>
  <c r="D76" i="95"/>
  <c r="H157" i="97"/>
  <c r="H50" i="97"/>
  <c r="H156" i="97"/>
  <c r="H81" i="97"/>
  <c r="D152" i="95"/>
  <c r="E51" i="74"/>
  <c r="G35" i="74" s="1"/>
  <c r="F51" i="74"/>
  <c r="H11" i="74" s="1"/>
  <c r="D98" i="95"/>
  <c r="H96" i="97"/>
  <c r="H84" i="97"/>
  <c r="D86" i="95"/>
  <c r="H64" i="97"/>
  <c r="D65" i="95"/>
  <c r="D54" i="95"/>
  <c r="H53" i="97"/>
  <c r="H136" i="97"/>
  <c r="D138" i="95"/>
  <c r="H143" i="97"/>
  <c r="D145" i="95"/>
  <c r="H46" i="97"/>
  <c r="D47" i="95"/>
  <c r="D105" i="95"/>
  <c r="H38" i="97"/>
  <c r="H102" i="97"/>
  <c r="D110" i="95"/>
  <c r="H119" i="97"/>
  <c r="H41" i="97"/>
  <c r="D55" i="95"/>
  <c r="H79" i="97"/>
  <c r="D37" i="95"/>
  <c r="H49" i="97"/>
  <c r="D132" i="95"/>
  <c r="D56" i="95"/>
  <c r="H20" i="97"/>
  <c r="H32" i="97"/>
  <c r="H128" i="97"/>
  <c r="H139" i="97"/>
  <c r="H80" i="97"/>
  <c r="H60" i="97"/>
  <c r="H93" i="97"/>
  <c r="D107" i="95"/>
  <c r="H18" i="97"/>
  <c r="H15" i="97"/>
  <c r="H74" i="97"/>
  <c r="H106" i="97"/>
  <c r="H95" i="97"/>
  <c r="D97" i="95"/>
  <c r="H161" i="97"/>
  <c r="D163" i="95"/>
  <c r="D45" i="95"/>
  <c r="H44" i="97"/>
  <c r="H86" i="97"/>
  <c r="D88" i="95"/>
  <c r="H26" i="97"/>
  <c r="D26" i="95"/>
  <c r="D151" i="95"/>
  <c r="H149" i="97"/>
  <c r="H140" i="97"/>
  <c r="D142" i="95"/>
  <c r="B64" i="97"/>
  <c r="B67" i="97" s="1"/>
  <c r="B68" i="97" s="1"/>
  <c r="B69" i="97" s="1"/>
  <c r="B70" i="97" s="1"/>
  <c r="B71" i="97" s="1"/>
  <c r="B72" i="97" s="1"/>
  <c r="B73" i="97" s="1"/>
  <c r="B74" i="97" s="1"/>
  <c r="B75" i="97" s="1"/>
  <c r="B66" i="97"/>
  <c r="D25" i="95"/>
  <c r="H25" i="97"/>
  <c r="D67" i="95"/>
  <c r="H66" i="97"/>
  <c r="H118" i="97"/>
  <c r="D120" i="95"/>
  <c r="D135" i="95"/>
  <c r="H133" i="97"/>
  <c r="D162" i="95"/>
  <c r="H160" i="97"/>
  <c r="D124" i="95"/>
  <c r="D179" i="95" s="1"/>
  <c r="H122" i="97"/>
  <c r="D121" i="95"/>
  <c r="H98" i="97"/>
  <c r="D100" i="95"/>
  <c r="H153" i="97"/>
  <c r="D127" i="95"/>
  <c r="D43" i="95"/>
  <c r="H42" i="97"/>
  <c r="D116" i="95"/>
  <c r="H148" i="97"/>
  <c r="D150" i="95"/>
  <c r="H92" i="97"/>
  <c r="D94" i="95"/>
  <c r="H112" i="97"/>
  <c r="H43" i="97"/>
  <c r="D44" i="95"/>
  <c r="B89" i="97"/>
  <c r="B87" i="97"/>
  <c r="B90" i="97" s="1"/>
  <c r="B91" i="97" s="1"/>
  <c r="B92" i="97" s="1"/>
  <c r="B93" i="97" s="1"/>
  <c r="B94" i="97" s="1"/>
  <c r="B95" i="97" s="1"/>
  <c r="B96" i="97" s="1"/>
  <c r="B97" i="97" s="1"/>
  <c r="B98" i="97" s="1"/>
  <c r="H89" i="97"/>
  <c r="D91" i="95"/>
  <c r="H59" i="97"/>
  <c r="D60" i="95"/>
  <c r="B127" i="97"/>
  <c r="B128" i="97" s="1"/>
  <c r="B129" i="97" s="1"/>
  <c r="B130" i="97" s="1"/>
  <c r="B138" i="97"/>
  <c r="B139" i="97" s="1"/>
  <c r="B140" i="97" s="1"/>
  <c r="B141" i="97" s="1"/>
  <c r="H69" i="97"/>
  <c r="D115" i="95"/>
  <c r="H113" i="97"/>
  <c r="D12" i="95"/>
  <c r="H94" i="97"/>
  <c r="D96" i="95"/>
  <c r="D75" i="95"/>
  <c r="H57" i="97"/>
  <c r="D58" i="95"/>
  <c r="H85" i="97"/>
  <c r="D154" i="95"/>
  <c r="D69" i="95"/>
  <c r="D35" i="95"/>
  <c r="H34" i="97"/>
  <c r="H158" i="97"/>
  <c r="D160" i="95"/>
  <c r="H154" i="97"/>
  <c r="D156" i="95"/>
  <c r="H90" i="97"/>
  <c r="D92" i="95"/>
  <c r="D93" i="95"/>
  <c r="H91" i="97"/>
  <c r="B40" i="97"/>
  <c r="B36" i="97"/>
  <c r="D64" i="95"/>
  <c r="H63" i="97"/>
  <c r="D85" i="95"/>
  <c r="H83" i="97"/>
  <c r="D140" i="95"/>
  <c r="H138" i="97"/>
  <c r="D36" i="95"/>
  <c r="H35" i="97"/>
  <c r="H126" i="97"/>
  <c r="D128" i="95"/>
  <c r="H132" i="97"/>
  <c r="D24" i="95"/>
  <c r="H24" i="97"/>
  <c r="D119" i="95"/>
  <c r="H117" i="97"/>
  <c r="H146" i="97"/>
  <c r="D148" i="95"/>
  <c r="H22" i="97"/>
  <c r="D103" i="95"/>
  <c r="H14" i="97"/>
  <c r="H87" i="97"/>
  <c r="H31" i="97"/>
  <c r="H37" i="97"/>
  <c r="H115" i="97"/>
  <c r="H127" i="97"/>
  <c r="D73" i="95"/>
  <c r="H21" i="97"/>
  <c r="D118" i="95"/>
  <c r="H52" i="97"/>
  <c r="D13" i="95"/>
  <c r="D32" i="99"/>
  <c r="D10" i="99"/>
  <c r="D22" i="99"/>
  <c r="D20" i="99"/>
  <c r="D26" i="99"/>
  <c r="D14" i="99"/>
  <c r="D27" i="99"/>
  <c r="D21" i="99"/>
  <c r="D15" i="99"/>
  <c r="D13" i="99"/>
  <c r="D28" i="99" l="1"/>
  <c r="D23" i="99"/>
  <c r="M31" i="99"/>
  <c r="G31" i="74"/>
  <c r="G15" i="74"/>
  <c r="G11" i="74"/>
  <c r="I11" i="74" s="1"/>
  <c r="G43" i="74"/>
  <c r="G39" i="74"/>
  <c r="G27" i="74"/>
  <c r="G23" i="74"/>
  <c r="G19" i="74"/>
  <c r="G45" i="74"/>
  <c r="G47" i="74"/>
  <c r="G9" i="74"/>
  <c r="B41" i="97"/>
  <c r="B37" i="97"/>
  <c r="H35" i="74"/>
  <c r="I35" i="74" s="1"/>
  <c r="J35" i="74" s="1"/>
  <c r="H19" i="74"/>
  <c r="H45" i="74"/>
  <c r="H31" i="74"/>
  <c r="H23" i="74"/>
  <c r="H43" i="74"/>
  <c r="H27" i="74"/>
  <c r="H47" i="74"/>
  <c r="H15" i="74"/>
  <c r="H9" i="74"/>
  <c r="H39" i="74"/>
  <c r="K55" i="74" l="1"/>
  <c r="D30" i="99"/>
  <c r="K30" i="99" s="1"/>
  <c r="L30" i="99" s="1"/>
  <c r="I15" i="74"/>
  <c r="I27" i="74"/>
  <c r="J27" i="74" s="1"/>
  <c r="J26" i="74" s="1"/>
  <c r="D51" i="74"/>
  <c r="D16" i="99"/>
  <c r="I43" i="74"/>
  <c r="J43" i="74" s="1"/>
  <c r="J42" i="74" s="1"/>
  <c r="I23" i="74"/>
  <c r="J23" i="74" s="1"/>
  <c r="J21" i="74" s="1"/>
  <c r="K21" i="74" s="1"/>
  <c r="I47" i="74"/>
  <c r="J47" i="74" s="1"/>
  <c r="I31" i="74"/>
  <c r="J31" i="74" s="1"/>
  <c r="N16" i="74"/>
  <c r="K47" i="74"/>
  <c r="J34" i="74"/>
  <c r="J33" i="74"/>
  <c r="K33" i="74" s="1"/>
  <c r="J30" i="74"/>
  <c r="J29" i="74"/>
  <c r="K29" i="74" s="1"/>
  <c r="I39" i="74"/>
  <c r="J39" i="74" s="1"/>
  <c r="I9" i="74"/>
  <c r="J9" i="74" s="1"/>
  <c r="I45" i="74"/>
  <c r="J45" i="74" s="1"/>
  <c r="K45" i="74" s="1"/>
  <c r="I19" i="74"/>
  <c r="B42" i="97"/>
  <c r="B38" i="97"/>
  <c r="B43" i="97" s="1"/>
  <c r="B44" i="97" s="1"/>
  <c r="B45" i="97" s="1"/>
  <c r="B46" i="97" s="1"/>
  <c r="D57" i="74"/>
  <c r="E27" i="99"/>
  <c r="E26" i="99"/>
  <c r="E16" i="99"/>
  <c r="E21" i="99"/>
  <c r="E22" i="99"/>
  <c r="E20" i="99"/>
  <c r="K26" i="74" l="1"/>
  <c r="I20" i="99" s="1"/>
  <c r="E53" i="100" s="1"/>
  <c r="K49" i="74"/>
  <c r="H21" i="99"/>
  <c r="H22" i="99"/>
  <c r="J25" i="74"/>
  <c r="K25" i="74" s="1"/>
  <c r="H35" i="99"/>
  <c r="K35" i="99" s="1"/>
  <c r="L35" i="99" s="1"/>
  <c r="H16" i="99"/>
  <c r="E16" i="100" s="1"/>
  <c r="K42" i="74"/>
  <c r="N10" i="97"/>
  <c r="F76" i="97" s="1"/>
  <c r="H32" i="99"/>
  <c r="E21" i="100"/>
  <c r="K30" i="74"/>
  <c r="E22" i="100"/>
  <c r="K34" i="74"/>
  <c r="J22" i="74"/>
  <c r="K22" i="74" s="1"/>
  <c r="J41" i="74"/>
  <c r="K41" i="74" s="1"/>
  <c r="D17" i="99"/>
  <c r="D37" i="99" s="1"/>
  <c r="M30" i="99"/>
  <c r="H165" i="97"/>
  <c r="J38" i="74"/>
  <c r="K38" i="74" s="1"/>
  <c r="J37" i="74"/>
  <c r="K37" i="74" s="1"/>
  <c r="I51" i="74"/>
  <c r="K9" i="74"/>
  <c r="D169" i="95" l="1"/>
  <c r="E37" i="100"/>
  <c r="F28" i="97"/>
  <c r="D29" i="95" s="1"/>
  <c r="N11" i="97"/>
  <c r="N12" i="97" s="1"/>
  <c r="O10" i="97"/>
  <c r="C169" i="95" s="1"/>
  <c r="I21" i="99"/>
  <c r="E54" i="100" s="1"/>
  <c r="H20" i="99"/>
  <c r="H26" i="99"/>
  <c r="I26" i="99"/>
  <c r="E59" i="100" s="1"/>
  <c r="I27" i="99"/>
  <c r="E60" i="100" s="1"/>
  <c r="H27" i="99"/>
  <c r="E27" i="100" s="1"/>
  <c r="I22" i="99"/>
  <c r="E55" i="100" s="1"/>
  <c r="I16" i="99"/>
  <c r="E49" i="100" s="1"/>
  <c r="H33" i="99"/>
  <c r="M35" i="99"/>
  <c r="K21" i="99"/>
  <c r="L21" i="99" s="1"/>
  <c r="M21" i="99" s="1"/>
  <c r="E32" i="100"/>
  <c r="K32" i="99"/>
  <c r="L32" i="99" s="1"/>
  <c r="H10" i="99"/>
  <c r="E10" i="100" s="1"/>
  <c r="H76" i="97"/>
  <c r="D78" i="95"/>
  <c r="K10" i="99" l="1"/>
  <c r="K26" i="99"/>
  <c r="O11" i="97"/>
  <c r="C170" i="95" s="1"/>
  <c r="H28" i="97"/>
  <c r="H164" i="97" s="1"/>
  <c r="H166" i="97" s="1"/>
  <c r="D170" i="95"/>
  <c r="E26" i="100"/>
  <c r="K27" i="99"/>
  <c r="L27" i="99" s="1"/>
  <c r="M27" i="99" s="1"/>
  <c r="E33" i="100"/>
  <c r="K33" i="99"/>
  <c r="L33" i="99" s="1"/>
  <c r="M33" i="99" s="1"/>
  <c r="F45" i="99"/>
  <c r="G45" i="99" s="1"/>
  <c r="H45" i="99" s="1"/>
  <c r="I45" i="99" s="1"/>
  <c r="K20" i="99"/>
  <c r="L20" i="99" s="1"/>
  <c r="M20" i="99" s="1"/>
  <c r="E20" i="100"/>
  <c r="K22" i="99"/>
  <c r="L22" i="99" s="1"/>
  <c r="M22" i="99" s="1"/>
  <c r="K16" i="99"/>
  <c r="L16" i="99" s="1"/>
  <c r="M16" i="99" s="1"/>
  <c r="L26" i="99"/>
  <c r="M32" i="99"/>
  <c r="L10" i="99"/>
  <c r="N13" i="97"/>
  <c r="D171" i="95"/>
  <c r="O12" i="97"/>
  <c r="C171" i="95" s="1"/>
  <c r="L23" i="99" l="1"/>
  <c r="M23" i="99" s="1"/>
  <c r="K23" i="99"/>
  <c r="K28" i="99"/>
  <c r="M26" i="99"/>
  <c r="L28" i="99"/>
  <c r="M28" i="99" s="1"/>
  <c r="M10" i="99"/>
  <c r="D172" i="95"/>
  <c r="N14" i="97"/>
  <c r="O13" i="97"/>
  <c r="C172" i="95" s="1"/>
  <c r="D173" i="95" l="1"/>
  <c r="O14" i="97"/>
  <c r="C173" i="95" s="1"/>
  <c r="N15" i="97"/>
  <c r="N16" i="97" l="1"/>
  <c r="O15" i="97"/>
  <c r="C174" i="95" s="1"/>
  <c r="D174" i="95"/>
  <c r="D175" i="95" l="1"/>
  <c r="N17" i="97"/>
  <c r="O16" i="97"/>
  <c r="C175" i="95" s="1"/>
  <c r="O17" i="97" l="1"/>
  <c r="C176" i="95" s="1"/>
  <c r="D176" i="95"/>
  <c r="J49" i="74"/>
  <c r="J11" i="74" l="1"/>
  <c r="K11" i="74" s="1"/>
  <c r="J19" i="74"/>
  <c r="J15" i="74"/>
  <c r="H13" i="99" l="1"/>
  <c r="E13" i="100" s="1"/>
  <c r="J13" i="74"/>
  <c r="K13" i="74" s="1"/>
  <c r="J14" i="74"/>
  <c r="K14" i="74" s="1"/>
  <c r="J18" i="74"/>
  <c r="K18" i="74" s="1"/>
  <c r="J17" i="74"/>
  <c r="K17" i="74" s="1"/>
  <c r="J51" i="74"/>
  <c r="J58" i="74" s="1"/>
  <c r="I14" i="99"/>
  <c r="E47" i="100" s="1"/>
  <c r="K13" i="99" l="1"/>
  <c r="L13" i="99" s="1"/>
  <c r="H15" i="99"/>
  <c r="I15" i="99"/>
  <c r="E48" i="100" s="1"/>
  <c r="H14" i="99"/>
  <c r="M13" i="99"/>
  <c r="E15" i="100"/>
  <c r="K15" i="99" l="1"/>
  <c r="L15" i="99" s="1"/>
  <c r="M15" i="99" s="1"/>
  <c r="E14" i="100"/>
  <c r="K14" i="99"/>
  <c r="L14" i="99" l="1"/>
  <c r="K17" i="99"/>
  <c r="K37" i="99" s="1"/>
  <c r="M14" i="99" l="1"/>
  <c r="L17" i="99"/>
  <c r="M17" i="99" l="1"/>
  <c r="L37" i="99"/>
  <c r="M37" i="99" l="1"/>
</calcChain>
</file>

<file path=xl/sharedStrings.xml><?xml version="1.0" encoding="utf-8"?>
<sst xmlns="http://schemas.openxmlformats.org/spreadsheetml/2006/main" count="719" uniqueCount="264">
  <si>
    <t>Line No.</t>
  </si>
  <si>
    <t>Schedule</t>
  </si>
  <si>
    <t>Total</t>
  </si>
  <si>
    <t>Lamp Type</t>
  </si>
  <si>
    <t>Mercury Vapor</t>
  </si>
  <si>
    <t>Sodium Vapor</t>
  </si>
  <si>
    <t>Wattage (W)</t>
  </si>
  <si>
    <t>003</t>
  </si>
  <si>
    <t>Sch 51E</t>
  </si>
  <si>
    <t>51E</t>
  </si>
  <si>
    <t>Light Emitting Diode</t>
  </si>
  <si>
    <t>30.01 - 60</t>
  </si>
  <si>
    <t>60.01 - 90</t>
  </si>
  <si>
    <t>90.01 - 120</t>
  </si>
  <si>
    <t>120.01 - 150</t>
  </si>
  <si>
    <t>150.01 - 180</t>
  </si>
  <si>
    <t>180.01 - 210</t>
  </si>
  <si>
    <t>210.01 - 240</t>
  </si>
  <si>
    <t>240.01 - 270</t>
  </si>
  <si>
    <t>270.01 - 300</t>
  </si>
  <si>
    <t xml:space="preserve">52E </t>
  </si>
  <si>
    <t>Metal Halide</t>
  </si>
  <si>
    <t>54E</t>
  </si>
  <si>
    <t>Sch 55 &amp; 56</t>
  </si>
  <si>
    <t>55E &amp; 56E</t>
  </si>
  <si>
    <t>Sch 58 &amp; 59</t>
  </si>
  <si>
    <t>58E &amp; 59E - Directional</t>
  </si>
  <si>
    <t>58E &amp; 59E - Horizontal</t>
  </si>
  <si>
    <t>58E &amp; 59E</t>
  </si>
  <si>
    <t>300.01 - 400</t>
  </si>
  <si>
    <t>400.01 - 500</t>
  </si>
  <si>
    <t>500.01 - 600</t>
  </si>
  <si>
    <t>600.01 - 700</t>
  </si>
  <si>
    <t>700.01 - 800</t>
  </si>
  <si>
    <t>800.01 - 900</t>
  </si>
  <si>
    <t>Sch 57</t>
  </si>
  <si>
    <t>57E</t>
  </si>
  <si>
    <t>Per W charge</t>
  </si>
  <si>
    <t>Special Contract</t>
  </si>
  <si>
    <t>Basic Charge</t>
  </si>
  <si>
    <t>First 600 kWh</t>
  </si>
  <si>
    <t>Over 600 kWh</t>
  </si>
  <si>
    <t>Smart LED</t>
  </si>
  <si>
    <t>0 - 30</t>
  </si>
  <si>
    <t>Subtotal</t>
  </si>
  <si>
    <t>Compact Flourescent</t>
  </si>
  <si>
    <t>50E</t>
  </si>
  <si>
    <t>0-30</t>
  </si>
  <si>
    <t>30 - 60</t>
  </si>
  <si>
    <t>Per kWh - All Lamps</t>
  </si>
  <si>
    <t>53E</t>
  </si>
  <si>
    <t>Lights</t>
  </si>
  <si>
    <t>PUGET SOUND ENERGY</t>
  </si>
  <si>
    <t>Customer Class</t>
  </si>
  <si>
    <t>Schedules</t>
  </si>
  <si>
    <t>a</t>
  </si>
  <si>
    <t>c</t>
  </si>
  <si>
    <t>f</t>
  </si>
  <si>
    <t>Residential (kWh Energy Charge)</t>
  </si>
  <si>
    <t>Sec Gen Svc - Small (kWh Energy Charge)</t>
  </si>
  <si>
    <t>Sec Gen Svc - Medium (kWh Energy Charge)</t>
  </si>
  <si>
    <t>Sec Gen Svc - Medium (KW Demand Charge)</t>
  </si>
  <si>
    <t>Sec Gen Svc - Medium (Total)</t>
  </si>
  <si>
    <t>Sec Gen Svc - Large (kWh Energy Charge)</t>
  </si>
  <si>
    <t>Sec Gen Svc - Large (KW Demand Charge)</t>
  </si>
  <si>
    <t>Sec Gen Svc - Large (Total)</t>
  </si>
  <si>
    <t>Sec Irrigation Svc (kWh Energy Charge)</t>
  </si>
  <si>
    <t>Sec Irrigation Svc (kW Demand Charge)</t>
  </si>
  <si>
    <t>Sec Irrigation Svc (Total)</t>
  </si>
  <si>
    <t>Pri Gen Svc (kWh Energy Charge)</t>
  </si>
  <si>
    <t>Pri Gen Svc (KW Demand Charge)</t>
  </si>
  <si>
    <t>Pri Gen Svc (Total)</t>
  </si>
  <si>
    <t>Pri Irrigation Svc (kWh Energy Charge)</t>
  </si>
  <si>
    <t>Pri Irrigation Svc (KW Demand Charge)</t>
  </si>
  <si>
    <t>Pri Irrigation Svc (Total)</t>
  </si>
  <si>
    <t>Pri Interruptible Svc (kWh Energy Charge)</t>
  </si>
  <si>
    <t>Pri Interruptible Svc (KW Demand Charge)</t>
  </si>
  <si>
    <t>Pri Interruptible Svc (Total)</t>
  </si>
  <si>
    <t>HV - Interruptible Svc (kWh Energy Charge)</t>
  </si>
  <si>
    <t>HV - Interruptible Svc (kVa Demand Charge)</t>
  </si>
  <si>
    <t>HV - Interruptible Svc (Total)</t>
  </si>
  <si>
    <t>HV - General Svc (kWh Energy Charge)</t>
  </si>
  <si>
    <t>HV - General Svc (kVa Demand Charge)</t>
  </si>
  <si>
    <t>HV - General Svc (Total)</t>
  </si>
  <si>
    <t xml:space="preserve">Firm Resale - Small </t>
  </si>
  <si>
    <t>Transportation</t>
  </si>
  <si>
    <t>Tariff Reference</t>
  </si>
  <si>
    <t>Sheet No. 141COL-B</t>
  </si>
  <si>
    <t>Sheet No. 141COL-C</t>
  </si>
  <si>
    <t>Sheet No. 141COL-D</t>
  </si>
  <si>
    <t>Lamp Level Rate Design</t>
  </si>
  <si>
    <t>Proposed Lamp Charge</t>
  </si>
  <si>
    <t>Proposed Lamp Revenue</t>
  </si>
  <si>
    <t>b</t>
  </si>
  <si>
    <t>d</t>
  </si>
  <si>
    <t>e</t>
  </si>
  <si>
    <t>g = e * f</t>
  </si>
  <si>
    <t>Sch 50</t>
  </si>
  <si>
    <t>51S</t>
  </si>
  <si>
    <t>Sch 52</t>
  </si>
  <si>
    <t>Sch 53</t>
  </si>
  <si>
    <t>53S</t>
  </si>
  <si>
    <t>Sch 54</t>
  </si>
  <si>
    <t>cross check</t>
  </si>
  <si>
    <t>Proposed Lighting Revenue</t>
  </si>
  <si>
    <t>Lighting Allocation of Revenue Requirement</t>
  </si>
  <si>
    <t>Variance</t>
  </si>
  <si>
    <t>Scaling Factor [SF]</t>
  </si>
  <si>
    <t>Proposed Rider Rate Effective Start Date</t>
  </si>
  <si>
    <t>Budget Forecast</t>
  </si>
  <si>
    <t>Forecasted Rate Year Start Date</t>
  </si>
  <si>
    <t>Forecasted Rate Year End Date</t>
  </si>
  <si>
    <t>Voltage Level</t>
  </si>
  <si>
    <t>Rate Schedule</t>
  </si>
  <si>
    <t xml:space="preserve">Current Rates </t>
  </si>
  <si>
    <t>Proposed Rates</t>
  </si>
  <si>
    <t>Energy</t>
  </si>
  <si>
    <t>7A (11) (25)</t>
  </si>
  <si>
    <t>See Lighting Rates tab</t>
  </si>
  <si>
    <t>na</t>
  </si>
  <si>
    <t>Demand</t>
  </si>
  <si>
    <t>Allocation of Revenue Requirement to Rate Schedule 141COL</t>
  </si>
  <si>
    <t>Projected Schedule Revenue Impacts of Rate Change by Forecasted Energy</t>
  </si>
  <si>
    <t xml:space="preserve"> </t>
  </si>
  <si>
    <t>Projected Rate-Year
Revenue Impacts
from Proposed Rate Changes</t>
  </si>
  <si>
    <t>Residential Bill Impacts</t>
  </si>
  <si>
    <t>Typical Residential Bill at 800 kWh</t>
  </si>
  <si>
    <t>Pass-Thru Trackers</t>
  </si>
  <si>
    <t>Current Bill</t>
  </si>
  <si>
    <t>Current</t>
  </si>
  <si>
    <t>Proposed</t>
  </si>
  <si>
    <t>Schedule &amp; Charge Type</t>
  </si>
  <si>
    <t>Wattage</t>
  </si>
  <si>
    <t>003 - Compact Flourescent</t>
  </si>
  <si>
    <t>50E - Mercury Vapor</t>
  </si>
  <si>
    <t>Sch 51</t>
  </si>
  <si>
    <t>51E - LED</t>
  </si>
  <si>
    <t>51S - Smart LED</t>
  </si>
  <si>
    <t>per kWh</t>
  </si>
  <si>
    <t>52E  - Sodium Vapor</t>
  </si>
  <si>
    <t>52E  - Metal Halide</t>
  </si>
  <si>
    <t>53E - Sodium Vapor</t>
  </si>
  <si>
    <t>53E - Metal Halide</t>
  </si>
  <si>
    <t>53E - LED</t>
  </si>
  <si>
    <t>53S - Smart LED</t>
  </si>
  <si>
    <t>54E - Sodium Vapor</t>
  </si>
  <si>
    <t>54E - LED</t>
  </si>
  <si>
    <t>Sch 55 &amp; Sch 56</t>
  </si>
  <si>
    <t>55E &amp; 56E - Sodium Vapor</t>
  </si>
  <si>
    <t>55E &amp; 56E - Metal Halide</t>
  </si>
  <si>
    <t>55E &amp; 56E - LED</t>
  </si>
  <si>
    <t>per W charge</t>
  </si>
  <si>
    <t>58E &amp; 59E - Directional Sodium Vapor</t>
  </si>
  <si>
    <t>58E &amp; 59E - Horizontal Sodium Vapor</t>
  </si>
  <si>
    <t>58E &amp; 59E - Directional Metal Halide</t>
  </si>
  <si>
    <t>58E &amp; 59E - Horizontal Metal Halide</t>
  </si>
  <si>
    <t>58E &amp; 59E - LED</t>
  </si>
  <si>
    <t>Sch 141COL Tariff Reference</t>
  </si>
  <si>
    <t>Revenue Requirement</t>
  </si>
  <si>
    <t>Sheet No. 141COL-E</t>
  </si>
  <si>
    <t>Sheet No. 141COL-F</t>
  </si>
  <si>
    <t>Sheet No. 141COL-G</t>
  </si>
  <si>
    <t>Sheet No. 141COL-H</t>
  </si>
  <si>
    <t>Sheet No. 141COL-I</t>
  </si>
  <si>
    <t>Sheet No. 141COL-J</t>
  </si>
  <si>
    <t>F2025</t>
  </si>
  <si>
    <t xml:space="preserve">Energy
Allocator
</t>
  </si>
  <si>
    <t xml:space="preserve">Energy </t>
  </si>
  <si>
    <t>Weighted Allocation</t>
  </si>
  <si>
    <t>Note (1)</t>
  </si>
  <si>
    <t>12CP Demand Allocator, Net of Renewables</t>
  </si>
  <si>
    <t>g</t>
  </si>
  <si>
    <t>h</t>
  </si>
  <si>
    <t>i</t>
  </si>
  <si>
    <t>j</t>
  </si>
  <si>
    <t>[Note 1] - Utilizes base rates approved in Docket No UE-240004 which established a pro-rata allocation between lamp wattage sizes and lamp types in the 2024 GRC Lighting COS Model.</t>
  </si>
  <si>
    <t>Schs. 50-56, 58-59</t>
  </si>
  <si>
    <t>Proposed Rate ($/lamp)</t>
  </si>
  <si>
    <t>Proposed Rate ($/kWh)</t>
  </si>
  <si>
    <t>Unmetered 
(kWh per Lamp)</t>
  </si>
  <si>
    <t>Wattage Range</t>
  </si>
  <si>
    <r>
      <rPr>
        <b/>
        <sz val="8"/>
        <color rgb="FF0033CC"/>
        <rFont val="Arial"/>
        <family val="2"/>
      </rPr>
      <t>2024 GRC</t>
    </r>
    <r>
      <rPr>
        <b/>
        <sz val="8"/>
        <rFont val="Arial"/>
        <family val="2"/>
      </rPr>
      <t xml:space="preserve"> Annual Lamp Inventory</t>
    </r>
  </si>
  <si>
    <r>
      <rPr>
        <b/>
        <sz val="8"/>
        <color rgb="FF0033CC"/>
        <rFont val="Arial"/>
        <family val="2"/>
      </rPr>
      <t>2024 GRC</t>
    </r>
    <r>
      <rPr>
        <b/>
        <sz val="8"/>
        <rFont val="Arial"/>
        <family val="2"/>
      </rPr>
      <t xml:space="preserve"> Lighting Base Rates </t>
    </r>
    <r>
      <rPr>
        <b/>
        <vertAlign val="superscript"/>
        <sz val="8"/>
        <rFont val="Arial"/>
        <family val="2"/>
      </rPr>
      <t>[1]</t>
    </r>
  </si>
  <si>
    <t>Proposed Rates Effective January 29, 2026</t>
  </si>
  <si>
    <t>Proposed Rates through January 28, 2026</t>
  </si>
  <si>
    <t>Key</t>
  </si>
  <si>
    <t>Input</t>
  </si>
  <si>
    <t>Link</t>
  </si>
  <si>
    <t xml:space="preserve">Formulas </t>
  </si>
  <si>
    <t>Folrmulas (not used)</t>
  </si>
  <si>
    <t>Residential</t>
  </si>
  <si>
    <t>Secondary Voltage</t>
  </si>
  <si>
    <t>Demand &lt;= 50 kW</t>
  </si>
  <si>
    <t>Demand &gt; 50 kW but &lt;= 350 kW</t>
  </si>
  <si>
    <t>Demand &gt; 350 kW</t>
  </si>
  <si>
    <t>Total Secondary Voltage</t>
  </si>
  <si>
    <t>Primary Voltage</t>
  </si>
  <si>
    <t>General Service</t>
  </si>
  <si>
    <t>Total Primary Voltage</t>
  </si>
  <si>
    <t>High Voltage</t>
  </si>
  <si>
    <t>Total High Voltage</t>
  </si>
  <si>
    <t>Transportation Electrification</t>
  </si>
  <si>
    <t>Lighting Rates</t>
  </si>
  <si>
    <t>Proposed
 Rates</t>
  </si>
  <si>
    <t>Schedules 50-56, 58-59</t>
  </si>
  <si>
    <t xml:space="preserve">Unmetered </t>
  </si>
  <si>
    <t xml:space="preserve">Metered </t>
  </si>
  <si>
    <t>Proposed Rate  ($/lamp)</t>
  </si>
  <si>
    <t>Total Projected Revenue
 w/ Current Rates</t>
  </si>
  <si>
    <t>Total Projected Revenue
 w/ Proposed Rates</t>
  </si>
  <si>
    <t>Seasonal Irrigation &amp; Drainage Pumping</t>
  </si>
  <si>
    <t>Interruptible Total Electric Schools</t>
  </si>
  <si>
    <t>Interruptible</t>
  </si>
  <si>
    <t>Total Choice / Retail Wheeling</t>
  </si>
  <si>
    <t>Sheet No. 141COL</t>
  </si>
  <si>
    <t xml:space="preserve">Special Contract </t>
  </si>
  <si>
    <t>Excluded:</t>
  </si>
  <si>
    <t>Current Rider Rate Effective Start Date</t>
  </si>
  <si>
    <t>Transportation Electrification (kWh Energy Charge) (2)</t>
  </si>
  <si>
    <t>Yes</t>
  </si>
  <si>
    <t>No</t>
  </si>
  <si>
    <t>Forecast Base Revenue Allocation:</t>
  </si>
  <si>
    <t>Proposed Demand Rate</t>
  </si>
  <si>
    <t>Note (2) - Schedule 558 rate is a weighted average rate based on proposed rates for Schedules 24/25/26</t>
  </si>
  <si>
    <t>Note (1) - Utilizes COS energy and demand allocators as approved in PSE's 2024 GRC, Docket No UE-240004.</t>
  </si>
  <si>
    <t>Current 
 Rate (kWhs)</t>
  </si>
  <si>
    <t>Current 
 Rate (kWs)</t>
  </si>
  <si>
    <t>Proposed 
Rate (kWhs)</t>
  </si>
  <si>
    <t>$ Change</t>
  </si>
  <si>
    <t>%Change</t>
  </si>
  <si>
    <t xml:space="preserve">Note (2): Rate for Street Lighting (Sch. 03, 50-59) displayed in energy determinates (kWh). Proposed Lighting tariff rates are detailed on the "Lighting Rates" tab.
</t>
  </si>
  <si>
    <t>k</t>
  </si>
  <si>
    <t>Lighting (2)</t>
  </si>
  <si>
    <t>Proposed 
Rate (kWs)</t>
  </si>
  <si>
    <t>30.01-60</t>
  </si>
  <si>
    <t>0.01-30</t>
  </si>
  <si>
    <t>60.01-90</t>
  </si>
  <si>
    <t>90.01-150</t>
  </si>
  <si>
    <t>150.01-240</t>
  </si>
  <si>
    <t>240.01-340</t>
  </si>
  <si>
    <t>340.01-600</t>
  </si>
  <si>
    <t>600.01-1,000</t>
  </si>
  <si>
    <t>l</t>
  </si>
  <si>
    <t>Note (1): Current rate includes original SCH 141COL rate set under Docket UE-240729.</t>
  </si>
  <si>
    <t xml:space="preserve">Schedule 141COL Colstrip Adjustment Rider </t>
  </si>
  <si>
    <t>7 (307) (317) (327)</t>
  </si>
  <si>
    <t>08 (24) (324)</t>
  </si>
  <si>
    <t>12 (26) (26P)</t>
  </si>
  <si>
    <t>10 (31)</t>
  </si>
  <si>
    <t>03, 50 - 59</t>
  </si>
  <si>
    <t>448 - 459</t>
  </si>
  <si>
    <t>General Service: Demand &lt;= 50 kW</t>
  </si>
  <si>
    <t>Small General Service: Demand &gt; 50 kW but &lt;= 350 kW</t>
  </si>
  <si>
    <t>Large General Service: Demand &gt; 350 kW</t>
  </si>
  <si>
    <t>Irrigation &amp; Pumping Service: Demand &gt; 50 kW but &lt;= 350 kW</t>
  </si>
  <si>
    <t>Irrigation &amp; Pumping Service</t>
  </si>
  <si>
    <t>All Electric Schools</t>
  </si>
  <si>
    <t>Interruptible Service</t>
  </si>
  <si>
    <t>Choice / Retail Wheeling</t>
  </si>
  <si>
    <t>Special Contracts</t>
  </si>
  <si>
    <t>Lighting</t>
  </si>
  <si>
    <t>Total Retail Sales</t>
  </si>
  <si>
    <t>Firm Resale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</si>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</sst>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00_);_(&quot;$&quot;* \(#,##0.000000\);_(&quot;$&quot;* &quot;-&quot;??_);_(@_)"/>
    <numFmt numFmtId="167" formatCode="0.000000"/>
    <numFmt numFmtId="168" formatCode="_(&quot;$&quot;* #,##0.00000_);_(&quot;$&quot;* \(#,##0.00000\);_(&quot;$&quot;* &quot;-&quot;??_);_(@_)"/>
    <numFmt numFmtId="169" formatCode="_(* #,##0.000000_);_(* \(#,##0.000000\);_(* &quot;-&quot;??_);_(@_)"/>
    <numFmt numFmtId="170" formatCode="0.0000\ \¢"/>
    <numFmt numFmtId="171" formatCode="m/d/yy;@"/>
    <numFmt numFmtId="172" formatCode="0.00000\ \¢"/>
    <numFmt numFmtId="173" formatCode="0.000000_);\(0.000000\)"/>
    <numFmt numFmtId="174" formatCode="_(* #,##0.0000_);_(* \(#,##0.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008080"/>
      <name val="Arial"/>
      <family val="2"/>
    </font>
    <font>
      <sz val="8"/>
      <color rgb="FF008080"/>
      <name val="Arial"/>
      <family val="2"/>
    </font>
    <font>
      <b/>
      <sz val="8"/>
      <color rgb="FF0033CC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rgb="FF0033CC"/>
      <name val="Arial"/>
      <family val="2"/>
    </font>
    <font>
      <b/>
      <sz val="8"/>
      <color rgb="FF0000FF"/>
      <name val="Arial"/>
      <family val="2"/>
    </font>
    <font>
      <sz val="12"/>
      <name val="Times New Roman"/>
      <family val="1"/>
    </font>
    <font>
      <u/>
      <sz val="8"/>
      <name val="Arial"/>
      <family val="2"/>
    </font>
    <font>
      <sz val="10"/>
      <name val="Arial"/>
      <family val="2"/>
    </font>
    <font>
      <b/>
      <u val="singleAccounting"/>
      <sz val="8"/>
      <name val="Arial"/>
      <family val="2"/>
    </font>
    <font>
      <u val="singleAccounting"/>
      <sz val="8"/>
      <name val="Arial"/>
      <family val="2"/>
    </font>
    <font>
      <u val="singleAccounting"/>
      <sz val="8"/>
      <color rgb="FF008080"/>
      <name val="Arial"/>
      <family val="2"/>
    </font>
    <font>
      <u val="singleAccounting"/>
      <sz val="8"/>
      <color rgb="FF0033CC"/>
      <name val="Arial"/>
      <family val="2"/>
    </font>
    <font>
      <sz val="8"/>
      <color theme="0" tint="-0.499984740745262"/>
      <name val="Arial"/>
      <family val="2"/>
    </font>
    <font>
      <u/>
      <sz val="8"/>
      <color theme="0" tint="-0.499984740745262"/>
      <name val="Arial"/>
      <family val="2"/>
    </font>
    <font>
      <b/>
      <vertAlign val="superscript"/>
      <sz val="8"/>
      <name val="Arial"/>
      <family val="2"/>
    </font>
    <font>
      <sz val="8"/>
      <color theme="1"/>
      <name val="Arial"/>
      <family val="2"/>
    </font>
    <font>
      <b/>
      <i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3" fillId="0" borderId="0">
      <alignment horizontal="left" wrapText="1"/>
    </xf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>
      <alignment horizontal="left" wrapText="1"/>
    </xf>
    <xf numFmtId="9" fontId="1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16" fillId="0" borderId="0"/>
    <xf numFmtId="44" fontId="12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82">
    <xf numFmtId="0" fontId="0" fillId="0" borderId="0" xfId="0"/>
    <xf numFmtId="0" fontId="4" fillId="0" borderId="0" xfId="5" applyFont="1" applyAlignment="1">
      <alignment horizontal="centerContinuous" vertical="center"/>
    </xf>
    <xf numFmtId="0" fontId="5" fillId="0" borderId="0" xfId="5" applyFont="1" applyAlignment="1">
      <alignment horizontal="centerContinuous" vertical="center"/>
    </xf>
    <xf numFmtId="0" fontId="5" fillId="0" borderId="0" xfId="5" applyFont="1"/>
    <xf numFmtId="0" fontId="5" fillId="0" borderId="0" xfId="5" quotePrefix="1" applyFont="1" applyAlignment="1">
      <alignment horizontal="left"/>
    </xf>
    <xf numFmtId="0" fontId="5" fillId="0" borderId="0" xfId="5" applyFont="1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Continuous" wrapText="1"/>
    </xf>
    <xf numFmtId="0" fontId="5" fillId="0" borderId="0" xfId="12" applyFont="1"/>
    <xf numFmtId="0" fontId="4" fillId="0" borderId="8" xfId="12" applyFont="1" applyBorder="1" applyAlignment="1">
      <alignment horizontal="center" wrapText="1"/>
    </xf>
    <xf numFmtId="0" fontId="4" fillId="0" borderId="9" xfId="12" applyFont="1" applyBorder="1" applyAlignment="1">
      <alignment horizontal="center" wrapText="1"/>
    </xf>
    <xf numFmtId="164" fontId="4" fillId="0" borderId="9" xfId="12" quotePrefix="1" applyNumberFormat="1" applyFont="1" applyBorder="1" applyAlignment="1">
      <alignment horizontal="center" wrapText="1"/>
    </xf>
    <xf numFmtId="0" fontId="4" fillId="0" borderId="9" xfId="12" quotePrefix="1" applyFont="1" applyBorder="1" applyAlignment="1">
      <alignment horizontal="center" wrapText="1"/>
    </xf>
    <xf numFmtId="0" fontId="5" fillId="0" borderId="11" xfId="12" applyFont="1" applyBorder="1" applyAlignment="1">
      <alignment horizontal="center" wrapText="1"/>
    </xf>
    <xf numFmtId="0" fontId="5" fillId="0" borderId="12" xfId="12" applyFont="1" applyBorder="1" applyAlignment="1">
      <alignment horizontal="center" wrapText="1"/>
    </xf>
    <xf numFmtId="164" fontId="5" fillId="0" borderId="12" xfId="12" quotePrefix="1" applyNumberFormat="1" applyFont="1" applyBorder="1" applyAlignment="1">
      <alignment horizontal="center" vertical="center" wrapText="1"/>
    </xf>
    <xf numFmtId="0" fontId="5" fillId="0" borderId="12" xfId="12" applyFont="1" applyBorder="1" applyAlignment="1">
      <alignment horizontal="center" vertical="center" wrapText="1"/>
    </xf>
    <xf numFmtId="0" fontId="5" fillId="0" borderId="7" xfId="12" applyFont="1" applyBorder="1" applyAlignment="1">
      <alignment horizontal="center"/>
    </xf>
    <xf numFmtId="164" fontId="5" fillId="0" borderId="0" xfId="12" applyNumberFormat="1" applyFont="1"/>
    <xf numFmtId="169" fontId="5" fillId="0" borderId="0" xfId="12" applyNumberFormat="1" applyFont="1"/>
    <xf numFmtId="0" fontId="5" fillId="0" borderId="0" xfId="12" quotePrefix="1" applyFont="1" applyAlignment="1">
      <alignment horizontal="left"/>
    </xf>
    <xf numFmtId="0" fontId="5" fillId="0" borderId="0" xfId="12" quotePrefix="1" applyFont="1" applyAlignment="1">
      <alignment horizontal="center"/>
    </xf>
    <xf numFmtId="0" fontId="5" fillId="0" borderId="8" xfId="12" applyFont="1" applyBorder="1" applyAlignment="1">
      <alignment horizontal="center"/>
    </xf>
    <xf numFmtId="0" fontId="5" fillId="0" borderId="9" xfId="12" applyFont="1" applyBorder="1"/>
    <xf numFmtId="0" fontId="4" fillId="0" borderId="1" xfId="5" applyFont="1" applyBorder="1" applyAlignment="1">
      <alignment horizontal="center"/>
    </xf>
    <xf numFmtId="0" fontId="5" fillId="0" borderId="0" xfId="5" quotePrefix="1" applyFont="1" applyAlignment="1">
      <alignment horizontal="center"/>
    </xf>
    <xf numFmtId="0" fontId="5" fillId="0" borderId="0" xfId="5" applyFont="1" applyAlignment="1">
      <alignment horizontal="center"/>
    </xf>
    <xf numFmtId="164" fontId="5" fillId="0" borderId="0" xfId="5" applyNumberFormat="1" applyFont="1"/>
    <xf numFmtId="0" fontId="4" fillId="0" borderId="1" xfId="5" applyFont="1" applyBorder="1" applyAlignment="1">
      <alignment horizontal="center" wrapText="1"/>
    </xf>
    <xf numFmtId="0" fontId="18" fillId="0" borderId="0" xfId="14"/>
    <xf numFmtId="44" fontId="20" fillId="0" borderId="0" xfId="14" quotePrefix="1" applyNumberFormat="1" applyFont="1" applyAlignment="1">
      <alignment horizontal="left"/>
    </xf>
    <xf numFmtId="171" fontId="15" fillId="0" borderId="0" xfId="14" quotePrefix="1" applyNumberFormat="1" applyFont="1" applyAlignment="1">
      <alignment horizontal="center"/>
    </xf>
    <xf numFmtId="44" fontId="20" fillId="0" borderId="0" xfId="14" applyNumberFormat="1" applyFont="1"/>
    <xf numFmtId="0" fontId="15" fillId="0" borderId="0" xfId="14" applyFont="1" applyAlignment="1">
      <alignment horizontal="center"/>
    </xf>
    <xf numFmtId="171" fontId="15" fillId="0" borderId="0" xfId="14" applyNumberFormat="1" applyFont="1" applyAlignment="1">
      <alignment horizontal="center"/>
    </xf>
    <xf numFmtId="0" fontId="4" fillId="0" borderId="1" xfId="5" applyFont="1" applyBorder="1" applyAlignment="1">
      <alignment horizontal="centerContinuous" wrapText="1"/>
    </xf>
    <xf numFmtId="0" fontId="7" fillId="0" borderId="1" xfId="5" quotePrefix="1" applyFont="1" applyBorder="1" applyAlignment="1">
      <alignment horizontal="center" wrapText="1"/>
    </xf>
    <xf numFmtId="0" fontId="5" fillId="0" borderId="0" xfId="5" applyFont="1" applyAlignment="1">
      <alignment horizontal="center" vertical="center" wrapText="1"/>
    </xf>
    <xf numFmtId="166" fontId="10" fillId="0" borderId="0" xfId="5" applyNumberFormat="1" applyFont="1"/>
    <xf numFmtId="44" fontId="19" fillId="0" borderId="0" xfId="5" applyNumberFormat="1" applyFont="1"/>
    <xf numFmtId="164" fontId="5" fillId="0" borderId="0" xfId="5" applyNumberFormat="1" applyFont="1" applyAlignment="1">
      <alignment horizontal="center"/>
    </xf>
    <xf numFmtId="44" fontId="10" fillId="0" borderId="0" xfId="5" applyNumberFormat="1" applyFont="1"/>
    <xf numFmtId="0" fontId="14" fillId="0" borderId="0" xfId="5" quotePrefix="1" applyFont="1" applyAlignment="1">
      <alignment horizontal="center"/>
    </xf>
    <xf numFmtId="0" fontId="5" fillId="0" borderId="0" xfId="5" quotePrefix="1" applyFont="1" applyAlignment="1">
      <alignment horizontal="center" wrapText="1"/>
    </xf>
    <xf numFmtId="0" fontId="14" fillId="0" borderId="0" xfId="5" applyFont="1" applyAlignment="1">
      <alignment horizontal="center"/>
    </xf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 applyAlignment="1">
      <alignment horizontal="left"/>
    </xf>
    <xf numFmtId="168" fontId="10" fillId="0" borderId="0" xfId="5" applyNumberFormat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9" quotePrefix="1" applyFont="1" applyAlignment="1">
      <alignment horizontal="left"/>
    </xf>
    <xf numFmtId="0" fontId="9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/>
    </xf>
    <xf numFmtId="0" fontId="11" fillId="0" borderId="0" xfId="0" applyFont="1" applyAlignment="1">
      <alignment horizontal="centerContinuous" wrapText="1"/>
    </xf>
    <xf numFmtId="0" fontId="11" fillId="0" borderId="0" xfId="0" applyFont="1" applyAlignment="1">
      <alignment horizontal="centerContinuous"/>
    </xf>
    <xf numFmtId="165" fontId="5" fillId="0" borderId="0" xfId="12" applyNumberFormat="1" applyFont="1"/>
    <xf numFmtId="164" fontId="10" fillId="0" borderId="0" xfId="12" applyNumberFormat="1" applyFont="1"/>
    <xf numFmtId="165" fontId="14" fillId="0" borderId="0" xfId="12" applyNumberFormat="1" applyFont="1"/>
    <xf numFmtId="164" fontId="5" fillId="0" borderId="0" xfId="0" applyNumberFormat="1" applyFont="1"/>
    <xf numFmtId="165" fontId="6" fillId="0" borderId="0" xfId="12" applyNumberFormat="1" applyFont="1"/>
    <xf numFmtId="164" fontId="6" fillId="0" borderId="0" xfId="12" applyNumberFormat="1" applyFont="1"/>
    <xf numFmtId="164" fontId="10" fillId="0" borderId="0" xfId="0" applyNumberFormat="1" applyFont="1"/>
    <xf numFmtId="0" fontId="5" fillId="0" borderId="0" xfId="12" quotePrefix="1" applyFont="1" applyAlignment="1">
      <alignment horizontal="center" vertical="center" wrapText="1"/>
    </xf>
    <xf numFmtId="166" fontId="5" fillId="0" borderId="0" xfId="12" applyNumberFormat="1" applyFont="1" applyAlignment="1">
      <alignment horizontal="center"/>
    </xf>
    <xf numFmtId="170" fontId="5" fillId="0" borderId="0" xfId="12" applyNumberFormat="1" applyFont="1" applyAlignment="1">
      <alignment horizontal="center"/>
    </xf>
    <xf numFmtId="44" fontId="5" fillId="0" borderId="0" xfId="12" applyNumberFormat="1" applyFont="1" applyAlignment="1">
      <alignment horizontal="center"/>
    </xf>
    <xf numFmtId="0" fontId="11" fillId="0" borderId="9" xfId="12" applyFont="1" applyBorder="1" applyAlignment="1">
      <alignment horizontal="center" wrapText="1"/>
    </xf>
    <xf numFmtId="0" fontId="11" fillId="0" borderId="9" xfId="12" quotePrefix="1" applyFont="1" applyBorder="1" applyAlignment="1">
      <alignment horizontal="center" wrapText="1"/>
    </xf>
    <xf numFmtId="164" fontId="6" fillId="0" borderId="0" xfId="5" applyNumberFormat="1" applyFont="1" applyAlignment="1">
      <alignment horizontal="centerContinuous" vertical="center" wrapText="1"/>
    </xf>
    <xf numFmtId="164" fontId="5" fillId="0" borderId="0" xfId="5" applyNumberFormat="1" applyFont="1" applyAlignment="1">
      <alignment horizontal="centerContinuous" vertical="center" wrapText="1"/>
    </xf>
    <xf numFmtId="0" fontId="5" fillId="0" borderId="0" xfId="5" applyFont="1" applyAlignment="1">
      <alignment horizontal="centerContinuous" vertical="center" wrapText="1"/>
    </xf>
    <xf numFmtId="165" fontId="6" fillId="0" borderId="0" xfId="5" applyNumberFormat="1" applyFont="1"/>
    <xf numFmtId="44" fontId="6" fillId="0" borderId="0" xfId="5" applyNumberFormat="1" applyFont="1" applyAlignment="1">
      <alignment horizontal="right"/>
    </xf>
    <xf numFmtId="165" fontId="5" fillId="0" borderId="0" xfId="5" applyNumberFormat="1" applyFont="1"/>
    <xf numFmtId="0" fontId="5" fillId="0" borderId="0" xfId="5" applyFont="1" applyAlignment="1">
      <alignment horizontal="right" vertical="center"/>
    </xf>
    <xf numFmtId="169" fontId="22" fillId="0" borderId="0" xfId="5" applyNumberFormat="1" applyFont="1" applyAlignment="1">
      <alignment horizontal="center"/>
    </xf>
    <xf numFmtId="44" fontId="5" fillId="0" borderId="0" xfId="5" applyNumberFormat="1" applyFont="1" applyAlignment="1">
      <alignment horizontal="right" vertical="center"/>
    </xf>
    <xf numFmtId="41" fontId="21" fillId="2" borderId="0" xfId="5" applyNumberFormat="1" applyFont="1" applyFill="1"/>
    <xf numFmtId="44" fontId="20" fillId="0" borderId="0" xfId="5" applyNumberFormat="1" applyFont="1" applyAlignment="1">
      <alignment horizontal="right"/>
    </xf>
    <xf numFmtId="44" fontId="5" fillId="0" borderId="0" xfId="5" applyNumberFormat="1" applyFont="1" applyAlignment="1">
      <alignment horizontal="right"/>
    </xf>
    <xf numFmtId="41" fontId="6" fillId="0" borderId="0" xfId="5" applyNumberFormat="1" applyFont="1"/>
    <xf numFmtId="0" fontId="6" fillId="0" borderId="0" xfId="5" applyFont="1"/>
    <xf numFmtId="41" fontId="10" fillId="0" borderId="0" xfId="5" applyNumberFormat="1" applyFont="1"/>
    <xf numFmtId="44" fontId="5" fillId="0" borderId="0" xfId="5" applyNumberFormat="1" applyFont="1"/>
    <xf numFmtId="164" fontId="5" fillId="0" borderId="0" xfId="5" applyNumberFormat="1" applyFont="1" applyAlignment="1">
      <alignment horizontal="right" vertical="center"/>
    </xf>
    <xf numFmtId="0" fontId="5" fillId="0" borderId="0" xfId="5" applyFont="1" applyAlignment="1">
      <alignment horizontal="left" indent="1"/>
    </xf>
    <xf numFmtId="164" fontId="5" fillId="0" borderId="0" xfId="5" quotePrefix="1" applyNumberFormat="1" applyFont="1" applyAlignment="1">
      <alignment horizontal="right" vertical="center"/>
    </xf>
    <xf numFmtId="0" fontId="5" fillId="0" borderId="0" xfId="5" quotePrefix="1" applyFont="1" applyAlignment="1">
      <alignment horizontal="left" indent="1"/>
    </xf>
    <xf numFmtId="41" fontId="10" fillId="2" borderId="0" xfId="5" applyNumberFormat="1" applyFont="1" applyFill="1"/>
    <xf numFmtId="168" fontId="5" fillId="0" borderId="0" xfId="5" applyNumberFormat="1" applyFont="1"/>
    <xf numFmtId="164" fontId="14" fillId="0" borderId="0" xfId="5" applyNumberFormat="1" applyFont="1" applyAlignment="1">
      <alignment horizontal="right" vertical="center"/>
    </xf>
    <xf numFmtId="164" fontId="5" fillId="0" borderId="0" xfId="5" applyNumberFormat="1" applyFont="1" applyAlignment="1">
      <alignment vertical="center"/>
    </xf>
    <xf numFmtId="44" fontId="5" fillId="0" borderId="5" xfId="5" applyNumberFormat="1" applyFont="1" applyBorder="1"/>
    <xf numFmtId="43" fontId="10" fillId="0" borderId="9" xfId="5" applyNumberFormat="1" applyFont="1" applyBorder="1" applyAlignment="1">
      <alignment horizontal="right" vertical="center"/>
    </xf>
    <xf numFmtId="43" fontId="10" fillId="0" borderId="9" xfId="15" applyFont="1" applyFill="1" applyBorder="1"/>
    <xf numFmtId="0" fontId="5" fillId="0" borderId="8" xfId="5" applyFont="1" applyBorder="1" applyAlignment="1">
      <alignment horizontal="center"/>
    </xf>
    <xf numFmtId="44" fontId="5" fillId="0" borderId="6" xfId="5" applyNumberFormat="1" applyFont="1" applyBorder="1"/>
    <xf numFmtId="43" fontId="10" fillId="0" borderId="0" xfId="5" applyNumberFormat="1" applyFont="1" applyAlignment="1">
      <alignment horizontal="right" vertical="center"/>
    </xf>
    <xf numFmtId="43" fontId="10" fillId="0" borderId="0" xfId="15" applyFont="1" applyFill="1" applyBorder="1"/>
    <xf numFmtId="0" fontId="5" fillId="0" borderId="7" xfId="5" applyFont="1" applyBorder="1" applyAlignment="1">
      <alignment horizontal="center"/>
    </xf>
    <xf numFmtId="0" fontId="5" fillId="0" borderId="0" xfId="5" quotePrefix="1" applyFont="1" applyAlignment="1">
      <alignment horizontal="right" vertical="center" wrapText="1"/>
    </xf>
    <xf numFmtId="0" fontId="5" fillId="0" borderId="0" xfId="5" applyFont="1" applyAlignment="1">
      <alignment horizontal="center" wrapText="1"/>
    </xf>
    <xf numFmtId="0" fontId="26" fillId="0" borderId="7" xfId="5" applyFont="1" applyBorder="1" applyAlignment="1">
      <alignment horizontal="center"/>
    </xf>
    <xf numFmtId="0" fontId="5" fillId="0" borderId="16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center" vertical="center"/>
    </xf>
    <xf numFmtId="0" fontId="5" fillId="0" borderId="17" xfId="5" applyFont="1" applyBorder="1" applyAlignment="1">
      <alignment horizontal="center" wrapText="1"/>
    </xf>
    <xf numFmtId="0" fontId="5" fillId="0" borderId="6" xfId="5" applyFont="1" applyBorder="1"/>
    <xf numFmtId="0" fontId="5" fillId="0" borderId="7" xfId="5" applyFont="1" applyBorder="1"/>
    <xf numFmtId="0" fontId="5" fillId="0" borderId="0" xfId="5" quotePrefix="1" applyFont="1" applyAlignment="1">
      <alignment horizontal="center" vertical="center" wrapText="1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5" fillId="0" borderId="4" xfId="5" quotePrefix="1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4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6" xfId="5" applyFont="1" applyBorder="1" applyAlignment="1">
      <alignment horizontal="center" wrapText="1"/>
    </xf>
    <xf numFmtId="0" fontId="4" fillId="0" borderId="0" xfId="5" applyFont="1" applyAlignment="1">
      <alignment horizontal="center" wrapText="1"/>
    </xf>
    <xf numFmtId="0" fontId="4" fillId="0" borderId="7" xfId="5" applyFont="1" applyBorder="1" applyAlignment="1">
      <alignment horizontal="center" wrapText="1"/>
    </xf>
    <xf numFmtId="0" fontId="4" fillId="0" borderId="1" xfId="5" quotePrefix="1" applyFont="1" applyBorder="1" applyAlignment="1">
      <alignment horizontal="center" wrapText="1"/>
    </xf>
    <xf numFmtId="0" fontId="4" fillId="0" borderId="0" xfId="5" applyFont="1"/>
    <xf numFmtId="0" fontId="11" fillId="0" borderId="0" xfId="5" applyFont="1" applyAlignment="1">
      <alignment horizontal="centerContinuous" vertical="center"/>
    </xf>
    <xf numFmtId="0" fontId="5" fillId="0" borderId="2" xfId="5" applyFont="1" applyBorder="1" applyAlignment="1">
      <alignment horizontal="center" wrapText="1"/>
    </xf>
    <xf numFmtId="166" fontId="10" fillId="0" borderId="2" xfId="5" applyNumberFormat="1" applyFont="1" applyBorder="1"/>
    <xf numFmtId="10" fontId="5" fillId="0" borderId="2" xfId="5" applyNumberFormat="1" applyFont="1" applyBorder="1" applyAlignment="1">
      <alignment horizontal="right"/>
    </xf>
    <xf numFmtId="10" fontId="5" fillId="0" borderId="0" xfId="5" applyNumberFormat="1" applyFont="1" applyAlignment="1">
      <alignment horizontal="right"/>
    </xf>
    <xf numFmtId="166" fontId="5" fillId="0" borderId="0" xfId="5" applyNumberFormat="1" applyFont="1"/>
    <xf numFmtId="0" fontId="7" fillId="0" borderId="0" xfId="5" applyFont="1" applyAlignment="1">
      <alignment horizontal="centerContinuous" vertical="center"/>
    </xf>
    <xf numFmtId="166" fontId="5" fillId="0" borderId="0" xfId="5" applyNumberFormat="1" applyFont="1" applyAlignment="1">
      <alignment horizontal="center" vertical="center"/>
    </xf>
    <xf numFmtId="0" fontId="7" fillId="0" borderId="1" xfId="5" quotePrefix="1" applyFont="1" applyBorder="1" applyAlignment="1">
      <alignment horizontal="center" vertical="center" wrapText="1"/>
    </xf>
    <xf numFmtId="0" fontId="4" fillId="0" borderId="1" xfId="5" quotePrefix="1" applyFont="1" applyBorder="1" applyAlignment="1">
      <alignment horizontal="centerContinuous" wrapText="1"/>
    </xf>
    <xf numFmtId="164" fontId="4" fillId="0" borderId="1" xfId="5" quotePrefix="1" applyNumberFormat="1" applyFont="1" applyBorder="1" applyAlignment="1">
      <alignment horizontal="centerContinuous" wrapText="1"/>
    </xf>
    <xf numFmtId="164" fontId="4" fillId="0" borderId="1" xfId="5" quotePrefix="1" applyNumberFormat="1" applyFont="1" applyBorder="1" applyAlignment="1">
      <alignment horizontal="center" wrapText="1"/>
    </xf>
    <xf numFmtId="0" fontId="5" fillId="0" borderId="2" xfId="5" applyFont="1" applyBorder="1" applyAlignment="1">
      <alignment horizontal="centerContinuous" wrapText="1"/>
    </xf>
    <xf numFmtId="164" fontId="5" fillId="0" borderId="2" xfId="5" applyNumberFormat="1" applyFont="1" applyBorder="1" applyAlignment="1">
      <alignment horizontal="center" wrapText="1"/>
    </xf>
    <xf numFmtId="164" fontId="5" fillId="0" borderId="2" xfId="5" quotePrefix="1" applyNumberFormat="1" applyFont="1" applyBorder="1" applyAlignment="1">
      <alignment horizontal="centerContinuous" wrapText="1"/>
    </xf>
    <xf numFmtId="0" fontId="5" fillId="0" borderId="0" xfId="5" applyFont="1" applyAlignment="1">
      <alignment horizontal="centerContinuous"/>
    </xf>
    <xf numFmtId="164" fontId="5" fillId="0" borderId="0" xfId="5" applyNumberFormat="1" applyFont="1" applyAlignment="1">
      <alignment horizontal="centerContinuous"/>
    </xf>
    <xf numFmtId="164" fontId="10" fillId="0" borderId="2" xfId="5" applyNumberFormat="1" applyFont="1" applyBorder="1"/>
    <xf numFmtId="166" fontId="10" fillId="0" borderId="2" xfId="5" applyNumberFormat="1" applyFont="1" applyBorder="1" applyAlignment="1">
      <alignment horizontal="centerContinuous"/>
    </xf>
    <xf numFmtId="165" fontId="10" fillId="0" borderId="2" xfId="5" applyNumberFormat="1" applyFont="1" applyBorder="1" applyAlignment="1">
      <alignment horizontal="centerContinuous" vertical="center"/>
    </xf>
    <xf numFmtId="165" fontId="5" fillId="0" borderId="2" xfId="5" applyNumberFormat="1" applyFont="1" applyBorder="1"/>
    <xf numFmtId="164" fontId="10" fillId="0" borderId="0" xfId="5" applyNumberFormat="1" applyFont="1"/>
    <xf numFmtId="166" fontId="10" fillId="0" borderId="0" xfId="5" applyNumberFormat="1" applyFont="1" applyAlignment="1">
      <alignment horizontal="centerContinuous"/>
    </xf>
    <xf numFmtId="0" fontId="17" fillId="0" borderId="0" xfId="5" applyFont="1" applyAlignment="1">
      <alignment horizontal="left" indent="1"/>
    </xf>
    <xf numFmtId="0" fontId="4" fillId="0" borderId="0" xfId="5" quotePrefix="1" applyFont="1" applyAlignment="1">
      <alignment horizontal="left"/>
    </xf>
    <xf numFmtId="164" fontId="5" fillId="0" borderId="2" xfId="5" applyNumberFormat="1" applyFont="1" applyBorder="1"/>
    <xf numFmtId="166" fontId="5" fillId="0" borderId="2" xfId="5" applyNumberFormat="1" applyFont="1" applyBorder="1" applyAlignment="1">
      <alignment horizontal="centerContinuous"/>
    </xf>
    <xf numFmtId="165" fontId="5" fillId="0" borderId="2" xfId="5" applyNumberFormat="1" applyFont="1" applyBorder="1" applyAlignment="1">
      <alignment horizontal="centerContinuous"/>
    </xf>
    <xf numFmtId="166" fontId="5" fillId="0" borderId="0" xfId="5" applyNumberFormat="1" applyFont="1" applyAlignment="1">
      <alignment horizontal="centerContinuous"/>
    </xf>
    <xf numFmtId="0" fontId="4" fillId="0" borderId="0" xfId="5" applyFont="1" applyAlignment="1">
      <alignment horizontal="left"/>
    </xf>
    <xf numFmtId="0" fontId="17" fillId="0" borderId="0" xfId="5" quotePrefix="1" applyFont="1" applyAlignment="1">
      <alignment horizontal="left" indent="1"/>
    </xf>
    <xf numFmtId="166" fontId="5" fillId="0" borderId="2" xfId="5" applyNumberFormat="1" applyFont="1" applyBorder="1" applyAlignment="1">
      <alignment horizontal="centerContinuous" wrapText="1"/>
    </xf>
    <xf numFmtId="0" fontId="4" fillId="0" borderId="3" xfId="5" applyFont="1" applyBorder="1" applyAlignment="1">
      <alignment horizontal="left"/>
    </xf>
    <xf numFmtId="0" fontId="5" fillId="0" borderId="3" xfId="5" applyFont="1" applyBorder="1" applyAlignment="1">
      <alignment horizontal="centerContinuous" vertical="center"/>
    </xf>
    <xf numFmtId="164" fontId="5" fillId="0" borderId="3" xfId="5" applyNumberFormat="1" applyFont="1" applyBorder="1"/>
    <xf numFmtId="166" fontId="5" fillId="0" borderId="3" xfId="5" applyNumberFormat="1" applyFont="1" applyBorder="1" applyAlignment="1">
      <alignment horizontal="centerContinuous" wrapText="1"/>
    </xf>
    <xf numFmtId="166" fontId="5" fillId="0" borderId="3" xfId="5" applyNumberFormat="1" applyFont="1" applyBorder="1"/>
    <xf numFmtId="10" fontId="5" fillId="0" borderId="3" xfId="5" applyNumberFormat="1" applyFont="1" applyBorder="1" applyAlignment="1">
      <alignment horizontal="right"/>
    </xf>
    <xf numFmtId="164" fontId="6" fillId="0" borderId="0" xfId="5" applyNumberFormat="1" applyFont="1"/>
    <xf numFmtId="164" fontId="6" fillId="0" borderId="0" xfId="5" applyNumberFormat="1" applyFont="1" applyAlignment="1">
      <alignment horizontal="centerContinuous"/>
    </xf>
    <xf numFmtId="172" fontId="5" fillId="0" borderId="0" xfId="5" applyNumberFormat="1" applyFont="1" applyAlignment="1">
      <alignment horizontal="centerContinuous"/>
    </xf>
    <xf numFmtId="44" fontId="19" fillId="0" borderId="0" xfId="5" quotePrefix="1" applyNumberFormat="1" applyFont="1" applyAlignment="1">
      <alignment horizontal="centerContinuous" vertical="center"/>
    </xf>
    <xf numFmtId="44" fontId="10" fillId="0" borderId="0" xfId="5" applyNumberFormat="1" applyFont="1" applyAlignment="1">
      <alignment horizontal="center" vertical="center"/>
    </xf>
    <xf numFmtId="43" fontId="5" fillId="0" borderId="0" xfId="5" quotePrefix="1" applyNumberFormat="1" applyFont="1"/>
    <xf numFmtId="10" fontId="5" fillId="0" borderId="0" xfId="5" applyNumberFormat="1" applyFont="1"/>
    <xf numFmtId="0" fontId="5" fillId="0" borderId="0" xfId="0" applyFont="1" applyAlignment="1">
      <alignment horizontal="left" vertical="center"/>
    </xf>
    <xf numFmtId="164" fontId="4" fillId="0" borderId="3" xfId="12" applyNumberFormat="1" applyFont="1" applyBorder="1"/>
    <xf numFmtId="164" fontId="6" fillId="0" borderId="9" xfId="12" applyNumberFormat="1" applyFont="1" applyBorder="1"/>
    <xf numFmtId="165" fontId="6" fillId="0" borderId="9" xfId="12" applyNumberFormat="1" applyFont="1" applyBorder="1"/>
    <xf numFmtId="1" fontId="4" fillId="0" borderId="9" xfId="12" applyNumberFormat="1" applyFont="1" applyBorder="1" applyAlignment="1">
      <alignment horizontal="center" vertical="center"/>
    </xf>
    <xf numFmtId="1" fontId="5" fillId="0" borderId="12" xfId="12" applyNumberFormat="1" applyFont="1" applyBorder="1" applyAlignment="1">
      <alignment horizontal="center" vertical="center"/>
    </xf>
    <xf numFmtId="1" fontId="10" fillId="0" borderId="0" xfId="12" applyNumberFormat="1" applyFont="1" applyAlignment="1">
      <alignment horizontal="center" vertical="center"/>
    </xf>
    <xf numFmtId="1" fontId="5" fillId="0" borderId="0" xfId="12" applyNumberFormat="1" applyFont="1" applyAlignment="1">
      <alignment horizontal="center" vertical="center"/>
    </xf>
    <xf numFmtId="1" fontId="5" fillId="0" borderId="0" xfId="12" quotePrefix="1" applyNumberFormat="1" applyFont="1" applyAlignment="1">
      <alignment horizontal="center" vertical="center"/>
    </xf>
    <xf numFmtId="1" fontId="14" fillId="0" borderId="0" xfId="0" quotePrefix="1" applyNumberFormat="1" applyFont="1" applyAlignment="1">
      <alignment horizontal="center" vertical="center"/>
    </xf>
    <xf numFmtId="0" fontId="27" fillId="0" borderId="0" xfId="12" applyFont="1"/>
    <xf numFmtId="164" fontId="5" fillId="0" borderId="2" xfId="0" applyNumberFormat="1" applyFont="1" applyBorder="1"/>
    <xf numFmtId="43" fontId="9" fillId="0" borderId="2" xfId="12" applyNumberFormat="1" applyFont="1" applyBorder="1"/>
    <xf numFmtId="169" fontId="5" fillId="0" borderId="2" xfId="12" applyNumberFormat="1" applyFont="1" applyBorder="1"/>
    <xf numFmtId="165" fontId="5" fillId="0" borderId="2" xfId="12" applyNumberFormat="1" applyFont="1" applyBorder="1"/>
    <xf numFmtId="166" fontId="5" fillId="0" borderId="2" xfId="12" applyNumberFormat="1" applyFont="1" applyBorder="1" applyAlignment="1">
      <alignment horizontal="center"/>
    </xf>
    <xf numFmtId="166" fontId="5" fillId="0" borderId="0" xfId="0" applyNumberFormat="1" applyFont="1"/>
    <xf numFmtId="0" fontId="15" fillId="0" borderId="9" xfId="0" applyFont="1" applyBorder="1" applyAlignment="1">
      <alignment horizontal="center" wrapText="1"/>
    </xf>
    <xf numFmtId="166" fontId="5" fillId="0" borderId="7" xfId="12" applyNumberFormat="1" applyFont="1" applyBorder="1" applyAlignment="1">
      <alignment horizontal="center"/>
    </xf>
    <xf numFmtId="9" fontId="5" fillId="0" borderId="6" xfId="8" applyFont="1" applyBorder="1"/>
    <xf numFmtId="44" fontId="5" fillId="0" borderId="7" xfId="12" applyNumberFormat="1" applyFont="1" applyBorder="1" applyAlignment="1">
      <alignment horizontal="center"/>
    </xf>
    <xf numFmtId="166" fontId="5" fillId="0" borderId="8" xfId="12" applyNumberFormat="1" applyFont="1" applyBorder="1" applyAlignment="1">
      <alignment horizontal="center"/>
    </xf>
    <xf numFmtId="9" fontId="5" fillId="0" borderId="5" xfId="0" applyNumberFormat="1" applyFont="1" applyBorder="1"/>
    <xf numFmtId="0" fontId="26" fillId="0" borderId="11" xfId="0" applyFont="1" applyBorder="1"/>
    <xf numFmtId="0" fontId="26" fillId="0" borderId="13" xfId="0" applyFont="1" applyBorder="1"/>
    <xf numFmtId="0" fontId="26" fillId="0" borderId="8" xfId="0" applyFont="1" applyBorder="1"/>
    <xf numFmtId="0" fontId="26" fillId="0" borderId="9" xfId="0" applyFont="1" applyBorder="1"/>
    <xf numFmtId="0" fontId="26" fillId="0" borderId="5" xfId="0" applyFont="1" applyBorder="1"/>
    <xf numFmtId="164" fontId="11" fillId="3" borderId="12" xfId="0" applyNumberFormat="1" applyFont="1" applyFill="1" applyBorder="1" applyProtection="1">
      <protection locked="0"/>
    </xf>
    <xf numFmtId="164" fontId="9" fillId="4" borderId="3" xfId="12" applyNumberFormat="1" applyFont="1" applyFill="1" applyBorder="1"/>
    <xf numFmtId="166" fontId="14" fillId="0" borderId="2" xfId="5" applyNumberFormat="1" applyFont="1" applyBorder="1" applyAlignment="1">
      <alignment horizontal="centerContinuous"/>
    </xf>
    <xf numFmtId="166" fontId="14" fillId="0" borderId="0" xfId="5" applyNumberFormat="1" applyFont="1" applyAlignment="1">
      <alignment horizontal="centerContinuous"/>
    </xf>
    <xf numFmtId="165" fontId="10" fillId="0" borderId="0" xfId="5" applyNumberFormat="1" applyFont="1" applyAlignment="1">
      <alignment horizontal="centerContinuous" vertical="center"/>
    </xf>
    <xf numFmtId="165" fontId="10" fillId="0" borderId="1" xfId="5" applyNumberFormat="1" applyFont="1" applyBorder="1" applyAlignment="1">
      <alignment horizontal="centerContinuous" vertical="center"/>
    </xf>
    <xf numFmtId="44" fontId="10" fillId="0" borderId="0" xfId="16" applyNumberFormat="1" applyFont="1"/>
    <xf numFmtId="44" fontId="19" fillId="0" borderId="0" xfId="5" quotePrefix="1" applyNumberFormat="1" applyFont="1" applyAlignment="1">
      <alignment horizontal="center" vertical="center"/>
    </xf>
    <xf numFmtId="44" fontId="19" fillId="0" borderId="0" xfId="5" quotePrefix="1" applyNumberFormat="1" applyFont="1" applyAlignment="1">
      <alignment horizontal="centerContinuous"/>
    </xf>
    <xf numFmtId="44" fontId="19" fillId="0" borderId="0" xfId="5" applyNumberFormat="1" applyFont="1" applyAlignment="1">
      <alignment horizontal="centerContinuous"/>
    </xf>
    <xf numFmtId="44" fontId="19" fillId="0" borderId="0" xfId="5" applyNumberFormat="1" applyFont="1" applyAlignment="1">
      <alignment horizontal="center" wrapText="1"/>
    </xf>
    <xf numFmtId="44" fontId="19" fillId="0" borderId="0" xfId="17" applyNumberFormat="1" applyFont="1" applyAlignment="1">
      <alignment horizontal="center" wrapText="1"/>
    </xf>
    <xf numFmtId="44" fontId="19" fillId="0" borderId="0" xfId="5" applyNumberFormat="1" applyFont="1" applyAlignment="1">
      <alignment horizontal="center"/>
    </xf>
    <xf numFmtId="44" fontId="5" fillId="0" borderId="0" xfId="5" applyNumberFormat="1" applyFont="1" applyAlignment="1">
      <alignment horizontal="center" vertical="center"/>
    </xf>
    <xf numFmtId="10" fontId="5" fillId="0" borderId="0" xfId="5" quotePrefix="1" applyNumberFormat="1" applyFont="1"/>
    <xf numFmtId="171" fontId="5" fillId="0" borderId="1" xfId="0" applyNumberFormat="1" applyFont="1" applyBorder="1" applyAlignment="1">
      <alignment horizontal="center"/>
    </xf>
    <xf numFmtId="0" fontId="14" fillId="0" borderId="0" xfId="0" applyFont="1"/>
    <xf numFmtId="0" fontId="10" fillId="0" borderId="0" xfId="0" applyFont="1"/>
    <xf numFmtId="0" fontId="23" fillId="0" borderId="0" xfId="0" applyFont="1"/>
    <xf numFmtId="0" fontId="5" fillId="0" borderId="0" xfId="16" applyFont="1"/>
    <xf numFmtId="0" fontId="5" fillId="0" borderId="0" xfId="16" applyFont="1" applyAlignment="1">
      <alignment vertical="top"/>
    </xf>
    <xf numFmtId="0" fontId="5" fillId="0" borderId="0" xfId="16" applyFont="1" applyAlignment="1">
      <alignment horizontal="center" vertical="center"/>
    </xf>
    <xf numFmtId="166" fontId="23" fillId="0" borderId="3" xfId="16" applyNumberFormat="1" applyFont="1" applyBorder="1"/>
    <xf numFmtId="0" fontId="23" fillId="0" borderId="0" xfId="16" quotePrefix="1" applyFont="1" applyAlignment="1">
      <alignment horizontal="left"/>
    </xf>
    <xf numFmtId="0" fontId="5" fillId="0" borderId="0" xfId="16" applyFont="1" applyAlignment="1">
      <alignment horizontal="left"/>
    </xf>
    <xf numFmtId="166" fontId="23" fillId="0" borderId="0" xfId="16" applyNumberFormat="1" applyFont="1"/>
    <xf numFmtId="0" fontId="23" fillId="0" borderId="0" xfId="16" applyFont="1" applyAlignment="1">
      <alignment horizontal="left"/>
    </xf>
    <xf numFmtId="0" fontId="5" fillId="0" borderId="0" xfId="16" applyFont="1" applyAlignment="1">
      <alignment horizontal="left" vertical="center"/>
    </xf>
    <xf numFmtId="44" fontId="23" fillId="0" borderId="0" xfId="16" applyNumberFormat="1" applyFont="1"/>
    <xf numFmtId="0" fontId="23" fillId="0" borderId="0" xfId="16" applyFont="1" applyAlignment="1">
      <alignment horizontal="center"/>
    </xf>
    <xf numFmtId="44" fontId="23" fillId="0" borderId="2" xfId="16" applyNumberFormat="1" applyFont="1" applyBorder="1"/>
    <xf numFmtId="0" fontId="23" fillId="0" borderId="0" xfId="16" quotePrefix="1" applyFont="1" applyAlignment="1">
      <alignment horizontal="center"/>
    </xf>
    <xf numFmtId="0" fontId="5" fillId="0" borderId="0" xfId="16" quotePrefix="1" applyFont="1" applyAlignment="1">
      <alignment horizontal="left"/>
    </xf>
    <xf numFmtId="0" fontId="5" fillId="0" borderId="0" xfId="16" applyFont="1" applyAlignment="1">
      <alignment horizontal="center"/>
    </xf>
    <xf numFmtId="0" fontId="5" fillId="0" borderId="0" xfId="16" applyFont="1" applyAlignment="1">
      <alignment horizontal="left" vertical="center" indent="1"/>
    </xf>
    <xf numFmtId="0" fontId="5" fillId="0" borderId="0" xfId="16" quotePrefix="1" applyFont="1" applyAlignment="1">
      <alignment horizontal="center"/>
    </xf>
    <xf numFmtId="44" fontId="10" fillId="0" borderId="2" xfId="16" applyNumberFormat="1" applyFont="1" applyBorder="1"/>
    <xf numFmtId="0" fontId="23" fillId="0" borderId="0" xfId="16" applyFont="1"/>
    <xf numFmtId="0" fontId="24" fillId="0" borderId="0" xfId="16" applyFont="1" applyAlignment="1">
      <alignment horizontal="left" wrapText="1"/>
    </xf>
    <xf numFmtId="0" fontId="17" fillId="0" borderId="0" xfId="16" applyFont="1" applyAlignment="1">
      <alignment horizontal="left" wrapText="1"/>
    </xf>
    <xf numFmtId="0" fontId="10" fillId="0" borderId="0" xfId="16" applyFont="1" applyAlignment="1">
      <alignment horizontal="center"/>
    </xf>
    <xf numFmtId="166" fontId="10" fillId="0" borderId="0" xfId="16" applyNumberFormat="1" applyFont="1"/>
    <xf numFmtId="166" fontId="10" fillId="0" borderId="2" xfId="16" applyNumberFormat="1" applyFont="1" applyBorder="1"/>
    <xf numFmtId="0" fontId="10" fillId="0" borderId="0" xfId="16" quotePrefix="1" applyFont="1" applyAlignment="1">
      <alignment horizontal="center"/>
    </xf>
    <xf numFmtId="0" fontId="14" fillId="0" borderId="0" xfId="16" applyFont="1" applyAlignment="1">
      <alignment horizontal="center"/>
    </xf>
    <xf numFmtId="166" fontId="8" fillId="0" borderId="0" xfId="16" applyNumberFormat="1" applyFont="1" applyAlignment="1">
      <alignment horizontal="center"/>
    </xf>
    <xf numFmtId="0" fontId="4" fillId="0" borderId="0" xfId="16" applyFont="1"/>
    <xf numFmtId="0" fontId="5" fillId="0" borderId="0" xfId="16" quotePrefix="1" applyFont="1" applyAlignment="1">
      <alignment horizontal="center" wrapText="1"/>
    </xf>
    <xf numFmtId="0" fontId="5" fillId="0" borderId="1" xfId="16" quotePrefix="1" applyFont="1" applyBorder="1" applyAlignment="1">
      <alignment horizontal="center" wrapText="1"/>
    </xf>
    <xf numFmtId="0" fontId="5" fillId="0" borderId="2" xfId="16" applyFont="1" applyBorder="1" applyAlignment="1">
      <alignment horizontal="center" wrapText="1"/>
    </xf>
    <xf numFmtId="0" fontId="5" fillId="0" borderId="2" xfId="16" applyFont="1" applyBorder="1" applyAlignment="1">
      <alignment horizontal="center"/>
    </xf>
    <xf numFmtId="0" fontId="5" fillId="0" borderId="2" xfId="16" quotePrefix="1" applyFont="1" applyBorder="1" applyAlignment="1">
      <alignment horizontal="center" wrapText="1"/>
    </xf>
    <xf numFmtId="14" fontId="4" fillId="0" borderId="2" xfId="16" quotePrefix="1" applyNumberFormat="1" applyFont="1" applyBorder="1" applyAlignment="1">
      <alignment horizontal="center" wrapText="1"/>
    </xf>
    <xf numFmtId="0" fontId="4" fillId="0" borderId="2" xfId="16" applyFont="1" applyBorder="1" applyAlignment="1">
      <alignment horizontal="center" wrapText="1"/>
    </xf>
    <xf numFmtId="0" fontId="4" fillId="0" borderId="1" xfId="16" applyFont="1" applyBorder="1" applyAlignment="1">
      <alignment horizontal="center" wrapText="1"/>
    </xf>
    <xf numFmtId="0" fontId="4" fillId="0" borderId="1" xfId="16" quotePrefix="1" applyFont="1" applyBorder="1" applyAlignment="1">
      <alignment horizontal="center" wrapText="1"/>
    </xf>
    <xf numFmtId="0" fontId="10" fillId="0" borderId="0" xfId="16" applyFont="1"/>
    <xf numFmtId="0" fontId="9" fillId="0" borderId="0" xfId="16" applyFont="1" applyAlignment="1">
      <alignment horizontal="centerContinuous"/>
    </xf>
    <xf numFmtId="0" fontId="4" fillId="0" borderId="0" xfId="16" applyFont="1" applyAlignment="1">
      <alignment horizontal="centerContinuous"/>
    </xf>
    <xf numFmtId="0" fontId="15" fillId="0" borderId="0" xfId="16" applyFont="1" applyAlignment="1">
      <alignment horizontal="centerContinuous"/>
    </xf>
    <xf numFmtId="0" fontId="11" fillId="0" borderId="0" xfId="16" applyFont="1" applyAlignment="1">
      <alignment horizontal="centerContinuous"/>
    </xf>
    <xf numFmtId="166" fontId="14" fillId="0" borderId="0" xfId="5" applyNumberFormat="1" applyFont="1"/>
    <xf numFmtId="0" fontId="10" fillId="0" borderId="0" xfId="5" applyFont="1" applyAlignment="1">
      <alignment horizontal="centerContinuous" vertical="center"/>
    </xf>
    <xf numFmtId="0" fontId="10" fillId="0" borderId="0" xfId="5" quotePrefix="1" applyFont="1" applyAlignment="1">
      <alignment horizontal="center" vertical="center"/>
    </xf>
    <xf numFmtId="173" fontId="10" fillId="2" borderId="0" xfId="5" applyNumberFormat="1" applyFont="1" applyFill="1"/>
    <xf numFmtId="173" fontId="5" fillId="0" borderId="0" xfId="5" applyNumberFormat="1" applyFont="1"/>
    <xf numFmtId="173" fontId="5" fillId="0" borderId="9" xfId="5" applyNumberFormat="1" applyFont="1" applyBorder="1"/>
    <xf numFmtId="173" fontId="5" fillId="2" borderId="0" xfId="5" applyNumberFormat="1" applyFont="1" applyFill="1"/>
    <xf numFmtId="174" fontId="6" fillId="0" borderId="0" xfId="5" applyNumberFormat="1" applyFont="1"/>
    <xf numFmtId="0" fontId="4" fillId="2" borderId="10" xfId="5" applyFont="1" applyFill="1" applyBorder="1" applyAlignment="1">
      <alignment horizontal="center" wrapText="1"/>
    </xf>
    <xf numFmtId="0" fontId="1" fillId="0" borderId="14" xfId="5" applyBorder="1" applyAlignment="1">
      <alignment horizontal="center" wrapText="1"/>
    </xf>
    <xf numFmtId="0" fontId="1" fillId="0" borderId="15" xfId="5" applyBorder="1" applyAlignment="1">
      <alignment horizontal="center" wrapText="1"/>
    </xf>
    <xf numFmtId="0" fontId="4" fillId="2" borderId="10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164" fontId="9" fillId="0" borderId="1" xfId="5" quotePrefix="1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0" xfId="5" applyFont="1" applyAlignment="1">
      <alignment horizontal="left" vertical="top" wrapText="1"/>
    </xf>
    <xf numFmtId="0" fontId="4" fillId="0" borderId="0" xfId="5" applyFont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0" fillId="0" borderId="13" xfId="0" applyBorder="1" applyAlignment="1">
      <alignment wrapText="1"/>
    </xf>
  </cellXfs>
  <cellStyles count="18">
    <cellStyle name="Comma 10" xfId="6" xr:uid="{00000000-0005-0000-0000-000000000000}"/>
    <cellStyle name="Comma 2" xfId="15" xr:uid="{288C8069-721B-482E-9F61-75438F69F721}"/>
    <cellStyle name="Currency 2" xfId="2" xr:uid="{00000000-0005-0000-0000-000001000000}"/>
    <cellStyle name="Currency 2 12" xfId="3" xr:uid="{00000000-0005-0000-0000-000002000000}"/>
    <cellStyle name="Currency 3" xfId="13" xr:uid="{00000000-0005-0000-0000-000003000000}"/>
    <cellStyle name="Normal" xfId="0" builtinId="0"/>
    <cellStyle name="Normal - Style1 2 2 2 2" xfId="17" xr:uid="{07F81FA4-EBD2-45C7-AC49-A345912D87E5}"/>
    <cellStyle name="Normal 2" xfId="1" xr:uid="{00000000-0005-0000-0000-000005000000}"/>
    <cellStyle name="Normal 2 10" xfId="5" xr:uid="{00000000-0005-0000-0000-000006000000}"/>
    <cellStyle name="Normal 2 2" xfId="7" xr:uid="{00000000-0005-0000-0000-000007000000}"/>
    <cellStyle name="Normal 2 3" xfId="9" xr:uid="{00000000-0005-0000-0000-000008000000}"/>
    <cellStyle name="Normal 3" xfId="10" xr:uid="{00000000-0005-0000-0000-000009000000}"/>
    <cellStyle name="Normal 31" xfId="11" xr:uid="{00000000-0005-0000-0000-00000A000000}"/>
    <cellStyle name="Normal 4" xfId="12" xr:uid="{00000000-0005-0000-0000-00000B000000}"/>
    <cellStyle name="Normal 5" xfId="14" xr:uid="{00000000-0005-0000-0000-00000C000000}"/>
    <cellStyle name="Normal 5 2" xfId="16" xr:uid="{CAD80EA6-6B4A-4EEF-A418-A5234B001196}"/>
    <cellStyle name="Normal 510" xfId="4" xr:uid="{00000000-0005-0000-0000-00000D000000}"/>
    <cellStyle name="Percent 2" xfId="8" xr:uid="{00000000-0005-0000-0000-00000E000000}"/>
  </cellStyles>
  <dxfs count="0"/>
  <tableStyles count="0" defaultTableStyle="TableStyleMedium2" defaultPivotStyle="PivotStyleLight16"/>
  <colors>
    <mruColors>
      <color rgb="FF008080"/>
      <color rgb="FF0033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8EFB-B47D-4EE6-825A-DA5AFBB405FA}">
  <sheetPr>
    <tabColor theme="6" tint="0.79998168889431442"/>
  </sheetPr>
  <dimension ref="A1:L74"/>
  <sheetViews>
    <sheetView tabSelected="1" zoomScaleNormal="100" workbookViewId="0">
      <pane ySplit="6" topLeftCell="A7" activePane="bottomLeft" state="frozen"/>
      <selection activeCell="L78" sqref="L78"/>
      <selection pane="bottomLeft" activeCell="I16" sqref="I16"/>
    </sheetView>
  </sheetViews>
  <sheetFormatPr defaultColWidth="6.42578125" defaultRowHeight="11.25" x14ac:dyDescent="0.2"/>
  <cols>
    <col min="1" max="1" width="6.140625" style="220" bestFit="1" customWidth="1"/>
    <col min="2" max="2" width="45.7109375" style="220" bestFit="1" customWidth="1"/>
    <col min="3" max="3" width="14.42578125" style="220" bestFit="1" customWidth="1"/>
    <col min="4" max="4" width="13.5703125" style="220" customWidth="1"/>
    <col min="5" max="5" width="14.5703125" style="220" customWidth="1"/>
    <col min="6" max="6" width="16.5703125" style="220" bestFit="1" customWidth="1"/>
    <col min="7" max="7" width="2.140625" style="220" customWidth="1"/>
    <col min="8" max="8" width="14.140625" style="220" bestFit="1" customWidth="1"/>
    <col min="9" max="16384" width="6.42578125" style="220"/>
  </cols>
  <sheetData>
    <row r="1" spans="1:8" x14ac:dyDescent="0.2">
      <c r="A1" s="261" t="s">
        <v>52</v>
      </c>
      <c r="B1" s="259"/>
      <c r="C1" s="259"/>
      <c r="D1" s="259"/>
      <c r="E1" s="259"/>
      <c r="H1" s="216" t="s">
        <v>185</v>
      </c>
    </row>
    <row r="2" spans="1:8" x14ac:dyDescent="0.2">
      <c r="A2" s="260" t="s">
        <v>244</v>
      </c>
      <c r="B2" s="259"/>
      <c r="C2" s="259"/>
      <c r="D2" s="259"/>
      <c r="E2" s="259"/>
      <c r="H2" s="217" t="s">
        <v>186</v>
      </c>
    </row>
    <row r="3" spans="1:8" s="257" customFormat="1" x14ac:dyDescent="0.2">
      <c r="A3" s="259" t="str">
        <f>"Effective "&amp;TEXT(Inputs!B2,"mmmm d, yyyy")&amp;" - "&amp;TEXT(Inputs!B5,"mmmm d, yyyy")</f>
        <v>Effective January 1, 2026 - December 31, 2026</v>
      </c>
      <c r="B3" s="259"/>
      <c r="C3" s="258"/>
      <c r="D3" s="258"/>
      <c r="E3" s="258"/>
      <c r="H3" s="218" t="s">
        <v>187</v>
      </c>
    </row>
    <row r="4" spans="1:8" x14ac:dyDescent="0.2">
      <c r="A4" s="236"/>
      <c r="B4" s="236"/>
      <c r="C4" s="234"/>
      <c r="D4" s="234"/>
      <c r="E4" s="234"/>
      <c r="H4" s="6" t="s">
        <v>188</v>
      </c>
    </row>
    <row r="5" spans="1:8" ht="13.5" customHeight="1" x14ac:dyDescent="0.2">
      <c r="A5" s="236"/>
      <c r="B5" s="236"/>
      <c r="C5" s="234"/>
      <c r="D5" s="234"/>
      <c r="E5" s="234"/>
      <c r="H5" s="219" t="s">
        <v>189</v>
      </c>
    </row>
    <row r="6" spans="1:8" s="247" customFormat="1" ht="22.5" x14ac:dyDescent="0.2">
      <c r="A6" s="255" t="s">
        <v>0</v>
      </c>
      <c r="B6" s="255" t="s">
        <v>112</v>
      </c>
      <c r="C6" s="255" t="s">
        <v>113</v>
      </c>
      <c r="D6" s="256" t="s">
        <v>114</v>
      </c>
      <c r="E6" s="256" t="s">
        <v>115</v>
      </c>
      <c r="F6" s="255" t="s">
        <v>157</v>
      </c>
    </row>
    <row r="7" spans="1:8" s="247" customFormat="1" x14ac:dyDescent="0.2">
      <c r="A7" s="254"/>
      <c r="B7" s="254"/>
      <c r="C7" s="254"/>
      <c r="D7" s="253">
        <f>Inputs!B1</f>
        <v>45658</v>
      </c>
      <c r="E7" s="253">
        <f>Inputs!B2</f>
        <v>46023</v>
      </c>
      <c r="F7" s="252"/>
    </row>
    <row r="8" spans="1:8" s="247" customFormat="1" x14ac:dyDescent="0.2">
      <c r="A8" s="251"/>
      <c r="B8" s="250" t="s">
        <v>55</v>
      </c>
      <c r="C8" s="249" t="s">
        <v>93</v>
      </c>
      <c r="D8" s="249" t="s">
        <v>56</v>
      </c>
      <c r="E8" s="249" t="s">
        <v>94</v>
      </c>
      <c r="F8" s="249" t="s">
        <v>57</v>
      </c>
    </row>
    <row r="9" spans="1:8" s="247" customFormat="1" x14ac:dyDescent="0.2">
      <c r="A9" s="234">
        <v>1</v>
      </c>
      <c r="B9" s="240" t="s">
        <v>116</v>
      </c>
      <c r="C9" s="240"/>
      <c r="D9" s="248"/>
      <c r="E9" s="248"/>
    </row>
    <row r="10" spans="1:8" x14ac:dyDescent="0.2">
      <c r="A10" s="222">
        <f t="shared" ref="A10:A41" si="0">+A9+1</f>
        <v>2</v>
      </c>
      <c r="B10" s="51" t="s">
        <v>190</v>
      </c>
      <c r="C10" s="241" t="s">
        <v>245</v>
      </c>
      <c r="D10" s="243">
        <f>'Rate Impacts'!$F$10</f>
        <v>2.957E-3</v>
      </c>
      <c r="E10" s="243">
        <f>'Rate Impacts'!$H$10</f>
        <v>-8.3699999999999996E-4</v>
      </c>
      <c r="F10" s="245" t="s">
        <v>87</v>
      </c>
    </row>
    <row r="11" spans="1:8" x14ac:dyDescent="0.2">
      <c r="A11" s="222">
        <f t="shared" si="0"/>
        <v>3</v>
      </c>
      <c r="B11" s="51"/>
      <c r="C11" s="241"/>
      <c r="D11" s="242"/>
      <c r="E11" s="242"/>
    </row>
    <row r="12" spans="1:8" x14ac:dyDescent="0.2">
      <c r="A12" s="222">
        <f t="shared" si="0"/>
        <v>4</v>
      </c>
      <c r="B12" s="51" t="s">
        <v>191</v>
      </c>
      <c r="C12" s="241"/>
      <c r="D12" s="242"/>
      <c r="E12" s="242"/>
    </row>
    <row r="13" spans="1:8" x14ac:dyDescent="0.2">
      <c r="A13" s="222">
        <f t="shared" si="0"/>
        <v>5</v>
      </c>
      <c r="B13" s="52" t="s">
        <v>251</v>
      </c>
      <c r="C13" s="241" t="s">
        <v>246</v>
      </c>
      <c r="D13" s="242">
        <f>'Rate Impacts'!$F$13</f>
        <v>2.6870000000000002E-3</v>
      </c>
      <c r="E13" s="242">
        <f>'Rate Impacts'!$H$13</f>
        <v>-7.8399999999999997E-4</v>
      </c>
      <c r="F13" s="234" t="str">
        <f>$F$10</f>
        <v>Sheet No. 141COL-B</v>
      </c>
    </row>
    <row r="14" spans="1:8" x14ac:dyDescent="0.2">
      <c r="A14" s="222">
        <f t="shared" si="0"/>
        <v>6</v>
      </c>
      <c r="B14" s="52" t="s">
        <v>252</v>
      </c>
      <c r="C14" s="241" t="s">
        <v>117</v>
      </c>
      <c r="D14" s="242">
        <f>'Rate Impacts'!$F$14</f>
        <v>5.2300000000000003E-4</v>
      </c>
      <c r="E14" s="242">
        <f>'Rate Impacts'!$H$14</f>
        <v>-2.3499999999999999E-4</v>
      </c>
      <c r="F14" s="234" t="str">
        <f>$F$10</f>
        <v>Sheet No. 141COL-B</v>
      </c>
    </row>
    <row r="15" spans="1:8" x14ac:dyDescent="0.2">
      <c r="A15" s="222">
        <f t="shared" si="0"/>
        <v>7</v>
      </c>
      <c r="B15" s="52" t="s">
        <v>253</v>
      </c>
      <c r="C15" s="241" t="s">
        <v>247</v>
      </c>
      <c r="D15" s="242">
        <f>'Rate Impacts'!$F$15</f>
        <v>4.4099999999999999E-4</v>
      </c>
      <c r="E15" s="242">
        <f>'Rate Impacts'!$H$15</f>
        <v>-1.9799999999999999E-4</v>
      </c>
      <c r="F15" s="234" t="str">
        <f>$F$10</f>
        <v>Sheet No. 141COL-B</v>
      </c>
    </row>
    <row r="16" spans="1:8" x14ac:dyDescent="0.2">
      <c r="A16" s="222">
        <f t="shared" si="0"/>
        <v>8</v>
      </c>
      <c r="B16" s="52" t="s">
        <v>254</v>
      </c>
      <c r="C16" s="241">
        <v>29</v>
      </c>
      <c r="D16" s="242">
        <f>'Rate Impacts'!$F$16</f>
        <v>5.7799999999999995E-4</v>
      </c>
      <c r="E16" s="242">
        <f>'Rate Impacts'!$H$16</f>
        <v>-2.12E-4</v>
      </c>
      <c r="F16" s="245" t="s">
        <v>88</v>
      </c>
    </row>
    <row r="17" spans="1:6" x14ac:dyDescent="0.2">
      <c r="A17" s="222">
        <f t="shared" si="0"/>
        <v>9</v>
      </c>
      <c r="B17" s="52"/>
      <c r="C17" s="244"/>
      <c r="D17" s="243"/>
      <c r="E17" s="243"/>
    </row>
    <row r="18" spans="1:6" x14ac:dyDescent="0.2">
      <c r="A18" s="222">
        <f t="shared" si="0"/>
        <v>10</v>
      </c>
      <c r="B18" s="53"/>
      <c r="C18" s="244"/>
      <c r="D18" s="242"/>
      <c r="E18" s="242"/>
    </row>
    <row r="19" spans="1:6" x14ac:dyDescent="0.2">
      <c r="A19" s="222">
        <f t="shared" si="0"/>
        <v>11</v>
      </c>
      <c r="B19" s="53" t="s">
        <v>196</v>
      </c>
      <c r="C19" s="241"/>
      <c r="D19" s="242"/>
      <c r="E19" s="242"/>
    </row>
    <row r="20" spans="1:6" x14ac:dyDescent="0.2">
      <c r="A20" s="222">
        <f t="shared" si="0"/>
        <v>12</v>
      </c>
      <c r="B20" s="52" t="s">
        <v>197</v>
      </c>
      <c r="C20" s="241" t="s">
        <v>248</v>
      </c>
      <c r="D20" s="242">
        <f>'Rate Impacts'!$F$20</f>
        <v>4.55E-4</v>
      </c>
      <c r="E20" s="242">
        <f>'Rate Impacts'!$H$20</f>
        <v>-2.03E-4</v>
      </c>
      <c r="F20" s="234" t="str">
        <f>F16</f>
        <v>Sheet No. 141COL-C</v>
      </c>
    </row>
    <row r="21" spans="1:6" x14ac:dyDescent="0.2">
      <c r="A21" s="222">
        <f t="shared" si="0"/>
        <v>13</v>
      </c>
      <c r="B21" s="52" t="s">
        <v>255</v>
      </c>
      <c r="C21" s="241">
        <v>35</v>
      </c>
      <c r="D21" s="242">
        <f>'Rate Impacts'!$F$21</f>
        <v>2.5500000000000002E-4</v>
      </c>
      <c r="E21" s="242">
        <f>'Rate Impacts'!$H$21</f>
        <v>-1.2400000000000001E-4</v>
      </c>
      <c r="F21" s="234" t="str">
        <f>F20</f>
        <v>Sheet No. 141COL-C</v>
      </c>
    </row>
    <row r="22" spans="1:6" x14ac:dyDescent="0.2">
      <c r="A22" s="222">
        <f t="shared" si="0"/>
        <v>14</v>
      </c>
      <c r="B22" s="52" t="s">
        <v>256</v>
      </c>
      <c r="C22" s="241">
        <v>43</v>
      </c>
      <c r="D22" s="242">
        <f>'Rate Impacts'!$F$22</f>
        <v>1.08E-4</v>
      </c>
      <c r="E22" s="242">
        <f>'Rate Impacts'!$H$22</f>
        <v>-7.7000000000000001E-5</v>
      </c>
      <c r="F22" s="234" t="str">
        <f>F21</f>
        <v>Sheet No. 141COL-C</v>
      </c>
    </row>
    <row r="23" spans="1:6" x14ac:dyDescent="0.2">
      <c r="A23" s="222">
        <f t="shared" si="0"/>
        <v>15</v>
      </c>
      <c r="B23" s="52"/>
      <c r="C23" s="244"/>
      <c r="D23" s="243"/>
      <c r="E23" s="243"/>
    </row>
    <row r="24" spans="1:6" x14ac:dyDescent="0.2">
      <c r="A24" s="222">
        <f t="shared" si="0"/>
        <v>16</v>
      </c>
      <c r="B24" s="53"/>
      <c r="C24" s="244"/>
      <c r="D24" s="242"/>
      <c r="E24" s="242"/>
    </row>
    <row r="25" spans="1:6" x14ac:dyDescent="0.2">
      <c r="A25" s="222">
        <f t="shared" si="0"/>
        <v>17</v>
      </c>
      <c r="B25" s="53" t="s">
        <v>199</v>
      </c>
      <c r="C25" s="241"/>
      <c r="D25" s="242"/>
      <c r="E25" s="242"/>
    </row>
    <row r="26" spans="1:6" x14ac:dyDescent="0.2">
      <c r="A26" s="222">
        <f t="shared" si="0"/>
        <v>18</v>
      </c>
      <c r="B26" s="52" t="s">
        <v>257</v>
      </c>
      <c r="C26" s="241">
        <v>46</v>
      </c>
      <c r="D26" s="242">
        <f>'Rate Impacts'!$F$26</f>
        <v>1.12E-4</v>
      </c>
      <c r="E26" s="242">
        <f>'Rate Impacts'!$H$26</f>
        <v>-6.6000000000000005E-5</v>
      </c>
      <c r="F26" s="245" t="s">
        <v>89</v>
      </c>
    </row>
    <row r="27" spans="1:6" x14ac:dyDescent="0.2">
      <c r="A27" s="222">
        <f t="shared" si="0"/>
        <v>19</v>
      </c>
      <c r="B27" s="52" t="s">
        <v>197</v>
      </c>
      <c r="C27" s="241">
        <v>49</v>
      </c>
      <c r="D27" s="242">
        <f>'Rate Impacts'!$F$27</f>
        <v>4.1800000000000002E-4</v>
      </c>
      <c r="E27" s="242">
        <f>'Rate Impacts'!$H$27</f>
        <v>-1.8799999999999999E-4</v>
      </c>
      <c r="F27" s="234" t="str">
        <f>$F$26</f>
        <v>Sheet No. 141COL-D</v>
      </c>
    </row>
    <row r="28" spans="1:6" x14ac:dyDescent="0.2">
      <c r="A28" s="222">
        <f t="shared" si="0"/>
        <v>20</v>
      </c>
      <c r="B28" s="52"/>
      <c r="C28" s="244"/>
      <c r="D28" s="243"/>
      <c r="E28" s="243"/>
    </row>
    <row r="29" spans="1:6" x14ac:dyDescent="0.2">
      <c r="A29" s="222">
        <f t="shared" si="0"/>
        <v>21</v>
      </c>
      <c r="B29" s="54"/>
      <c r="C29" s="241"/>
      <c r="D29" s="242"/>
      <c r="E29" s="242"/>
    </row>
    <row r="30" spans="1:6" x14ac:dyDescent="0.2">
      <c r="A30" s="222">
        <f t="shared" si="0"/>
        <v>22</v>
      </c>
      <c r="B30" s="51" t="s">
        <v>258</v>
      </c>
      <c r="C30" s="241" t="s">
        <v>250</v>
      </c>
      <c r="D30" s="246" t="s">
        <v>119</v>
      </c>
      <c r="E30" s="246" t="s">
        <v>119</v>
      </c>
      <c r="F30" s="234"/>
    </row>
    <row r="31" spans="1:6" x14ac:dyDescent="0.2">
      <c r="A31" s="222">
        <f t="shared" si="0"/>
        <v>23</v>
      </c>
      <c r="B31" s="55" t="s">
        <v>259</v>
      </c>
      <c r="C31" s="241" t="s">
        <v>38</v>
      </c>
      <c r="D31" s="246" t="s">
        <v>119</v>
      </c>
      <c r="E31" s="246" t="s">
        <v>119</v>
      </c>
      <c r="F31" s="234" t="str">
        <f>F27</f>
        <v>Sheet No. 141COL-D</v>
      </c>
    </row>
    <row r="32" spans="1:6" x14ac:dyDescent="0.2">
      <c r="A32" s="222">
        <f t="shared" si="0"/>
        <v>24</v>
      </c>
      <c r="B32" s="51" t="s">
        <v>260</v>
      </c>
      <c r="C32" s="241" t="s">
        <v>249</v>
      </c>
      <c r="D32" s="242">
        <f>'Rate Impacts'!$F$32</f>
        <v>1.3600000000000001E-3</v>
      </c>
      <c r="E32" s="242">
        <f>'Rate Impacts'!$H$32</f>
        <v>-4.06E-4</v>
      </c>
      <c r="F32" s="245" t="s">
        <v>118</v>
      </c>
    </row>
    <row r="33" spans="1:6" x14ac:dyDescent="0.2">
      <c r="A33" s="222">
        <f t="shared" si="0"/>
        <v>25</v>
      </c>
      <c r="B33" s="51" t="s">
        <v>201</v>
      </c>
      <c r="C33" s="241">
        <v>558</v>
      </c>
      <c r="D33" s="242">
        <f>'Rate Impacts'!$F$33</f>
        <v>0</v>
      </c>
      <c r="E33" s="242">
        <f>'Rate Impacts'!$H$33</f>
        <v>-7.5199999999999996E-4</v>
      </c>
      <c r="F33" s="234" t="str">
        <f>F31</f>
        <v>Sheet No. 141COL-D</v>
      </c>
    </row>
    <row r="34" spans="1:6" x14ac:dyDescent="0.2">
      <c r="A34" s="222">
        <f t="shared" si="0"/>
        <v>26</v>
      </c>
      <c r="B34" s="51"/>
      <c r="C34" s="241"/>
      <c r="D34" s="242"/>
      <c r="E34" s="242"/>
    </row>
    <row r="35" spans="1:6" x14ac:dyDescent="0.2">
      <c r="A35" s="222">
        <f t="shared" si="0"/>
        <v>27</v>
      </c>
      <c r="B35" s="51" t="s">
        <v>261</v>
      </c>
      <c r="C35" s="244"/>
      <c r="D35" s="243"/>
      <c r="E35" s="243"/>
    </row>
    <row r="36" spans="1:6" x14ac:dyDescent="0.2">
      <c r="A36" s="222">
        <f t="shared" si="0"/>
        <v>28</v>
      </c>
      <c r="B36" s="54"/>
      <c r="C36" s="241"/>
      <c r="D36" s="242"/>
      <c r="E36" s="242"/>
    </row>
    <row r="37" spans="1:6" x14ac:dyDescent="0.2">
      <c r="A37" s="222">
        <f t="shared" si="0"/>
        <v>29</v>
      </c>
      <c r="B37" s="51" t="s">
        <v>262</v>
      </c>
      <c r="C37" s="241">
        <v>5</v>
      </c>
      <c r="D37" s="242">
        <f>'Rate Impacts'!$F$35</f>
        <v>2.1580000000000002E-3</v>
      </c>
      <c r="E37" s="242">
        <f>'Rate Impacts'!$H$35</f>
        <v>-6.6799999999999997E-4</v>
      </c>
    </row>
    <row r="38" spans="1:6" x14ac:dyDescent="0.2">
      <c r="A38" s="222">
        <f t="shared" si="0"/>
        <v>30</v>
      </c>
      <c r="B38" s="51"/>
      <c r="C38" s="227"/>
      <c r="D38" s="226"/>
      <c r="E38" s="226"/>
    </row>
    <row r="39" spans="1:6" ht="12" thickBot="1" x14ac:dyDescent="0.25">
      <c r="A39" s="222">
        <f t="shared" si="0"/>
        <v>31</v>
      </c>
      <c r="B39" s="51" t="s">
        <v>263</v>
      </c>
      <c r="C39" s="224"/>
      <c r="D39" s="223"/>
      <c r="E39" s="223"/>
    </row>
    <row r="40" spans="1:6" ht="12" thickTop="1" x14ac:dyDescent="0.2">
      <c r="A40" s="222">
        <f t="shared" si="0"/>
        <v>32</v>
      </c>
      <c r="B40" s="54"/>
      <c r="C40" s="227"/>
      <c r="D40" s="226"/>
      <c r="E40" s="226"/>
    </row>
    <row r="41" spans="1:6" x14ac:dyDescent="0.2">
      <c r="A41" s="222">
        <f t="shared" si="0"/>
        <v>33</v>
      </c>
      <c r="B41" s="234"/>
      <c r="C41" s="227"/>
      <c r="D41" s="226"/>
      <c r="E41" s="226"/>
    </row>
    <row r="42" spans="1:6" x14ac:dyDescent="0.2">
      <c r="A42" s="222">
        <f t="shared" ref="A42:A72" si="1">+A41+1</f>
        <v>34</v>
      </c>
      <c r="B42" s="240" t="s">
        <v>120</v>
      </c>
      <c r="C42" s="239"/>
      <c r="D42" s="238"/>
      <c r="E42" s="238"/>
    </row>
    <row r="43" spans="1:6" x14ac:dyDescent="0.2">
      <c r="A43" s="222">
        <f t="shared" si="1"/>
        <v>35</v>
      </c>
      <c r="B43" s="228" t="str">
        <f>B10</f>
        <v>Residential</v>
      </c>
      <c r="C43" s="230" t="str">
        <f>C10</f>
        <v>7 (307) (317) (327)</v>
      </c>
      <c r="D43" s="231"/>
      <c r="E43" s="231"/>
    </row>
    <row r="44" spans="1:6" x14ac:dyDescent="0.2">
      <c r="A44" s="222">
        <f t="shared" si="1"/>
        <v>36</v>
      </c>
      <c r="B44" s="228"/>
      <c r="C44" s="230"/>
      <c r="D44" s="229"/>
      <c r="E44" s="229"/>
    </row>
    <row r="45" spans="1:6" x14ac:dyDescent="0.2">
      <c r="A45" s="222">
        <f t="shared" si="1"/>
        <v>37</v>
      </c>
      <c r="B45" s="228" t="str">
        <f>B12</f>
        <v>Secondary Voltage</v>
      </c>
      <c r="C45" s="230"/>
      <c r="D45" s="229"/>
      <c r="E45" s="229"/>
    </row>
    <row r="46" spans="1:6" x14ac:dyDescent="0.2">
      <c r="A46" s="222">
        <f t="shared" si="1"/>
        <v>38</v>
      </c>
      <c r="B46" s="235" t="str">
        <f>B13</f>
        <v>General Service: Demand &lt;= 50 kW</v>
      </c>
      <c r="C46" s="230" t="str">
        <f>C13</f>
        <v>08 (24) (324)</v>
      </c>
      <c r="D46" s="229"/>
      <c r="E46" s="229"/>
    </row>
    <row r="47" spans="1:6" x14ac:dyDescent="0.2">
      <c r="A47" s="222">
        <f t="shared" si="1"/>
        <v>39</v>
      </c>
      <c r="B47" s="235" t="str">
        <f>B14</f>
        <v>Small General Service: Demand &gt; 50 kW but &lt;= 350 kW</v>
      </c>
      <c r="C47" s="234" t="str">
        <f>C14</f>
        <v>7A (11) (25)</v>
      </c>
      <c r="D47" s="207">
        <f>'Rate Impacts'!$G$14</f>
        <v>1.25</v>
      </c>
      <c r="E47" s="207">
        <f>'Rate Impacts'!$I$14</f>
        <v>-0.28999999999999998</v>
      </c>
      <c r="F47" s="220" t="str">
        <f>F14</f>
        <v>Sheet No. 141COL-B</v>
      </c>
    </row>
    <row r="48" spans="1:6" x14ac:dyDescent="0.2">
      <c r="A48" s="222">
        <f t="shared" si="1"/>
        <v>40</v>
      </c>
      <c r="B48" s="235" t="str">
        <f>B15</f>
        <v>Large General Service: Demand &gt; 350 kW</v>
      </c>
      <c r="C48" s="234" t="str">
        <f>C15</f>
        <v>12 (26) (26P)</v>
      </c>
      <c r="D48" s="207">
        <f>'Rate Impacts'!$G$15</f>
        <v>0.71</v>
      </c>
      <c r="E48" s="207">
        <f>'Rate Impacts'!$I$15</f>
        <v>-0.18</v>
      </c>
      <c r="F48" s="220" t="str">
        <f>F15</f>
        <v>Sheet No. 141COL-B</v>
      </c>
    </row>
    <row r="49" spans="1:6" x14ac:dyDescent="0.2">
      <c r="A49" s="222">
        <f t="shared" si="1"/>
        <v>41</v>
      </c>
      <c r="B49" s="235" t="str">
        <f>B16</f>
        <v>Irrigation &amp; Pumping Service: Demand &gt; 50 kW but &lt;= 350 kW</v>
      </c>
      <c r="C49" s="234">
        <f>C16</f>
        <v>29</v>
      </c>
      <c r="D49" s="207">
        <f>'Rate Impacts'!$G$16</f>
        <v>4.26</v>
      </c>
      <c r="E49" s="207">
        <f>'Rate Impacts'!$I$16</f>
        <v>-0.68</v>
      </c>
      <c r="F49" s="220" t="str">
        <f>F16</f>
        <v>Sheet No. 141COL-C</v>
      </c>
    </row>
    <row r="50" spans="1:6" x14ac:dyDescent="0.2">
      <c r="A50" s="222">
        <f t="shared" si="1"/>
        <v>42</v>
      </c>
      <c r="B50" s="233"/>
      <c r="C50" s="236"/>
      <c r="D50" s="237"/>
      <c r="E50" s="237"/>
    </row>
    <row r="51" spans="1:6" x14ac:dyDescent="0.2">
      <c r="A51" s="222">
        <f t="shared" si="1"/>
        <v>43</v>
      </c>
      <c r="B51" s="233"/>
      <c r="C51" s="236"/>
      <c r="D51" s="207"/>
      <c r="E51" s="207"/>
    </row>
    <row r="52" spans="1:6" x14ac:dyDescent="0.2">
      <c r="A52" s="222">
        <f t="shared" si="1"/>
        <v>44</v>
      </c>
      <c r="B52" s="228" t="str">
        <f>B19</f>
        <v>Primary Voltage</v>
      </c>
      <c r="C52" s="234"/>
      <c r="D52" s="207"/>
      <c r="E52" s="207"/>
    </row>
    <row r="53" spans="1:6" x14ac:dyDescent="0.2">
      <c r="A53" s="222">
        <f t="shared" si="1"/>
        <v>45</v>
      </c>
      <c r="B53" s="235" t="str">
        <f>B20</f>
        <v>General Service</v>
      </c>
      <c r="C53" s="234" t="str">
        <f>C20</f>
        <v>10 (31)</v>
      </c>
      <c r="D53" s="207">
        <f>'Rate Impacts'!$G$20</f>
        <v>0.73</v>
      </c>
      <c r="E53" s="207">
        <f>'Rate Impacts'!$I$20</f>
        <v>-0.19</v>
      </c>
      <c r="F53" s="220" t="str">
        <f>F20</f>
        <v>Sheet No. 141COL-C</v>
      </c>
    </row>
    <row r="54" spans="1:6" x14ac:dyDescent="0.2">
      <c r="A54" s="222">
        <f t="shared" si="1"/>
        <v>46</v>
      </c>
      <c r="B54" s="235" t="str">
        <f>B21</f>
        <v>Irrigation &amp; Pumping Service</v>
      </c>
      <c r="C54" s="234">
        <f>C21</f>
        <v>35</v>
      </c>
      <c r="D54" s="207">
        <f>'Rate Impacts'!$G$21</f>
        <v>0.56999999999999995</v>
      </c>
      <c r="E54" s="207">
        <f>'Rate Impacts'!$I$21</f>
        <v>-0.16</v>
      </c>
      <c r="F54" s="220" t="str">
        <f>F21</f>
        <v>Sheet No. 141COL-C</v>
      </c>
    </row>
    <row r="55" spans="1:6" x14ac:dyDescent="0.2">
      <c r="A55" s="222">
        <f t="shared" si="1"/>
        <v>47</v>
      </c>
      <c r="B55" s="235" t="str">
        <f>B22</f>
        <v>All Electric Schools</v>
      </c>
      <c r="C55" s="234">
        <f>C22</f>
        <v>43</v>
      </c>
      <c r="D55" s="207">
        <f>'Rate Impacts'!$G$22</f>
        <v>0.09</v>
      </c>
      <c r="E55" s="207">
        <f>'Rate Impacts'!$I$22</f>
        <v>-0.04</v>
      </c>
      <c r="F55" s="220" t="str">
        <f>F22</f>
        <v>Sheet No. 141COL-C</v>
      </c>
    </row>
    <row r="56" spans="1:6" x14ac:dyDescent="0.2">
      <c r="A56" s="222">
        <f t="shared" si="1"/>
        <v>48</v>
      </c>
      <c r="B56" s="233"/>
      <c r="C56" s="236"/>
      <c r="D56" s="237"/>
      <c r="E56" s="237"/>
    </row>
    <row r="57" spans="1:6" x14ac:dyDescent="0.2">
      <c r="A57" s="222">
        <f t="shared" si="1"/>
        <v>49</v>
      </c>
      <c r="B57" s="233"/>
      <c r="C57" s="236"/>
      <c r="D57" s="207"/>
      <c r="E57" s="207"/>
    </row>
    <row r="58" spans="1:6" x14ac:dyDescent="0.2">
      <c r="A58" s="222">
        <f t="shared" si="1"/>
        <v>50</v>
      </c>
      <c r="B58" s="228" t="str">
        <f>B25</f>
        <v>High Voltage</v>
      </c>
      <c r="C58" s="234"/>
      <c r="D58" s="207"/>
      <c r="E58" s="207"/>
    </row>
    <row r="59" spans="1:6" x14ac:dyDescent="0.2">
      <c r="A59" s="222">
        <f t="shared" si="1"/>
        <v>51</v>
      </c>
      <c r="B59" s="235" t="str">
        <f>B26</f>
        <v>Interruptible Service</v>
      </c>
      <c r="C59" s="234">
        <f>C26</f>
        <v>46</v>
      </c>
      <c r="D59" s="207">
        <f>'Rate Impacts'!$G$26</f>
        <v>0.09</v>
      </c>
      <c r="E59" s="207">
        <f>'Rate Impacts'!$I$26</f>
        <v>-0.03</v>
      </c>
      <c r="F59" s="220" t="str">
        <f>F26</f>
        <v>Sheet No. 141COL-D</v>
      </c>
    </row>
    <row r="60" spans="1:6" x14ac:dyDescent="0.2">
      <c r="A60" s="222">
        <f t="shared" si="1"/>
        <v>52</v>
      </c>
      <c r="B60" s="235" t="str">
        <f>B27</f>
        <v>General Service</v>
      </c>
      <c r="C60" s="234">
        <f>C27</f>
        <v>49</v>
      </c>
      <c r="D60" s="207">
        <f>'Rate Impacts'!$G$27</f>
        <v>0.68</v>
      </c>
      <c r="E60" s="207">
        <f>'Rate Impacts'!$I$27</f>
        <v>-0.18</v>
      </c>
      <c r="F60" s="220" t="str">
        <f>F27</f>
        <v>Sheet No. 141COL-D</v>
      </c>
    </row>
    <row r="61" spans="1:6" x14ac:dyDescent="0.2">
      <c r="A61" s="222">
        <f t="shared" si="1"/>
        <v>53</v>
      </c>
      <c r="B61" s="225"/>
      <c r="C61" s="232"/>
      <c r="D61" s="231"/>
      <c r="E61" s="231"/>
    </row>
    <row r="62" spans="1:6" x14ac:dyDescent="0.2">
      <c r="A62" s="222">
        <f t="shared" si="1"/>
        <v>54</v>
      </c>
      <c r="B62" s="228"/>
      <c r="C62" s="230"/>
      <c r="D62" s="229"/>
      <c r="E62" s="229"/>
    </row>
    <row r="63" spans="1:6" x14ac:dyDescent="0.2">
      <c r="A63" s="222">
        <f t="shared" si="1"/>
        <v>55</v>
      </c>
      <c r="B63" s="233" t="str">
        <f t="shared" ref="B63:C66" si="2">B30</f>
        <v>Choice / Retail Wheeling</v>
      </c>
      <c r="C63" s="230" t="str">
        <f t="shared" si="2"/>
        <v>448 - 459</v>
      </c>
      <c r="D63" s="229"/>
      <c r="E63" s="229"/>
    </row>
    <row r="64" spans="1:6" x14ac:dyDescent="0.2">
      <c r="A64" s="222">
        <f t="shared" si="1"/>
        <v>56</v>
      </c>
      <c r="B64" s="228" t="str">
        <f t="shared" si="2"/>
        <v>Special Contracts</v>
      </c>
      <c r="C64" s="230" t="str">
        <f t="shared" si="2"/>
        <v>Special Contract</v>
      </c>
      <c r="D64" s="229"/>
      <c r="E64" s="229"/>
    </row>
    <row r="65" spans="1:12" x14ac:dyDescent="0.2">
      <c r="A65" s="222">
        <f t="shared" si="1"/>
        <v>57</v>
      </c>
      <c r="B65" s="228" t="str">
        <f t="shared" si="2"/>
        <v>Lighting</v>
      </c>
      <c r="C65" s="230" t="str">
        <f t="shared" si="2"/>
        <v>03, 50 - 59</v>
      </c>
      <c r="D65" s="229"/>
      <c r="E65" s="229"/>
    </row>
    <row r="66" spans="1:12" x14ac:dyDescent="0.2">
      <c r="A66" s="222">
        <f t="shared" si="1"/>
        <v>58</v>
      </c>
      <c r="B66" s="228" t="str">
        <f t="shared" si="2"/>
        <v>Transportation Electrification</v>
      </c>
      <c r="C66" s="230">
        <f t="shared" si="2"/>
        <v>558</v>
      </c>
      <c r="D66" s="229"/>
      <c r="E66" s="229"/>
    </row>
    <row r="67" spans="1:12" x14ac:dyDescent="0.2">
      <c r="A67" s="222">
        <f t="shared" si="1"/>
        <v>59</v>
      </c>
      <c r="B67" s="228"/>
      <c r="C67" s="230"/>
      <c r="D67" s="229"/>
      <c r="E67" s="229"/>
    </row>
    <row r="68" spans="1:12" x14ac:dyDescent="0.2">
      <c r="A68" s="222">
        <f t="shared" si="1"/>
        <v>60</v>
      </c>
      <c r="B68" s="225" t="str">
        <f>B35</f>
        <v>Total Retail Sales</v>
      </c>
      <c r="C68" s="232"/>
      <c r="D68" s="231"/>
      <c r="E68" s="231"/>
    </row>
    <row r="69" spans="1:12" x14ac:dyDescent="0.2">
      <c r="A69" s="222">
        <f t="shared" si="1"/>
        <v>61</v>
      </c>
      <c r="B69" s="228"/>
      <c r="C69" s="230"/>
      <c r="D69" s="229"/>
      <c r="E69" s="229"/>
    </row>
    <row r="70" spans="1:12" x14ac:dyDescent="0.2">
      <c r="A70" s="222">
        <f t="shared" si="1"/>
        <v>62</v>
      </c>
      <c r="B70" s="228" t="str">
        <f>B37</f>
        <v>Firm Resale</v>
      </c>
      <c r="C70" s="230">
        <f>C37</f>
        <v>5</v>
      </c>
      <c r="D70" s="229"/>
      <c r="E70" s="229"/>
    </row>
    <row r="71" spans="1:12" x14ac:dyDescent="0.2">
      <c r="A71" s="222">
        <f t="shared" si="1"/>
        <v>63</v>
      </c>
      <c r="B71" s="228"/>
      <c r="C71" s="227"/>
      <c r="D71" s="226"/>
      <c r="E71" s="226"/>
    </row>
    <row r="72" spans="1:12" ht="12" thickBot="1" x14ac:dyDescent="0.25">
      <c r="A72" s="222">
        <f t="shared" si="1"/>
        <v>64</v>
      </c>
      <c r="B72" s="225"/>
      <c r="C72" s="224"/>
      <c r="D72" s="223"/>
      <c r="E72" s="223"/>
    </row>
    <row r="73" spans="1:12" ht="12" thickTop="1" x14ac:dyDescent="0.2">
      <c r="A73" s="222"/>
    </row>
    <row r="74" spans="1:12" x14ac:dyDescent="0.2">
      <c r="A74" s="222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</row>
  </sheetData>
  <pageMargins left="0.7" right="0.7" top="0.75" bottom="0.75" header="0.3" footer="0.3"/>
  <pageSetup orientation="landscape" r:id="rId1"/>
  <headerFooter>
    <oddHeader>&amp;RElectric Schedule 120 Rate Design Workpapers
Page &amp;P of &amp;N</oddHeader>
    <oddFooter>&amp;L&amp;F
&amp;A&amp;R&amp;D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631D-3B9D-4E7A-B3FF-C71C902ECA6D}">
  <sheetPr>
    <tabColor theme="6" tint="0.79998168889431442"/>
  </sheetPr>
  <dimension ref="A1:E179"/>
  <sheetViews>
    <sheetView workbookViewId="0">
      <pane ySplit="7" topLeftCell="A164" activePane="bottomLeft" state="frozen"/>
      <selection activeCell="G7" sqref="G7:H7"/>
      <selection pane="bottomLeft" activeCell="E171" sqref="E171"/>
    </sheetView>
  </sheetViews>
  <sheetFormatPr defaultColWidth="8.85546875" defaultRowHeight="11.25" x14ac:dyDescent="0.2"/>
  <cols>
    <col min="1" max="1" width="6.7109375" style="3" bestFit="1" customWidth="1"/>
    <col min="2" max="2" width="25.85546875" style="3" bestFit="1" customWidth="1"/>
    <col min="3" max="3" width="9.7109375" style="3" bestFit="1" customWidth="1"/>
    <col min="4" max="4" width="11.5703125" style="3" customWidth="1"/>
    <col min="5" max="5" width="18.28515625" style="3" bestFit="1" customWidth="1"/>
    <col min="6" max="16384" width="8.85546875" style="3"/>
  </cols>
  <sheetData>
    <row r="1" spans="1:5" x14ac:dyDescent="0.2">
      <c r="A1" s="1" t="str">
        <f>'Sch 141COL Rates'!A1</f>
        <v>PUGET SOUND ENERGY</v>
      </c>
      <c r="B1" s="1"/>
      <c r="C1" s="1"/>
      <c r="D1" s="2"/>
      <c r="E1" s="1"/>
    </row>
    <row r="2" spans="1:5" x14ac:dyDescent="0.2">
      <c r="A2" s="1" t="str">
        <f>'Sch 141COL Rates'!A2</f>
        <v xml:space="preserve">Schedule 141COL Colstrip Adjustment Rider </v>
      </c>
      <c r="B2" s="1"/>
      <c r="C2" s="1"/>
      <c r="D2" s="2"/>
      <c r="E2" s="1"/>
    </row>
    <row r="3" spans="1:5" x14ac:dyDescent="0.2">
      <c r="A3" s="1" t="str">
        <f>'Sch 141COL Rates'!A3</f>
        <v>Effective January 1, 2026 - December 31, 2026</v>
      </c>
      <c r="B3" s="1"/>
      <c r="C3" s="1"/>
      <c r="D3" s="2"/>
      <c r="E3" s="1"/>
    </row>
    <row r="4" spans="1:5" x14ac:dyDescent="0.2">
      <c r="A4" s="128" t="s">
        <v>202</v>
      </c>
      <c r="B4" s="1"/>
      <c r="C4" s="1"/>
      <c r="D4" s="2"/>
      <c r="E4" s="1"/>
    </row>
    <row r="5" spans="1:5" ht="12" thickBot="1" x14ac:dyDescent="0.25">
      <c r="A5" s="134"/>
      <c r="B5" s="1"/>
      <c r="C5" s="1"/>
      <c r="D5" s="2"/>
      <c r="E5" s="1"/>
    </row>
    <row r="6" spans="1:5" ht="13.5" thickBot="1" x14ac:dyDescent="0.25">
      <c r="A6" s="1" t="s">
        <v>123</v>
      </c>
      <c r="B6" s="1"/>
      <c r="C6" s="270" t="s">
        <v>184</v>
      </c>
      <c r="D6" s="271"/>
      <c r="E6" s="272"/>
    </row>
    <row r="7" spans="1:5" ht="22.5" x14ac:dyDescent="0.2">
      <c r="A7" s="31" t="s">
        <v>0</v>
      </c>
      <c r="B7" s="27" t="s">
        <v>131</v>
      </c>
      <c r="C7" s="38" t="s">
        <v>132</v>
      </c>
      <c r="D7" s="39" t="s">
        <v>203</v>
      </c>
      <c r="E7" s="31" t="s">
        <v>86</v>
      </c>
    </row>
    <row r="8" spans="1:5" x14ac:dyDescent="0.2">
      <c r="A8" s="40">
        <v>1</v>
      </c>
      <c r="B8" s="116" t="s">
        <v>55</v>
      </c>
      <c r="C8" s="116" t="s">
        <v>93</v>
      </c>
      <c r="D8" s="135" t="s">
        <v>56</v>
      </c>
      <c r="E8" s="116" t="s">
        <v>94</v>
      </c>
    </row>
    <row r="9" spans="1:5" ht="13.5" x14ac:dyDescent="0.35">
      <c r="A9" s="40">
        <f t="shared" ref="A9:A72" si="0">A8+1</f>
        <v>2</v>
      </c>
      <c r="B9" s="42" t="s">
        <v>97</v>
      </c>
      <c r="C9" s="30"/>
      <c r="E9" s="29"/>
    </row>
    <row r="10" spans="1:5" x14ac:dyDescent="0.2">
      <c r="A10" s="40">
        <f t="shared" si="0"/>
        <v>3</v>
      </c>
      <c r="B10" s="4" t="s">
        <v>133</v>
      </c>
      <c r="C10" s="43">
        <v>22</v>
      </c>
      <c r="D10" s="44">
        <f>ROUND('Lighting RD'!F10,2)</f>
        <v>0</v>
      </c>
      <c r="E10" s="45" t="s">
        <v>89</v>
      </c>
    </row>
    <row r="11" spans="1:5" x14ac:dyDescent="0.2">
      <c r="A11" s="40">
        <f t="shared" si="0"/>
        <v>4</v>
      </c>
      <c r="B11" s="4"/>
      <c r="C11" s="46"/>
      <c r="D11" s="44"/>
      <c r="E11" s="47"/>
    </row>
    <row r="12" spans="1:5" x14ac:dyDescent="0.2">
      <c r="A12" s="40">
        <f t="shared" si="0"/>
        <v>5</v>
      </c>
      <c r="B12" s="4" t="s">
        <v>134</v>
      </c>
      <c r="C12" s="43">
        <v>100</v>
      </c>
      <c r="D12" s="44">
        <f>ROUND('Lighting RD'!F12,2)</f>
        <v>-0.02</v>
      </c>
      <c r="E12" s="28" t="str">
        <f>$E$10</f>
        <v>Sheet No. 141COL-D</v>
      </c>
    </row>
    <row r="13" spans="1:5" x14ac:dyDescent="0.2">
      <c r="A13" s="40">
        <f t="shared" si="0"/>
        <v>6</v>
      </c>
      <c r="B13" s="4" t="s">
        <v>134</v>
      </c>
      <c r="C13" s="43">
        <v>175</v>
      </c>
      <c r="D13" s="44">
        <f>ROUND('Lighting RD'!F13,2)</f>
        <v>-0.03</v>
      </c>
      <c r="E13" s="28" t="str">
        <f>$E$10</f>
        <v>Sheet No. 141COL-D</v>
      </c>
    </row>
    <row r="14" spans="1:5" x14ac:dyDescent="0.2">
      <c r="A14" s="40">
        <f t="shared" si="0"/>
        <v>7</v>
      </c>
      <c r="B14" s="4" t="s">
        <v>134</v>
      </c>
      <c r="C14" s="43">
        <v>400</v>
      </c>
      <c r="D14" s="44">
        <f>ROUND('Lighting RD'!F14,2)</f>
        <v>-0.06</v>
      </c>
      <c r="E14" s="28" t="str">
        <f>$E$10</f>
        <v>Sheet No. 141COL-D</v>
      </c>
    </row>
    <row r="15" spans="1:5" x14ac:dyDescent="0.2">
      <c r="A15" s="40">
        <f t="shared" si="0"/>
        <v>8</v>
      </c>
      <c r="B15" s="4" t="s">
        <v>134</v>
      </c>
      <c r="C15" s="43">
        <v>700</v>
      </c>
      <c r="D15" s="44">
        <f>ROUND('Lighting RD'!F15,2)</f>
        <v>-0.15</v>
      </c>
      <c r="E15" s="28" t="str">
        <f>$E$10</f>
        <v>Sheet No. 141COL-D</v>
      </c>
    </row>
    <row r="16" spans="1:5" x14ac:dyDescent="0.2">
      <c r="A16" s="40">
        <f t="shared" si="0"/>
        <v>9</v>
      </c>
      <c r="B16" s="5"/>
      <c r="C16" s="29"/>
      <c r="D16" s="44"/>
      <c r="E16" s="47"/>
    </row>
    <row r="17" spans="1:5" ht="13.5" x14ac:dyDescent="0.35">
      <c r="A17" s="40">
        <f t="shared" si="0"/>
        <v>10</v>
      </c>
      <c r="B17" s="42" t="s">
        <v>135</v>
      </c>
      <c r="C17" s="29"/>
      <c r="D17" s="44"/>
      <c r="E17" s="47"/>
    </row>
    <row r="18" spans="1:5" x14ac:dyDescent="0.2">
      <c r="A18" s="40">
        <f t="shared" si="0"/>
        <v>11</v>
      </c>
      <c r="B18" s="4" t="s">
        <v>136</v>
      </c>
      <c r="C18" s="29" t="s">
        <v>47</v>
      </c>
      <c r="D18" s="44">
        <f>ROUND('Lighting RD'!F18,2)</f>
        <v>0</v>
      </c>
      <c r="E18" s="45" t="s">
        <v>159</v>
      </c>
    </row>
    <row r="19" spans="1:5" x14ac:dyDescent="0.2">
      <c r="A19" s="40">
        <f t="shared" si="0"/>
        <v>12</v>
      </c>
      <c r="B19" s="4" t="s">
        <v>136</v>
      </c>
      <c r="C19" s="48" t="s">
        <v>48</v>
      </c>
      <c r="D19" s="44">
        <f>ROUND('Lighting RD'!F19,2)</f>
        <v>-0.01</v>
      </c>
      <c r="E19" s="28" t="str">
        <f>$E$18</f>
        <v>Sheet No. 141COL-E</v>
      </c>
    </row>
    <row r="20" spans="1:5" x14ac:dyDescent="0.2">
      <c r="A20" s="40">
        <f t="shared" si="0"/>
        <v>13</v>
      </c>
      <c r="B20" s="4" t="s">
        <v>136</v>
      </c>
      <c r="C20" s="43" t="s">
        <v>12</v>
      </c>
      <c r="D20" s="44">
        <f>ROUND('Lighting RD'!F20,2)</f>
        <v>-0.01</v>
      </c>
      <c r="E20" s="28" t="str">
        <f t="shared" ref="E20:E27" si="1">$E$18</f>
        <v>Sheet No. 141COL-E</v>
      </c>
    </row>
    <row r="21" spans="1:5" x14ac:dyDescent="0.2">
      <c r="A21" s="40">
        <f t="shared" si="0"/>
        <v>14</v>
      </c>
      <c r="B21" s="4" t="s">
        <v>136</v>
      </c>
      <c r="C21" s="43" t="s">
        <v>13</v>
      </c>
      <c r="D21" s="44">
        <f>ROUND('Lighting RD'!F21,2)</f>
        <v>-0.02</v>
      </c>
      <c r="E21" s="28" t="str">
        <f t="shared" si="1"/>
        <v>Sheet No. 141COL-E</v>
      </c>
    </row>
    <row r="22" spans="1:5" x14ac:dyDescent="0.2">
      <c r="A22" s="40">
        <f t="shared" si="0"/>
        <v>15</v>
      </c>
      <c r="B22" s="4" t="s">
        <v>136</v>
      </c>
      <c r="C22" s="43" t="s">
        <v>14</v>
      </c>
      <c r="D22" s="44">
        <f>ROUND('Lighting RD'!F22,2)</f>
        <v>-0.02</v>
      </c>
      <c r="E22" s="28" t="str">
        <f t="shared" si="1"/>
        <v>Sheet No. 141COL-E</v>
      </c>
    </row>
    <row r="23" spans="1:5" x14ac:dyDescent="0.2">
      <c r="A23" s="40">
        <f t="shared" si="0"/>
        <v>16</v>
      </c>
      <c r="B23" s="4" t="s">
        <v>136</v>
      </c>
      <c r="C23" s="43" t="s">
        <v>15</v>
      </c>
      <c r="D23" s="44">
        <f>ROUND('Lighting RD'!F23,2)</f>
        <v>-0.03</v>
      </c>
      <c r="E23" s="28" t="str">
        <f t="shared" si="1"/>
        <v>Sheet No. 141COL-E</v>
      </c>
    </row>
    <row r="24" spans="1:5" x14ac:dyDescent="0.2">
      <c r="A24" s="40">
        <f t="shared" si="0"/>
        <v>17</v>
      </c>
      <c r="B24" s="4" t="s">
        <v>136</v>
      </c>
      <c r="C24" s="43" t="s">
        <v>16</v>
      </c>
      <c r="D24" s="44">
        <f>ROUND('Lighting RD'!F24,2)</f>
        <v>-0.03</v>
      </c>
      <c r="E24" s="28" t="str">
        <f t="shared" si="1"/>
        <v>Sheet No. 141COL-E</v>
      </c>
    </row>
    <row r="25" spans="1:5" x14ac:dyDescent="0.2">
      <c r="A25" s="40">
        <f t="shared" si="0"/>
        <v>18</v>
      </c>
      <c r="B25" s="4" t="s">
        <v>136</v>
      </c>
      <c r="C25" s="43" t="s">
        <v>17</v>
      </c>
      <c r="D25" s="44">
        <f>ROUND('Lighting RD'!F25,2)</f>
        <v>-0.03</v>
      </c>
      <c r="E25" s="28" t="str">
        <f t="shared" si="1"/>
        <v>Sheet No. 141COL-E</v>
      </c>
    </row>
    <row r="26" spans="1:5" x14ac:dyDescent="0.2">
      <c r="A26" s="40">
        <f t="shared" si="0"/>
        <v>19</v>
      </c>
      <c r="B26" s="4" t="s">
        <v>136</v>
      </c>
      <c r="C26" s="43" t="s">
        <v>18</v>
      </c>
      <c r="D26" s="44">
        <f>ROUND('Lighting RD'!F26,2)</f>
        <v>-0.04</v>
      </c>
      <c r="E26" s="28" t="str">
        <f t="shared" si="1"/>
        <v>Sheet No. 141COL-E</v>
      </c>
    </row>
    <row r="27" spans="1:5" x14ac:dyDescent="0.2">
      <c r="A27" s="40">
        <f t="shared" si="0"/>
        <v>20</v>
      </c>
      <c r="B27" s="4" t="s">
        <v>136</v>
      </c>
      <c r="C27" s="43" t="s">
        <v>19</v>
      </c>
      <c r="D27" s="44">
        <f>ROUND('Lighting RD'!F27,2)</f>
        <v>-0.04</v>
      </c>
      <c r="E27" s="28" t="str">
        <f t="shared" si="1"/>
        <v>Sheet No. 141COL-E</v>
      </c>
    </row>
    <row r="28" spans="1:5" x14ac:dyDescent="0.2">
      <c r="A28" s="40">
        <f t="shared" si="0"/>
        <v>21</v>
      </c>
      <c r="B28" s="4"/>
      <c r="C28" s="43"/>
      <c r="D28" s="44"/>
      <c r="E28" s="45"/>
    </row>
    <row r="29" spans="1:5" x14ac:dyDescent="0.2">
      <c r="A29" s="40">
        <f t="shared" si="0"/>
        <v>22</v>
      </c>
      <c r="B29" s="4" t="s">
        <v>137</v>
      </c>
      <c r="C29" s="43" t="s">
        <v>138</v>
      </c>
      <c r="D29" s="41">
        <f>ROUND('Lighting RD'!F28,6)</f>
        <v>-4.06E-4</v>
      </c>
      <c r="E29" s="28" t="str">
        <f>$E$18</f>
        <v>Sheet No. 141COL-E</v>
      </c>
    </row>
    <row r="30" spans="1:5" x14ac:dyDescent="0.2">
      <c r="A30" s="40">
        <f t="shared" si="0"/>
        <v>23</v>
      </c>
      <c r="B30" s="5"/>
      <c r="C30" s="29"/>
      <c r="D30" s="44"/>
      <c r="E30" s="47"/>
    </row>
    <row r="31" spans="1:5" ht="13.5" x14ac:dyDescent="0.35">
      <c r="A31" s="40">
        <f t="shared" si="0"/>
        <v>24</v>
      </c>
      <c r="B31" s="42" t="s">
        <v>99</v>
      </c>
      <c r="C31" s="29"/>
      <c r="D31" s="44"/>
      <c r="E31" s="47"/>
    </row>
    <row r="32" spans="1:5" s="86" customFormat="1" x14ac:dyDescent="0.2">
      <c r="A32" s="40">
        <f t="shared" si="0"/>
        <v>25</v>
      </c>
      <c r="B32" s="4" t="s">
        <v>139</v>
      </c>
      <c r="C32" s="43">
        <v>50</v>
      </c>
      <c r="D32" s="44">
        <f>ROUND('Lighting RD'!F31,2)</f>
        <v>-0.01</v>
      </c>
      <c r="E32" s="28" t="str">
        <f t="shared" ref="E32:E39" si="2">$E$18</f>
        <v>Sheet No. 141COL-E</v>
      </c>
    </row>
    <row r="33" spans="1:5" s="86" customFormat="1" x14ac:dyDescent="0.2">
      <c r="A33" s="40">
        <f t="shared" si="0"/>
        <v>26</v>
      </c>
      <c r="B33" s="4" t="s">
        <v>139</v>
      </c>
      <c r="C33" s="43">
        <v>70</v>
      </c>
      <c r="D33" s="44">
        <f>ROUND('Lighting RD'!F32,2)</f>
        <v>-0.01</v>
      </c>
      <c r="E33" s="28" t="str">
        <f t="shared" si="2"/>
        <v>Sheet No. 141COL-E</v>
      </c>
    </row>
    <row r="34" spans="1:5" s="86" customFormat="1" x14ac:dyDescent="0.2">
      <c r="A34" s="40">
        <f t="shared" si="0"/>
        <v>27</v>
      </c>
      <c r="B34" s="4" t="s">
        <v>139</v>
      </c>
      <c r="C34" s="43">
        <v>100</v>
      </c>
      <c r="D34" s="44">
        <f>ROUND('Lighting RD'!F33,2)</f>
        <v>-0.02</v>
      </c>
      <c r="E34" s="28" t="str">
        <f t="shared" si="2"/>
        <v>Sheet No. 141COL-E</v>
      </c>
    </row>
    <row r="35" spans="1:5" s="86" customFormat="1" x14ac:dyDescent="0.2">
      <c r="A35" s="40">
        <f t="shared" si="0"/>
        <v>28</v>
      </c>
      <c r="B35" s="4" t="s">
        <v>139</v>
      </c>
      <c r="C35" s="43">
        <v>150</v>
      </c>
      <c r="D35" s="44">
        <f>ROUND('Lighting RD'!F34,2)</f>
        <v>-0.02</v>
      </c>
      <c r="E35" s="28" t="str">
        <f t="shared" si="2"/>
        <v>Sheet No. 141COL-E</v>
      </c>
    </row>
    <row r="36" spans="1:5" s="86" customFormat="1" x14ac:dyDescent="0.2">
      <c r="A36" s="40">
        <f t="shared" si="0"/>
        <v>29</v>
      </c>
      <c r="B36" s="4" t="s">
        <v>139</v>
      </c>
      <c r="C36" s="43">
        <v>200</v>
      </c>
      <c r="D36" s="44">
        <f>ROUND('Lighting RD'!F35,2)</f>
        <v>-0.03</v>
      </c>
      <c r="E36" s="28" t="str">
        <f t="shared" si="2"/>
        <v>Sheet No. 141COL-E</v>
      </c>
    </row>
    <row r="37" spans="1:5" s="86" customFormat="1" x14ac:dyDescent="0.2">
      <c r="A37" s="40">
        <f t="shared" si="0"/>
        <v>30</v>
      </c>
      <c r="B37" s="4" t="s">
        <v>139</v>
      </c>
      <c r="C37" s="43">
        <v>250</v>
      </c>
      <c r="D37" s="44">
        <f>ROUND('Lighting RD'!F36,2)</f>
        <v>-0.04</v>
      </c>
      <c r="E37" s="28" t="str">
        <f t="shared" si="2"/>
        <v>Sheet No. 141COL-E</v>
      </c>
    </row>
    <row r="38" spans="1:5" s="86" customFormat="1" x14ac:dyDescent="0.2">
      <c r="A38" s="40">
        <f t="shared" si="0"/>
        <v>31</v>
      </c>
      <c r="B38" s="4" t="s">
        <v>139</v>
      </c>
      <c r="C38" s="43">
        <v>310</v>
      </c>
      <c r="D38" s="44">
        <f>ROUND('Lighting RD'!F37,2)</f>
        <v>-0.04</v>
      </c>
      <c r="E38" s="28" t="str">
        <f t="shared" si="2"/>
        <v>Sheet No. 141COL-E</v>
      </c>
    </row>
    <row r="39" spans="1:5" s="86" customFormat="1" x14ac:dyDescent="0.2">
      <c r="A39" s="40">
        <f t="shared" si="0"/>
        <v>32</v>
      </c>
      <c r="B39" s="4" t="s">
        <v>139</v>
      </c>
      <c r="C39" s="43">
        <v>400</v>
      </c>
      <c r="D39" s="44">
        <f>ROUND('Lighting RD'!F38,2)</f>
        <v>-0.06</v>
      </c>
      <c r="E39" s="28" t="str">
        <f t="shared" si="2"/>
        <v>Sheet No. 141COL-E</v>
      </c>
    </row>
    <row r="40" spans="1:5" s="86" customFormat="1" x14ac:dyDescent="0.2">
      <c r="A40" s="40">
        <f t="shared" si="0"/>
        <v>33</v>
      </c>
      <c r="B40" s="49"/>
      <c r="C40" s="43"/>
      <c r="D40" s="44"/>
      <c r="E40" s="47"/>
    </row>
    <row r="41" spans="1:5" s="86" customFormat="1" x14ac:dyDescent="0.2">
      <c r="A41" s="40">
        <f t="shared" si="0"/>
        <v>34</v>
      </c>
      <c r="B41" s="4" t="s">
        <v>140</v>
      </c>
      <c r="C41" s="43">
        <v>70</v>
      </c>
      <c r="D41" s="44">
        <f>ROUND('Lighting RD'!F40,2)</f>
        <v>-0.01</v>
      </c>
      <c r="E41" s="45" t="s">
        <v>160</v>
      </c>
    </row>
    <row r="42" spans="1:5" s="86" customFormat="1" x14ac:dyDescent="0.2">
      <c r="A42" s="40">
        <f t="shared" si="0"/>
        <v>35</v>
      </c>
      <c r="B42" s="4" t="s">
        <v>140</v>
      </c>
      <c r="C42" s="43">
        <v>100</v>
      </c>
      <c r="D42" s="44">
        <f>ROUND('Lighting RD'!F41,2)</f>
        <v>-0.02</v>
      </c>
      <c r="E42" s="28" t="str">
        <f t="shared" ref="E42:E47" si="3">$E$41</f>
        <v>Sheet No. 141COL-F</v>
      </c>
    </row>
    <row r="43" spans="1:5" s="86" customFormat="1" x14ac:dyDescent="0.2">
      <c r="A43" s="40">
        <f t="shared" si="0"/>
        <v>36</v>
      </c>
      <c r="B43" s="4" t="s">
        <v>140</v>
      </c>
      <c r="C43" s="43">
        <v>150</v>
      </c>
      <c r="D43" s="44">
        <f>ROUND('Lighting RD'!F42,2)</f>
        <v>-0.02</v>
      </c>
      <c r="E43" s="28" t="str">
        <f t="shared" si="3"/>
        <v>Sheet No. 141COL-F</v>
      </c>
    </row>
    <row r="44" spans="1:5" s="86" customFormat="1" x14ac:dyDescent="0.2">
      <c r="A44" s="40">
        <f t="shared" si="0"/>
        <v>37</v>
      </c>
      <c r="B44" s="4" t="s">
        <v>140</v>
      </c>
      <c r="C44" s="43">
        <v>175</v>
      </c>
      <c r="D44" s="44">
        <f>ROUND('Lighting RD'!F43,2)</f>
        <v>-0.03</v>
      </c>
      <c r="E44" s="28" t="str">
        <f t="shared" si="3"/>
        <v>Sheet No. 141COL-F</v>
      </c>
    </row>
    <row r="45" spans="1:5" s="86" customFormat="1" x14ac:dyDescent="0.2">
      <c r="A45" s="40">
        <f t="shared" si="0"/>
        <v>38</v>
      </c>
      <c r="B45" s="4" t="s">
        <v>140</v>
      </c>
      <c r="C45" s="43">
        <v>250</v>
      </c>
      <c r="D45" s="44">
        <f>ROUND('Lighting RD'!F44,2)</f>
        <v>-0.04</v>
      </c>
      <c r="E45" s="28" t="str">
        <f t="shared" si="3"/>
        <v>Sheet No. 141COL-F</v>
      </c>
    </row>
    <row r="46" spans="1:5" s="86" customFormat="1" x14ac:dyDescent="0.2">
      <c r="A46" s="40">
        <f t="shared" si="0"/>
        <v>39</v>
      </c>
      <c r="B46" s="4" t="s">
        <v>140</v>
      </c>
      <c r="C46" s="43">
        <v>400</v>
      </c>
      <c r="D46" s="44">
        <f>ROUND('Lighting RD'!F45,2)</f>
        <v>-0.06</v>
      </c>
      <c r="E46" s="28" t="str">
        <f t="shared" si="3"/>
        <v>Sheet No. 141COL-F</v>
      </c>
    </row>
    <row r="47" spans="1:5" s="86" customFormat="1" x14ac:dyDescent="0.2">
      <c r="A47" s="40">
        <f t="shared" si="0"/>
        <v>40</v>
      </c>
      <c r="B47" s="4" t="s">
        <v>140</v>
      </c>
      <c r="C47" s="43">
        <v>1000</v>
      </c>
      <c r="D47" s="44">
        <f>ROUND('Lighting RD'!F46,2)</f>
        <v>-0.15</v>
      </c>
      <c r="E47" s="28" t="str">
        <f t="shared" si="3"/>
        <v>Sheet No. 141COL-F</v>
      </c>
    </row>
    <row r="48" spans="1:5" s="86" customFormat="1" x14ac:dyDescent="0.2">
      <c r="A48" s="40">
        <f t="shared" si="0"/>
        <v>41</v>
      </c>
      <c r="B48" s="5"/>
      <c r="C48" s="29"/>
      <c r="D48" s="44"/>
      <c r="E48" s="47"/>
    </row>
    <row r="49" spans="1:5" s="86" customFormat="1" ht="13.5" x14ac:dyDescent="0.35">
      <c r="A49" s="40">
        <f t="shared" si="0"/>
        <v>42</v>
      </c>
      <c r="B49" s="42" t="s">
        <v>100</v>
      </c>
      <c r="C49" s="29"/>
      <c r="D49" s="44"/>
      <c r="E49" s="47"/>
    </row>
    <row r="50" spans="1:5" s="86" customFormat="1" x14ac:dyDescent="0.2">
      <c r="A50" s="40">
        <f t="shared" si="0"/>
        <v>43</v>
      </c>
      <c r="B50" s="4" t="s">
        <v>141</v>
      </c>
      <c r="C50" s="43">
        <v>50</v>
      </c>
      <c r="D50" s="44">
        <f>ROUND('Lighting RD'!F49,2)</f>
        <v>-0.01</v>
      </c>
      <c r="E50" s="28" t="str">
        <f t="shared" ref="E50:E58" si="4">$E$41</f>
        <v>Sheet No. 141COL-F</v>
      </c>
    </row>
    <row r="51" spans="1:5" s="86" customFormat="1" x14ac:dyDescent="0.2">
      <c r="A51" s="40">
        <f t="shared" si="0"/>
        <v>44</v>
      </c>
      <c r="B51" s="4" t="s">
        <v>141</v>
      </c>
      <c r="C51" s="43">
        <v>70</v>
      </c>
      <c r="D51" s="44">
        <f>ROUND('Lighting RD'!F50,2)</f>
        <v>-0.01</v>
      </c>
      <c r="E51" s="28" t="str">
        <f t="shared" si="4"/>
        <v>Sheet No. 141COL-F</v>
      </c>
    </row>
    <row r="52" spans="1:5" s="86" customFormat="1" x14ac:dyDescent="0.2">
      <c r="A52" s="40">
        <f t="shared" si="0"/>
        <v>45</v>
      </c>
      <c r="B52" s="4" t="s">
        <v>141</v>
      </c>
      <c r="C52" s="43">
        <v>100</v>
      </c>
      <c r="D52" s="44">
        <f>ROUND('Lighting RD'!F51,2)</f>
        <v>-0.02</v>
      </c>
      <c r="E52" s="28" t="str">
        <f t="shared" si="4"/>
        <v>Sheet No. 141COL-F</v>
      </c>
    </row>
    <row r="53" spans="1:5" s="86" customFormat="1" x14ac:dyDescent="0.2">
      <c r="A53" s="40">
        <f t="shared" si="0"/>
        <v>46</v>
      </c>
      <c r="B53" s="4" t="s">
        <v>141</v>
      </c>
      <c r="C53" s="43">
        <v>150</v>
      </c>
      <c r="D53" s="44">
        <f>ROUND('Lighting RD'!F52,2)</f>
        <v>-0.02</v>
      </c>
      <c r="E53" s="28" t="str">
        <f t="shared" si="4"/>
        <v>Sheet No. 141COL-F</v>
      </c>
    </row>
    <row r="54" spans="1:5" s="86" customFormat="1" x14ac:dyDescent="0.2">
      <c r="A54" s="40">
        <f t="shared" si="0"/>
        <v>47</v>
      </c>
      <c r="B54" s="4" t="s">
        <v>141</v>
      </c>
      <c r="C54" s="43">
        <v>200</v>
      </c>
      <c r="D54" s="44">
        <f>ROUND('Lighting RD'!F53,2)</f>
        <v>-0.03</v>
      </c>
      <c r="E54" s="28" t="str">
        <f t="shared" si="4"/>
        <v>Sheet No. 141COL-F</v>
      </c>
    </row>
    <row r="55" spans="1:5" s="86" customFormat="1" x14ac:dyDescent="0.2">
      <c r="A55" s="40">
        <f t="shared" si="0"/>
        <v>48</v>
      </c>
      <c r="B55" s="4" t="s">
        <v>141</v>
      </c>
      <c r="C55" s="43">
        <v>250</v>
      </c>
      <c r="D55" s="44">
        <f>ROUND('Lighting RD'!F54,2)</f>
        <v>-0.04</v>
      </c>
      <c r="E55" s="28" t="str">
        <f t="shared" si="4"/>
        <v>Sheet No. 141COL-F</v>
      </c>
    </row>
    <row r="56" spans="1:5" s="86" customFormat="1" x14ac:dyDescent="0.2">
      <c r="A56" s="40">
        <f t="shared" si="0"/>
        <v>49</v>
      </c>
      <c r="B56" s="4" t="s">
        <v>141</v>
      </c>
      <c r="C56" s="43">
        <v>310</v>
      </c>
      <c r="D56" s="44">
        <f>ROUND('Lighting RD'!F55,2)</f>
        <v>-0.04</v>
      </c>
      <c r="E56" s="28" t="str">
        <f t="shared" si="4"/>
        <v>Sheet No. 141COL-F</v>
      </c>
    </row>
    <row r="57" spans="1:5" s="86" customFormat="1" x14ac:dyDescent="0.2">
      <c r="A57" s="40">
        <f t="shared" si="0"/>
        <v>50</v>
      </c>
      <c r="B57" s="4" t="s">
        <v>141</v>
      </c>
      <c r="C57" s="43">
        <v>400</v>
      </c>
      <c r="D57" s="44">
        <f>ROUND('Lighting RD'!F56,2)</f>
        <v>-0.06</v>
      </c>
      <c r="E57" s="28" t="str">
        <f t="shared" si="4"/>
        <v>Sheet No. 141COL-F</v>
      </c>
    </row>
    <row r="58" spans="1:5" s="86" customFormat="1" x14ac:dyDescent="0.2">
      <c r="A58" s="40">
        <f t="shared" si="0"/>
        <v>51</v>
      </c>
      <c r="B58" s="4" t="s">
        <v>141</v>
      </c>
      <c r="C58" s="43">
        <v>1000</v>
      </c>
      <c r="D58" s="44">
        <f>ROUND('Lighting RD'!F57,2)</f>
        <v>-0.15</v>
      </c>
      <c r="E58" s="28" t="str">
        <f t="shared" si="4"/>
        <v>Sheet No. 141COL-F</v>
      </c>
    </row>
    <row r="59" spans="1:5" s="86" customFormat="1" x14ac:dyDescent="0.2">
      <c r="A59" s="40">
        <f t="shared" si="0"/>
        <v>52</v>
      </c>
      <c r="B59" s="49"/>
      <c r="C59" s="43"/>
      <c r="D59" s="44"/>
      <c r="E59" s="47"/>
    </row>
    <row r="60" spans="1:5" s="86" customFormat="1" x14ac:dyDescent="0.2">
      <c r="A60" s="40">
        <f t="shared" si="0"/>
        <v>53</v>
      </c>
      <c r="B60" s="4" t="s">
        <v>142</v>
      </c>
      <c r="C60" s="43">
        <v>70</v>
      </c>
      <c r="D60" s="44">
        <f>ROUND('Lighting RD'!F59,2)</f>
        <v>-0.01</v>
      </c>
      <c r="E60" s="45" t="s">
        <v>161</v>
      </c>
    </row>
    <row r="61" spans="1:5" s="86" customFormat="1" x14ac:dyDescent="0.2">
      <c r="A61" s="40">
        <f t="shared" si="0"/>
        <v>54</v>
      </c>
      <c r="B61" s="4" t="s">
        <v>142</v>
      </c>
      <c r="C61" s="43">
        <v>100</v>
      </c>
      <c r="D61" s="44">
        <f>ROUND('Lighting RD'!F60,2)</f>
        <v>-0.02</v>
      </c>
      <c r="E61" s="28" t="str">
        <f>$E$60</f>
        <v>Sheet No. 141COL-G</v>
      </c>
    </row>
    <row r="62" spans="1:5" s="86" customFormat="1" x14ac:dyDescent="0.2">
      <c r="A62" s="40">
        <f t="shared" si="0"/>
        <v>55</v>
      </c>
      <c r="B62" s="4" t="s">
        <v>142</v>
      </c>
      <c r="C62" s="43">
        <v>150</v>
      </c>
      <c r="D62" s="44">
        <f>ROUND('Lighting RD'!F61,2)</f>
        <v>-0.02</v>
      </c>
      <c r="E62" s="28" t="str">
        <f>$E$60</f>
        <v>Sheet No. 141COL-G</v>
      </c>
    </row>
    <row r="63" spans="1:5" s="86" customFormat="1" x14ac:dyDescent="0.2">
      <c r="A63" s="40">
        <f t="shared" si="0"/>
        <v>56</v>
      </c>
      <c r="B63" s="4" t="s">
        <v>142</v>
      </c>
      <c r="C63" s="43">
        <v>175</v>
      </c>
      <c r="D63" s="44">
        <f>ROUND('Lighting RD'!F62,2)</f>
        <v>-0.03</v>
      </c>
      <c r="E63" s="28" t="str">
        <f>$E$60</f>
        <v>Sheet No. 141COL-G</v>
      </c>
    </row>
    <row r="64" spans="1:5" x14ac:dyDescent="0.2">
      <c r="A64" s="40">
        <f t="shared" si="0"/>
        <v>57</v>
      </c>
      <c r="B64" s="4" t="s">
        <v>142</v>
      </c>
      <c r="C64" s="43">
        <v>250</v>
      </c>
      <c r="D64" s="44">
        <f>ROUND('Lighting RD'!F63,2)</f>
        <v>-0.04</v>
      </c>
      <c r="E64" s="28" t="str">
        <f>$E$60</f>
        <v>Sheet No. 141COL-G</v>
      </c>
    </row>
    <row r="65" spans="1:5" x14ac:dyDescent="0.2">
      <c r="A65" s="40">
        <f t="shared" si="0"/>
        <v>58</v>
      </c>
      <c r="B65" s="4" t="s">
        <v>142</v>
      </c>
      <c r="C65" s="43">
        <v>400</v>
      </c>
      <c r="D65" s="44">
        <f>ROUND('Lighting RD'!F64,2)</f>
        <v>-0.06</v>
      </c>
      <c r="E65" s="28" t="str">
        <f>$E$60</f>
        <v>Sheet No. 141COL-G</v>
      </c>
    </row>
    <row r="66" spans="1:5" x14ac:dyDescent="0.2">
      <c r="A66" s="40">
        <f t="shared" si="0"/>
        <v>59</v>
      </c>
      <c r="B66" s="49"/>
      <c r="C66" s="43"/>
      <c r="D66" s="44"/>
      <c r="E66" s="47"/>
    </row>
    <row r="67" spans="1:5" x14ac:dyDescent="0.2">
      <c r="A67" s="40">
        <f t="shared" si="0"/>
        <v>60</v>
      </c>
      <c r="B67" s="4" t="s">
        <v>143</v>
      </c>
      <c r="C67" s="29" t="s">
        <v>47</v>
      </c>
      <c r="D67" s="44">
        <f>ROUND('Lighting RD'!F66,2)</f>
        <v>0</v>
      </c>
      <c r="E67" s="28" t="str">
        <f>$E$18</f>
        <v>Sheet No. 141COL-E</v>
      </c>
    </row>
    <row r="68" spans="1:5" x14ac:dyDescent="0.2">
      <c r="A68" s="40">
        <f t="shared" si="0"/>
        <v>61</v>
      </c>
      <c r="B68" s="4" t="s">
        <v>143</v>
      </c>
      <c r="C68" s="48" t="s">
        <v>48</v>
      </c>
      <c r="D68" s="44">
        <f>ROUND('Lighting RD'!F67,2)</f>
        <v>-0.01</v>
      </c>
      <c r="E68" s="28" t="str">
        <f t="shared" ref="E68:E78" si="5">$E$18</f>
        <v>Sheet No. 141COL-E</v>
      </c>
    </row>
    <row r="69" spans="1:5" x14ac:dyDescent="0.2">
      <c r="A69" s="40">
        <f t="shared" si="0"/>
        <v>62</v>
      </c>
      <c r="B69" s="4" t="s">
        <v>143</v>
      </c>
      <c r="C69" s="43" t="s">
        <v>12</v>
      </c>
      <c r="D69" s="44">
        <f>ROUND('Lighting RD'!F68,2)</f>
        <v>-0.01</v>
      </c>
      <c r="E69" s="28" t="str">
        <f t="shared" si="5"/>
        <v>Sheet No. 141COL-E</v>
      </c>
    </row>
    <row r="70" spans="1:5" x14ac:dyDescent="0.2">
      <c r="A70" s="40">
        <f t="shared" si="0"/>
        <v>63</v>
      </c>
      <c r="B70" s="4" t="s">
        <v>143</v>
      </c>
      <c r="C70" s="43" t="s">
        <v>13</v>
      </c>
      <c r="D70" s="44">
        <f>ROUND('Lighting RD'!F69,2)</f>
        <v>-0.02</v>
      </c>
      <c r="E70" s="28" t="str">
        <f t="shared" si="5"/>
        <v>Sheet No. 141COL-E</v>
      </c>
    </row>
    <row r="71" spans="1:5" x14ac:dyDescent="0.2">
      <c r="A71" s="40">
        <f t="shared" si="0"/>
        <v>64</v>
      </c>
      <c r="B71" s="4" t="s">
        <v>143</v>
      </c>
      <c r="C71" s="43" t="s">
        <v>14</v>
      </c>
      <c r="D71" s="44">
        <f>ROUND('Lighting RD'!F70,2)</f>
        <v>-0.02</v>
      </c>
      <c r="E71" s="28" t="str">
        <f t="shared" si="5"/>
        <v>Sheet No. 141COL-E</v>
      </c>
    </row>
    <row r="72" spans="1:5" x14ac:dyDescent="0.2">
      <c r="A72" s="40">
        <f t="shared" si="0"/>
        <v>65</v>
      </c>
      <c r="B72" s="4" t="s">
        <v>143</v>
      </c>
      <c r="C72" s="43" t="s">
        <v>15</v>
      </c>
      <c r="D72" s="44">
        <f>ROUND('Lighting RD'!F71,2)</f>
        <v>-0.03</v>
      </c>
      <c r="E72" s="28" t="str">
        <f t="shared" si="5"/>
        <v>Sheet No. 141COL-E</v>
      </c>
    </row>
    <row r="73" spans="1:5" x14ac:dyDescent="0.2">
      <c r="A73" s="40">
        <f t="shared" ref="A73:A136" si="6">A72+1</f>
        <v>66</v>
      </c>
      <c r="B73" s="4" t="s">
        <v>143</v>
      </c>
      <c r="C73" s="43" t="s">
        <v>16</v>
      </c>
      <c r="D73" s="44">
        <f>ROUND('Lighting RD'!F72,2)</f>
        <v>-0.03</v>
      </c>
      <c r="E73" s="28" t="str">
        <f t="shared" si="5"/>
        <v>Sheet No. 141COL-E</v>
      </c>
    </row>
    <row r="74" spans="1:5" x14ac:dyDescent="0.2">
      <c r="A74" s="40">
        <f t="shared" si="6"/>
        <v>67</v>
      </c>
      <c r="B74" s="4" t="s">
        <v>143</v>
      </c>
      <c r="C74" s="43" t="s">
        <v>17</v>
      </c>
      <c r="D74" s="44">
        <f>ROUND('Lighting RD'!F73,2)</f>
        <v>-0.03</v>
      </c>
      <c r="E74" s="28" t="str">
        <f t="shared" si="5"/>
        <v>Sheet No. 141COL-E</v>
      </c>
    </row>
    <row r="75" spans="1:5" x14ac:dyDescent="0.2">
      <c r="A75" s="40">
        <f t="shared" si="6"/>
        <v>68</v>
      </c>
      <c r="B75" s="4" t="s">
        <v>143</v>
      </c>
      <c r="C75" s="43" t="s">
        <v>18</v>
      </c>
      <c r="D75" s="44">
        <f>ROUND('Lighting RD'!F74,2)</f>
        <v>-0.04</v>
      </c>
      <c r="E75" s="28" t="str">
        <f t="shared" si="5"/>
        <v>Sheet No. 141COL-E</v>
      </c>
    </row>
    <row r="76" spans="1:5" x14ac:dyDescent="0.2">
      <c r="A76" s="40">
        <f t="shared" si="6"/>
        <v>69</v>
      </c>
      <c r="B76" s="4" t="s">
        <v>143</v>
      </c>
      <c r="C76" s="43" t="s">
        <v>19</v>
      </c>
      <c r="D76" s="44">
        <f>ROUND('Lighting RD'!F75,2)</f>
        <v>-0.04</v>
      </c>
      <c r="E76" s="28" t="str">
        <f t="shared" si="5"/>
        <v>Sheet No. 141COL-E</v>
      </c>
    </row>
    <row r="77" spans="1:5" x14ac:dyDescent="0.2">
      <c r="A77" s="40">
        <f t="shared" si="6"/>
        <v>70</v>
      </c>
      <c r="B77" s="4"/>
      <c r="C77" s="43"/>
      <c r="D77" s="44"/>
      <c r="E77" s="45"/>
    </row>
    <row r="78" spans="1:5" x14ac:dyDescent="0.2">
      <c r="A78" s="40">
        <f t="shared" si="6"/>
        <v>71</v>
      </c>
      <c r="B78" s="4" t="s">
        <v>144</v>
      </c>
      <c r="C78" s="43" t="s">
        <v>138</v>
      </c>
      <c r="D78" s="41">
        <f>ROUND('Lighting RD'!F76,6)</f>
        <v>-4.06E-4</v>
      </c>
      <c r="E78" s="28" t="str">
        <f t="shared" si="5"/>
        <v>Sheet No. 141COL-E</v>
      </c>
    </row>
    <row r="79" spans="1:5" x14ac:dyDescent="0.2">
      <c r="A79" s="40">
        <f t="shared" si="6"/>
        <v>72</v>
      </c>
      <c r="C79" s="43"/>
      <c r="D79" s="44"/>
      <c r="E79" s="47"/>
    </row>
    <row r="80" spans="1:5" s="86" customFormat="1" ht="13.5" x14ac:dyDescent="0.35">
      <c r="A80" s="40">
        <f t="shared" si="6"/>
        <v>73</v>
      </c>
      <c r="B80" s="42" t="s">
        <v>102</v>
      </c>
      <c r="C80" s="29"/>
      <c r="D80" s="44"/>
      <c r="E80" s="47"/>
    </row>
    <row r="81" spans="1:5" s="86" customFormat="1" x14ac:dyDescent="0.2">
      <c r="A81" s="40">
        <f t="shared" si="6"/>
        <v>74</v>
      </c>
      <c r="B81" s="4" t="s">
        <v>145</v>
      </c>
      <c r="C81" s="43">
        <v>50</v>
      </c>
      <c r="D81" s="44">
        <f>ROUND('Lighting RD'!F79,2)</f>
        <v>-0.01</v>
      </c>
      <c r="E81" s="28" t="str">
        <f>$E$60</f>
        <v>Sheet No. 141COL-G</v>
      </c>
    </row>
    <row r="82" spans="1:5" s="86" customFormat="1" x14ac:dyDescent="0.2">
      <c r="A82" s="40">
        <f t="shared" si="6"/>
        <v>75</v>
      </c>
      <c r="B82" s="4" t="s">
        <v>145</v>
      </c>
      <c r="C82" s="43">
        <v>70</v>
      </c>
      <c r="D82" s="44">
        <f>ROUND('Lighting RD'!F80,2)</f>
        <v>-0.01</v>
      </c>
      <c r="E82" s="28" t="str">
        <f t="shared" ref="E82:E89" si="7">$E$60</f>
        <v>Sheet No. 141COL-G</v>
      </c>
    </row>
    <row r="83" spans="1:5" s="86" customFormat="1" x14ac:dyDescent="0.2">
      <c r="A83" s="40">
        <f t="shared" si="6"/>
        <v>76</v>
      </c>
      <c r="B83" s="4" t="s">
        <v>145</v>
      </c>
      <c r="C83" s="43">
        <v>100</v>
      </c>
      <c r="D83" s="44">
        <f>ROUND('Lighting RD'!F81,2)</f>
        <v>-0.02</v>
      </c>
      <c r="E83" s="28" t="str">
        <f t="shared" si="7"/>
        <v>Sheet No. 141COL-G</v>
      </c>
    </row>
    <row r="84" spans="1:5" s="86" customFormat="1" x14ac:dyDescent="0.2">
      <c r="A84" s="40">
        <f t="shared" si="6"/>
        <v>77</v>
      </c>
      <c r="B84" s="4" t="s">
        <v>145</v>
      </c>
      <c r="C84" s="43">
        <v>150</v>
      </c>
      <c r="D84" s="44">
        <f>ROUND('Lighting RD'!F82,2)</f>
        <v>-0.02</v>
      </c>
      <c r="E84" s="28" t="str">
        <f t="shared" si="7"/>
        <v>Sheet No. 141COL-G</v>
      </c>
    </row>
    <row r="85" spans="1:5" s="86" customFormat="1" x14ac:dyDescent="0.2">
      <c r="A85" s="40">
        <f t="shared" si="6"/>
        <v>78</v>
      </c>
      <c r="B85" s="4" t="s">
        <v>145</v>
      </c>
      <c r="C85" s="43">
        <v>200</v>
      </c>
      <c r="D85" s="44">
        <f>ROUND('Lighting RD'!F83,2)</f>
        <v>-0.03</v>
      </c>
      <c r="E85" s="28" t="str">
        <f t="shared" si="7"/>
        <v>Sheet No. 141COL-G</v>
      </c>
    </row>
    <row r="86" spans="1:5" s="86" customFormat="1" x14ac:dyDescent="0.2">
      <c r="A86" s="40">
        <f t="shared" si="6"/>
        <v>79</v>
      </c>
      <c r="B86" s="4" t="s">
        <v>145</v>
      </c>
      <c r="C86" s="43">
        <v>250</v>
      </c>
      <c r="D86" s="44">
        <f>ROUND('Lighting RD'!F84,2)</f>
        <v>-0.04</v>
      </c>
      <c r="E86" s="28" t="str">
        <f t="shared" si="7"/>
        <v>Sheet No. 141COL-G</v>
      </c>
    </row>
    <row r="87" spans="1:5" s="86" customFormat="1" x14ac:dyDescent="0.2">
      <c r="A87" s="40">
        <f t="shared" si="6"/>
        <v>80</v>
      </c>
      <c r="B87" s="4" t="s">
        <v>145</v>
      </c>
      <c r="C87" s="43">
        <v>310</v>
      </c>
      <c r="D87" s="44">
        <f>ROUND('Lighting RD'!F85,2)</f>
        <v>-0.04</v>
      </c>
      <c r="E87" s="28" t="str">
        <f t="shared" si="7"/>
        <v>Sheet No. 141COL-G</v>
      </c>
    </row>
    <row r="88" spans="1:5" s="86" customFormat="1" x14ac:dyDescent="0.2">
      <c r="A88" s="40">
        <f t="shared" si="6"/>
        <v>81</v>
      </c>
      <c r="B88" s="4" t="s">
        <v>145</v>
      </c>
      <c r="C88" s="43">
        <v>400</v>
      </c>
      <c r="D88" s="44">
        <f>ROUND('Lighting RD'!F86,2)</f>
        <v>-0.06</v>
      </c>
      <c r="E88" s="28" t="str">
        <f t="shared" si="7"/>
        <v>Sheet No. 141COL-G</v>
      </c>
    </row>
    <row r="89" spans="1:5" s="86" customFormat="1" x14ac:dyDescent="0.2">
      <c r="A89" s="40">
        <f t="shared" si="6"/>
        <v>82</v>
      </c>
      <c r="B89" s="4" t="s">
        <v>145</v>
      </c>
      <c r="C89" s="43">
        <v>1000</v>
      </c>
      <c r="D89" s="44">
        <f>ROUND('Lighting RD'!F87,2)</f>
        <v>-0.15</v>
      </c>
      <c r="E89" s="28" t="str">
        <f t="shared" si="7"/>
        <v>Sheet No. 141COL-G</v>
      </c>
    </row>
    <row r="90" spans="1:5" s="86" customFormat="1" x14ac:dyDescent="0.2">
      <c r="A90" s="40">
        <f t="shared" si="6"/>
        <v>83</v>
      </c>
      <c r="B90" s="49"/>
      <c r="C90" s="43"/>
      <c r="D90" s="44"/>
      <c r="E90" s="47"/>
    </row>
    <row r="91" spans="1:5" s="86" customFormat="1" x14ac:dyDescent="0.2">
      <c r="A91" s="40">
        <f t="shared" si="6"/>
        <v>84</v>
      </c>
      <c r="B91" s="4" t="s">
        <v>146</v>
      </c>
      <c r="C91" s="48" t="s">
        <v>43</v>
      </c>
      <c r="D91" s="44">
        <f>ROUND('Lighting RD'!F89,2)</f>
        <v>0</v>
      </c>
      <c r="E91" s="28" t="str">
        <f t="shared" ref="E91:E100" si="8">$E$18</f>
        <v>Sheet No. 141COL-E</v>
      </c>
    </row>
    <row r="92" spans="1:5" s="86" customFormat="1" x14ac:dyDescent="0.2">
      <c r="A92" s="40">
        <f t="shared" si="6"/>
        <v>85</v>
      </c>
      <c r="B92" s="4" t="s">
        <v>146</v>
      </c>
      <c r="C92" s="48" t="s">
        <v>11</v>
      </c>
      <c r="D92" s="44">
        <f>ROUND('Lighting RD'!F90,2)</f>
        <v>-0.01</v>
      </c>
      <c r="E92" s="28" t="str">
        <f t="shared" si="8"/>
        <v>Sheet No. 141COL-E</v>
      </c>
    </row>
    <row r="93" spans="1:5" s="86" customFormat="1" x14ac:dyDescent="0.2">
      <c r="A93" s="40">
        <f t="shared" si="6"/>
        <v>86</v>
      </c>
      <c r="B93" s="4" t="s">
        <v>146</v>
      </c>
      <c r="C93" s="43" t="s">
        <v>12</v>
      </c>
      <c r="D93" s="44">
        <f>ROUND('Lighting RD'!F91,2)</f>
        <v>-0.01</v>
      </c>
      <c r="E93" s="28" t="str">
        <f t="shared" si="8"/>
        <v>Sheet No. 141COL-E</v>
      </c>
    </row>
    <row r="94" spans="1:5" s="86" customFormat="1" x14ac:dyDescent="0.2">
      <c r="A94" s="40">
        <f t="shared" si="6"/>
        <v>87</v>
      </c>
      <c r="B94" s="4" t="s">
        <v>146</v>
      </c>
      <c r="C94" s="43" t="s">
        <v>13</v>
      </c>
      <c r="D94" s="44">
        <f>ROUND('Lighting RD'!F92,2)</f>
        <v>-0.02</v>
      </c>
      <c r="E94" s="28" t="str">
        <f t="shared" si="8"/>
        <v>Sheet No. 141COL-E</v>
      </c>
    </row>
    <row r="95" spans="1:5" s="86" customFormat="1" x14ac:dyDescent="0.2">
      <c r="A95" s="40">
        <f t="shared" si="6"/>
        <v>88</v>
      </c>
      <c r="B95" s="4" t="s">
        <v>146</v>
      </c>
      <c r="C95" s="43" t="s">
        <v>14</v>
      </c>
      <c r="D95" s="44">
        <f>ROUND('Lighting RD'!F93,2)</f>
        <v>-0.02</v>
      </c>
      <c r="E95" s="28" t="str">
        <f t="shared" si="8"/>
        <v>Sheet No. 141COL-E</v>
      </c>
    </row>
    <row r="96" spans="1:5" s="86" customFormat="1" x14ac:dyDescent="0.2">
      <c r="A96" s="40">
        <f t="shared" si="6"/>
        <v>89</v>
      </c>
      <c r="B96" s="4" t="s">
        <v>146</v>
      </c>
      <c r="C96" s="43" t="s">
        <v>15</v>
      </c>
      <c r="D96" s="44">
        <f>ROUND('Lighting RD'!F94,2)</f>
        <v>-0.03</v>
      </c>
      <c r="E96" s="28" t="str">
        <f t="shared" si="8"/>
        <v>Sheet No. 141COL-E</v>
      </c>
    </row>
    <row r="97" spans="1:5" s="86" customFormat="1" x14ac:dyDescent="0.2">
      <c r="A97" s="40">
        <f t="shared" si="6"/>
        <v>90</v>
      </c>
      <c r="B97" s="4" t="s">
        <v>146</v>
      </c>
      <c r="C97" s="43" t="s">
        <v>16</v>
      </c>
      <c r="D97" s="44">
        <f>ROUND('Lighting RD'!F95,2)</f>
        <v>-0.03</v>
      </c>
      <c r="E97" s="28" t="str">
        <f t="shared" si="8"/>
        <v>Sheet No. 141COL-E</v>
      </c>
    </row>
    <row r="98" spans="1:5" s="86" customFormat="1" x14ac:dyDescent="0.2">
      <c r="A98" s="40">
        <f t="shared" si="6"/>
        <v>91</v>
      </c>
      <c r="B98" s="4" t="s">
        <v>146</v>
      </c>
      <c r="C98" s="43" t="s">
        <v>17</v>
      </c>
      <c r="D98" s="44">
        <f>ROUND('Lighting RD'!F96,2)</f>
        <v>-0.03</v>
      </c>
      <c r="E98" s="28" t="str">
        <f t="shared" si="8"/>
        <v>Sheet No. 141COL-E</v>
      </c>
    </row>
    <row r="99" spans="1:5" s="86" customFormat="1" x14ac:dyDescent="0.2">
      <c r="A99" s="40">
        <f t="shared" si="6"/>
        <v>92</v>
      </c>
      <c r="B99" s="4" t="s">
        <v>146</v>
      </c>
      <c r="C99" s="43" t="s">
        <v>18</v>
      </c>
      <c r="D99" s="44">
        <f>ROUND('Lighting RD'!F97,2)</f>
        <v>-0.04</v>
      </c>
      <c r="E99" s="28" t="str">
        <f t="shared" si="8"/>
        <v>Sheet No. 141COL-E</v>
      </c>
    </row>
    <row r="100" spans="1:5" s="86" customFormat="1" x14ac:dyDescent="0.2">
      <c r="A100" s="40">
        <f t="shared" si="6"/>
        <v>93</v>
      </c>
      <c r="B100" s="4" t="s">
        <v>146</v>
      </c>
      <c r="C100" s="43" t="s">
        <v>19</v>
      </c>
      <c r="D100" s="44">
        <f>ROUND('Lighting RD'!F98,2)</f>
        <v>-0.04</v>
      </c>
      <c r="E100" s="28" t="str">
        <f t="shared" si="8"/>
        <v>Sheet No. 141COL-E</v>
      </c>
    </row>
    <row r="101" spans="1:5" s="86" customFormat="1" x14ac:dyDescent="0.2">
      <c r="A101" s="40">
        <f t="shared" si="6"/>
        <v>94</v>
      </c>
      <c r="B101" s="49"/>
      <c r="C101" s="43"/>
      <c r="D101" s="44"/>
      <c r="E101" s="47"/>
    </row>
    <row r="102" spans="1:5" s="86" customFormat="1" ht="13.5" x14ac:dyDescent="0.35">
      <c r="A102" s="40">
        <f t="shared" si="6"/>
        <v>95</v>
      </c>
      <c r="B102" s="42" t="s">
        <v>147</v>
      </c>
      <c r="C102" s="43"/>
      <c r="D102" s="44"/>
      <c r="E102" s="47"/>
    </row>
    <row r="103" spans="1:5" s="86" customFormat="1" x14ac:dyDescent="0.2">
      <c r="A103" s="40">
        <f t="shared" si="6"/>
        <v>96</v>
      </c>
      <c r="B103" s="4" t="s">
        <v>148</v>
      </c>
      <c r="C103" s="43">
        <v>70</v>
      </c>
      <c r="D103" s="44">
        <f>ROUND('Lighting RD'!F101,2)</f>
        <v>-0.02</v>
      </c>
      <c r="E103" s="45" t="s">
        <v>162</v>
      </c>
    </row>
    <row r="104" spans="1:5" s="86" customFormat="1" x14ac:dyDescent="0.2">
      <c r="A104" s="40">
        <f t="shared" si="6"/>
        <v>97</v>
      </c>
      <c r="B104" s="4" t="s">
        <v>148</v>
      </c>
      <c r="C104" s="43">
        <v>100</v>
      </c>
      <c r="D104" s="44">
        <f>ROUND('Lighting RD'!F102,2)</f>
        <v>-0.03</v>
      </c>
      <c r="E104" s="28" t="str">
        <f>$E$103</f>
        <v>Sheet No. 141COL-H</v>
      </c>
    </row>
    <row r="105" spans="1:5" s="86" customFormat="1" x14ac:dyDescent="0.2">
      <c r="A105" s="40">
        <f t="shared" si="6"/>
        <v>98</v>
      </c>
      <c r="B105" s="4" t="s">
        <v>148</v>
      </c>
      <c r="C105" s="43">
        <v>150</v>
      </c>
      <c r="D105" s="44">
        <f>ROUND('Lighting RD'!F103,2)</f>
        <v>-0.03</v>
      </c>
      <c r="E105" s="28" t="str">
        <f t="shared" ref="E105:E121" si="9">$E$103</f>
        <v>Sheet No. 141COL-H</v>
      </c>
    </row>
    <row r="106" spans="1:5" s="86" customFormat="1" x14ac:dyDescent="0.2">
      <c r="A106" s="40">
        <f t="shared" si="6"/>
        <v>99</v>
      </c>
      <c r="B106" s="4" t="s">
        <v>148</v>
      </c>
      <c r="C106" s="43">
        <v>200</v>
      </c>
      <c r="D106" s="44">
        <f>ROUND('Lighting RD'!F104,2)</f>
        <v>-0.04</v>
      </c>
      <c r="E106" s="28" t="str">
        <f t="shared" si="9"/>
        <v>Sheet No. 141COL-H</v>
      </c>
    </row>
    <row r="107" spans="1:5" s="86" customFormat="1" x14ac:dyDescent="0.2">
      <c r="A107" s="40">
        <f t="shared" si="6"/>
        <v>100</v>
      </c>
      <c r="B107" s="4" t="s">
        <v>148</v>
      </c>
      <c r="C107" s="43">
        <v>250</v>
      </c>
      <c r="D107" s="44">
        <f>ROUND('Lighting RD'!F105,2)</f>
        <v>-0.05</v>
      </c>
      <c r="E107" s="28" t="str">
        <f t="shared" si="9"/>
        <v>Sheet No. 141COL-H</v>
      </c>
    </row>
    <row r="108" spans="1:5" s="86" customFormat="1" x14ac:dyDescent="0.2">
      <c r="A108" s="40">
        <f t="shared" si="6"/>
        <v>101</v>
      </c>
      <c r="B108" s="4" t="s">
        <v>148</v>
      </c>
      <c r="C108" s="43">
        <v>400</v>
      </c>
      <c r="D108" s="44">
        <f>ROUND('Lighting RD'!F106,2)</f>
        <v>-7.0000000000000007E-2</v>
      </c>
      <c r="E108" s="28" t="str">
        <f t="shared" si="9"/>
        <v>Sheet No. 141COL-H</v>
      </c>
    </row>
    <row r="109" spans="1:5" s="86" customFormat="1" x14ac:dyDescent="0.2">
      <c r="A109" s="40">
        <f t="shared" si="6"/>
        <v>102</v>
      </c>
      <c r="B109" s="49"/>
      <c r="C109" s="43"/>
      <c r="D109" s="44"/>
      <c r="E109" s="47"/>
    </row>
    <row r="110" spans="1:5" s="86" customFormat="1" x14ac:dyDescent="0.2">
      <c r="A110" s="40">
        <f t="shared" si="6"/>
        <v>103</v>
      </c>
      <c r="B110" s="4" t="s">
        <v>149</v>
      </c>
      <c r="C110" s="43">
        <v>250</v>
      </c>
      <c r="D110" s="44">
        <f>ROUND('Lighting RD'!F108,2)</f>
        <v>-0.05</v>
      </c>
      <c r="E110" s="28" t="str">
        <f t="shared" si="9"/>
        <v>Sheet No. 141COL-H</v>
      </c>
    </row>
    <row r="111" spans="1:5" s="86" customFormat="1" x14ac:dyDescent="0.2">
      <c r="A111" s="40">
        <f t="shared" si="6"/>
        <v>104</v>
      </c>
      <c r="B111" s="49"/>
      <c r="C111" s="43"/>
      <c r="D111" s="44"/>
      <c r="E111" s="47"/>
    </row>
    <row r="112" spans="1:5" x14ac:dyDescent="0.2">
      <c r="A112" s="40">
        <f t="shared" si="6"/>
        <v>105</v>
      </c>
      <c r="B112" s="4" t="s">
        <v>150</v>
      </c>
      <c r="C112" s="29" t="s">
        <v>47</v>
      </c>
      <c r="D112" s="44">
        <f>ROUND('Lighting RD'!F110,2)</f>
        <v>-0.01</v>
      </c>
      <c r="E112" s="28" t="str">
        <f t="shared" si="9"/>
        <v>Sheet No. 141COL-H</v>
      </c>
    </row>
    <row r="113" spans="1:5" x14ac:dyDescent="0.2">
      <c r="A113" s="40">
        <f t="shared" si="6"/>
        <v>106</v>
      </c>
      <c r="B113" s="4" t="s">
        <v>150</v>
      </c>
      <c r="C113" s="48" t="s">
        <v>11</v>
      </c>
      <c r="D113" s="44">
        <f>ROUND('Lighting RD'!F111,2)</f>
        <v>-0.02</v>
      </c>
      <c r="E113" s="28" t="str">
        <f t="shared" si="9"/>
        <v>Sheet No. 141COL-H</v>
      </c>
    </row>
    <row r="114" spans="1:5" x14ac:dyDescent="0.2">
      <c r="A114" s="40">
        <f t="shared" si="6"/>
        <v>107</v>
      </c>
      <c r="B114" s="4" t="s">
        <v>150</v>
      </c>
      <c r="C114" s="43" t="s">
        <v>12</v>
      </c>
      <c r="D114" s="44">
        <f>ROUND('Lighting RD'!F112,2)</f>
        <v>-0.02</v>
      </c>
      <c r="E114" s="28" t="str">
        <f t="shared" si="9"/>
        <v>Sheet No. 141COL-H</v>
      </c>
    </row>
    <row r="115" spans="1:5" x14ac:dyDescent="0.2">
      <c r="A115" s="40">
        <f t="shared" si="6"/>
        <v>108</v>
      </c>
      <c r="B115" s="4" t="s">
        <v>150</v>
      </c>
      <c r="C115" s="43" t="s">
        <v>13</v>
      </c>
      <c r="D115" s="44">
        <f>ROUND('Lighting RD'!F113,2)</f>
        <v>-0.03</v>
      </c>
      <c r="E115" s="28" t="str">
        <f t="shared" si="9"/>
        <v>Sheet No. 141COL-H</v>
      </c>
    </row>
    <row r="116" spans="1:5" x14ac:dyDescent="0.2">
      <c r="A116" s="40">
        <f t="shared" si="6"/>
        <v>109</v>
      </c>
      <c r="B116" s="4" t="s">
        <v>150</v>
      </c>
      <c r="C116" s="43" t="s">
        <v>14</v>
      </c>
      <c r="D116" s="44">
        <f>ROUND('Lighting RD'!F114,2)</f>
        <v>-0.03</v>
      </c>
      <c r="E116" s="28" t="str">
        <f t="shared" si="9"/>
        <v>Sheet No. 141COL-H</v>
      </c>
    </row>
    <row r="117" spans="1:5" x14ac:dyDescent="0.2">
      <c r="A117" s="40">
        <f t="shared" si="6"/>
        <v>110</v>
      </c>
      <c r="B117" s="4" t="s">
        <v>150</v>
      </c>
      <c r="C117" s="43" t="s">
        <v>15</v>
      </c>
      <c r="D117" s="44">
        <f>ROUND('Lighting RD'!F115,2)</f>
        <v>-0.04</v>
      </c>
      <c r="E117" s="28" t="str">
        <f t="shared" si="9"/>
        <v>Sheet No. 141COL-H</v>
      </c>
    </row>
    <row r="118" spans="1:5" x14ac:dyDescent="0.2">
      <c r="A118" s="40">
        <f t="shared" si="6"/>
        <v>111</v>
      </c>
      <c r="B118" s="4" t="s">
        <v>150</v>
      </c>
      <c r="C118" s="43" t="s">
        <v>16</v>
      </c>
      <c r="D118" s="44">
        <f>ROUND('Lighting RD'!F116,2)</f>
        <v>-0.04</v>
      </c>
      <c r="E118" s="28" t="str">
        <f t="shared" si="9"/>
        <v>Sheet No. 141COL-H</v>
      </c>
    </row>
    <row r="119" spans="1:5" x14ac:dyDescent="0.2">
      <c r="A119" s="40">
        <f t="shared" si="6"/>
        <v>112</v>
      </c>
      <c r="B119" s="4" t="s">
        <v>150</v>
      </c>
      <c r="C119" s="43" t="s">
        <v>17</v>
      </c>
      <c r="D119" s="44">
        <f>ROUND('Lighting RD'!F117,2)</f>
        <v>-0.04</v>
      </c>
      <c r="E119" s="28" t="str">
        <f t="shared" si="9"/>
        <v>Sheet No. 141COL-H</v>
      </c>
    </row>
    <row r="120" spans="1:5" x14ac:dyDescent="0.2">
      <c r="A120" s="40">
        <f t="shared" si="6"/>
        <v>113</v>
      </c>
      <c r="B120" s="4" t="s">
        <v>150</v>
      </c>
      <c r="C120" s="43" t="s">
        <v>18</v>
      </c>
      <c r="D120" s="44">
        <f>ROUND('Lighting RD'!F118,2)</f>
        <v>-0.05</v>
      </c>
      <c r="E120" s="28" t="str">
        <f t="shared" si="9"/>
        <v>Sheet No. 141COL-H</v>
      </c>
    </row>
    <row r="121" spans="1:5" x14ac:dyDescent="0.2">
      <c r="A121" s="40">
        <f t="shared" si="6"/>
        <v>114</v>
      </c>
      <c r="B121" s="4" t="s">
        <v>150</v>
      </c>
      <c r="C121" s="43" t="s">
        <v>19</v>
      </c>
      <c r="D121" s="44">
        <f>ROUND('Lighting RD'!F119,2)</f>
        <v>-0.05</v>
      </c>
      <c r="E121" s="28" t="str">
        <f t="shared" si="9"/>
        <v>Sheet No. 141COL-H</v>
      </c>
    </row>
    <row r="122" spans="1:5" x14ac:dyDescent="0.2">
      <c r="A122" s="40">
        <f t="shared" si="6"/>
        <v>115</v>
      </c>
      <c r="B122" s="49"/>
      <c r="C122" s="43"/>
      <c r="D122" s="44"/>
      <c r="E122" s="47"/>
    </row>
    <row r="123" spans="1:5" ht="13.5" x14ac:dyDescent="0.35">
      <c r="A123" s="40">
        <f t="shared" si="6"/>
        <v>116</v>
      </c>
      <c r="B123" s="42" t="s">
        <v>35</v>
      </c>
      <c r="C123" s="43"/>
      <c r="D123" s="44"/>
      <c r="E123" s="47"/>
    </row>
    <row r="124" spans="1:5" x14ac:dyDescent="0.2">
      <c r="A124" s="40">
        <f t="shared" si="6"/>
        <v>117</v>
      </c>
      <c r="B124" s="4" t="s">
        <v>36</v>
      </c>
      <c r="C124" s="43" t="s">
        <v>151</v>
      </c>
      <c r="D124" s="50">
        <f>ROUND('Lighting RD'!F122,5)</f>
        <v>-1.1E-4</v>
      </c>
      <c r="E124" s="45" t="s">
        <v>163</v>
      </c>
    </row>
    <row r="125" spans="1:5" x14ac:dyDescent="0.2">
      <c r="A125" s="40">
        <f t="shared" si="6"/>
        <v>118</v>
      </c>
      <c r="B125" s="49"/>
      <c r="C125" s="43"/>
      <c r="D125" s="44"/>
      <c r="E125" s="47"/>
    </row>
    <row r="126" spans="1:5" ht="13.5" x14ac:dyDescent="0.35">
      <c r="A126" s="40">
        <f t="shared" si="6"/>
        <v>119</v>
      </c>
      <c r="B126" s="42" t="s">
        <v>25</v>
      </c>
      <c r="C126" s="43"/>
      <c r="D126" s="44"/>
      <c r="E126" s="47"/>
    </row>
    <row r="127" spans="1:5" x14ac:dyDescent="0.2">
      <c r="A127" s="40">
        <f t="shared" si="6"/>
        <v>120</v>
      </c>
      <c r="B127" s="4" t="s">
        <v>152</v>
      </c>
      <c r="C127" s="43">
        <v>70</v>
      </c>
      <c r="D127" s="44">
        <f>ROUND('Lighting RD'!F125,2)</f>
        <v>-0.02</v>
      </c>
      <c r="E127" s="28" t="str">
        <f t="shared" ref="E127:E132" si="10">$E$124</f>
        <v>Sheet No. 141COL-I</v>
      </c>
    </row>
    <row r="128" spans="1:5" s="86" customFormat="1" x14ac:dyDescent="0.2">
      <c r="A128" s="40">
        <f t="shared" si="6"/>
        <v>121</v>
      </c>
      <c r="B128" s="4" t="s">
        <v>152</v>
      </c>
      <c r="C128" s="43">
        <v>100</v>
      </c>
      <c r="D128" s="44">
        <f>ROUND('Lighting RD'!F126,2)</f>
        <v>-0.03</v>
      </c>
      <c r="E128" s="28" t="str">
        <f t="shared" si="10"/>
        <v>Sheet No. 141COL-I</v>
      </c>
    </row>
    <row r="129" spans="1:5" s="86" customFormat="1" x14ac:dyDescent="0.2">
      <c r="A129" s="40">
        <f t="shared" si="6"/>
        <v>122</v>
      </c>
      <c r="B129" s="4" t="s">
        <v>152</v>
      </c>
      <c r="C129" s="43">
        <v>150</v>
      </c>
      <c r="D129" s="44">
        <f>ROUND('Lighting RD'!F127,2)</f>
        <v>-0.03</v>
      </c>
      <c r="E129" s="28" t="str">
        <f t="shared" si="10"/>
        <v>Sheet No. 141COL-I</v>
      </c>
    </row>
    <row r="130" spans="1:5" s="86" customFormat="1" x14ac:dyDescent="0.2">
      <c r="A130" s="40">
        <f t="shared" si="6"/>
        <v>123</v>
      </c>
      <c r="B130" s="4" t="s">
        <v>152</v>
      </c>
      <c r="C130" s="43">
        <v>200</v>
      </c>
      <c r="D130" s="44">
        <f>ROUND('Lighting RD'!F128,2)</f>
        <v>-0.04</v>
      </c>
      <c r="E130" s="28" t="str">
        <f t="shared" si="10"/>
        <v>Sheet No. 141COL-I</v>
      </c>
    </row>
    <row r="131" spans="1:5" s="86" customFormat="1" x14ac:dyDescent="0.2">
      <c r="A131" s="40">
        <f t="shared" si="6"/>
        <v>124</v>
      </c>
      <c r="B131" s="4" t="s">
        <v>152</v>
      </c>
      <c r="C131" s="43">
        <v>250</v>
      </c>
      <c r="D131" s="44">
        <f>ROUND('Lighting RD'!F129,2)</f>
        <v>-0.05</v>
      </c>
      <c r="E131" s="28" t="str">
        <f t="shared" si="10"/>
        <v>Sheet No. 141COL-I</v>
      </c>
    </row>
    <row r="132" spans="1:5" s="86" customFormat="1" x14ac:dyDescent="0.2">
      <c r="A132" s="40">
        <f t="shared" si="6"/>
        <v>125</v>
      </c>
      <c r="B132" s="4" t="s">
        <v>152</v>
      </c>
      <c r="C132" s="43">
        <v>400</v>
      </c>
      <c r="D132" s="44">
        <f>ROUND('Lighting RD'!F130,2)</f>
        <v>-7.0000000000000007E-2</v>
      </c>
      <c r="E132" s="28" t="str">
        <f t="shared" si="10"/>
        <v>Sheet No. 141COL-I</v>
      </c>
    </row>
    <row r="133" spans="1:5" s="86" customFormat="1" x14ac:dyDescent="0.2">
      <c r="A133" s="40">
        <f t="shared" si="6"/>
        <v>126</v>
      </c>
      <c r="B133" s="49"/>
      <c r="C133" s="43"/>
      <c r="D133" s="44"/>
      <c r="E133" s="47"/>
    </row>
    <row r="134" spans="1:5" s="86" customFormat="1" x14ac:dyDescent="0.2">
      <c r="A134" s="40">
        <f t="shared" si="6"/>
        <v>127</v>
      </c>
      <c r="B134" s="4" t="s">
        <v>153</v>
      </c>
      <c r="C134" s="43">
        <v>100</v>
      </c>
      <c r="D134" s="44">
        <f>ROUND('Lighting RD'!F132,2)</f>
        <v>-0.03</v>
      </c>
      <c r="E134" s="28" t="str">
        <f>$E$124</f>
        <v>Sheet No. 141COL-I</v>
      </c>
    </row>
    <row r="135" spans="1:5" s="86" customFormat="1" x14ac:dyDescent="0.2">
      <c r="A135" s="40">
        <f t="shared" si="6"/>
        <v>128</v>
      </c>
      <c r="B135" s="4" t="s">
        <v>153</v>
      </c>
      <c r="C135" s="43">
        <v>150</v>
      </c>
      <c r="D135" s="44">
        <f>ROUND('Lighting RD'!F133,2)</f>
        <v>-0.03</v>
      </c>
      <c r="E135" s="28" t="str">
        <f>$E$124</f>
        <v>Sheet No. 141COL-I</v>
      </c>
    </row>
    <row r="136" spans="1:5" s="86" customFormat="1" x14ac:dyDescent="0.2">
      <c r="A136" s="40">
        <f t="shared" si="6"/>
        <v>129</v>
      </c>
      <c r="B136" s="4" t="s">
        <v>153</v>
      </c>
      <c r="C136" s="43">
        <v>200</v>
      </c>
      <c r="D136" s="44">
        <f>ROUND('Lighting RD'!F134,2)</f>
        <v>-0.04</v>
      </c>
      <c r="E136" s="28" t="str">
        <f>$E$124</f>
        <v>Sheet No. 141COL-I</v>
      </c>
    </row>
    <row r="137" spans="1:5" s="86" customFormat="1" x14ac:dyDescent="0.2">
      <c r="A137" s="40">
        <f t="shared" ref="A137:A179" si="11">A136+1</f>
        <v>130</v>
      </c>
      <c r="B137" s="4" t="s">
        <v>153</v>
      </c>
      <c r="C137" s="43">
        <v>250</v>
      </c>
      <c r="D137" s="44">
        <f>ROUND('Lighting RD'!F135,2)</f>
        <v>-0.05</v>
      </c>
      <c r="E137" s="28" t="str">
        <f>$E$124</f>
        <v>Sheet No. 141COL-I</v>
      </c>
    </row>
    <row r="138" spans="1:5" s="86" customFormat="1" x14ac:dyDescent="0.2">
      <c r="A138" s="40">
        <f t="shared" si="11"/>
        <v>131</v>
      </c>
      <c r="B138" s="4" t="s">
        <v>153</v>
      </c>
      <c r="C138" s="43">
        <v>400</v>
      </c>
      <c r="D138" s="44">
        <f>ROUND('Lighting RD'!F136,2)</f>
        <v>-7.0000000000000007E-2</v>
      </c>
      <c r="E138" s="28" t="str">
        <f>$E$124</f>
        <v>Sheet No. 141COL-I</v>
      </c>
    </row>
    <row r="139" spans="1:5" s="86" customFormat="1" x14ac:dyDescent="0.2">
      <c r="A139" s="40">
        <f t="shared" si="11"/>
        <v>132</v>
      </c>
      <c r="B139" s="49"/>
      <c r="C139" s="43"/>
      <c r="D139" s="44"/>
      <c r="E139" s="47"/>
    </row>
    <row r="140" spans="1:5" s="86" customFormat="1" x14ac:dyDescent="0.2">
      <c r="A140" s="40">
        <f t="shared" si="11"/>
        <v>133</v>
      </c>
      <c r="B140" s="4" t="s">
        <v>154</v>
      </c>
      <c r="C140" s="43">
        <v>175</v>
      </c>
      <c r="D140" s="44">
        <f>ROUND('Lighting RD'!F138,2)</f>
        <v>-0.04</v>
      </c>
      <c r="E140" s="28" t="str">
        <f>$E$124</f>
        <v>Sheet No. 141COL-I</v>
      </c>
    </row>
    <row r="141" spans="1:5" s="86" customFormat="1" x14ac:dyDescent="0.2">
      <c r="A141" s="40">
        <f t="shared" si="11"/>
        <v>134</v>
      </c>
      <c r="B141" s="4" t="s">
        <v>154</v>
      </c>
      <c r="C141" s="43">
        <v>250</v>
      </c>
      <c r="D141" s="44">
        <f>ROUND('Lighting RD'!F139,2)</f>
        <v>-0.05</v>
      </c>
      <c r="E141" s="28" t="str">
        <f>$E$124</f>
        <v>Sheet No. 141COL-I</v>
      </c>
    </row>
    <row r="142" spans="1:5" s="86" customFormat="1" x14ac:dyDescent="0.2">
      <c r="A142" s="40">
        <f t="shared" si="11"/>
        <v>135</v>
      </c>
      <c r="B142" s="4" t="s">
        <v>154</v>
      </c>
      <c r="C142" s="43">
        <v>400</v>
      </c>
      <c r="D142" s="44">
        <f>ROUND('Lighting RD'!F140,2)</f>
        <v>-7.0000000000000007E-2</v>
      </c>
      <c r="E142" s="28" t="str">
        <f>$E$124</f>
        <v>Sheet No. 141COL-I</v>
      </c>
    </row>
    <row r="143" spans="1:5" s="86" customFormat="1" x14ac:dyDescent="0.2">
      <c r="A143" s="40">
        <f t="shared" si="11"/>
        <v>136</v>
      </c>
      <c r="B143" s="4" t="s">
        <v>154</v>
      </c>
      <c r="C143" s="43">
        <v>1000</v>
      </c>
      <c r="D143" s="44">
        <f>ROUND('Lighting RD'!F141,2)</f>
        <v>-0.16</v>
      </c>
      <c r="E143" s="28" t="str">
        <f>$E$124</f>
        <v>Sheet No. 141COL-I</v>
      </c>
    </row>
    <row r="144" spans="1:5" s="86" customFormat="1" x14ac:dyDescent="0.2">
      <c r="A144" s="40">
        <f t="shared" si="11"/>
        <v>137</v>
      </c>
      <c r="B144" s="49"/>
      <c r="C144" s="43"/>
      <c r="D144" s="44"/>
      <c r="E144" s="47"/>
    </row>
    <row r="145" spans="1:5" s="86" customFormat="1" x14ac:dyDescent="0.2">
      <c r="A145" s="40">
        <f t="shared" si="11"/>
        <v>138</v>
      </c>
      <c r="B145" s="4" t="s">
        <v>155</v>
      </c>
      <c r="C145" s="43">
        <v>250</v>
      </c>
      <c r="D145" s="44">
        <f>ROUND('Lighting RD'!F143,2)</f>
        <v>-0.05</v>
      </c>
      <c r="E145" s="28" t="str">
        <f>$E$124</f>
        <v>Sheet No. 141COL-I</v>
      </c>
    </row>
    <row r="146" spans="1:5" s="86" customFormat="1" x14ac:dyDescent="0.2">
      <c r="A146" s="40">
        <f t="shared" si="11"/>
        <v>139</v>
      </c>
      <c r="B146" s="4" t="s">
        <v>155</v>
      </c>
      <c r="C146" s="43">
        <v>400</v>
      </c>
      <c r="D146" s="44">
        <f>ROUND('Lighting RD'!F144,2)</f>
        <v>-7.0000000000000007E-2</v>
      </c>
      <c r="E146" s="28" t="str">
        <f>$E$124</f>
        <v>Sheet No. 141COL-I</v>
      </c>
    </row>
    <row r="147" spans="1:5" s="86" customFormat="1" x14ac:dyDescent="0.2">
      <c r="A147" s="40">
        <f t="shared" si="11"/>
        <v>140</v>
      </c>
      <c r="B147" s="49"/>
      <c r="C147" s="43"/>
      <c r="D147" s="44"/>
      <c r="E147" s="47"/>
    </row>
    <row r="148" spans="1:5" s="86" customFormat="1" x14ac:dyDescent="0.2">
      <c r="A148" s="40">
        <f t="shared" si="11"/>
        <v>141</v>
      </c>
      <c r="B148" s="4" t="s">
        <v>156</v>
      </c>
      <c r="C148" s="29" t="s">
        <v>47</v>
      </c>
      <c r="D148" s="44">
        <f>ROUND('Lighting RD'!F146,2)</f>
        <v>-0.01</v>
      </c>
      <c r="E148" s="45" t="s">
        <v>164</v>
      </c>
    </row>
    <row r="149" spans="1:5" s="86" customFormat="1" x14ac:dyDescent="0.2">
      <c r="A149" s="40">
        <f t="shared" si="11"/>
        <v>142</v>
      </c>
      <c r="B149" s="4" t="s">
        <v>156</v>
      </c>
      <c r="C149" s="48" t="s">
        <v>48</v>
      </c>
      <c r="D149" s="44">
        <f>ROUND('Lighting RD'!F147,2)</f>
        <v>-0.02</v>
      </c>
      <c r="E149" s="28" t="str">
        <f>$E$148</f>
        <v>Sheet No. 141COL-J</v>
      </c>
    </row>
    <row r="150" spans="1:5" s="86" customFormat="1" x14ac:dyDescent="0.2">
      <c r="A150" s="40">
        <f t="shared" si="11"/>
        <v>143</v>
      </c>
      <c r="B150" s="4" t="s">
        <v>156</v>
      </c>
      <c r="C150" s="43" t="s">
        <v>12</v>
      </c>
      <c r="D150" s="44">
        <f>ROUND('Lighting RD'!F148,2)</f>
        <v>-0.02</v>
      </c>
      <c r="E150" s="28" t="str">
        <f t="shared" ref="E150:E163" si="12">$E$148</f>
        <v>Sheet No. 141COL-J</v>
      </c>
    </row>
    <row r="151" spans="1:5" s="86" customFormat="1" x14ac:dyDescent="0.2">
      <c r="A151" s="40">
        <f t="shared" si="11"/>
        <v>144</v>
      </c>
      <c r="B151" s="4" t="s">
        <v>156</v>
      </c>
      <c r="C151" s="43" t="s">
        <v>13</v>
      </c>
      <c r="D151" s="44">
        <f>ROUND('Lighting RD'!F149,2)</f>
        <v>-0.03</v>
      </c>
      <c r="E151" s="28" t="str">
        <f t="shared" si="12"/>
        <v>Sheet No. 141COL-J</v>
      </c>
    </row>
    <row r="152" spans="1:5" s="86" customFormat="1" x14ac:dyDescent="0.2">
      <c r="A152" s="40">
        <f t="shared" si="11"/>
        <v>145</v>
      </c>
      <c r="B152" s="4" t="s">
        <v>156</v>
      </c>
      <c r="C152" s="43" t="s">
        <v>14</v>
      </c>
      <c r="D152" s="44">
        <f>ROUND('Lighting RD'!F150,2)</f>
        <v>-0.03</v>
      </c>
      <c r="E152" s="28" t="str">
        <f t="shared" si="12"/>
        <v>Sheet No. 141COL-J</v>
      </c>
    </row>
    <row r="153" spans="1:5" s="86" customFormat="1" x14ac:dyDescent="0.2">
      <c r="A153" s="40">
        <f t="shared" si="11"/>
        <v>146</v>
      </c>
      <c r="B153" s="4" t="s">
        <v>156</v>
      </c>
      <c r="C153" s="43" t="s">
        <v>15</v>
      </c>
      <c r="D153" s="44">
        <f>ROUND('Lighting RD'!F151,2)</f>
        <v>-0.04</v>
      </c>
      <c r="E153" s="28" t="str">
        <f t="shared" si="12"/>
        <v>Sheet No. 141COL-J</v>
      </c>
    </row>
    <row r="154" spans="1:5" s="86" customFormat="1" x14ac:dyDescent="0.2">
      <c r="A154" s="40">
        <f t="shared" si="11"/>
        <v>147</v>
      </c>
      <c r="B154" s="4" t="s">
        <v>156</v>
      </c>
      <c r="C154" s="43" t="s">
        <v>16</v>
      </c>
      <c r="D154" s="44">
        <f>ROUND('Lighting RD'!F152,2)</f>
        <v>-0.04</v>
      </c>
      <c r="E154" s="28" t="str">
        <f t="shared" si="12"/>
        <v>Sheet No. 141COL-J</v>
      </c>
    </row>
    <row r="155" spans="1:5" s="86" customFormat="1" x14ac:dyDescent="0.2">
      <c r="A155" s="40">
        <f t="shared" si="11"/>
        <v>148</v>
      </c>
      <c r="B155" s="4" t="s">
        <v>156</v>
      </c>
      <c r="C155" s="43" t="s">
        <v>17</v>
      </c>
      <c r="D155" s="44">
        <f>ROUND('Lighting RD'!F153,2)</f>
        <v>-0.04</v>
      </c>
      <c r="E155" s="28" t="str">
        <f t="shared" si="12"/>
        <v>Sheet No. 141COL-J</v>
      </c>
    </row>
    <row r="156" spans="1:5" s="86" customFormat="1" x14ac:dyDescent="0.2">
      <c r="A156" s="40">
        <f t="shared" si="11"/>
        <v>149</v>
      </c>
      <c r="B156" s="4" t="s">
        <v>156</v>
      </c>
      <c r="C156" s="43" t="s">
        <v>18</v>
      </c>
      <c r="D156" s="44">
        <f>ROUND('Lighting RD'!F154,2)</f>
        <v>-0.05</v>
      </c>
      <c r="E156" s="28" t="str">
        <f t="shared" si="12"/>
        <v>Sheet No. 141COL-J</v>
      </c>
    </row>
    <row r="157" spans="1:5" s="86" customFormat="1" x14ac:dyDescent="0.2">
      <c r="A157" s="40">
        <f t="shared" si="11"/>
        <v>150</v>
      </c>
      <c r="B157" s="4" t="s">
        <v>156</v>
      </c>
      <c r="C157" s="43" t="s">
        <v>19</v>
      </c>
      <c r="D157" s="44">
        <f>ROUND('Lighting RD'!F155,2)</f>
        <v>-0.05</v>
      </c>
      <c r="E157" s="28" t="str">
        <f t="shared" si="12"/>
        <v>Sheet No. 141COL-J</v>
      </c>
    </row>
    <row r="158" spans="1:5" s="86" customFormat="1" x14ac:dyDescent="0.2">
      <c r="A158" s="40">
        <f t="shared" si="11"/>
        <v>151</v>
      </c>
      <c r="B158" s="4" t="s">
        <v>156</v>
      </c>
      <c r="C158" s="43" t="s">
        <v>29</v>
      </c>
      <c r="D158" s="44">
        <f>ROUND('Lighting RD'!F156,2)</f>
        <v>-7.0000000000000007E-2</v>
      </c>
      <c r="E158" s="28" t="str">
        <f t="shared" si="12"/>
        <v>Sheet No. 141COL-J</v>
      </c>
    </row>
    <row r="159" spans="1:5" s="86" customFormat="1" x14ac:dyDescent="0.2">
      <c r="A159" s="40">
        <f t="shared" si="11"/>
        <v>152</v>
      </c>
      <c r="B159" s="4" t="s">
        <v>156</v>
      </c>
      <c r="C159" s="43" t="s">
        <v>30</v>
      </c>
      <c r="D159" s="44">
        <f>ROUND('Lighting RD'!F157,2)</f>
        <v>-7.0000000000000007E-2</v>
      </c>
      <c r="E159" s="28" t="str">
        <f t="shared" si="12"/>
        <v>Sheet No. 141COL-J</v>
      </c>
    </row>
    <row r="160" spans="1:5" x14ac:dyDescent="0.2">
      <c r="A160" s="40">
        <f t="shared" si="11"/>
        <v>153</v>
      </c>
      <c r="B160" s="4" t="s">
        <v>156</v>
      </c>
      <c r="C160" s="43" t="s">
        <v>31</v>
      </c>
      <c r="D160" s="44">
        <f>ROUND('Lighting RD'!F158,2)</f>
        <v>-7.0000000000000007E-2</v>
      </c>
      <c r="E160" s="28" t="str">
        <f t="shared" si="12"/>
        <v>Sheet No. 141COL-J</v>
      </c>
    </row>
    <row r="161" spans="1:5" x14ac:dyDescent="0.2">
      <c r="A161" s="40">
        <f t="shared" si="11"/>
        <v>154</v>
      </c>
      <c r="B161" s="4" t="s">
        <v>156</v>
      </c>
      <c r="C161" s="43" t="s">
        <v>32</v>
      </c>
      <c r="D161" s="44">
        <f>ROUND('Lighting RD'!F159,2)</f>
        <v>-0.16</v>
      </c>
      <c r="E161" s="28" t="str">
        <f t="shared" si="12"/>
        <v>Sheet No. 141COL-J</v>
      </c>
    </row>
    <row r="162" spans="1:5" x14ac:dyDescent="0.2">
      <c r="A162" s="40">
        <f t="shared" si="11"/>
        <v>155</v>
      </c>
      <c r="B162" s="4" t="s">
        <v>156</v>
      </c>
      <c r="C162" s="43" t="s">
        <v>33</v>
      </c>
      <c r="D162" s="44">
        <f>ROUND('Lighting RD'!F160,2)</f>
        <v>-0.16</v>
      </c>
      <c r="E162" s="28" t="str">
        <f t="shared" si="12"/>
        <v>Sheet No. 141COL-J</v>
      </c>
    </row>
    <row r="163" spans="1:5" x14ac:dyDescent="0.2">
      <c r="A163" s="40">
        <f t="shared" si="11"/>
        <v>156</v>
      </c>
      <c r="B163" s="4" t="s">
        <v>156</v>
      </c>
      <c r="C163" s="43" t="s">
        <v>34</v>
      </c>
      <c r="D163" s="44">
        <f>ROUND('Lighting RD'!F161,2)</f>
        <v>-0.16</v>
      </c>
      <c r="E163" s="28" t="str">
        <f t="shared" si="12"/>
        <v>Sheet No. 141COL-J</v>
      </c>
    </row>
    <row r="164" spans="1:5" ht="12" thickBot="1" x14ac:dyDescent="0.25">
      <c r="A164" s="40">
        <f t="shared" si="11"/>
        <v>157</v>
      </c>
    </row>
    <row r="165" spans="1:5" ht="12" thickBot="1" x14ac:dyDescent="0.25">
      <c r="A165" s="40">
        <f t="shared" si="11"/>
        <v>158</v>
      </c>
      <c r="C165" s="273" t="s">
        <v>183</v>
      </c>
      <c r="D165" s="274"/>
      <c r="E165" s="275"/>
    </row>
    <row r="166" spans="1:5" x14ac:dyDescent="0.2">
      <c r="A166" s="40">
        <f t="shared" si="11"/>
        <v>159</v>
      </c>
      <c r="B166" s="124" t="s">
        <v>204</v>
      </c>
    </row>
    <row r="167" spans="1:5" ht="15" customHeight="1" x14ac:dyDescent="0.2">
      <c r="A167" s="40">
        <f t="shared" si="11"/>
        <v>160</v>
      </c>
      <c r="B167" s="124"/>
      <c r="C167" s="136" t="s">
        <v>205</v>
      </c>
      <c r="D167" s="136" t="s">
        <v>206</v>
      </c>
    </row>
    <row r="168" spans="1:5" ht="33.75" x14ac:dyDescent="0.2">
      <c r="A168" s="40">
        <f t="shared" si="11"/>
        <v>161</v>
      </c>
      <c r="B168" s="38" t="s">
        <v>132</v>
      </c>
      <c r="C168" s="39" t="s">
        <v>207</v>
      </c>
      <c r="D168" s="31" t="s">
        <v>178</v>
      </c>
      <c r="E168" s="31" t="s">
        <v>86</v>
      </c>
    </row>
    <row r="169" spans="1:5" x14ac:dyDescent="0.2">
      <c r="A169" s="40">
        <f t="shared" si="11"/>
        <v>162</v>
      </c>
      <c r="B169" s="29" t="s">
        <v>235</v>
      </c>
      <c r="C169" s="44">
        <f>ROUND('Lighting RD'!O10,2)</f>
        <v>0</v>
      </c>
      <c r="D169" s="41">
        <f>ROUND('Lighting RD'!N10,6)</f>
        <v>-4.06E-4</v>
      </c>
      <c r="E169" s="45" t="s">
        <v>214</v>
      </c>
    </row>
    <row r="170" spans="1:5" x14ac:dyDescent="0.2">
      <c r="A170" s="40">
        <f t="shared" si="11"/>
        <v>163</v>
      </c>
      <c r="B170" s="29" t="s">
        <v>234</v>
      </c>
      <c r="C170" s="44">
        <f>ROUND('Lighting RD'!O11,2)</f>
        <v>-0.01</v>
      </c>
      <c r="D170" s="41">
        <f>ROUND('Lighting RD'!N11,6)</f>
        <v>-4.06E-4</v>
      </c>
      <c r="E170" s="28" t="str">
        <f>$E$169</f>
        <v>Sheet No. 141COL</v>
      </c>
    </row>
    <row r="171" spans="1:5" x14ac:dyDescent="0.2">
      <c r="A171" s="40">
        <f t="shared" si="11"/>
        <v>164</v>
      </c>
      <c r="B171" s="29" t="s">
        <v>236</v>
      </c>
      <c r="C171" s="44">
        <f>ROUND('Lighting RD'!O12,2)</f>
        <v>-0.01</v>
      </c>
      <c r="D171" s="41">
        <f>ROUND('Lighting RD'!N12,6)</f>
        <v>-4.06E-4</v>
      </c>
      <c r="E171" s="28" t="str">
        <f t="shared" ref="E171:E176" si="13">$E$169</f>
        <v>Sheet No. 141COL</v>
      </c>
    </row>
    <row r="172" spans="1:5" x14ac:dyDescent="0.2">
      <c r="A172" s="40">
        <f t="shared" si="11"/>
        <v>165</v>
      </c>
      <c r="B172" s="29" t="s">
        <v>237</v>
      </c>
      <c r="C172" s="44">
        <f>ROUND('Lighting RD'!O13,2)</f>
        <v>-0.02</v>
      </c>
      <c r="D172" s="41">
        <f>ROUND('Lighting RD'!N13,6)</f>
        <v>-4.06E-4</v>
      </c>
      <c r="E172" s="28" t="str">
        <f t="shared" si="13"/>
        <v>Sheet No. 141COL</v>
      </c>
    </row>
    <row r="173" spans="1:5" x14ac:dyDescent="0.2">
      <c r="A173" s="40">
        <f t="shared" si="11"/>
        <v>166</v>
      </c>
      <c r="B173" s="29" t="s">
        <v>238</v>
      </c>
      <c r="C173" s="44">
        <f>ROUND('Lighting RD'!O14,2)</f>
        <v>-0.03</v>
      </c>
      <c r="D173" s="41">
        <f>ROUND('Lighting RD'!N14,6)</f>
        <v>-4.06E-4</v>
      </c>
      <c r="E173" s="28" t="str">
        <f t="shared" si="13"/>
        <v>Sheet No. 141COL</v>
      </c>
    </row>
    <row r="174" spans="1:5" x14ac:dyDescent="0.2">
      <c r="A174" s="40">
        <f t="shared" si="11"/>
        <v>167</v>
      </c>
      <c r="B174" s="29" t="s">
        <v>239</v>
      </c>
      <c r="C174" s="44">
        <f>ROUND('Lighting RD'!O15,2)</f>
        <v>-0.04</v>
      </c>
      <c r="D174" s="41">
        <f>ROUND('Lighting RD'!N15,6)</f>
        <v>-4.06E-4</v>
      </c>
      <c r="E174" s="28" t="str">
        <f t="shared" si="13"/>
        <v>Sheet No. 141COL</v>
      </c>
    </row>
    <row r="175" spans="1:5" x14ac:dyDescent="0.2">
      <c r="A175" s="40">
        <f t="shared" si="11"/>
        <v>168</v>
      </c>
      <c r="B175" s="29" t="s">
        <v>240</v>
      </c>
      <c r="C175" s="44">
        <f>ROUND('Lighting RD'!O16,2)</f>
        <v>-0.06</v>
      </c>
      <c r="D175" s="41">
        <f>ROUND('Lighting RD'!N16,6)</f>
        <v>-4.06E-4</v>
      </c>
      <c r="E175" s="28" t="str">
        <f t="shared" si="13"/>
        <v>Sheet No. 141COL</v>
      </c>
    </row>
    <row r="176" spans="1:5" x14ac:dyDescent="0.2">
      <c r="A176" s="40">
        <f t="shared" si="11"/>
        <v>169</v>
      </c>
      <c r="B176" s="29" t="s">
        <v>241</v>
      </c>
      <c r="C176" s="44">
        <f>ROUND('Lighting RD'!O17,2)</f>
        <v>-0.15</v>
      </c>
      <c r="D176" s="41">
        <f>ROUND('Lighting RD'!N17,6)</f>
        <v>-4.06E-4</v>
      </c>
      <c r="E176" s="28" t="str">
        <f t="shared" si="13"/>
        <v>Sheet No. 141COL</v>
      </c>
    </row>
    <row r="177" spans="1:5" x14ac:dyDescent="0.2">
      <c r="A177" s="40">
        <f t="shared" si="11"/>
        <v>170</v>
      </c>
      <c r="D177" s="41"/>
    </row>
    <row r="178" spans="1:5" ht="13.5" x14ac:dyDescent="0.35">
      <c r="A178" s="40">
        <f t="shared" si="11"/>
        <v>171</v>
      </c>
      <c r="B178" s="42" t="s">
        <v>35</v>
      </c>
      <c r="C178" s="43"/>
      <c r="D178" s="44"/>
      <c r="E178" s="47"/>
    </row>
    <row r="179" spans="1:5" x14ac:dyDescent="0.2">
      <c r="A179" s="40">
        <f t="shared" si="11"/>
        <v>172</v>
      </c>
      <c r="B179" s="4" t="s">
        <v>36</v>
      </c>
      <c r="C179" s="43" t="s">
        <v>151</v>
      </c>
      <c r="D179" s="94">
        <f>D124</f>
        <v>-1.1E-4</v>
      </c>
      <c r="E179" s="28" t="str">
        <f>$E$169</f>
        <v>Sheet No. 141COL</v>
      </c>
    </row>
  </sheetData>
  <mergeCells count="2">
    <mergeCell ref="C6:E6"/>
    <mergeCell ref="C165:E165"/>
  </mergeCells>
  <pageMargins left="0.7" right="0.7" top="0.75" bottom="0.75" header="0.3" footer="0.3"/>
  <pageSetup orientation="portrait" r:id="rId1"/>
  <headerFooter>
    <oddHeader>&amp;RElectric Schedule 120 Rate Design Workpapers
Page &amp;P of &amp;N</oddHeader>
    <oddFooter>&amp;L&amp;F
&amp;A&amp;R&amp;D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317B-B17E-484E-96BA-A0D3C236E449}">
  <sheetPr>
    <tabColor theme="6" tint="0.79998168889431442"/>
    <pageSetUpPr fitToPage="1"/>
  </sheetPr>
  <dimension ref="A1:N200"/>
  <sheetViews>
    <sheetView zoomScaleNormal="100" zoomScaleSheetLayoutView="100" workbookViewId="0">
      <pane ySplit="8" topLeftCell="A27" activePane="bottomLeft" state="frozen"/>
      <selection activeCell="G7" sqref="G7:H7"/>
      <selection pane="bottomLeft" activeCell="I26" sqref="I26"/>
    </sheetView>
  </sheetViews>
  <sheetFormatPr defaultColWidth="9.140625" defaultRowHeight="11.25" x14ac:dyDescent="0.2"/>
  <cols>
    <col min="1" max="1" width="6.7109375" style="3" bestFit="1" customWidth="1"/>
    <col min="2" max="2" width="28.42578125" style="3" bestFit="1" customWidth="1"/>
    <col min="3" max="3" width="12.5703125" style="3" bestFit="1" customWidth="1"/>
    <col min="4" max="4" width="11.5703125" style="30" bestFit="1" customWidth="1"/>
    <col min="5" max="5" width="7.7109375" style="30" customWidth="1"/>
    <col min="6" max="6" width="9.5703125" style="30" bestFit="1" customWidth="1"/>
    <col min="7" max="7" width="8.28515625" style="3" bestFit="1" customWidth="1"/>
    <col min="8" max="9" width="9.42578125" style="3" customWidth="1"/>
    <col min="10" max="10" width="12" style="30" bestFit="1" customWidth="1"/>
    <col min="11" max="11" width="13.85546875" style="30" customWidth="1"/>
    <col min="12" max="12" width="11.5703125" style="3" bestFit="1" customWidth="1"/>
    <col min="13" max="13" width="7.140625" style="3" bestFit="1" customWidth="1"/>
    <col min="14" max="14" width="4.42578125" style="3" bestFit="1" customWidth="1"/>
    <col min="15" max="16384" width="9.140625" style="3"/>
  </cols>
  <sheetData>
    <row r="1" spans="1:14" s="127" customFormat="1" x14ac:dyDescent="0.2">
      <c r="A1" s="1" t="str">
        <f>'Sch 141COL Rates'!A1</f>
        <v>PUGET SOUND ENERGY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s="127" customFormat="1" x14ac:dyDescent="0.2">
      <c r="A2" s="1" t="str">
        <f>'Sch 141COL Rates'!A2</f>
        <v xml:space="preserve">Schedule 141COL Colstrip Adjustment Rider 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127" customFormat="1" x14ac:dyDescent="0.2">
      <c r="A3" s="1" t="str">
        <f>'Sch 141COL Rates'!A3</f>
        <v>Effective January 1, 2026 - December 31, 2026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</row>
    <row r="4" spans="1:14" s="127" customFormat="1" x14ac:dyDescent="0.2">
      <c r="A4" s="128" t="s">
        <v>122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s="127" customFormat="1" x14ac:dyDescent="0.2">
      <c r="A5" s="1" t="s">
        <v>123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</row>
    <row r="6" spans="1:14" s="127" customFormat="1" x14ac:dyDescent="0.2">
      <c r="A6" s="1"/>
      <c r="B6" s="1"/>
      <c r="C6" s="1"/>
      <c r="D6" s="1"/>
      <c r="E6" s="1"/>
      <c r="F6" s="8" t="s">
        <v>169</v>
      </c>
      <c r="G6" s="8" t="s">
        <v>169</v>
      </c>
      <c r="H6" s="1"/>
      <c r="I6" s="1"/>
      <c r="J6" s="1"/>
      <c r="K6" s="1"/>
      <c r="L6" s="1"/>
      <c r="M6" s="1"/>
      <c r="N6" s="3"/>
    </row>
    <row r="7" spans="1:14" s="124" customFormat="1" ht="45.75" x14ac:dyDescent="0.25">
      <c r="A7" s="31" t="s">
        <v>0</v>
      </c>
      <c r="B7" s="31" t="s">
        <v>53</v>
      </c>
      <c r="C7" s="38" t="s">
        <v>1</v>
      </c>
      <c r="D7" s="276" t="str">
        <f>'Rate Spread and Design'!D7</f>
        <v>F2025 Forecast Billing Determinants 01/1/26-12/31/26</v>
      </c>
      <c r="E7" s="277"/>
      <c r="F7" s="137" t="s">
        <v>225</v>
      </c>
      <c r="G7" s="137" t="s">
        <v>226</v>
      </c>
      <c r="H7" s="126" t="s">
        <v>227</v>
      </c>
      <c r="I7" s="126" t="s">
        <v>233</v>
      </c>
      <c r="J7" s="138" t="s">
        <v>208</v>
      </c>
      <c r="K7" s="139" t="s">
        <v>209</v>
      </c>
      <c r="L7" s="137" t="s">
        <v>124</v>
      </c>
      <c r="M7" s="137"/>
      <c r="N7" s="3"/>
    </row>
    <row r="8" spans="1:14" s="106" customFormat="1" x14ac:dyDescent="0.2">
      <c r="A8" s="129"/>
      <c r="B8" s="129" t="s">
        <v>55</v>
      </c>
      <c r="C8" s="140" t="s">
        <v>93</v>
      </c>
      <c r="D8" s="141" t="s">
        <v>56</v>
      </c>
      <c r="E8" s="141" t="s">
        <v>94</v>
      </c>
      <c r="F8" s="140" t="s">
        <v>95</v>
      </c>
      <c r="G8" s="140" t="s">
        <v>57</v>
      </c>
      <c r="H8" s="129" t="s">
        <v>171</v>
      </c>
      <c r="I8" s="142" t="s">
        <v>172</v>
      </c>
      <c r="J8" s="141" t="s">
        <v>173</v>
      </c>
      <c r="K8" s="129" t="s">
        <v>174</v>
      </c>
      <c r="L8" s="129" t="s">
        <v>231</v>
      </c>
      <c r="M8" s="129" t="s">
        <v>242</v>
      </c>
      <c r="N8" s="3"/>
    </row>
    <row r="9" spans="1:14" x14ac:dyDescent="0.2">
      <c r="A9" s="40">
        <v>1</v>
      </c>
      <c r="C9" s="2" t="s">
        <v>123</v>
      </c>
      <c r="F9" s="143" t="s">
        <v>123</v>
      </c>
      <c r="G9" s="143"/>
      <c r="J9" s="144" t="s">
        <v>123</v>
      </c>
    </row>
    <row r="10" spans="1:14" x14ac:dyDescent="0.2">
      <c r="A10" s="40">
        <f t="shared" ref="A10:A48" si="0">A9+1</f>
        <v>2</v>
      </c>
      <c r="B10" s="127" t="s">
        <v>190</v>
      </c>
      <c r="C10" s="263" t="str">
        <f>'Sch 141COL Rates'!C10</f>
        <v>7 (307) (317) (327)</v>
      </c>
      <c r="D10" s="145">
        <f>'Rate Spread and Design'!$D$9</f>
        <v>11517682320</v>
      </c>
      <c r="E10" s="145"/>
      <c r="F10" s="146">
        <v>2.957E-3</v>
      </c>
      <c r="G10" s="203">
        <v>0</v>
      </c>
      <c r="H10" s="130">
        <f>ROUND('Rate Spread and Design'!$K$9,6)</f>
        <v>-8.3699999999999996E-4</v>
      </c>
      <c r="I10" s="203">
        <v>0</v>
      </c>
      <c r="J10" s="147">
        <v>2028042577.1844518</v>
      </c>
      <c r="K10" s="148">
        <f>J10+D10*(H10-F10)</f>
        <v>1984344490.4623718</v>
      </c>
      <c r="L10" s="148">
        <f>+K10-J10</f>
        <v>-43698086.722079992</v>
      </c>
      <c r="M10" s="131">
        <f>IF(J10=0,"n/a",+L10/J10)</f>
        <v>-2.1546927669904448E-2</v>
      </c>
      <c r="N10" s="78"/>
    </row>
    <row r="11" spans="1:14" x14ac:dyDescent="0.2">
      <c r="A11" s="40">
        <f t="shared" si="0"/>
        <v>3</v>
      </c>
      <c r="B11" s="5"/>
      <c r="C11" s="263" t="s">
        <v>123</v>
      </c>
      <c r="D11" s="149"/>
      <c r="E11" s="149"/>
      <c r="F11" s="150" t="s">
        <v>123</v>
      </c>
      <c r="G11" s="150"/>
      <c r="H11" s="41"/>
      <c r="I11" s="41"/>
      <c r="J11" s="144" t="s">
        <v>123</v>
      </c>
      <c r="K11" s="78"/>
      <c r="L11" s="78"/>
      <c r="M11" s="132"/>
    </row>
    <row r="12" spans="1:14" x14ac:dyDescent="0.2">
      <c r="A12" s="40">
        <f t="shared" si="0"/>
        <v>4</v>
      </c>
      <c r="B12" s="127" t="s">
        <v>191</v>
      </c>
      <c r="C12" s="263" t="s">
        <v>123</v>
      </c>
      <c r="D12" s="149"/>
      <c r="E12" s="149"/>
      <c r="F12" s="150" t="s">
        <v>123</v>
      </c>
      <c r="G12" s="150"/>
      <c r="H12" s="41"/>
      <c r="I12" s="41"/>
      <c r="J12" s="144" t="s">
        <v>123</v>
      </c>
      <c r="K12" s="78"/>
      <c r="L12" s="78"/>
      <c r="M12" s="132"/>
    </row>
    <row r="13" spans="1:14" x14ac:dyDescent="0.2">
      <c r="A13" s="40">
        <f t="shared" si="0"/>
        <v>5</v>
      </c>
      <c r="B13" s="92" t="s">
        <v>192</v>
      </c>
      <c r="C13" s="263" t="str">
        <f>'Sch 141COL Rates'!C13</f>
        <v>08 (24) (324)</v>
      </c>
      <c r="D13" s="149">
        <f>'Rate Spread and Design'!$D$11</f>
        <v>2691263476.7031999</v>
      </c>
      <c r="E13" s="149"/>
      <c r="F13" s="150">
        <v>2.6870000000000002E-3</v>
      </c>
      <c r="G13" s="204">
        <v>0</v>
      </c>
      <c r="H13" s="41">
        <f>ROUND('Rate Spread and Design'!$K$11,6)</f>
        <v>-7.8399999999999997E-4</v>
      </c>
      <c r="I13" s="204">
        <v>0</v>
      </c>
      <c r="J13" s="205">
        <v>468328172.1469633</v>
      </c>
      <c r="K13" s="78">
        <f>J13+D13*(H13-F13)</f>
        <v>458986796.61932647</v>
      </c>
      <c r="L13" s="78">
        <f>+K13-J13</f>
        <v>-9341375.527636826</v>
      </c>
      <c r="M13" s="132">
        <f>IF(J13=0,"n/a",+L13/J13)</f>
        <v>-1.9946217381741162E-2</v>
      </c>
      <c r="N13" s="78"/>
    </row>
    <row r="14" spans="1:14" x14ac:dyDescent="0.2">
      <c r="A14" s="40">
        <f t="shared" si="0"/>
        <v>6</v>
      </c>
      <c r="B14" s="92" t="s">
        <v>193</v>
      </c>
      <c r="C14" s="263" t="str">
        <f>'Sch 141COL Rates'!C14</f>
        <v>7A (11) (25)</v>
      </c>
      <c r="D14" s="149">
        <f>'Rate Spread and Design'!$D$13</f>
        <v>2964082214.6510997</v>
      </c>
      <c r="E14" s="149">
        <f>'Rate Spread and Design'!$D$14</f>
        <v>5563918.0587056717</v>
      </c>
      <c r="F14" s="150">
        <v>5.2300000000000003E-4</v>
      </c>
      <c r="G14" s="207">
        <v>1.25</v>
      </c>
      <c r="H14" s="41">
        <f>ROUND('Rate Spread and Design'!$K$13,6)</f>
        <v>-2.3499999999999999E-4</v>
      </c>
      <c r="I14" s="207">
        <f>ROUND('Rate Spread and Design'!$K$14,2)</f>
        <v>-0.28999999999999998</v>
      </c>
      <c r="J14" s="205">
        <v>479037748.39853531</v>
      </c>
      <c r="K14" s="78">
        <f>J14+D14*(H14-F14)+E14*(I14-G14)</f>
        <v>468222540.26942301</v>
      </c>
      <c r="L14" s="78">
        <f>+K14-J14</f>
        <v>-10815208.129112303</v>
      </c>
      <c r="M14" s="132">
        <f>IF(J14=0,"n/a",+L14/J14)</f>
        <v>-2.2576943393852533E-2</v>
      </c>
      <c r="N14" s="78"/>
    </row>
    <row r="15" spans="1:14" x14ac:dyDescent="0.2">
      <c r="A15" s="40">
        <f t="shared" si="0"/>
        <v>7</v>
      </c>
      <c r="B15" s="92" t="s">
        <v>194</v>
      </c>
      <c r="C15" s="263" t="str">
        <f>'Sch 141COL Rates'!C15</f>
        <v>12 (26) (26P)</v>
      </c>
      <c r="D15" s="149">
        <f>'Rate Spread and Design'!$D$17</f>
        <v>2008775612.538182</v>
      </c>
      <c r="E15" s="149">
        <f>'Rate Spread and Design'!$D$18</f>
        <v>5074331.2299567023</v>
      </c>
      <c r="F15" s="150">
        <v>4.4099999999999999E-4</v>
      </c>
      <c r="G15" s="207">
        <v>0.71</v>
      </c>
      <c r="H15" s="41">
        <f>ROUND('Rate Spread and Design'!$K$17,6)</f>
        <v>-1.9799999999999999E-4</v>
      </c>
      <c r="I15" s="207">
        <f>ROUND('Rate Spread and Design'!$K$18,2)</f>
        <v>-0.18</v>
      </c>
      <c r="J15" s="205">
        <v>276590312.65992391</v>
      </c>
      <c r="K15" s="78">
        <f>J15+D15*(H15-F15)+E15*(I15-G15)</f>
        <v>270790550.24885052</v>
      </c>
      <c r="L15" s="78">
        <f>+K15-J15</f>
        <v>-5799762.4110733867</v>
      </c>
      <c r="M15" s="132">
        <f>IF(J15=0,"n/a",+L15/J15)</f>
        <v>-2.0968783596569302E-2</v>
      </c>
      <c r="N15" s="78"/>
    </row>
    <row r="16" spans="1:14" x14ac:dyDescent="0.2">
      <c r="A16" s="40">
        <f t="shared" si="0"/>
        <v>8</v>
      </c>
      <c r="B16" s="151" t="s">
        <v>210</v>
      </c>
      <c r="C16" s="263">
        <f>'Sch 141COL Rates'!C16</f>
        <v>29</v>
      </c>
      <c r="D16" s="149">
        <f>'Rate Spread and Design'!$D$21</f>
        <v>14167690</v>
      </c>
      <c r="E16" s="149">
        <f>'Rate Spread and Design'!$D$22</f>
        <v>10351.167139290392</v>
      </c>
      <c r="F16" s="150">
        <v>5.7799999999999995E-4</v>
      </c>
      <c r="G16" s="207">
        <v>4.26</v>
      </c>
      <c r="H16" s="41">
        <f>ROUND('Rate Spread and Design'!$K$21,6)</f>
        <v>-2.12E-4</v>
      </c>
      <c r="I16" s="207">
        <f>ROUND('Rate Spread and Design'!$K$22,2)</f>
        <v>-0.68</v>
      </c>
      <c r="J16" s="206">
        <v>2039218.1870366232</v>
      </c>
      <c r="K16" s="78">
        <f>J16+D16*(H16-F16)+E16*(I16-G16)</f>
        <v>1976890.9462685287</v>
      </c>
      <c r="L16" s="78">
        <f>+K16-J16</f>
        <v>-62327.240768094547</v>
      </c>
      <c r="M16" s="132">
        <f>IF(J16=0,"n/a",+L16/J16)</f>
        <v>-3.0564282509988806E-2</v>
      </c>
      <c r="N16" s="78"/>
    </row>
    <row r="17" spans="1:14" x14ac:dyDescent="0.2">
      <c r="A17" s="40">
        <f t="shared" si="0"/>
        <v>9</v>
      </c>
      <c r="B17" s="152" t="s">
        <v>195</v>
      </c>
      <c r="C17" s="263" t="s">
        <v>123</v>
      </c>
      <c r="D17" s="153">
        <f>SUM(D13:D16)</f>
        <v>7678288993.8924818</v>
      </c>
      <c r="E17" s="153"/>
      <c r="F17" s="159"/>
      <c r="G17" s="154"/>
      <c r="H17" s="154"/>
      <c r="I17" s="154"/>
      <c r="J17" s="155">
        <f>SUM(J13:J16)</f>
        <v>1225995451.3924589</v>
      </c>
      <c r="K17" s="148">
        <f>SUM(K13:K16)</f>
        <v>1199976778.0838685</v>
      </c>
      <c r="L17" s="148">
        <f>SUM(L13:L16)</f>
        <v>-26018673.30859061</v>
      </c>
      <c r="M17" s="131">
        <f>IF(J17=0,"n/a",+L17/J17)</f>
        <v>-2.1222487635691605E-2</v>
      </c>
    </row>
    <row r="18" spans="1:14" x14ac:dyDescent="0.2">
      <c r="A18" s="40">
        <f t="shared" si="0"/>
        <v>10</v>
      </c>
      <c r="B18" s="5"/>
      <c r="C18" s="263" t="s">
        <v>123</v>
      </c>
      <c r="F18" s="156" t="s">
        <v>123</v>
      </c>
      <c r="G18" s="156"/>
      <c r="H18" s="133"/>
      <c r="I18" s="133"/>
      <c r="J18" s="144" t="s">
        <v>123</v>
      </c>
      <c r="K18" s="78"/>
      <c r="L18" s="78"/>
      <c r="M18" s="132"/>
    </row>
    <row r="19" spans="1:14" x14ac:dyDescent="0.2">
      <c r="A19" s="40">
        <f t="shared" si="0"/>
        <v>11</v>
      </c>
      <c r="B19" s="127" t="s">
        <v>196</v>
      </c>
      <c r="C19" s="263" t="s">
        <v>123</v>
      </c>
      <c r="F19" s="156" t="s">
        <v>123</v>
      </c>
      <c r="G19" s="156"/>
      <c r="H19" s="133"/>
      <c r="I19" s="133"/>
      <c r="J19" s="144" t="s">
        <v>123</v>
      </c>
      <c r="K19" s="78"/>
      <c r="L19" s="78"/>
      <c r="M19" s="132"/>
    </row>
    <row r="20" spans="1:14" x14ac:dyDescent="0.2">
      <c r="A20" s="40">
        <f t="shared" si="0"/>
        <v>12</v>
      </c>
      <c r="B20" s="92" t="s">
        <v>197</v>
      </c>
      <c r="C20" s="263" t="str">
        <f>'Sch 141COL Rates'!C20</f>
        <v>10 (31)</v>
      </c>
      <c r="D20" s="149">
        <f>'Rate Spread and Design'!$D$25</f>
        <v>1368299990</v>
      </c>
      <c r="E20" s="149">
        <f>'Rate Spread and Design'!$D$26</f>
        <v>3414599.9572998122</v>
      </c>
      <c r="F20" s="150">
        <v>4.55E-4</v>
      </c>
      <c r="G20" s="207">
        <v>0.73</v>
      </c>
      <c r="H20" s="41">
        <f>ROUND('Rate Spread and Design'!$K$25,6)</f>
        <v>-2.03E-4</v>
      </c>
      <c r="I20" s="207">
        <f>ROUND('Rate Spread and Design'!$K$26,2)</f>
        <v>-0.19</v>
      </c>
      <c r="J20" s="205">
        <v>192269800.25564936</v>
      </c>
      <c r="K20" s="78">
        <f>J20+D20*(H20-F20)+E20*(I20-G20)</f>
        <v>188228026.90151352</v>
      </c>
      <c r="L20" s="78">
        <f>+K20-J20</f>
        <v>-4041773.3541358411</v>
      </c>
      <c r="M20" s="132">
        <f>IF(J20=0,"n/a",+L20/J20)</f>
        <v>-2.1021363463017816E-2</v>
      </c>
      <c r="N20" s="78"/>
    </row>
    <row r="21" spans="1:14" x14ac:dyDescent="0.2">
      <c r="A21" s="40">
        <f t="shared" si="0"/>
        <v>13</v>
      </c>
      <c r="B21" s="90" t="s">
        <v>210</v>
      </c>
      <c r="C21" s="263">
        <f>'Sch 141COL Rates'!C21</f>
        <v>35</v>
      </c>
      <c r="D21" s="149">
        <f>'Rate Spread and Design'!$D$29</f>
        <v>6365840</v>
      </c>
      <c r="E21" s="149">
        <f>'Rate Spread and Design'!$D$30</f>
        <v>11427.69615721795</v>
      </c>
      <c r="F21" s="150">
        <v>2.5500000000000002E-4</v>
      </c>
      <c r="G21" s="207">
        <v>0.56999999999999995</v>
      </c>
      <c r="H21" s="41">
        <f>ROUND('Rate Spread and Design'!$K$29,6)</f>
        <v>-1.2400000000000001E-4</v>
      </c>
      <c r="I21" s="207">
        <f>ROUND('Rate Spread and Design'!$K$30,2)</f>
        <v>-0.16</v>
      </c>
      <c r="J21" s="205">
        <v>791464.49793678219</v>
      </c>
      <c r="K21" s="78">
        <f>J21+D21*(H21-F21)+E21*(I21-G21)</f>
        <v>780709.62638201308</v>
      </c>
      <c r="L21" s="78">
        <f>+K21-J21</f>
        <v>-10754.87155476911</v>
      </c>
      <c r="M21" s="132">
        <f>IF(J21=0,"n/a",+L21/J21)</f>
        <v>-1.3588571038631918E-2</v>
      </c>
      <c r="N21" s="78"/>
    </row>
    <row r="22" spans="1:14" x14ac:dyDescent="0.2">
      <c r="A22" s="40">
        <f t="shared" si="0"/>
        <v>14</v>
      </c>
      <c r="B22" s="151" t="s">
        <v>211</v>
      </c>
      <c r="C22" s="263">
        <f>'Sch 141COL Rates'!C22</f>
        <v>43</v>
      </c>
      <c r="D22" s="149">
        <f>'Rate Spread and Design'!$D$33</f>
        <v>109995270</v>
      </c>
      <c r="E22" s="149">
        <f>'Rate Spread and Design'!$D$34</f>
        <v>512816.45317538717</v>
      </c>
      <c r="F22" s="150">
        <v>1.08E-4</v>
      </c>
      <c r="G22" s="207">
        <v>0.09</v>
      </c>
      <c r="H22" s="41">
        <f>ROUND('Rate Spread and Design'!$K$33,6)</f>
        <v>-7.7000000000000001E-5</v>
      </c>
      <c r="I22" s="207">
        <f>ROUND('Rate Spread and Design'!$K$34,2)</f>
        <v>-0.04</v>
      </c>
      <c r="J22" s="206">
        <v>15942818.807803441</v>
      </c>
      <c r="K22" s="78">
        <f>J22+D22*(H22-F22)+E22*(I22-G22)</f>
        <v>15855803.543940641</v>
      </c>
      <c r="L22" s="78">
        <f>+K22-J22</f>
        <v>-87015.263862799853</v>
      </c>
      <c r="M22" s="132">
        <f>IF(J22=0,"n/a",+L22/J22)</f>
        <v>-5.4579597818805413E-3</v>
      </c>
      <c r="N22" s="78"/>
    </row>
    <row r="23" spans="1:14" x14ac:dyDescent="0.2">
      <c r="A23" s="40">
        <f t="shared" si="0"/>
        <v>15</v>
      </c>
      <c r="B23" s="157" t="s">
        <v>198</v>
      </c>
      <c r="C23" s="263" t="s">
        <v>123</v>
      </c>
      <c r="D23" s="153">
        <f>SUM(D20:D22)</f>
        <v>1484661100</v>
      </c>
      <c r="E23" s="153"/>
      <c r="F23" s="154"/>
      <c r="G23" s="154"/>
      <c r="H23" s="154"/>
      <c r="I23" s="154"/>
      <c r="J23" s="155">
        <f>SUM(J20:J22)</f>
        <v>209004083.5613896</v>
      </c>
      <c r="K23" s="148">
        <f>SUM(K20:K22)</f>
        <v>204864540.07183617</v>
      </c>
      <c r="L23" s="148">
        <f>SUM(L20:L22)</f>
        <v>-4139543.4895534101</v>
      </c>
      <c r="M23" s="131">
        <f>IF(J23=0,"n/a",+L23/J23)</f>
        <v>-1.9806041197934419E-2</v>
      </c>
    </row>
    <row r="24" spans="1:14" x14ac:dyDescent="0.2">
      <c r="A24" s="40">
        <f t="shared" si="0"/>
        <v>16</v>
      </c>
      <c r="C24" s="263" t="s">
        <v>123</v>
      </c>
      <c r="D24" s="3"/>
      <c r="E24" s="3"/>
      <c r="F24" s="143" t="s">
        <v>123</v>
      </c>
      <c r="G24" s="143"/>
      <c r="J24" s="144" t="s">
        <v>123</v>
      </c>
      <c r="K24" s="3"/>
    </row>
    <row r="25" spans="1:14" x14ac:dyDescent="0.2">
      <c r="A25" s="40">
        <f t="shared" si="0"/>
        <v>17</v>
      </c>
      <c r="B25" s="127" t="s">
        <v>199</v>
      </c>
      <c r="C25" s="263" t="s">
        <v>123</v>
      </c>
      <c r="F25" s="156" t="s">
        <v>123</v>
      </c>
      <c r="G25" s="156"/>
      <c r="H25" s="133"/>
      <c r="I25" s="133"/>
      <c r="J25" s="144" t="s">
        <v>123</v>
      </c>
      <c r="K25" s="78"/>
      <c r="L25" s="78"/>
      <c r="M25" s="132"/>
    </row>
    <row r="26" spans="1:14" x14ac:dyDescent="0.2">
      <c r="A26" s="40">
        <f t="shared" si="0"/>
        <v>18</v>
      </c>
      <c r="B26" s="92" t="s">
        <v>212</v>
      </c>
      <c r="C26" s="263">
        <f>'Sch 141COL Rates'!C26</f>
        <v>46</v>
      </c>
      <c r="D26" s="149">
        <f>'Rate Spread and Design'!$D$37</f>
        <v>94617360</v>
      </c>
      <c r="E26" s="149">
        <f>'Rate Spread and Design'!$D$38</f>
        <v>435203.70801027847</v>
      </c>
      <c r="F26" s="150">
        <v>1.12E-4</v>
      </c>
      <c r="G26" s="207">
        <v>0.09</v>
      </c>
      <c r="H26" s="41">
        <f>ROUND('Rate Spread and Design'!$K$37,6)</f>
        <v>-6.6000000000000005E-5</v>
      </c>
      <c r="I26" s="207">
        <f>ROUND('Rate Spread and Design'!$K$38,2)</f>
        <v>-0.03</v>
      </c>
      <c r="J26" s="205">
        <v>10272671.524329457</v>
      </c>
      <c r="K26" s="78">
        <f>J26+D26*(H26-F26)+E26*(I26-G26)</f>
        <v>10203605.189288225</v>
      </c>
      <c r="L26" s="78">
        <f>+K26-J26</f>
        <v>-69066.335041232407</v>
      </c>
      <c r="M26" s="132">
        <f>IF(J26=0,"n/a",+L26/J26)</f>
        <v>-6.7233080389709696E-3</v>
      </c>
      <c r="N26" s="78"/>
    </row>
    <row r="27" spans="1:14" x14ac:dyDescent="0.2">
      <c r="A27" s="40">
        <f t="shared" si="0"/>
        <v>19</v>
      </c>
      <c r="B27" s="158" t="s">
        <v>197</v>
      </c>
      <c r="C27" s="263">
        <f>'Sch 141COL Rates'!C27</f>
        <v>49</v>
      </c>
      <c r="D27" s="149">
        <f>'Rate Spread and Design'!$D$41</f>
        <v>537210610</v>
      </c>
      <c r="E27" s="149">
        <f>'Rate Spread and Design'!$D$42</f>
        <v>1336915.5538150333</v>
      </c>
      <c r="F27" s="150">
        <v>4.1800000000000002E-4</v>
      </c>
      <c r="G27" s="207">
        <v>0.68</v>
      </c>
      <c r="H27" s="41">
        <f>ROUND('Rate Spread and Design'!$K$41,6)</f>
        <v>-1.8799999999999999E-4</v>
      </c>
      <c r="I27" s="207">
        <f>ROUND('Rate Spread and Design'!$K$42,2)</f>
        <v>-0.18</v>
      </c>
      <c r="J27" s="206">
        <v>61244907.758679077</v>
      </c>
      <c r="K27" s="78">
        <f>J27+D27*(H27-F27)+E27*(I27-G27)</f>
        <v>59769610.752738148</v>
      </c>
      <c r="L27" s="78">
        <f>+K27-J27</f>
        <v>-1475297.0059409291</v>
      </c>
      <c r="M27" s="132">
        <f>IF(J27=0,"n/a",+L27/J27)</f>
        <v>-2.4088484413332525E-2</v>
      </c>
      <c r="N27" s="78"/>
    </row>
    <row r="28" spans="1:14" x14ac:dyDescent="0.2">
      <c r="A28" s="40">
        <f t="shared" si="0"/>
        <v>20</v>
      </c>
      <c r="B28" s="152" t="s">
        <v>200</v>
      </c>
      <c r="C28" s="263" t="s">
        <v>123</v>
      </c>
      <c r="D28" s="153">
        <f>SUM(D26:D27)</f>
        <v>631827970</v>
      </c>
      <c r="E28" s="153"/>
      <c r="F28" s="159"/>
      <c r="G28" s="154"/>
      <c r="H28" s="154"/>
      <c r="I28" s="154"/>
      <c r="J28" s="155">
        <f>SUM(J26:J27)</f>
        <v>71517579.283008531</v>
      </c>
      <c r="K28" s="153">
        <f>SUM(K26:K27)</f>
        <v>69973215.942026377</v>
      </c>
      <c r="L28" s="148">
        <f>SUM(L26:L27)</f>
        <v>-1544363.3409821615</v>
      </c>
      <c r="M28" s="131">
        <f>IF(J28=0,"n/a",+L28/J28)</f>
        <v>-2.1594178053354195E-2</v>
      </c>
    </row>
    <row r="29" spans="1:14" x14ac:dyDescent="0.2">
      <c r="A29" s="40">
        <f t="shared" si="0"/>
        <v>21</v>
      </c>
      <c r="B29" s="5"/>
      <c r="C29" s="263" t="s">
        <v>123</v>
      </c>
      <c r="D29" s="3"/>
      <c r="E29" s="3"/>
      <c r="F29" s="143" t="s">
        <v>123</v>
      </c>
      <c r="G29" s="143"/>
      <c r="J29" s="144" t="s">
        <v>123</v>
      </c>
      <c r="K29" s="3"/>
    </row>
    <row r="30" spans="1:14" x14ac:dyDescent="0.2">
      <c r="A30" s="40">
        <f t="shared" si="0"/>
        <v>22</v>
      </c>
      <c r="B30" s="157" t="s">
        <v>213</v>
      </c>
      <c r="C30" s="263" t="str">
        <f>'Sch 141COL Rates'!C30</f>
        <v>448 - 459</v>
      </c>
      <c r="D30" s="149">
        <f>'Rate Spread and Design'!$D$55</f>
        <v>1985663180</v>
      </c>
      <c r="E30" s="149"/>
      <c r="F30" s="150">
        <v>0</v>
      </c>
      <c r="G30" s="204">
        <v>0</v>
      </c>
      <c r="H30" s="262">
        <v>0</v>
      </c>
      <c r="I30" s="204">
        <v>0</v>
      </c>
      <c r="J30" s="205">
        <v>18072985.719889626</v>
      </c>
      <c r="K30" s="30">
        <f>J30+D30*(H30-F30)</f>
        <v>18072985.719889626</v>
      </c>
      <c r="L30" s="78">
        <f>+K30-J30</f>
        <v>0</v>
      </c>
      <c r="M30" s="132">
        <f>IF(J30=0,"n/a",+L30/J30)</f>
        <v>0</v>
      </c>
      <c r="N30" s="78"/>
    </row>
    <row r="31" spans="1:14" x14ac:dyDescent="0.2">
      <c r="A31" s="40">
        <f t="shared" si="0"/>
        <v>23</v>
      </c>
      <c r="B31" s="152" t="s">
        <v>38</v>
      </c>
      <c r="C31" s="263" t="str">
        <f>'Sch 141COL Rates'!C31</f>
        <v>Special Contract</v>
      </c>
      <c r="D31" s="149">
        <f>'Rate Spread and Design'!$D$54</f>
        <v>329999375.90200001</v>
      </c>
      <c r="E31" s="149"/>
      <c r="F31" s="150">
        <v>0</v>
      </c>
      <c r="G31" s="204">
        <v>0</v>
      </c>
      <c r="H31" s="262">
        <v>0</v>
      </c>
      <c r="I31" s="204">
        <v>0</v>
      </c>
      <c r="J31" s="205">
        <v>11520278.212738819</v>
      </c>
      <c r="K31" s="30">
        <f>J31+D31*(H31-F31)</f>
        <v>11520278.212738819</v>
      </c>
      <c r="L31" s="78">
        <f>+K31-J31</f>
        <v>0</v>
      </c>
      <c r="M31" s="132">
        <f>IF(J31=0,"n/a",+L31/J31)</f>
        <v>0</v>
      </c>
      <c r="N31" s="78"/>
    </row>
    <row r="32" spans="1:14" x14ac:dyDescent="0.2">
      <c r="A32" s="40">
        <f t="shared" si="0"/>
        <v>24</v>
      </c>
      <c r="B32" s="127" t="s">
        <v>232</v>
      </c>
      <c r="C32" s="263" t="str">
        <f>'Sch 141COL Rates'!C32</f>
        <v>03, 50 - 59</v>
      </c>
      <c r="D32" s="149">
        <f>'Rate Spread and Design'!$D$45</f>
        <v>64706700</v>
      </c>
      <c r="E32" s="149"/>
      <c r="F32" s="150">
        <v>1.3600000000000001E-3</v>
      </c>
      <c r="G32" s="204">
        <v>0</v>
      </c>
      <c r="H32" s="41">
        <f>ROUND('Rate Spread and Design'!$K$45,6)</f>
        <v>-4.06E-4</v>
      </c>
      <c r="I32" s="204">
        <v>0</v>
      </c>
      <c r="J32" s="205">
        <v>25531278.23466</v>
      </c>
      <c r="K32" s="78">
        <f>J32+D32*(H32-F32)</f>
        <v>25417006.202459998</v>
      </c>
      <c r="L32" s="78">
        <f>+K32-J32</f>
        <v>-114272.03220000118</v>
      </c>
      <c r="M32" s="132">
        <f>IF(J32=0,"n/a",+L32/J32)</f>
        <v>-4.4757662013518431E-3</v>
      </c>
      <c r="N32" s="78"/>
    </row>
    <row r="33" spans="1:14" x14ac:dyDescent="0.2">
      <c r="A33" s="40">
        <f t="shared" si="0"/>
        <v>25</v>
      </c>
      <c r="B33" s="127" t="s">
        <v>201</v>
      </c>
      <c r="C33" s="264">
        <f>'Sch 141COL Rates'!C33</f>
        <v>558</v>
      </c>
      <c r="D33" s="149">
        <f>'Rate Spread and Design'!$D$49</f>
        <v>4888106.1075181812</v>
      </c>
      <c r="F33" s="204">
        <v>0</v>
      </c>
      <c r="G33" s="204">
        <v>0</v>
      </c>
      <c r="H33" s="41">
        <f>ROUND('Rate Spread and Design'!$K$49,6)</f>
        <v>-7.5199999999999996E-4</v>
      </c>
      <c r="I33" s="204">
        <v>0</v>
      </c>
      <c r="J33" s="205">
        <v>101592.33412087351</v>
      </c>
      <c r="K33" s="78">
        <f>J33+D33*(H33-F33)</f>
        <v>97916.478328019832</v>
      </c>
      <c r="L33" s="78">
        <f>+K33-J33</f>
        <v>-3675.8557928536757</v>
      </c>
      <c r="M33" s="132">
        <f>IF(J33=0,"n/a",+L33/J33)</f>
        <v>-3.6182413020259784E-2</v>
      </c>
      <c r="N33" s="78"/>
    </row>
    <row r="34" spans="1:14" x14ac:dyDescent="0.2">
      <c r="A34" s="40">
        <f t="shared" si="0"/>
        <v>26</v>
      </c>
      <c r="B34" s="127"/>
      <c r="C34" s="264"/>
      <c r="F34" s="204"/>
      <c r="G34" s="204"/>
      <c r="H34" s="41"/>
      <c r="I34" s="204"/>
      <c r="J34" s="205"/>
      <c r="K34" s="78"/>
      <c r="L34" s="78"/>
      <c r="M34" s="132"/>
      <c r="N34" s="78"/>
    </row>
    <row r="35" spans="1:14" x14ac:dyDescent="0.2">
      <c r="A35" s="40">
        <f t="shared" si="0"/>
        <v>27</v>
      </c>
      <c r="B35" s="152" t="str">
        <f>'Sch 141COL Rates'!B37</f>
        <v>Firm Resale</v>
      </c>
      <c r="C35" s="263">
        <f>'Sch 141COL Rates'!C37</f>
        <v>5</v>
      </c>
      <c r="D35" s="149">
        <f>'Rate Spread and Design'!$D$47</f>
        <v>7094190</v>
      </c>
      <c r="E35" s="149"/>
      <c r="F35" s="150">
        <v>2.1580000000000002E-3</v>
      </c>
      <c r="G35" s="204">
        <v>0</v>
      </c>
      <c r="H35" s="41">
        <f>ROUND('Rate Spread and Design'!$K$47,6)</f>
        <v>-6.6799999999999997E-4</v>
      </c>
      <c r="I35" s="204">
        <v>0</v>
      </c>
      <c r="J35" s="205">
        <v>1267547.6939255497</v>
      </c>
      <c r="K35" s="30">
        <f>J35+D35*(H35-F35)</f>
        <v>1247499.5129855496</v>
      </c>
      <c r="L35" s="78">
        <f>+K35-J35</f>
        <v>-20048.180940000108</v>
      </c>
      <c r="M35" s="132">
        <f>IF(J35=0,"n/a",+L35/J35)</f>
        <v>-1.5816510129028447E-2</v>
      </c>
      <c r="N35" s="78"/>
    </row>
    <row r="36" spans="1:14" x14ac:dyDescent="0.2">
      <c r="A36" s="40">
        <f t="shared" si="0"/>
        <v>28</v>
      </c>
      <c r="C36" s="2" t="s">
        <v>123</v>
      </c>
      <c r="F36" s="156" t="s">
        <v>123</v>
      </c>
      <c r="G36" s="156"/>
      <c r="H36" s="133"/>
      <c r="I36" s="133"/>
      <c r="J36" s="144" t="s">
        <v>123</v>
      </c>
      <c r="K36" s="78"/>
      <c r="L36" s="78"/>
      <c r="M36" s="132"/>
    </row>
    <row r="37" spans="1:14" ht="12" thickBot="1" x14ac:dyDescent="0.25">
      <c r="A37" s="40">
        <f t="shared" si="0"/>
        <v>29</v>
      </c>
      <c r="B37" s="160" t="s">
        <v>2</v>
      </c>
      <c r="C37" s="161" t="s">
        <v>123</v>
      </c>
      <c r="D37" s="162">
        <f>SUM(D10,D17,D23,D28,D30,D32,D31,D35,D33)</f>
        <v>23704811935.902</v>
      </c>
      <c r="E37" s="162"/>
      <c r="F37" s="163"/>
      <c r="G37" s="163"/>
      <c r="H37" s="164"/>
      <c r="I37" s="164"/>
      <c r="J37" s="162">
        <f>SUM(J10,J17,J23,J28,J30,J32,J31,J35,J33)</f>
        <v>3591053373.6166439</v>
      </c>
      <c r="K37" s="162">
        <f>SUM(K10,K17,K23,K28,K30,K32,K31,K35,K33)</f>
        <v>3515514710.6865048</v>
      </c>
      <c r="L37" s="162">
        <f>SUM(L10,L17,L23,L28,L30,L32,L31,L35,L33)</f>
        <v>-75538662.930139035</v>
      </c>
      <c r="M37" s="165">
        <f>IF(J37=0,"n/a",+L37/J37)</f>
        <v>-2.1035238151880228E-2</v>
      </c>
    </row>
    <row r="38" spans="1:14" ht="12" thickTop="1" x14ac:dyDescent="0.2">
      <c r="A38" s="40">
        <f t="shared" si="0"/>
        <v>30</v>
      </c>
      <c r="C38" s="86" t="s">
        <v>103</v>
      </c>
      <c r="D38" s="166">
        <v>0</v>
      </c>
      <c r="E38" s="166"/>
      <c r="F38" s="167" t="s">
        <v>123</v>
      </c>
      <c r="G38" s="168"/>
      <c r="H38" s="86"/>
      <c r="I38" s="86" t="s">
        <v>103</v>
      </c>
      <c r="J38" s="166">
        <v>0</v>
      </c>
      <c r="K38" s="86" t="s">
        <v>103</v>
      </c>
      <c r="L38" s="166">
        <v>0</v>
      </c>
    </row>
    <row r="39" spans="1:14" x14ac:dyDescent="0.2">
      <c r="A39" s="40">
        <f t="shared" si="0"/>
        <v>31</v>
      </c>
      <c r="C39" s="86"/>
      <c r="D39" s="166"/>
      <c r="E39" s="166"/>
      <c r="F39" s="166"/>
      <c r="G39" s="166"/>
      <c r="H39" s="166"/>
      <c r="I39" s="166"/>
      <c r="J39" s="166"/>
      <c r="K39" s="166"/>
      <c r="L39" s="166"/>
      <c r="M39" s="269"/>
    </row>
    <row r="40" spans="1:14" ht="13.5" x14ac:dyDescent="0.2">
      <c r="A40" s="40">
        <f t="shared" si="0"/>
        <v>32</v>
      </c>
      <c r="B40" s="169" t="s">
        <v>125</v>
      </c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</row>
    <row r="41" spans="1:14" ht="13.5" x14ac:dyDescent="0.2">
      <c r="A41" s="40">
        <f t="shared" si="0"/>
        <v>33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</row>
    <row r="42" spans="1:14" ht="13.5" x14ac:dyDescent="0.35">
      <c r="A42" s="40">
        <f t="shared" si="0"/>
        <v>34</v>
      </c>
      <c r="B42" s="169"/>
      <c r="C42" s="169" t="s">
        <v>126</v>
      </c>
      <c r="D42" s="169"/>
      <c r="E42" s="169"/>
      <c r="F42" s="169"/>
      <c r="G42" s="169"/>
      <c r="H42" s="208"/>
      <c r="I42" s="208"/>
      <c r="J42" s="169"/>
      <c r="K42" s="209"/>
      <c r="L42" s="209"/>
      <c r="M42" s="210"/>
    </row>
    <row r="43" spans="1:14" ht="27" x14ac:dyDescent="0.35">
      <c r="A43" s="40">
        <f t="shared" si="0"/>
        <v>35</v>
      </c>
      <c r="B43" s="127"/>
      <c r="C43" s="211" t="s">
        <v>39</v>
      </c>
      <c r="D43" s="211" t="s">
        <v>40</v>
      </c>
      <c r="E43" s="211" t="s">
        <v>41</v>
      </c>
      <c r="F43" s="211" t="s">
        <v>127</v>
      </c>
      <c r="G43" s="211" t="s">
        <v>128</v>
      </c>
      <c r="H43" s="212" t="s">
        <v>228</v>
      </c>
      <c r="I43" s="212" t="s">
        <v>229</v>
      </c>
      <c r="J43" s="169"/>
      <c r="K43" s="211"/>
      <c r="L43" s="213"/>
      <c r="M43" s="213"/>
    </row>
    <row r="44" spans="1:14" ht="13.5" x14ac:dyDescent="0.2">
      <c r="A44" s="40">
        <f t="shared" si="0"/>
        <v>36</v>
      </c>
      <c r="B44" s="79" t="s">
        <v>129</v>
      </c>
      <c r="C44" s="170">
        <v>7.49</v>
      </c>
      <c r="D44" s="170">
        <v>79.81</v>
      </c>
      <c r="E44" s="170">
        <v>30.49</v>
      </c>
      <c r="F44" s="170">
        <v>20.55</v>
      </c>
      <c r="G44" s="88">
        <f>SUM(C44:F44)</f>
        <v>138.34</v>
      </c>
      <c r="H44" s="88"/>
      <c r="I44" s="44"/>
      <c r="J44" s="169"/>
      <c r="K44" s="44"/>
      <c r="L44" s="88"/>
      <c r="M44" s="171"/>
      <c r="N44" s="172"/>
    </row>
    <row r="45" spans="1:14" ht="13.5" x14ac:dyDescent="0.2">
      <c r="A45" s="40">
        <f t="shared" si="0"/>
        <v>37</v>
      </c>
      <c r="B45" s="79" t="s">
        <v>130</v>
      </c>
      <c r="C45" s="214">
        <f>C44</f>
        <v>7.49</v>
      </c>
      <c r="D45" s="214">
        <f>D44</f>
        <v>79.81</v>
      </c>
      <c r="E45" s="214">
        <f>E44</f>
        <v>30.49</v>
      </c>
      <c r="F45" s="214">
        <f>F44+(800*(H10-F10))</f>
        <v>17.514800000000001</v>
      </c>
      <c r="G45" s="88">
        <f>SUM(C45:F45)</f>
        <v>135.3048</v>
      </c>
      <c r="H45" s="88">
        <f>G45-G44</f>
        <v>-3.0352000000000032</v>
      </c>
      <c r="I45" s="215">
        <f>H45/G44</f>
        <v>-2.19401474627729E-2</v>
      </c>
      <c r="J45" s="169"/>
      <c r="K45" s="44"/>
      <c r="L45" s="88"/>
      <c r="M45" s="171"/>
      <c r="N45" s="172"/>
    </row>
    <row r="46" spans="1:14" x14ac:dyDescent="0.2">
      <c r="A46" s="40">
        <f t="shared" si="0"/>
        <v>38</v>
      </c>
      <c r="B46" s="79"/>
      <c r="C46" s="170"/>
      <c r="D46" s="170"/>
      <c r="E46" s="170"/>
      <c r="F46" s="170"/>
      <c r="G46" s="88"/>
      <c r="H46" s="88"/>
      <c r="I46" s="88"/>
      <c r="J46" s="44"/>
      <c r="K46" s="44"/>
      <c r="L46" s="88"/>
      <c r="M46" s="171"/>
      <c r="N46" s="172"/>
    </row>
    <row r="47" spans="1:14" x14ac:dyDescent="0.2">
      <c r="A47" s="40">
        <f t="shared" si="0"/>
        <v>39</v>
      </c>
      <c r="B47" s="3" t="s">
        <v>243</v>
      </c>
      <c r="D47" s="3"/>
      <c r="E47" s="3"/>
      <c r="F47" s="3"/>
      <c r="J47" s="3"/>
      <c r="K47" s="3"/>
    </row>
    <row r="48" spans="1:14" x14ac:dyDescent="0.2">
      <c r="A48" s="40">
        <f t="shared" si="0"/>
        <v>40</v>
      </c>
      <c r="B48" s="278" t="s">
        <v>230</v>
      </c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</row>
    <row r="49" spans="1:11" x14ac:dyDescent="0.2">
      <c r="A49" s="40"/>
      <c r="D49" s="3"/>
      <c r="E49" s="3"/>
      <c r="F49" s="3"/>
      <c r="J49" s="3"/>
      <c r="K49" s="3"/>
    </row>
    <row r="50" spans="1:11" x14ac:dyDescent="0.2">
      <c r="A50" s="40"/>
      <c r="D50" s="3"/>
      <c r="E50" s="3"/>
      <c r="F50" s="3"/>
      <c r="J50" s="3"/>
      <c r="K50" s="3"/>
    </row>
    <row r="51" spans="1:11" x14ac:dyDescent="0.2">
      <c r="A51" s="40"/>
      <c r="D51" s="3"/>
      <c r="E51" s="3"/>
      <c r="F51" s="3"/>
      <c r="J51" s="3"/>
      <c r="K51" s="3"/>
    </row>
    <row r="52" spans="1:11" x14ac:dyDescent="0.2">
      <c r="A52" s="40"/>
      <c r="D52" s="3"/>
      <c r="E52" s="3"/>
      <c r="F52" s="3"/>
      <c r="J52" s="3"/>
      <c r="K52" s="3"/>
    </row>
    <row r="53" spans="1:11" x14ac:dyDescent="0.2">
      <c r="A53" s="40"/>
      <c r="D53" s="3"/>
      <c r="E53" s="3"/>
      <c r="F53" s="3"/>
      <c r="J53" s="3"/>
      <c r="K53" s="3"/>
    </row>
    <row r="54" spans="1:11" x14ac:dyDescent="0.2">
      <c r="A54" s="40"/>
      <c r="D54" s="3"/>
      <c r="E54" s="3"/>
      <c r="F54" s="3"/>
      <c r="J54" s="3"/>
      <c r="K54" s="3"/>
    </row>
    <row r="55" spans="1:11" x14ac:dyDescent="0.2">
      <c r="A55" s="40"/>
      <c r="D55" s="3"/>
      <c r="E55" s="3"/>
      <c r="F55" s="3"/>
      <c r="J55" s="3"/>
      <c r="K55" s="3"/>
    </row>
    <row r="56" spans="1:11" x14ac:dyDescent="0.2">
      <c r="A56" s="40"/>
      <c r="D56" s="3"/>
      <c r="E56" s="3"/>
      <c r="F56" s="3"/>
      <c r="J56" s="3"/>
      <c r="K56" s="3"/>
    </row>
    <row r="57" spans="1:11" x14ac:dyDescent="0.2">
      <c r="A57" s="40"/>
      <c r="D57" s="3"/>
      <c r="E57" s="3"/>
      <c r="F57" s="3"/>
      <c r="J57" s="3"/>
      <c r="K57" s="3"/>
    </row>
    <row r="58" spans="1:11" x14ac:dyDescent="0.2">
      <c r="A58" s="40"/>
      <c r="D58" s="3"/>
      <c r="E58" s="3"/>
      <c r="F58" s="3"/>
      <c r="J58" s="3"/>
      <c r="K58" s="3"/>
    </row>
    <row r="59" spans="1:11" x14ac:dyDescent="0.2">
      <c r="A59" s="40"/>
      <c r="D59" s="3"/>
      <c r="E59" s="3"/>
      <c r="F59" s="3"/>
      <c r="J59" s="3"/>
      <c r="K59" s="3"/>
    </row>
    <row r="60" spans="1:11" x14ac:dyDescent="0.2">
      <c r="A60" s="40"/>
      <c r="D60" s="3"/>
      <c r="E60" s="3"/>
      <c r="F60" s="3"/>
      <c r="J60" s="3"/>
      <c r="K60" s="3"/>
    </row>
    <row r="61" spans="1:11" x14ac:dyDescent="0.2">
      <c r="A61" s="40"/>
      <c r="D61" s="3"/>
      <c r="E61" s="3"/>
      <c r="F61" s="3"/>
      <c r="J61" s="3"/>
      <c r="K61" s="3"/>
    </row>
    <row r="62" spans="1:11" x14ac:dyDescent="0.2">
      <c r="A62" s="40"/>
      <c r="D62" s="3"/>
      <c r="E62" s="3"/>
      <c r="F62" s="3"/>
      <c r="J62" s="3"/>
      <c r="K62" s="3"/>
    </row>
    <row r="63" spans="1:11" x14ac:dyDescent="0.2">
      <c r="A63" s="40"/>
      <c r="D63" s="3"/>
      <c r="E63" s="3"/>
      <c r="F63" s="3"/>
      <c r="J63" s="3"/>
      <c r="K63" s="3"/>
    </row>
    <row r="64" spans="1:11" x14ac:dyDescent="0.2">
      <c r="A64" s="40"/>
      <c r="D64" s="3"/>
      <c r="E64" s="3"/>
      <c r="F64" s="3"/>
      <c r="J64" s="3"/>
      <c r="K64" s="3"/>
    </row>
    <row r="65" spans="1:11" x14ac:dyDescent="0.2">
      <c r="A65" s="40"/>
      <c r="D65" s="3"/>
      <c r="E65" s="3"/>
      <c r="F65" s="3"/>
      <c r="J65" s="3"/>
      <c r="K65" s="3"/>
    </row>
    <row r="66" spans="1:11" x14ac:dyDescent="0.2">
      <c r="A66" s="40"/>
      <c r="D66" s="3"/>
      <c r="E66" s="3"/>
      <c r="F66" s="3"/>
      <c r="J66" s="3"/>
      <c r="K66" s="3"/>
    </row>
    <row r="67" spans="1:11" x14ac:dyDescent="0.2">
      <c r="A67" s="40"/>
      <c r="D67" s="3"/>
      <c r="E67" s="3"/>
      <c r="F67" s="3"/>
      <c r="J67" s="3"/>
      <c r="K67" s="3"/>
    </row>
    <row r="68" spans="1:11" x14ac:dyDescent="0.2">
      <c r="A68" s="40"/>
      <c r="D68" s="3"/>
      <c r="E68" s="3"/>
      <c r="F68" s="3"/>
      <c r="J68" s="3"/>
      <c r="K68" s="3"/>
    </row>
    <row r="69" spans="1:11" x14ac:dyDescent="0.2">
      <c r="A69" s="40"/>
      <c r="D69" s="3"/>
      <c r="E69" s="3"/>
      <c r="F69" s="3"/>
      <c r="J69" s="3"/>
      <c r="K69" s="3"/>
    </row>
    <row r="70" spans="1:11" x14ac:dyDescent="0.2">
      <c r="A70" s="40"/>
      <c r="D70" s="3"/>
      <c r="E70" s="3"/>
      <c r="F70" s="3"/>
      <c r="J70" s="3"/>
      <c r="K70" s="3"/>
    </row>
    <row r="71" spans="1:11" x14ac:dyDescent="0.2">
      <c r="A71" s="40"/>
      <c r="D71" s="3"/>
      <c r="E71" s="3"/>
      <c r="F71" s="3"/>
      <c r="J71" s="3"/>
      <c r="K71" s="3"/>
    </row>
    <row r="72" spans="1:11" x14ac:dyDescent="0.2">
      <c r="A72" s="40"/>
      <c r="D72" s="3"/>
      <c r="E72" s="3"/>
      <c r="F72" s="3"/>
      <c r="J72" s="3"/>
      <c r="K72" s="3"/>
    </row>
    <row r="73" spans="1:11" x14ac:dyDescent="0.2">
      <c r="A73" s="40"/>
      <c r="D73" s="3"/>
      <c r="E73" s="3"/>
      <c r="F73" s="3"/>
      <c r="J73" s="3"/>
      <c r="K73" s="3"/>
    </row>
    <row r="74" spans="1:11" x14ac:dyDescent="0.2">
      <c r="A74" s="40"/>
      <c r="D74" s="3"/>
      <c r="E74" s="3"/>
      <c r="F74" s="3"/>
      <c r="J74" s="3"/>
      <c r="K74" s="3"/>
    </row>
    <row r="75" spans="1:11" x14ac:dyDescent="0.2">
      <c r="A75" s="40"/>
      <c r="D75" s="3"/>
      <c r="E75" s="3"/>
      <c r="F75" s="3"/>
      <c r="J75" s="3"/>
      <c r="K75" s="3"/>
    </row>
    <row r="76" spans="1:11" x14ac:dyDescent="0.2">
      <c r="A76" s="40"/>
      <c r="D76" s="3"/>
      <c r="E76" s="3"/>
      <c r="F76" s="3"/>
      <c r="J76" s="3"/>
      <c r="K76" s="3"/>
    </row>
    <row r="77" spans="1:11" x14ac:dyDescent="0.2">
      <c r="A77" s="40"/>
      <c r="D77" s="3"/>
      <c r="E77" s="3"/>
      <c r="F77" s="3"/>
      <c r="J77" s="3"/>
      <c r="K77" s="3"/>
    </row>
    <row r="78" spans="1:11" x14ac:dyDescent="0.2">
      <c r="A78" s="40"/>
      <c r="D78" s="3"/>
      <c r="E78" s="3"/>
      <c r="F78" s="3"/>
      <c r="J78" s="3"/>
      <c r="K78" s="3"/>
    </row>
    <row r="79" spans="1:11" x14ac:dyDescent="0.2">
      <c r="A79" s="40"/>
      <c r="D79" s="3"/>
      <c r="E79" s="3"/>
      <c r="F79" s="3"/>
      <c r="J79" s="3"/>
      <c r="K79" s="3"/>
    </row>
    <row r="80" spans="1:11" x14ac:dyDescent="0.2">
      <c r="A80" s="40"/>
      <c r="D80" s="3"/>
      <c r="E80" s="3"/>
      <c r="F80" s="3"/>
      <c r="J80" s="3"/>
      <c r="K80" s="3"/>
    </row>
    <row r="81" spans="1:11" x14ac:dyDescent="0.2">
      <c r="A81" s="40"/>
      <c r="D81" s="3"/>
      <c r="E81" s="3"/>
      <c r="F81" s="3"/>
      <c r="J81" s="3"/>
      <c r="K81" s="3"/>
    </row>
    <row r="82" spans="1:11" x14ac:dyDescent="0.2">
      <c r="A82" s="40"/>
      <c r="D82" s="3"/>
      <c r="E82" s="3"/>
      <c r="F82" s="3"/>
      <c r="J82" s="3"/>
      <c r="K82" s="3"/>
    </row>
    <row r="83" spans="1:11" x14ac:dyDescent="0.2">
      <c r="A83" s="40"/>
      <c r="D83" s="3"/>
      <c r="E83" s="3"/>
      <c r="F83" s="3"/>
      <c r="J83" s="3"/>
      <c r="K83" s="3"/>
    </row>
    <row r="84" spans="1:11" x14ac:dyDescent="0.2">
      <c r="A84" s="40"/>
      <c r="D84" s="3"/>
      <c r="E84" s="3"/>
      <c r="F84" s="3"/>
      <c r="J84" s="3"/>
      <c r="K84" s="3"/>
    </row>
    <row r="85" spans="1:11" x14ac:dyDescent="0.2">
      <c r="A85" s="40"/>
      <c r="D85" s="3"/>
      <c r="E85" s="3"/>
      <c r="F85" s="3"/>
      <c r="J85" s="3"/>
      <c r="K85" s="3"/>
    </row>
    <row r="86" spans="1:11" x14ac:dyDescent="0.2">
      <c r="A86" s="40"/>
      <c r="D86" s="3"/>
      <c r="E86" s="3"/>
      <c r="F86" s="3"/>
      <c r="J86" s="3"/>
      <c r="K86" s="3"/>
    </row>
    <row r="87" spans="1:11" x14ac:dyDescent="0.2">
      <c r="A87" s="40"/>
      <c r="D87" s="3"/>
      <c r="E87" s="3"/>
      <c r="F87" s="3"/>
      <c r="J87" s="3"/>
      <c r="K87" s="3"/>
    </row>
    <row r="88" spans="1:11" x14ac:dyDescent="0.2">
      <c r="A88" s="40"/>
      <c r="D88" s="3"/>
      <c r="E88" s="3"/>
      <c r="F88" s="3"/>
      <c r="J88" s="3"/>
      <c r="K88" s="3"/>
    </row>
    <row r="89" spans="1:11" x14ac:dyDescent="0.2">
      <c r="A89" s="40"/>
      <c r="D89" s="3"/>
      <c r="E89" s="3"/>
      <c r="F89" s="3"/>
      <c r="J89" s="3"/>
      <c r="K89" s="3"/>
    </row>
    <row r="90" spans="1:11" x14ac:dyDescent="0.2">
      <c r="A90" s="40"/>
      <c r="D90" s="3"/>
      <c r="E90" s="3"/>
      <c r="F90" s="3"/>
      <c r="J90" s="3"/>
      <c r="K90" s="3"/>
    </row>
    <row r="91" spans="1:11" x14ac:dyDescent="0.2">
      <c r="A91" s="40"/>
      <c r="D91" s="3"/>
      <c r="E91" s="3"/>
      <c r="F91" s="3"/>
      <c r="J91" s="3"/>
      <c r="K91" s="3"/>
    </row>
    <row r="92" spans="1:11" x14ac:dyDescent="0.2">
      <c r="A92" s="40"/>
      <c r="D92" s="3"/>
      <c r="E92" s="3"/>
      <c r="F92" s="3"/>
      <c r="J92" s="3"/>
      <c r="K92" s="3"/>
    </row>
    <row r="93" spans="1:11" x14ac:dyDescent="0.2">
      <c r="A93" s="40"/>
      <c r="D93" s="3"/>
      <c r="E93" s="3"/>
      <c r="F93" s="3"/>
      <c r="J93" s="3"/>
      <c r="K93" s="3"/>
    </row>
    <row r="94" spans="1:11" x14ac:dyDescent="0.2">
      <c r="A94" s="40"/>
      <c r="D94" s="3"/>
      <c r="E94" s="3"/>
      <c r="F94" s="3"/>
      <c r="J94" s="3"/>
      <c r="K94" s="3"/>
    </row>
    <row r="95" spans="1:11" x14ac:dyDescent="0.2">
      <c r="A95" s="40"/>
      <c r="D95" s="3"/>
      <c r="E95" s="3"/>
      <c r="F95" s="3"/>
      <c r="J95" s="3"/>
      <c r="K95" s="3"/>
    </row>
    <row r="96" spans="1:11" x14ac:dyDescent="0.2">
      <c r="A96" s="40"/>
      <c r="D96" s="3"/>
      <c r="E96" s="3"/>
      <c r="F96" s="3"/>
      <c r="J96" s="3"/>
      <c r="K96" s="3"/>
    </row>
    <row r="97" spans="1:11" x14ac:dyDescent="0.2">
      <c r="A97" s="40"/>
      <c r="D97" s="3"/>
      <c r="E97" s="3"/>
      <c r="F97" s="3"/>
      <c r="J97" s="3"/>
      <c r="K97" s="3"/>
    </row>
    <row r="98" spans="1:11" x14ac:dyDescent="0.2">
      <c r="A98" s="40"/>
      <c r="D98" s="3"/>
      <c r="E98" s="3"/>
      <c r="F98" s="3"/>
      <c r="J98" s="3"/>
      <c r="K98" s="3"/>
    </row>
    <row r="99" spans="1:11" x14ac:dyDescent="0.2">
      <c r="A99" s="40"/>
      <c r="D99" s="3"/>
      <c r="E99" s="3"/>
      <c r="F99" s="3"/>
      <c r="J99" s="3"/>
      <c r="K99" s="3"/>
    </row>
    <row r="100" spans="1:11" x14ac:dyDescent="0.2">
      <c r="A100" s="40"/>
      <c r="D100" s="3"/>
      <c r="E100" s="3"/>
      <c r="F100" s="3"/>
      <c r="J100" s="3"/>
      <c r="K100" s="3"/>
    </row>
    <row r="101" spans="1:11" x14ac:dyDescent="0.2">
      <c r="A101" s="40"/>
      <c r="D101" s="3"/>
      <c r="E101" s="3"/>
      <c r="F101" s="3"/>
      <c r="J101" s="3"/>
      <c r="K101" s="3"/>
    </row>
    <row r="102" spans="1:11" x14ac:dyDescent="0.2">
      <c r="A102" s="40"/>
      <c r="D102" s="3"/>
      <c r="E102" s="3"/>
      <c r="F102" s="3"/>
      <c r="J102" s="3"/>
      <c r="K102" s="3"/>
    </row>
    <row r="103" spans="1:11" x14ac:dyDescent="0.2">
      <c r="A103" s="40"/>
      <c r="D103" s="3"/>
      <c r="E103" s="3"/>
      <c r="F103" s="3"/>
      <c r="J103" s="3"/>
      <c r="K103" s="3"/>
    </row>
    <row r="104" spans="1:11" x14ac:dyDescent="0.2">
      <c r="A104" s="40"/>
      <c r="D104" s="3"/>
      <c r="E104" s="3"/>
      <c r="F104" s="3"/>
      <c r="J104" s="3"/>
      <c r="K104" s="3"/>
    </row>
    <row r="105" spans="1:11" x14ac:dyDescent="0.2">
      <c r="A105" s="40"/>
      <c r="D105" s="3"/>
      <c r="E105" s="3"/>
      <c r="F105" s="3"/>
      <c r="J105" s="3"/>
      <c r="K105" s="3"/>
    </row>
    <row r="106" spans="1:11" x14ac:dyDescent="0.2">
      <c r="A106" s="40"/>
      <c r="D106" s="3"/>
      <c r="E106" s="3"/>
      <c r="F106" s="3"/>
      <c r="J106" s="3"/>
      <c r="K106" s="3"/>
    </row>
    <row r="107" spans="1:11" x14ac:dyDescent="0.2">
      <c r="A107" s="40"/>
      <c r="D107" s="3"/>
      <c r="E107" s="3"/>
      <c r="F107" s="3"/>
      <c r="J107" s="3"/>
      <c r="K107" s="3"/>
    </row>
    <row r="108" spans="1:11" x14ac:dyDescent="0.2">
      <c r="A108" s="40"/>
      <c r="D108" s="3"/>
      <c r="E108" s="3"/>
      <c r="F108" s="3"/>
      <c r="J108" s="3"/>
      <c r="K108" s="3"/>
    </row>
    <row r="109" spans="1:11" x14ac:dyDescent="0.2">
      <c r="A109" s="40"/>
      <c r="D109" s="3"/>
      <c r="E109" s="3"/>
      <c r="F109" s="3"/>
      <c r="J109" s="3"/>
      <c r="K109" s="3"/>
    </row>
    <row r="110" spans="1:11" x14ac:dyDescent="0.2">
      <c r="A110" s="40"/>
      <c r="D110" s="3"/>
      <c r="E110" s="3"/>
      <c r="F110" s="3"/>
      <c r="J110" s="3"/>
      <c r="K110" s="3"/>
    </row>
    <row r="111" spans="1:11" x14ac:dyDescent="0.2">
      <c r="A111" s="40"/>
      <c r="D111" s="3"/>
      <c r="E111" s="3"/>
      <c r="F111" s="3"/>
      <c r="J111" s="3"/>
      <c r="K111" s="3"/>
    </row>
    <row r="112" spans="1:11" x14ac:dyDescent="0.2">
      <c r="A112" s="40"/>
      <c r="D112" s="3"/>
      <c r="E112" s="3"/>
      <c r="F112" s="3"/>
      <c r="J112" s="3"/>
      <c r="K112" s="3"/>
    </row>
    <row r="113" spans="1:11" x14ac:dyDescent="0.2">
      <c r="A113" s="40"/>
      <c r="D113" s="3"/>
      <c r="E113" s="3"/>
      <c r="F113" s="3"/>
      <c r="J113" s="3"/>
      <c r="K113" s="3"/>
    </row>
    <row r="114" spans="1:11" x14ac:dyDescent="0.2">
      <c r="A114" s="40"/>
      <c r="D114" s="3"/>
      <c r="E114" s="3"/>
      <c r="F114" s="3"/>
      <c r="J114" s="3"/>
      <c r="K114" s="3"/>
    </row>
    <row r="115" spans="1:11" x14ac:dyDescent="0.2">
      <c r="A115" s="40"/>
      <c r="D115" s="3"/>
      <c r="E115" s="3"/>
      <c r="F115" s="3"/>
      <c r="J115" s="3"/>
      <c r="K115" s="3"/>
    </row>
    <row r="116" spans="1:11" x14ac:dyDescent="0.2">
      <c r="A116" s="40"/>
      <c r="D116" s="3"/>
      <c r="E116" s="3"/>
      <c r="F116" s="3"/>
      <c r="J116" s="3"/>
      <c r="K116" s="3"/>
    </row>
    <row r="117" spans="1:11" x14ac:dyDescent="0.2">
      <c r="A117" s="40"/>
      <c r="D117" s="3"/>
      <c r="E117" s="3"/>
      <c r="F117" s="3"/>
      <c r="J117" s="3"/>
      <c r="K117" s="3"/>
    </row>
    <row r="118" spans="1:11" x14ac:dyDescent="0.2">
      <c r="A118" s="40"/>
      <c r="D118" s="3"/>
      <c r="E118" s="3"/>
      <c r="F118" s="3"/>
      <c r="J118" s="3"/>
      <c r="K118" s="3"/>
    </row>
    <row r="119" spans="1:11" x14ac:dyDescent="0.2">
      <c r="A119" s="40"/>
      <c r="D119" s="3"/>
      <c r="E119" s="3"/>
      <c r="F119" s="3"/>
      <c r="J119" s="3"/>
      <c r="K119" s="3"/>
    </row>
    <row r="120" spans="1:11" x14ac:dyDescent="0.2">
      <c r="A120" s="40"/>
      <c r="D120" s="3"/>
      <c r="E120" s="3"/>
      <c r="F120" s="3"/>
      <c r="J120" s="3"/>
      <c r="K120" s="3"/>
    </row>
    <row r="121" spans="1:11" x14ac:dyDescent="0.2">
      <c r="A121" s="40"/>
      <c r="D121" s="3"/>
      <c r="E121" s="3"/>
      <c r="F121" s="3"/>
      <c r="J121" s="3"/>
      <c r="K121" s="3"/>
    </row>
    <row r="122" spans="1:11" x14ac:dyDescent="0.2">
      <c r="A122" s="40"/>
      <c r="D122" s="3"/>
      <c r="E122" s="3"/>
      <c r="F122" s="3"/>
      <c r="J122" s="3"/>
      <c r="K122" s="3"/>
    </row>
    <row r="123" spans="1:11" x14ac:dyDescent="0.2">
      <c r="A123" s="40"/>
      <c r="D123" s="3"/>
      <c r="E123" s="3"/>
      <c r="F123" s="3"/>
      <c r="J123" s="3"/>
      <c r="K123" s="3"/>
    </row>
    <row r="124" spans="1:11" x14ac:dyDescent="0.2">
      <c r="A124" s="40"/>
      <c r="D124" s="3"/>
      <c r="E124" s="3"/>
      <c r="F124" s="3"/>
      <c r="J124" s="3"/>
      <c r="K124" s="3"/>
    </row>
    <row r="125" spans="1:11" x14ac:dyDescent="0.2">
      <c r="A125" s="40"/>
      <c r="D125" s="3"/>
      <c r="E125" s="3"/>
      <c r="F125" s="3"/>
      <c r="J125" s="3"/>
      <c r="K125" s="3"/>
    </row>
    <row r="126" spans="1:11" x14ac:dyDescent="0.2">
      <c r="A126" s="40"/>
      <c r="D126" s="3"/>
      <c r="E126" s="3"/>
      <c r="F126" s="3"/>
      <c r="J126" s="3"/>
      <c r="K126" s="3"/>
    </row>
    <row r="127" spans="1:11" x14ac:dyDescent="0.2">
      <c r="A127" s="40"/>
      <c r="D127" s="3"/>
      <c r="E127" s="3"/>
      <c r="F127" s="3"/>
      <c r="J127" s="3"/>
      <c r="K127" s="3"/>
    </row>
    <row r="128" spans="1:11" x14ac:dyDescent="0.2">
      <c r="A128" s="40"/>
      <c r="D128" s="3"/>
      <c r="E128" s="3"/>
      <c r="F128" s="3"/>
      <c r="J128" s="3"/>
      <c r="K128" s="3"/>
    </row>
    <row r="129" spans="1:11" x14ac:dyDescent="0.2">
      <c r="A129" s="40"/>
      <c r="D129" s="3"/>
      <c r="E129" s="3"/>
      <c r="F129" s="3"/>
      <c r="J129" s="3"/>
      <c r="K129" s="3"/>
    </row>
    <row r="130" spans="1:11" x14ac:dyDescent="0.2">
      <c r="A130" s="40"/>
      <c r="D130" s="3"/>
      <c r="E130" s="3"/>
      <c r="F130" s="3"/>
      <c r="J130" s="3"/>
      <c r="K130" s="3"/>
    </row>
    <row r="131" spans="1:11" x14ac:dyDescent="0.2">
      <c r="A131" s="40"/>
      <c r="D131" s="3"/>
      <c r="E131" s="3"/>
      <c r="F131" s="3"/>
      <c r="J131" s="3"/>
      <c r="K131" s="3"/>
    </row>
    <row r="132" spans="1:11" x14ac:dyDescent="0.2">
      <c r="A132" s="40"/>
      <c r="D132" s="3"/>
      <c r="E132" s="3"/>
      <c r="F132" s="3"/>
      <c r="J132" s="3"/>
      <c r="K132" s="3"/>
    </row>
    <row r="133" spans="1:11" x14ac:dyDescent="0.2">
      <c r="A133" s="40"/>
      <c r="D133" s="3"/>
      <c r="E133" s="3"/>
      <c r="F133" s="3"/>
      <c r="J133" s="3"/>
      <c r="K133" s="3"/>
    </row>
    <row r="134" spans="1:11" x14ac:dyDescent="0.2">
      <c r="A134" s="40"/>
      <c r="D134" s="3"/>
      <c r="E134" s="3"/>
      <c r="F134" s="3"/>
      <c r="J134" s="3"/>
      <c r="K134" s="3"/>
    </row>
    <row r="135" spans="1:11" x14ac:dyDescent="0.2">
      <c r="A135" s="40"/>
      <c r="D135" s="3"/>
      <c r="E135" s="3"/>
      <c r="F135" s="3"/>
      <c r="J135" s="3"/>
      <c r="K135" s="3"/>
    </row>
    <row r="136" spans="1:11" x14ac:dyDescent="0.2">
      <c r="A136" s="40"/>
      <c r="D136" s="3"/>
      <c r="E136" s="3"/>
      <c r="F136" s="3"/>
      <c r="J136" s="3"/>
      <c r="K136" s="3"/>
    </row>
    <row r="137" spans="1:11" x14ac:dyDescent="0.2">
      <c r="A137" s="40"/>
      <c r="D137" s="3"/>
      <c r="E137" s="3"/>
      <c r="F137" s="3"/>
      <c r="J137" s="3"/>
      <c r="K137" s="3"/>
    </row>
    <row r="138" spans="1:11" x14ac:dyDescent="0.2">
      <c r="A138" s="40"/>
      <c r="D138" s="3"/>
      <c r="E138" s="3"/>
      <c r="F138" s="3"/>
      <c r="J138" s="3"/>
      <c r="K138" s="3"/>
    </row>
    <row r="139" spans="1:11" x14ac:dyDescent="0.2">
      <c r="A139" s="40"/>
      <c r="D139" s="3"/>
      <c r="E139" s="3"/>
      <c r="F139" s="3"/>
      <c r="J139" s="3"/>
      <c r="K139" s="3"/>
    </row>
    <row r="140" spans="1:11" x14ac:dyDescent="0.2">
      <c r="A140" s="40"/>
      <c r="D140" s="3"/>
      <c r="E140" s="3"/>
      <c r="F140" s="3"/>
      <c r="J140" s="3"/>
      <c r="K140" s="3"/>
    </row>
    <row r="141" spans="1:11" x14ac:dyDescent="0.2">
      <c r="A141" s="40"/>
      <c r="D141" s="3"/>
      <c r="E141" s="3"/>
      <c r="F141" s="3"/>
      <c r="J141" s="3"/>
      <c r="K141" s="3"/>
    </row>
    <row r="142" spans="1:11" x14ac:dyDescent="0.2">
      <c r="A142" s="40"/>
      <c r="D142" s="3"/>
      <c r="E142" s="3"/>
      <c r="F142" s="3"/>
      <c r="J142" s="3"/>
      <c r="K142" s="3"/>
    </row>
    <row r="143" spans="1:11" x14ac:dyDescent="0.2">
      <c r="A143" s="40"/>
      <c r="D143" s="3"/>
      <c r="E143" s="3"/>
      <c r="F143" s="3"/>
      <c r="J143" s="3"/>
      <c r="K143" s="3"/>
    </row>
    <row r="144" spans="1:11" x14ac:dyDescent="0.2">
      <c r="A144" s="40"/>
      <c r="D144" s="3"/>
      <c r="E144" s="3"/>
      <c r="F144" s="3"/>
      <c r="J144" s="3"/>
      <c r="K144" s="3"/>
    </row>
    <row r="145" spans="1:11" x14ac:dyDescent="0.2">
      <c r="A145" s="40"/>
      <c r="D145" s="3"/>
      <c r="E145" s="3"/>
      <c r="F145" s="3"/>
      <c r="J145" s="3"/>
      <c r="K145" s="3"/>
    </row>
    <row r="146" spans="1:11" x14ac:dyDescent="0.2">
      <c r="A146" s="40"/>
      <c r="D146" s="3"/>
      <c r="E146" s="3"/>
      <c r="F146" s="3"/>
      <c r="J146" s="3"/>
      <c r="K146" s="3"/>
    </row>
    <row r="147" spans="1:11" x14ac:dyDescent="0.2">
      <c r="A147" s="40"/>
      <c r="D147" s="3"/>
      <c r="E147" s="3"/>
      <c r="F147" s="3"/>
      <c r="J147" s="3"/>
      <c r="K147" s="3"/>
    </row>
    <row r="148" spans="1:11" x14ac:dyDescent="0.2">
      <c r="A148" s="40"/>
      <c r="D148" s="3"/>
      <c r="E148" s="3"/>
      <c r="F148" s="3"/>
      <c r="J148" s="3"/>
      <c r="K148" s="3"/>
    </row>
    <row r="149" spans="1:11" x14ac:dyDescent="0.2">
      <c r="A149" s="40"/>
      <c r="D149" s="3"/>
      <c r="E149" s="3"/>
      <c r="F149" s="3"/>
      <c r="J149" s="3"/>
      <c r="K149" s="3"/>
    </row>
    <row r="150" spans="1:11" x14ac:dyDescent="0.2">
      <c r="A150" s="40"/>
      <c r="D150" s="3"/>
      <c r="E150" s="3"/>
      <c r="F150" s="3"/>
      <c r="J150" s="3"/>
      <c r="K150" s="3"/>
    </row>
    <row r="151" spans="1:11" x14ac:dyDescent="0.2">
      <c r="A151" s="40"/>
      <c r="D151" s="3"/>
      <c r="E151" s="3"/>
      <c r="F151" s="3"/>
      <c r="J151" s="3"/>
      <c r="K151" s="3"/>
    </row>
    <row r="152" spans="1:11" x14ac:dyDescent="0.2">
      <c r="A152" s="40"/>
      <c r="D152" s="3"/>
      <c r="E152" s="3"/>
      <c r="F152" s="3"/>
      <c r="J152" s="3"/>
      <c r="K152" s="3"/>
    </row>
    <row r="153" spans="1:11" x14ac:dyDescent="0.2">
      <c r="A153" s="40"/>
      <c r="D153" s="3"/>
      <c r="E153" s="3"/>
      <c r="F153" s="3"/>
      <c r="J153" s="3"/>
      <c r="K153" s="3"/>
    </row>
    <row r="154" spans="1:11" x14ac:dyDescent="0.2">
      <c r="A154" s="40"/>
      <c r="D154" s="3"/>
      <c r="E154" s="3"/>
      <c r="F154" s="3"/>
      <c r="J154" s="3"/>
      <c r="K154" s="3"/>
    </row>
    <row r="155" spans="1:11" x14ac:dyDescent="0.2">
      <c r="A155" s="40"/>
      <c r="D155" s="3"/>
      <c r="E155" s="3"/>
      <c r="F155" s="3"/>
      <c r="J155" s="3"/>
      <c r="K155" s="3"/>
    </row>
    <row r="156" spans="1:11" x14ac:dyDescent="0.2">
      <c r="A156" s="40"/>
      <c r="D156" s="3"/>
      <c r="E156" s="3"/>
      <c r="F156" s="3"/>
      <c r="J156" s="3"/>
      <c r="K156" s="3"/>
    </row>
    <row r="157" spans="1:11" x14ac:dyDescent="0.2">
      <c r="A157" s="40"/>
      <c r="D157" s="3"/>
      <c r="E157" s="3"/>
      <c r="F157" s="3"/>
      <c r="J157" s="3"/>
      <c r="K157" s="3"/>
    </row>
    <row r="158" spans="1:11" x14ac:dyDescent="0.2">
      <c r="A158" s="40"/>
      <c r="D158" s="3"/>
      <c r="E158" s="3"/>
      <c r="F158" s="3"/>
      <c r="J158" s="3"/>
      <c r="K158" s="3"/>
    </row>
    <row r="159" spans="1:11" x14ac:dyDescent="0.2">
      <c r="A159" s="40"/>
      <c r="D159" s="3"/>
      <c r="E159" s="3"/>
      <c r="F159" s="3"/>
      <c r="J159" s="3"/>
      <c r="K159" s="3"/>
    </row>
    <row r="160" spans="1:11" x14ac:dyDescent="0.2">
      <c r="A160" s="40"/>
      <c r="D160" s="3"/>
      <c r="E160" s="3"/>
      <c r="F160" s="3"/>
      <c r="J160" s="3"/>
      <c r="K160" s="3"/>
    </row>
    <row r="161" spans="1:11" x14ac:dyDescent="0.2">
      <c r="A161" s="40"/>
      <c r="D161" s="3"/>
      <c r="E161" s="3"/>
      <c r="F161" s="3"/>
      <c r="J161" s="3"/>
      <c r="K161" s="3"/>
    </row>
    <row r="162" spans="1:11" x14ac:dyDescent="0.2">
      <c r="A162" s="40"/>
      <c r="D162" s="3"/>
      <c r="E162" s="3"/>
      <c r="F162" s="3"/>
      <c r="J162" s="3"/>
      <c r="K162" s="3"/>
    </row>
    <row r="163" spans="1:11" x14ac:dyDescent="0.2">
      <c r="A163" s="40"/>
      <c r="D163" s="3"/>
      <c r="E163" s="3"/>
      <c r="F163" s="3"/>
      <c r="J163" s="3"/>
      <c r="K163" s="3"/>
    </row>
    <row r="164" spans="1:11" x14ac:dyDescent="0.2">
      <c r="A164" s="40"/>
      <c r="D164" s="3"/>
      <c r="E164" s="3"/>
      <c r="F164" s="3"/>
      <c r="J164" s="3"/>
      <c r="K164" s="3"/>
    </row>
    <row r="165" spans="1:11" x14ac:dyDescent="0.2">
      <c r="A165" s="40"/>
      <c r="D165" s="3"/>
      <c r="E165" s="3"/>
      <c r="F165" s="3"/>
      <c r="J165" s="3"/>
      <c r="K165" s="3"/>
    </row>
    <row r="166" spans="1:11" x14ac:dyDescent="0.2">
      <c r="A166" s="40"/>
      <c r="D166" s="3"/>
      <c r="E166" s="3"/>
      <c r="F166" s="3"/>
      <c r="J166" s="3"/>
      <c r="K166" s="3"/>
    </row>
    <row r="167" spans="1:11" x14ac:dyDescent="0.2">
      <c r="A167" s="40"/>
      <c r="D167" s="3"/>
      <c r="E167" s="3"/>
      <c r="F167" s="3"/>
      <c r="J167" s="3"/>
      <c r="K167" s="3"/>
    </row>
    <row r="168" spans="1:11" x14ac:dyDescent="0.2">
      <c r="A168" s="40"/>
      <c r="D168" s="3"/>
      <c r="E168" s="3"/>
      <c r="F168" s="3"/>
      <c r="J168" s="3"/>
      <c r="K168" s="3"/>
    </row>
    <row r="169" spans="1:11" x14ac:dyDescent="0.2">
      <c r="A169" s="40"/>
      <c r="D169" s="3"/>
      <c r="E169" s="3"/>
      <c r="F169" s="3"/>
      <c r="J169" s="3"/>
      <c r="K169" s="3"/>
    </row>
    <row r="170" spans="1:11" x14ac:dyDescent="0.2">
      <c r="A170" s="40"/>
      <c r="D170" s="3"/>
      <c r="E170" s="3"/>
      <c r="F170" s="3"/>
      <c r="J170" s="3"/>
      <c r="K170" s="3"/>
    </row>
    <row r="171" spans="1:11" x14ac:dyDescent="0.2">
      <c r="A171" s="40"/>
      <c r="D171" s="3"/>
      <c r="E171" s="3"/>
      <c r="F171" s="3"/>
      <c r="J171" s="3"/>
      <c r="K171" s="3"/>
    </row>
    <row r="172" spans="1:11" x14ac:dyDescent="0.2">
      <c r="A172" s="40"/>
      <c r="D172" s="3"/>
      <c r="E172" s="3"/>
      <c r="F172" s="3"/>
      <c r="J172" s="3"/>
      <c r="K172" s="3"/>
    </row>
    <row r="173" spans="1:11" x14ac:dyDescent="0.2">
      <c r="A173" s="40"/>
      <c r="D173" s="3"/>
      <c r="E173" s="3"/>
      <c r="F173" s="3"/>
      <c r="J173" s="3"/>
      <c r="K173" s="3"/>
    </row>
    <row r="174" spans="1:11" x14ac:dyDescent="0.2">
      <c r="A174" s="40"/>
      <c r="D174" s="3"/>
      <c r="E174" s="3"/>
      <c r="F174" s="3"/>
      <c r="J174" s="3"/>
      <c r="K174" s="3"/>
    </row>
    <row r="175" spans="1:11" x14ac:dyDescent="0.2">
      <c r="A175" s="40"/>
      <c r="D175" s="3"/>
      <c r="E175" s="3"/>
      <c r="F175" s="3"/>
      <c r="J175" s="3"/>
      <c r="K175" s="3"/>
    </row>
    <row r="176" spans="1:11" x14ac:dyDescent="0.2">
      <c r="A176" s="40"/>
      <c r="D176" s="3"/>
      <c r="E176" s="3"/>
      <c r="F176" s="3"/>
      <c r="J176" s="3"/>
      <c r="K176" s="3"/>
    </row>
    <row r="177" spans="1:11" x14ac:dyDescent="0.2">
      <c r="A177" s="40"/>
      <c r="D177" s="3"/>
      <c r="E177" s="3"/>
      <c r="F177" s="3"/>
      <c r="J177" s="3"/>
      <c r="K177" s="3"/>
    </row>
    <row r="178" spans="1:11" x14ac:dyDescent="0.2">
      <c r="A178" s="40"/>
      <c r="D178" s="3"/>
      <c r="E178" s="3"/>
      <c r="F178" s="3"/>
      <c r="J178" s="3"/>
      <c r="K178" s="3"/>
    </row>
    <row r="179" spans="1:11" x14ac:dyDescent="0.2">
      <c r="A179" s="40"/>
      <c r="D179" s="3"/>
      <c r="E179" s="3"/>
      <c r="F179" s="3"/>
      <c r="J179" s="3"/>
      <c r="K179" s="3"/>
    </row>
    <row r="180" spans="1:11" x14ac:dyDescent="0.2">
      <c r="A180" s="40"/>
      <c r="D180" s="3"/>
      <c r="E180" s="3"/>
      <c r="F180" s="3"/>
      <c r="J180" s="3"/>
      <c r="K180" s="3"/>
    </row>
    <row r="181" spans="1:11" x14ac:dyDescent="0.2">
      <c r="A181" s="40"/>
      <c r="D181" s="3"/>
      <c r="E181" s="3"/>
      <c r="F181" s="3"/>
      <c r="J181" s="3"/>
      <c r="K181" s="3"/>
    </row>
    <row r="182" spans="1:11" x14ac:dyDescent="0.2">
      <c r="A182" s="40"/>
      <c r="D182" s="3"/>
      <c r="E182" s="3"/>
      <c r="F182" s="3"/>
      <c r="J182" s="3"/>
      <c r="K182" s="3"/>
    </row>
    <row r="183" spans="1:11" x14ac:dyDescent="0.2">
      <c r="A183" s="40"/>
      <c r="D183" s="3"/>
      <c r="E183" s="3"/>
      <c r="F183" s="3"/>
      <c r="J183" s="3"/>
      <c r="K183" s="3"/>
    </row>
    <row r="184" spans="1:11" x14ac:dyDescent="0.2">
      <c r="A184" s="40"/>
      <c r="D184" s="3"/>
      <c r="E184" s="3"/>
      <c r="F184" s="3"/>
      <c r="J184" s="3"/>
      <c r="K184" s="3"/>
    </row>
    <row r="185" spans="1:11" x14ac:dyDescent="0.2">
      <c r="A185" s="40"/>
      <c r="D185" s="3"/>
      <c r="E185" s="3"/>
      <c r="F185" s="3"/>
      <c r="J185" s="3"/>
      <c r="K185" s="3"/>
    </row>
    <row r="186" spans="1:11" x14ac:dyDescent="0.2">
      <c r="A186" s="40"/>
      <c r="D186" s="3"/>
      <c r="E186" s="3"/>
      <c r="F186" s="3"/>
      <c r="J186" s="3"/>
      <c r="K186" s="3"/>
    </row>
    <row r="187" spans="1:11" x14ac:dyDescent="0.2">
      <c r="A187" s="40"/>
      <c r="D187" s="3"/>
      <c r="E187" s="3"/>
      <c r="F187" s="3"/>
      <c r="J187" s="3"/>
      <c r="K187" s="3"/>
    </row>
    <row r="188" spans="1:11" x14ac:dyDescent="0.2">
      <c r="A188" s="40"/>
      <c r="D188" s="3"/>
      <c r="E188" s="3"/>
      <c r="F188" s="3"/>
      <c r="J188" s="3"/>
      <c r="K188" s="3"/>
    </row>
    <row r="189" spans="1:11" x14ac:dyDescent="0.2">
      <c r="A189" s="40"/>
      <c r="D189" s="3"/>
      <c r="E189" s="3"/>
      <c r="F189" s="3"/>
      <c r="J189" s="3"/>
      <c r="K189" s="3"/>
    </row>
    <row r="190" spans="1:11" x14ac:dyDescent="0.2">
      <c r="A190" s="40"/>
      <c r="D190" s="3"/>
      <c r="E190" s="3"/>
      <c r="F190" s="3"/>
      <c r="J190" s="3"/>
      <c r="K190" s="3"/>
    </row>
    <row r="191" spans="1:11" x14ac:dyDescent="0.2">
      <c r="A191" s="40"/>
      <c r="D191" s="3"/>
      <c r="E191" s="3"/>
      <c r="F191" s="3"/>
      <c r="J191" s="3"/>
      <c r="K191" s="3"/>
    </row>
    <row r="192" spans="1:11" x14ac:dyDescent="0.2">
      <c r="A192" s="40"/>
      <c r="D192" s="3"/>
      <c r="E192" s="3"/>
      <c r="F192" s="3"/>
      <c r="J192" s="3"/>
      <c r="K192" s="3"/>
    </row>
    <row r="193" spans="1:11" x14ac:dyDescent="0.2">
      <c r="A193" s="40"/>
      <c r="D193" s="3"/>
      <c r="E193" s="3"/>
      <c r="F193" s="3"/>
      <c r="J193" s="3"/>
      <c r="K193" s="3"/>
    </row>
    <row r="194" spans="1:11" x14ac:dyDescent="0.2">
      <c r="A194" s="40"/>
      <c r="D194" s="3"/>
      <c r="E194" s="3"/>
      <c r="F194" s="3"/>
      <c r="J194" s="3"/>
      <c r="K194" s="3"/>
    </row>
    <row r="195" spans="1:11" x14ac:dyDescent="0.2">
      <c r="A195" s="40"/>
      <c r="D195" s="3"/>
      <c r="E195" s="3"/>
      <c r="F195" s="3"/>
      <c r="J195" s="3"/>
      <c r="K195" s="3"/>
    </row>
    <row r="196" spans="1:11" x14ac:dyDescent="0.2">
      <c r="A196" s="40"/>
      <c r="D196" s="3"/>
      <c r="E196" s="3"/>
      <c r="F196" s="3"/>
      <c r="J196" s="3"/>
      <c r="K196" s="3"/>
    </row>
    <row r="197" spans="1:11" x14ac:dyDescent="0.2">
      <c r="A197" s="40"/>
      <c r="D197" s="3"/>
      <c r="E197" s="3"/>
      <c r="F197" s="3"/>
      <c r="J197" s="3"/>
      <c r="K197" s="3"/>
    </row>
    <row r="198" spans="1:11" x14ac:dyDescent="0.2">
      <c r="A198" s="40"/>
      <c r="D198" s="3"/>
      <c r="E198" s="3"/>
      <c r="F198" s="3"/>
      <c r="J198" s="3"/>
      <c r="K198" s="3"/>
    </row>
    <row r="199" spans="1:11" x14ac:dyDescent="0.2">
      <c r="A199" s="40"/>
      <c r="D199" s="3"/>
      <c r="E199" s="3"/>
      <c r="F199" s="3"/>
      <c r="J199" s="3"/>
      <c r="K199" s="3"/>
    </row>
    <row r="200" spans="1:11" x14ac:dyDescent="0.2">
      <c r="D200" s="3"/>
      <c r="E200" s="3"/>
      <c r="F200" s="3"/>
      <c r="J200" s="3"/>
      <c r="K200" s="3"/>
    </row>
  </sheetData>
  <mergeCells count="2">
    <mergeCell ref="D7:E7"/>
    <mergeCell ref="B48:N48"/>
  </mergeCells>
  <printOptions horizontalCentered="1"/>
  <pageMargins left="0.7" right="0.7" top="0.75" bottom="0.75" header="0.3" footer="0.3"/>
  <pageSetup scale="82" orientation="landscape" r:id="rId1"/>
  <headerFooter alignWithMargins="0">
    <oddHeader>&amp;RElectric Schedule 120 Rate Design Workpapers
Page &amp;P of &amp;N</oddHeader>
    <oddFooter>&amp;L&amp;F
&amp;A&amp;R&amp;D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59999389629810485"/>
  </sheetPr>
  <dimension ref="A1"/>
  <sheetViews>
    <sheetView workbookViewId="0"/>
  </sheetViews>
  <sheetFormatPr defaultColWidth="8.85546875" defaultRowHeight="12.75" x14ac:dyDescent="0.2"/>
  <cols>
    <col min="1" max="16384" width="8.85546875" style="32"/>
  </cols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DFF4-00EF-468D-A581-300477BADF9E}">
  <sheetPr>
    <tabColor theme="6" tint="0.79998168889431442"/>
  </sheetPr>
  <dimension ref="A1:O170"/>
  <sheetViews>
    <sheetView workbookViewId="0">
      <pane ySplit="7" topLeftCell="A154" activePane="bottomLeft" state="frozen"/>
      <selection activeCell="G7" sqref="G7:H7"/>
      <selection pane="bottomLeft" activeCell="F76" sqref="F76"/>
    </sheetView>
  </sheetViews>
  <sheetFormatPr defaultColWidth="8.85546875" defaultRowHeight="11.25" x14ac:dyDescent="0.2"/>
  <cols>
    <col min="1" max="1" width="6.7109375" style="3" bestFit="1" customWidth="1"/>
    <col min="2" max="2" width="20.140625" style="3" customWidth="1"/>
    <col min="3" max="3" width="16.42578125" style="3" customWidth="1"/>
    <col min="4" max="4" width="16.7109375" style="3" customWidth="1"/>
    <col min="5" max="5" width="13.28515625" style="3" customWidth="1"/>
    <col min="6" max="6" width="11.42578125" style="3" customWidth="1"/>
    <col min="7" max="7" width="8.85546875" style="3" customWidth="1"/>
    <col min="8" max="8" width="12.28515625" style="3" customWidth="1"/>
    <col min="9" max="9" width="1.5703125" style="3" customWidth="1"/>
    <col min="10" max="12" width="8.85546875" style="3"/>
    <col min="13" max="13" width="10" style="3" customWidth="1"/>
    <col min="14" max="16384" width="8.85546875" style="3"/>
  </cols>
  <sheetData>
    <row r="1" spans="1:15" s="127" customFormat="1" x14ac:dyDescent="0.2">
      <c r="A1" s="1" t="str">
        <f>'Sch 141COL Rates'!A1</f>
        <v>PUGET SOUND ENERGY</v>
      </c>
      <c r="B1" s="1"/>
      <c r="C1" s="1"/>
      <c r="D1" s="1"/>
      <c r="E1" s="1"/>
      <c r="F1" s="1"/>
      <c r="G1" s="1"/>
      <c r="H1" s="1"/>
    </row>
    <row r="2" spans="1:15" s="127" customFormat="1" x14ac:dyDescent="0.2">
      <c r="A2" s="1" t="str">
        <f>'Sch 141COL Rates'!A2</f>
        <v xml:space="preserve">Schedule 141COL Colstrip Adjustment Rider </v>
      </c>
      <c r="B2" s="1"/>
      <c r="C2" s="1"/>
      <c r="D2" s="1"/>
      <c r="E2" s="1"/>
      <c r="F2" s="1"/>
      <c r="G2" s="1"/>
      <c r="H2" s="1"/>
    </row>
    <row r="3" spans="1:15" s="127" customFormat="1" x14ac:dyDescent="0.2">
      <c r="A3" s="1" t="str">
        <f>'Sch 141COL Rates'!A3</f>
        <v>Effective January 1, 2026 - December 31, 2026</v>
      </c>
      <c r="B3" s="1"/>
      <c r="C3" s="1"/>
      <c r="D3" s="1"/>
      <c r="E3" s="1"/>
      <c r="F3" s="1"/>
      <c r="G3" s="1"/>
      <c r="H3" s="1"/>
    </row>
    <row r="4" spans="1:15" s="127" customFormat="1" ht="12" thickBot="1" x14ac:dyDescent="0.25">
      <c r="A4" s="128" t="s">
        <v>90</v>
      </c>
      <c r="B4" s="1"/>
      <c r="C4" s="1"/>
      <c r="D4" s="1"/>
      <c r="E4" s="1"/>
      <c r="F4" s="1"/>
      <c r="G4" s="1"/>
      <c r="H4" s="1"/>
    </row>
    <row r="5" spans="1:15" s="127" customFormat="1" ht="13.5" thickBot="1" x14ac:dyDescent="0.25">
      <c r="A5" s="122"/>
      <c r="E5" s="270" t="s">
        <v>184</v>
      </c>
      <c r="F5" s="271"/>
      <c r="G5" s="271"/>
      <c r="H5" s="272"/>
      <c r="J5" s="273" t="s">
        <v>183</v>
      </c>
      <c r="K5" s="274"/>
      <c r="L5" s="274"/>
      <c r="M5" s="274"/>
      <c r="N5" s="274"/>
      <c r="O5" s="275"/>
    </row>
    <row r="6" spans="1:15" s="122" customFormat="1" ht="45" x14ac:dyDescent="0.2">
      <c r="A6" s="31" t="s">
        <v>0</v>
      </c>
      <c r="B6" s="31" t="s">
        <v>1</v>
      </c>
      <c r="C6" s="31" t="s">
        <v>3</v>
      </c>
      <c r="D6" s="31" t="s">
        <v>6</v>
      </c>
      <c r="E6" s="126" t="s">
        <v>182</v>
      </c>
      <c r="F6" s="126" t="s">
        <v>91</v>
      </c>
      <c r="G6" s="126" t="s">
        <v>181</v>
      </c>
      <c r="H6" s="126" t="s">
        <v>92</v>
      </c>
      <c r="J6" s="125" t="s">
        <v>113</v>
      </c>
      <c r="K6" s="279" t="s">
        <v>180</v>
      </c>
      <c r="L6" s="279"/>
      <c r="M6" s="124" t="s">
        <v>179</v>
      </c>
      <c r="N6" s="124" t="s">
        <v>178</v>
      </c>
      <c r="O6" s="123" t="s">
        <v>177</v>
      </c>
    </row>
    <row r="7" spans="1:15" s="116" customFormat="1" x14ac:dyDescent="0.2">
      <c r="A7" s="121"/>
      <c r="B7" s="120" t="s">
        <v>55</v>
      </c>
      <c r="C7" s="120" t="s">
        <v>93</v>
      </c>
      <c r="D7" s="119" t="s">
        <v>56</v>
      </c>
      <c r="E7" s="119" t="s">
        <v>94</v>
      </c>
      <c r="F7" s="119" t="s">
        <v>95</v>
      </c>
      <c r="G7" s="119" t="s">
        <v>57</v>
      </c>
      <c r="H7" s="119" t="s">
        <v>96</v>
      </c>
      <c r="J7" s="118"/>
      <c r="O7" s="117"/>
    </row>
    <row r="8" spans="1:15" x14ac:dyDescent="0.2">
      <c r="A8" s="29">
        <v>1</v>
      </c>
      <c r="B8" s="29"/>
      <c r="C8" s="29"/>
      <c r="D8" s="28"/>
      <c r="F8" s="114"/>
      <c r="G8" s="115"/>
      <c r="H8" s="114"/>
      <c r="J8" s="113"/>
      <c r="O8" s="112"/>
    </row>
    <row r="9" spans="1:15" ht="33.75" customHeight="1" x14ac:dyDescent="0.35">
      <c r="A9" s="29">
        <f t="shared" ref="A9:A72" si="0">+A8+1</f>
        <v>2</v>
      </c>
      <c r="B9" s="42" t="s">
        <v>97</v>
      </c>
      <c r="J9" s="111" t="s">
        <v>176</v>
      </c>
      <c r="K9" s="110"/>
      <c r="L9" s="110"/>
      <c r="M9" s="110"/>
      <c r="N9" s="109"/>
      <c r="O9" s="108"/>
    </row>
    <row r="10" spans="1:15" x14ac:dyDescent="0.2">
      <c r="A10" s="29">
        <f t="shared" si="0"/>
        <v>3</v>
      </c>
      <c r="B10" s="92" t="s">
        <v>7</v>
      </c>
      <c r="C10" s="4" t="s">
        <v>45</v>
      </c>
      <c r="D10" s="105">
        <v>22</v>
      </c>
      <c r="E10" s="44">
        <v>1.98</v>
      </c>
      <c r="F10" s="88">
        <f>E10*$H$167</f>
        <v>-3.0282989682331577E-3</v>
      </c>
      <c r="G10" s="87">
        <v>708</v>
      </c>
      <c r="H10" s="78">
        <f>F10*G10</f>
        <v>-2.1440356695090759</v>
      </c>
      <c r="J10" s="107"/>
      <c r="K10" s="103">
        <v>0</v>
      </c>
      <c r="L10" s="103">
        <v>30</v>
      </c>
      <c r="M10" s="102">
        <v>7.4297601011292338</v>
      </c>
      <c r="N10" s="265">
        <f>'Rate Spread and Design'!K45</f>
        <v>-4.0606168234216675E-4</v>
      </c>
      <c r="O10" s="101">
        <f>M10*N10</f>
        <v>-3.0169408860632437E-3</v>
      </c>
    </row>
    <row r="11" spans="1:15" x14ac:dyDescent="0.2">
      <c r="A11" s="29">
        <f t="shared" si="0"/>
        <v>4</v>
      </c>
      <c r="B11" s="106"/>
      <c r="C11" s="28"/>
      <c r="D11" s="105"/>
      <c r="E11" s="44"/>
      <c r="F11" s="88"/>
      <c r="G11" s="87"/>
      <c r="H11" s="30"/>
      <c r="J11" s="104"/>
      <c r="K11" s="103">
        <v>30.01</v>
      </c>
      <c r="L11" s="103">
        <v>60</v>
      </c>
      <c r="M11" s="102">
        <v>16.236746289282937</v>
      </c>
      <c r="N11" s="266">
        <f>N10</f>
        <v>-4.0606168234216675E-4</v>
      </c>
      <c r="O11" s="101">
        <f t="shared" ref="O11:O17" si="1">M11*N11</f>
        <v>-6.5931205139891629E-3</v>
      </c>
    </row>
    <row r="12" spans="1:15" x14ac:dyDescent="0.2">
      <c r="A12" s="29">
        <f t="shared" si="0"/>
        <v>5</v>
      </c>
      <c r="B12" s="92" t="s">
        <v>46</v>
      </c>
      <c r="C12" s="30" t="s">
        <v>4</v>
      </c>
      <c r="D12" s="89">
        <v>100</v>
      </c>
      <c r="E12" s="44">
        <v>10.56</v>
      </c>
      <c r="F12" s="88">
        <f>E12*$H$167</f>
        <v>-1.6150927830576842E-2</v>
      </c>
      <c r="G12" s="87">
        <v>36</v>
      </c>
      <c r="H12" s="78">
        <f>F12*G12</f>
        <v>-0.58143340190076631</v>
      </c>
      <c r="J12" s="104"/>
      <c r="K12" s="103">
        <v>60.01</v>
      </c>
      <c r="L12" s="103">
        <v>90</v>
      </c>
      <c r="M12" s="102">
        <v>26.186795286420214</v>
      </c>
      <c r="N12" s="266">
        <f t="shared" ref="N12:N17" si="2">N11</f>
        <v>-4.0606168234216675E-4</v>
      </c>
      <c r="O12" s="101">
        <f t="shared" si="1"/>
        <v>-1.0633454149153714E-2</v>
      </c>
    </row>
    <row r="13" spans="1:15" x14ac:dyDescent="0.2">
      <c r="A13" s="29">
        <f t="shared" si="0"/>
        <v>6</v>
      </c>
      <c r="B13" s="92" t="str">
        <f>+B12</f>
        <v>50E</v>
      </c>
      <c r="C13" s="30" t="s">
        <v>4</v>
      </c>
      <c r="D13" s="89">
        <v>175</v>
      </c>
      <c r="E13" s="44">
        <v>18.5</v>
      </c>
      <c r="F13" s="88">
        <f>E13*$H$167</f>
        <v>-2.8294712581976474E-2</v>
      </c>
      <c r="G13" s="87">
        <v>241</v>
      </c>
      <c r="H13" s="78">
        <f>F13*G13</f>
        <v>-6.8190257322563301</v>
      </c>
      <c r="J13" s="104"/>
      <c r="K13" s="103">
        <v>90.01</v>
      </c>
      <c r="L13" s="103">
        <v>150</v>
      </c>
      <c r="M13" s="102">
        <v>39.674794170929992</v>
      </c>
      <c r="N13" s="266">
        <f t="shared" si="2"/>
        <v>-4.0606168234216675E-4</v>
      </c>
      <c r="O13" s="101">
        <f t="shared" si="1"/>
        <v>-1.6110413667627024E-2</v>
      </c>
    </row>
    <row r="14" spans="1:15" x14ac:dyDescent="0.2">
      <c r="A14" s="29">
        <f t="shared" si="0"/>
        <v>7</v>
      </c>
      <c r="B14" s="92" t="str">
        <f>+B13</f>
        <v>50E</v>
      </c>
      <c r="C14" s="30" t="s">
        <v>4</v>
      </c>
      <c r="D14" s="89">
        <v>400</v>
      </c>
      <c r="E14" s="44">
        <v>38.409999999999997</v>
      </c>
      <c r="F14" s="88">
        <f>E14*$H$167</f>
        <v>-5.8745941095876553E-2</v>
      </c>
      <c r="G14" s="87">
        <v>216</v>
      </c>
      <c r="H14" s="78">
        <f>F14*G14</f>
        <v>-12.689123276709335</v>
      </c>
      <c r="J14" s="104"/>
      <c r="K14" s="103">
        <v>150.01</v>
      </c>
      <c r="L14" s="103">
        <v>240</v>
      </c>
      <c r="M14" s="102">
        <v>69.495762573691295</v>
      </c>
      <c r="N14" s="266">
        <f t="shared" si="2"/>
        <v>-4.0606168234216675E-4</v>
      </c>
      <c r="O14" s="101">
        <f t="shared" si="1"/>
        <v>-2.8219566266324877E-2</v>
      </c>
    </row>
    <row r="15" spans="1:15" x14ac:dyDescent="0.2">
      <c r="A15" s="29">
        <f t="shared" si="0"/>
        <v>8</v>
      </c>
      <c r="B15" s="92" t="str">
        <f>+B14</f>
        <v>50E</v>
      </c>
      <c r="C15" s="30" t="s">
        <v>4</v>
      </c>
      <c r="D15" s="89">
        <v>700</v>
      </c>
      <c r="E15" s="44">
        <v>96.03</v>
      </c>
      <c r="F15" s="88">
        <f>E15*$H$167</f>
        <v>-0.14687249995930815</v>
      </c>
      <c r="G15" s="87">
        <v>0</v>
      </c>
      <c r="H15" s="78">
        <f>F15*G15</f>
        <v>0</v>
      </c>
      <c r="J15" s="104"/>
      <c r="K15" s="103">
        <v>240.01</v>
      </c>
      <c r="L15" s="103">
        <v>340</v>
      </c>
      <c r="M15" s="102">
        <v>92.063107873663981</v>
      </c>
      <c r="N15" s="266">
        <f t="shared" si="2"/>
        <v>-4.0606168234216675E-4</v>
      </c>
      <c r="O15" s="101">
        <f t="shared" si="1"/>
        <v>-3.7383300464828371E-2</v>
      </c>
    </row>
    <row r="16" spans="1:15" x14ac:dyDescent="0.2">
      <c r="A16" s="29">
        <f t="shared" si="0"/>
        <v>9</v>
      </c>
      <c r="D16" s="79"/>
      <c r="E16" s="44"/>
      <c r="F16" s="88"/>
      <c r="G16" s="87"/>
      <c r="H16" s="30"/>
      <c r="J16" s="104"/>
      <c r="K16" s="103">
        <v>340.01</v>
      </c>
      <c r="L16" s="103">
        <v>600</v>
      </c>
      <c r="M16" s="102">
        <v>144.31146442180207</v>
      </c>
      <c r="N16" s="266">
        <f t="shared" si="2"/>
        <v>-4.0606168234216675E-4</v>
      </c>
      <c r="O16" s="101">
        <f t="shared" si="1"/>
        <v>-5.8599356024378692E-2</v>
      </c>
    </row>
    <row r="17" spans="1:15" ht="14.25" thickBot="1" x14ac:dyDescent="0.4">
      <c r="A17" s="29">
        <f t="shared" si="0"/>
        <v>10</v>
      </c>
      <c r="B17" s="42" t="s">
        <v>8</v>
      </c>
      <c r="D17" s="79"/>
      <c r="E17" s="44"/>
      <c r="F17" s="88"/>
      <c r="G17" s="87"/>
      <c r="H17" s="30"/>
      <c r="J17" s="100"/>
      <c r="K17" s="99">
        <v>600.01</v>
      </c>
      <c r="L17" s="99">
        <v>1000</v>
      </c>
      <c r="M17" s="98">
        <v>360.77866105450516</v>
      </c>
      <c r="N17" s="267">
        <f t="shared" si="2"/>
        <v>-4.0606168234216675E-4</v>
      </c>
      <c r="O17" s="97">
        <f t="shared" si="1"/>
        <v>-0.14649839006094673</v>
      </c>
    </row>
    <row r="18" spans="1:15" x14ac:dyDescent="0.2">
      <c r="A18" s="29">
        <f t="shared" si="0"/>
        <v>11</v>
      </c>
      <c r="B18" s="92" t="s">
        <v>9</v>
      </c>
      <c r="C18" s="30" t="s">
        <v>10</v>
      </c>
      <c r="D18" s="79" t="s">
        <v>47</v>
      </c>
      <c r="E18" s="44">
        <v>1.98</v>
      </c>
      <c r="F18" s="88">
        <f t="shared" ref="F18:F27" si="3">E18*$H$167</f>
        <v>-3.0282989682331577E-3</v>
      </c>
      <c r="G18" s="87">
        <v>3</v>
      </c>
      <c r="H18" s="78">
        <f t="shared" ref="H18:H28" si="4">F18*G18</f>
        <v>-9.0848969046994736E-3</v>
      </c>
    </row>
    <row r="19" spans="1:15" x14ac:dyDescent="0.2">
      <c r="A19" s="29">
        <f t="shared" si="0"/>
        <v>12</v>
      </c>
      <c r="B19" s="92" t="s">
        <v>9</v>
      </c>
      <c r="C19" s="30" t="s">
        <v>10</v>
      </c>
      <c r="D19" s="91" t="s">
        <v>48</v>
      </c>
      <c r="E19" s="44">
        <v>4.32</v>
      </c>
      <c r="F19" s="88">
        <f t="shared" si="3"/>
        <v>-6.6071977488723448E-3</v>
      </c>
      <c r="G19" s="87">
        <v>62432</v>
      </c>
      <c r="H19" s="78">
        <f t="shared" si="4"/>
        <v>-412.50056985759824</v>
      </c>
    </row>
    <row r="20" spans="1:15" x14ac:dyDescent="0.2">
      <c r="A20" s="29">
        <f t="shared" si="0"/>
        <v>13</v>
      </c>
      <c r="B20" s="92" t="s">
        <v>9</v>
      </c>
      <c r="C20" s="30" t="s">
        <v>10</v>
      </c>
      <c r="D20" s="89" t="s">
        <v>12</v>
      </c>
      <c r="E20" s="44">
        <v>6.97</v>
      </c>
      <c r="F20" s="88">
        <f t="shared" si="3"/>
        <v>-1.0660224145750056E-2</v>
      </c>
      <c r="G20" s="87">
        <v>35235</v>
      </c>
      <c r="H20" s="78">
        <f t="shared" si="4"/>
        <v>-375.61299777550323</v>
      </c>
    </row>
    <row r="21" spans="1:15" x14ac:dyDescent="0.2">
      <c r="A21" s="29">
        <f t="shared" si="0"/>
        <v>14</v>
      </c>
      <c r="B21" s="92" t="s">
        <v>9</v>
      </c>
      <c r="C21" s="30" t="s">
        <v>10</v>
      </c>
      <c r="D21" s="89" t="s">
        <v>13</v>
      </c>
      <c r="E21" s="44">
        <v>10.56</v>
      </c>
      <c r="F21" s="88">
        <f t="shared" si="3"/>
        <v>-1.6150927830576842E-2</v>
      </c>
      <c r="G21" s="87">
        <v>15281</v>
      </c>
      <c r="H21" s="78">
        <f t="shared" si="4"/>
        <v>-246.80232817904474</v>
      </c>
    </row>
    <row r="22" spans="1:15" x14ac:dyDescent="0.2">
      <c r="A22" s="29">
        <f t="shared" si="0"/>
        <v>15</v>
      </c>
      <c r="B22" s="92" t="s">
        <v>9</v>
      </c>
      <c r="C22" s="30" t="s">
        <v>10</v>
      </c>
      <c r="D22" s="89" t="s">
        <v>14</v>
      </c>
      <c r="E22" s="44">
        <v>10.56</v>
      </c>
      <c r="F22" s="88">
        <f t="shared" si="3"/>
        <v>-1.6150927830576842E-2</v>
      </c>
      <c r="G22" s="87">
        <v>6961</v>
      </c>
      <c r="H22" s="78">
        <f t="shared" si="4"/>
        <v>-112.4266086286454</v>
      </c>
    </row>
    <row r="23" spans="1:15" x14ac:dyDescent="0.2">
      <c r="A23" s="29">
        <f t="shared" si="0"/>
        <v>16</v>
      </c>
      <c r="B23" s="92" t="s">
        <v>9</v>
      </c>
      <c r="C23" s="30" t="s">
        <v>10</v>
      </c>
      <c r="D23" s="89" t="s">
        <v>15</v>
      </c>
      <c r="E23" s="44">
        <v>18.5</v>
      </c>
      <c r="F23" s="88">
        <f t="shared" si="3"/>
        <v>-2.8294712581976474E-2</v>
      </c>
      <c r="G23" s="87">
        <v>908</v>
      </c>
      <c r="H23" s="78">
        <f t="shared" si="4"/>
        <v>-25.691599024434637</v>
      </c>
    </row>
    <row r="24" spans="1:15" x14ac:dyDescent="0.2">
      <c r="A24" s="29">
        <f t="shared" si="0"/>
        <v>17</v>
      </c>
      <c r="B24" s="92" t="s">
        <v>9</v>
      </c>
      <c r="C24" s="30" t="s">
        <v>10</v>
      </c>
      <c r="D24" s="89" t="s">
        <v>16</v>
      </c>
      <c r="E24" s="44">
        <v>18.5</v>
      </c>
      <c r="F24" s="88">
        <f t="shared" si="3"/>
        <v>-2.8294712581976474E-2</v>
      </c>
      <c r="G24" s="87">
        <v>2412</v>
      </c>
      <c r="H24" s="78">
        <f t="shared" si="4"/>
        <v>-68.246846747727261</v>
      </c>
    </row>
    <row r="25" spans="1:15" x14ac:dyDescent="0.2">
      <c r="A25" s="29">
        <f t="shared" si="0"/>
        <v>18</v>
      </c>
      <c r="B25" s="92" t="s">
        <v>9</v>
      </c>
      <c r="C25" s="30" t="s">
        <v>10</v>
      </c>
      <c r="D25" s="89" t="s">
        <v>17</v>
      </c>
      <c r="E25" s="44">
        <v>18.5</v>
      </c>
      <c r="F25" s="88">
        <f t="shared" si="3"/>
        <v>-2.8294712581976474E-2</v>
      </c>
      <c r="G25" s="87">
        <v>938</v>
      </c>
      <c r="H25" s="78">
        <f t="shared" si="4"/>
        <v>-26.540440401893932</v>
      </c>
    </row>
    <row r="26" spans="1:15" x14ac:dyDescent="0.2">
      <c r="A26" s="29">
        <f t="shared" si="0"/>
        <v>19</v>
      </c>
      <c r="B26" s="92" t="s">
        <v>9</v>
      </c>
      <c r="C26" s="30" t="s">
        <v>10</v>
      </c>
      <c r="D26" s="89" t="s">
        <v>18</v>
      </c>
      <c r="E26" s="44">
        <v>24.5</v>
      </c>
      <c r="F26" s="88">
        <f t="shared" si="3"/>
        <v>-3.7471376122076953E-2</v>
      </c>
      <c r="G26" s="87">
        <v>96</v>
      </c>
      <c r="H26" s="78">
        <f t="shared" si="4"/>
        <v>-3.5972521077193873</v>
      </c>
    </row>
    <row r="27" spans="1:15" x14ac:dyDescent="0.2">
      <c r="A27" s="29">
        <f t="shared" si="0"/>
        <v>20</v>
      </c>
      <c r="B27" s="92" t="s">
        <v>9</v>
      </c>
      <c r="C27" s="30" t="s">
        <v>10</v>
      </c>
      <c r="D27" s="89" t="s">
        <v>19</v>
      </c>
      <c r="E27" s="44">
        <v>24.5</v>
      </c>
      <c r="F27" s="88">
        <f t="shared" si="3"/>
        <v>-3.7471376122076953E-2</v>
      </c>
      <c r="G27" s="87">
        <v>996</v>
      </c>
      <c r="H27" s="78">
        <f t="shared" si="4"/>
        <v>-37.321490617588644</v>
      </c>
    </row>
    <row r="28" spans="1:15" x14ac:dyDescent="0.2">
      <c r="A28" s="29">
        <f t="shared" si="0"/>
        <v>21</v>
      </c>
      <c r="B28" s="92" t="s">
        <v>98</v>
      </c>
      <c r="C28" s="30" t="s">
        <v>42</v>
      </c>
      <c r="D28" s="96" t="s">
        <v>49</v>
      </c>
      <c r="E28" s="41"/>
      <c r="F28" s="268">
        <f>N10</f>
        <v>-4.0606168234216675E-4</v>
      </c>
      <c r="G28" s="93">
        <v>364552.40584913531</v>
      </c>
      <c r="H28" s="78">
        <f t="shared" si="4"/>
        <v>-148.03076322098423</v>
      </c>
    </row>
    <row r="29" spans="1:15" x14ac:dyDescent="0.2">
      <c r="A29" s="29">
        <f t="shared" si="0"/>
        <v>22</v>
      </c>
      <c r="D29" s="79"/>
      <c r="E29" s="44"/>
      <c r="F29" s="88"/>
      <c r="G29" s="87"/>
      <c r="H29" s="30"/>
    </row>
    <row r="30" spans="1:15" ht="13.5" x14ac:dyDescent="0.35">
      <c r="A30" s="29">
        <f t="shared" si="0"/>
        <v>23</v>
      </c>
      <c r="B30" s="42" t="s">
        <v>99</v>
      </c>
      <c r="D30" s="79"/>
      <c r="E30" s="44"/>
      <c r="F30" s="88"/>
      <c r="G30" s="87"/>
      <c r="H30" s="30"/>
    </row>
    <row r="31" spans="1:15" x14ac:dyDescent="0.2">
      <c r="A31" s="29">
        <f t="shared" si="0"/>
        <v>24</v>
      </c>
      <c r="B31" s="92" t="s">
        <v>20</v>
      </c>
      <c r="C31" s="30" t="s">
        <v>5</v>
      </c>
      <c r="D31" s="89">
        <v>50</v>
      </c>
      <c r="E31" s="44">
        <v>4.32</v>
      </c>
      <c r="F31" s="88">
        <f t="shared" ref="F31:F38" si="5">E31*$H$167</f>
        <v>-6.6071977488723448E-3</v>
      </c>
      <c r="G31" s="87">
        <v>0</v>
      </c>
      <c r="H31" s="78">
        <f t="shared" ref="H31:H38" si="6">F31*G31</f>
        <v>0</v>
      </c>
    </row>
    <row r="32" spans="1:15" x14ac:dyDescent="0.2">
      <c r="A32" s="29">
        <f t="shared" si="0"/>
        <v>25</v>
      </c>
      <c r="B32" s="92" t="str">
        <f t="shared" ref="B32:B38" si="7">+B31</f>
        <v xml:space="preserve">52E </v>
      </c>
      <c r="C32" s="30" t="s">
        <v>5</v>
      </c>
      <c r="D32" s="89">
        <v>70</v>
      </c>
      <c r="E32" s="44">
        <v>6.97</v>
      </c>
      <c r="F32" s="88">
        <f t="shared" si="5"/>
        <v>-1.0660224145750056E-2</v>
      </c>
      <c r="G32" s="87">
        <v>7894</v>
      </c>
      <c r="H32" s="78">
        <f t="shared" si="6"/>
        <v>-84.151809406550939</v>
      </c>
    </row>
    <row r="33" spans="1:8" x14ac:dyDescent="0.2">
      <c r="A33" s="29">
        <f t="shared" si="0"/>
        <v>26</v>
      </c>
      <c r="B33" s="92" t="str">
        <f t="shared" si="7"/>
        <v xml:space="preserve">52E </v>
      </c>
      <c r="C33" s="30" t="s">
        <v>5</v>
      </c>
      <c r="D33" s="89">
        <v>100</v>
      </c>
      <c r="E33" s="44">
        <v>10.56</v>
      </c>
      <c r="F33" s="88">
        <f t="shared" si="5"/>
        <v>-1.6150927830576842E-2</v>
      </c>
      <c r="G33" s="87">
        <v>114110</v>
      </c>
      <c r="H33" s="78">
        <f t="shared" si="6"/>
        <v>-1842.9823747471235</v>
      </c>
    </row>
    <row r="34" spans="1:8" x14ac:dyDescent="0.2">
      <c r="A34" s="29">
        <f t="shared" si="0"/>
        <v>27</v>
      </c>
      <c r="B34" s="92" t="str">
        <f t="shared" si="7"/>
        <v xml:space="preserve">52E </v>
      </c>
      <c r="C34" s="30" t="s">
        <v>5</v>
      </c>
      <c r="D34" s="89">
        <v>150</v>
      </c>
      <c r="E34" s="44">
        <v>10.56</v>
      </c>
      <c r="F34" s="88">
        <f t="shared" si="5"/>
        <v>-1.6150927830576842E-2</v>
      </c>
      <c r="G34" s="87">
        <v>53138</v>
      </c>
      <c r="H34" s="78">
        <f t="shared" si="6"/>
        <v>-858.22800306119223</v>
      </c>
    </row>
    <row r="35" spans="1:8" x14ac:dyDescent="0.2">
      <c r="A35" s="29">
        <f t="shared" si="0"/>
        <v>28</v>
      </c>
      <c r="B35" s="92" t="str">
        <f t="shared" si="7"/>
        <v xml:space="preserve">52E </v>
      </c>
      <c r="C35" s="30" t="s">
        <v>5</v>
      </c>
      <c r="D35" s="89">
        <v>200</v>
      </c>
      <c r="E35" s="44">
        <v>18.5</v>
      </c>
      <c r="F35" s="88">
        <f t="shared" si="5"/>
        <v>-2.8294712581976474E-2</v>
      </c>
      <c r="G35" s="87">
        <v>11171</v>
      </c>
      <c r="H35" s="78">
        <f t="shared" si="6"/>
        <v>-316.08023425325916</v>
      </c>
    </row>
    <row r="36" spans="1:8" x14ac:dyDescent="0.2">
      <c r="A36" s="29">
        <f t="shared" si="0"/>
        <v>29</v>
      </c>
      <c r="B36" s="92" t="str">
        <f t="shared" si="7"/>
        <v xml:space="preserve">52E </v>
      </c>
      <c r="C36" s="30" t="s">
        <v>5</v>
      </c>
      <c r="D36" s="89">
        <v>250</v>
      </c>
      <c r="E36" s="44">
        <v>24.5</v>
      </c>
      <c r="F36" s="88">
        <f t="shared" si="5"/>
        <v>-3.7471376122076953E-2</v>
      </c>
      <c r="G36" s="87">
        <v>16530</v>
      </c>
      <c r="H36" s="78">
        <f t="shared" si="6"/>
        <v>-619.40184729793202</v>
      </c>
    </row>
    <row r="37" spans="1:8" x14ac:dyDescent="0.2">
      <c r="A37" s="29">
        <f t="shared" si="0"/>
        <v>30</v>
      </c>
      <c r="B37" s="92" t="str">
        <f t="shared" si="7"/>
        <v xml:space="preserve">52E </v>
      </c>
      <c r="C37" s="30" t="s">
        <v>5</v>
      </c>
      <c r="D37" s="89">
        <v>310</v>
      </c>
      <c r="E37" s="44">
        <v>24.5</v>
      </c>
      <c r="F37" s="88">
        <f t="shared" si="5"/>
        <v>-3.7471376122076953E-2</v>
      </c>
      <c r="G37" s="87">
        <v>1721</v>
      </c>
      <c r="H37" s="78">
        <f t="shared" si="6"/>
        <v>-64.488238306094431</v>
      </c>
    </row>
    <row r="38" spans="1:8" x14ac:dyDescent="0.2">
      <c r="A38" s="29">
        <f t="shared" si="0"/>
        <v>31</v>
      </c>
      <c r="B38" s="92" t="str">
        <f t="shared" si="7"/>
        <v xml:space="preserve">52E </v>
      </c>
      <c r="C38" s="30" t="s">
        <v>5</v>
      </c>
      <c r="D38" s="89">
        <v>400</v>
      </c>
      <c r="E38" s="44">
        <v>38.409999999999997</v>
      </c>
      <c r="F38" s="88">
        <f t="shared" si="5"/>
        <v>-5.8745941095876553E-2</v>
      </c>
      <c r="G38" s="87">
        <v>6966</v>
      </c>
      <c r="H38" s="78">
        <f t="shared" si="6"/>
        <v>-409.22422567387605</v>
      </c>
    </row>
    <row r="39" spans="1:8" x14ac:dyDescent="0.2">
      <c r="A39" s="29">
        <f t="shared" si="0"/>
        <v>32</v>
      </c>
      <c r="B39" s="5"/>
      <c r="C39" s="30"/>
      <c r="D39" s="89"/>
      <c r="E39" s="44"/>
      <c r="F39" s="88"/>
      <c r="G39" s="87"/>
      <c r="H39" s="30"/>
    </row>
    <row r="40" spans="1:8" x14ac:dyDescent="0.2">
      <c r="A40" s="29">
        <f t="shared" si="0"/>
        <v>33</v>
      </c>
      <c r="B40" s="92" t="str">
        <f>+B35</f>
        <v xml:space="preserve">52E </v>
      </c>
      <c r="C40" s="30" t="s">
        <v>21</v>
      </c>
      <c r="D40" s="89">
        <v>70</v>
      </c>
      <c r="E40" s="44">
        <v>6.97</v>
      </c>
      <c r="F40" s="88">
        <f t="shared" ref="F40:F46" si="8">E40*$H$167</f>
        <v>-1.0660224145750056E-2</v>
      </c>
      <c r="G40" s="87">
        <v>841</v>
      </c>
      <c r="H40" s="78">
        <f t="shared" ref="H40:H46" si="9">F40*G40</f>
        <v>-8.9652485065757972</v>
      </c>
    </row>
    <row r="41" spans="1:8" x14ac:dyDescent="0.2">
      <c r="A41" s="29">
        <f t="shared" si="0"/>
        <v>34</v>
      </c>
      <c r="B41" s="92" t="str">
        <f>+B36</f>
        <v xml:space="preserve">52E </v>
      </c>
      <c r="C41" s="30" t="s">
        <v>21</v>
      </c>
      <c r="D41" s="89">
        <v>100</v>
      </c>
      <c r="E41" s="44">
        <v>10.56</v>
      </c>
      <c r="F41" s="88">
        <f t="shared" si="8"/>
        <v>-1.6150927830576842E-2</v>
      </c>
      <c r="G41" s="87">
        <v>46</v>
      </c>
      <c r="H41" s="78">
        <f t="shared" si="9"/>
        <v>-0.74294268020653476</v>
      </c>
    </row>
    <row r="42" spans="1:8" x14ac:dyDescent="0.2">
      <c r="A42" s="29">
        <f t="shared" si="0"/>
        <v>35</v>
      </c>
      <c r="B42" s="92" t="str">
        <f>+B37</f>
        <v xml:space="preserve">52E </v>
      </c>
      <c r="C42" s="30" t="s">
        <v>21</v>
      </c>
      <c r="D42" s="89">
        <v>150</v>
      </c>
      <c r="E42" s="44">
        <v>10.56</v>
      </c>
      <c r="F42" s="88">
        <f t="shared" si="8"/>
        <v>-1.6150927830576842E-2</v>
      </c>
      <c r="G42" s="87">
        <v>2376</v>
      </c>
      <c r="H42" s="78">
        <f t="shared" si="9"/>
        <v>-38.374604525450579</v>
      </c>
    </row>
    <row r="43" spans="1:8" x14ac:dyDescent="0.2">
      <c r="A43" s="29">
        <f t="shared" si="0"/>
        <v>36</v>
      </c>
      <c r="B43" s="92" t="str">
        <f>+B38</f>
        <v xml:space="preserve">52E </v>
      </c>
      <c r="C43" s="30" t="s">
        <v>21</v>
      </c>
      <c r="D43" s="89">
        <v>175</v>
      </c>
      <c r="E43" s="44">
        <v>18.5</v>
      </c>
      <c r="F43" s="88">
        <f t="shared" si="8"/>
        <v>-2.8294712581976474E-2</v>
      </c>
      <c r="G43" s="87">
        <v>2514</v>
      </c>
      <c r="H43" s="78">
        <f t="shared" si="9"/>
        <v>-71.132907431088853</v>
      </c>
    </row>
    <row r="44" spans="1:8" x14ac:dyDescent="0.2">
      <c r="A44" s="29">
        <f t="shared" si="0"/>
        <v>37</v>
      </c>
      <c r="B44" s="92" t="str">
        <f t="shared" ref="B44:C46" si="10">+B43</f>
        <v xml:space="preserve">52E </v>
      </c>
      <c r="C44" s="30" t="str">
        <f t="shared" si="10"/>
        <v>Metal Halide</v>
      </c>
      <c r="D44" s="89">
        <v>250</v>
      </c>
      <c r="E44" s="44">
        <v>24.5</v>
      </c>
      <c r="F44" s="88">
        <f t="shared" si="8"/>
        <v>-3.7471376122076953E-2</v>
      </c>
      <c r="G44" s="87">
        <v>428</v>
      </c>
      <c r="H44" s="78">
        <f t="shared" si="9"/>
        <v>-16.037748980248935</v>
      </c>
    </row>
    <row r="45" spans="1:8" x14ac:dyDescent="0.2">
      <c r="A45" s="29">
        <f t="shared" si="0"/>
        <v>38</v>
      </c>
      <c r="B45" s="92" t="str">
        <f t="shared" si="10"/>
        <v xml:space="preserve">52E </v>
      </c>
      <c r="C45" s="30" t="str">
        <f t="shared" si="10"/>
        <v>Metal Halide</v>
      </c>
      <c r="D45" s="89">
        <v>400</v>
      </c>
      <c r="E45" s="44">
        <v>38.409999999999997</v>
      </c>
      <c r="F45" s="88">
        <f t="shared" si="8"/>
        <v>-5.8745941095876553E-2</v>
      </c>
      <c r="G45" s="87">
        <v>684</v>
      </c>
      <c r="H45" s="78">
        <f t="shared" si="9"/>
        <v>-40.18222370957956</v>
      </c>
    </row>
    <row r="46" spans="1:8" x14ac:dyDescent="0.2">
      <c r="A46" s="29">
        <f t="shared" si="0"/>
        <v>39</v>
      </c>
      <c r="B46" s="92" t="str">
        <f t="shared" si="10"/>
        <v xml:space="preserve">52E </v>
      </c>
      <c r="C46" s="30" t="str">
        <f t="shared" si="10"/>
        <v>Metal Halide</v>
      </c>
      <c r="D46" s="89">
        <v>1000</v>
      </c>
      <c r="E46" s="44">
        <v>96.03</v>
      </c>
      <c r="F46" s="88">
        <f t="shared" si="8"/>
        <v>-0.14687249995930815</v>
      </c>
      <c r="G46" s="87">
        <v>216</v>
      </c>
      <c r="H46" s="78">
        <f t="shared" si="9"/>
        <v>-31.724459991210562</v>
      </c>
    </row>
    <row r="47" spans="1:8" x14ac:dyDescent="0.2">
      <c r="A47" s="29">
        <f t="shared" si="0"/>
        <v>40</v>
      </c>
      <c r="D47" s="79"/>
      <c r="E47" s="44"/>
      <c r="F47" s="88"/>
      <c r="G47" s="87"/>
      <c r="H47" s="30"/>
    </row>
    <row r="48" spans="1:8" ht="13.5" x14ac:dyDescent="0.35">
      <c r="A48" s="29">
        <f t="shared" si="0"/>
        <v>41</v>
      </c>
      <c r="B48" s="42" t="s">
        <v>100</v>
      </c>
      <c r="D48" s="79"/>
      <c r="E48" s="44"/>
      <c r="F48" s="88"/>
      <c r="G48" s="87"/>
      <c r="H48" s="30"/>
    </row>
    <row r="49" spans="1:8" x14ac:dyDescent="0.2">
      <c r="A49" s="29">
        <f t="shared" si="0"/>
        <v>42</v>
      </c>
      <c r="B49" s="92" t="s">
        <v>50</v>
      </c>
      <c r="C49" s="30" t="s">
        <v>5</v>
      </c>
      <c r="D49" s="89">
        <v>50</v>
      </c>
      <c r="E49" s="44">
        <v>4.32</v>
      </c>
      <c r="F49" s="88">
        <f t="shared" ref="F49:F57" si="11">E49*$H$167</f>
        <v>-6.6071977488723448E-3</v>
      </c>
      <c r="G49" s="87">
        <v>0</v>
      </c>
      <c r="H49" s="78">
        <f t="shared" ref="H49:H57" si="12">F49*G49</f>
        <v>0</v>
      </c>
    </row>
    <row r="50" spans="1:8" x14ac:dyDescent="0.2">
      <c r="A50" s="29">
        <f t="shared" si="0"/>
        <v>43</v>
      </c>
      <c r="B50" s="92" t="str">
        <f t="shared" ref="B50:B57" si="13">+B49</f>
        <v>53E</v>
      </c>
      <c r="C50" s="30" t="s">
        <v>5</v>
      </c>
      <c r="D50" s="89">
        <v>70</v>
      </c>
      <c r="E50" s="44">
        <v>6.97</v>
      </c>
      <c r="F50" s="88">
        <f t="shared" si="11"/>
        <v>-1.0660224145750056E-2</v>
      </c>
      <c r="G50" s="87">
        <v>45285</v>
      </c>
      <c r="H50" s="78">
        <f t="shared" si="12"/>
        <v>-482.74825044029126</v>
      </c>
    </row>
    <row r="51" spans="1:8" x14ac:dyDescent="0.2">
      <c r="A51" s="29">
        <f t="shared" si="0"/>
        <v>44</v>
      </c>
      <c r="B51" s="92" t="str">
        <f t="shared" si="13"/>
        <v>53E</v>
      </c>
      <c r="C51" s="30" t="s">
        <v>5</v>
      </c>
      <c r="D51" s="89">
        <v>100</v>
      </c>
      <c r="E51" s="44">
        <v>10.56</v>
      </c>
      <c r="F51" s="88">
        <f t="shared" si="11"/>
        <v>-1.6150927830576842E-2</v>
      </c>
      <c r="G51" s="87">
        <v>334953</v>
      </c>
      <c r="H51" s="78">
        <f t="shared" si="12"/>
        <v>-5409.8017296352054</v>
      </c>
    </row>
    <row r="52" spans="1:8" x14ac:dyDescent="0.2">
      <c r="A52" s="29">
        <f t="shared" si="0"/>
        <v>45</v>
      </c>
      <c r="B52" s="92" t="str">
        <f t="shared" si="13"/>
        <v>53E</v>
      </c>
      <c r="C52" s="30" t="s">
        <v>5</v>
      </c>
      <c r="D52" s="89">
        <v>150</v>
      </c>
      <c r="E52" s="44">
        <v>10.56</v>
      </c>
      <c r="F52" s="88">
        <f t="shared" si="11"/>
        <v>-1.6150927830576842E-2</v>
      </c>
      <c r="G52" s="87">
        <v>41014</v>
      </c>
      <c r="H52" s="78">
        <f t="shared" si="12"/>
        <v>-662.41415404327859</v>
      </c>
    </row>
    <row r="53" spans="1:8" x14ac:dyDescent="0.2">
      <c r="A53" s="29">
        <f t="shared" si="0"/>
        <v>46</v>
      </c>
      <c r="B53" s="92" t="str">
        <f t="shared" si="13"/>
        <v>53E</v>
      </c>
      <c r="C53" s="30" t="s">
        <v>5</v>
      </c>
      <c r="D53" s="89">
        <v>200</v>
      </c>
      <c r="E53" s="44">
        <v>18.5</v>
      </c>
      <c r="F53" s="88">
        <f t="shared" si="11"/>
        <v>-2.8294712581976474E-2</v>
      </c>
      <c r="G53" s="87">
        <v>54688</v>
      </c>
      <c r="H53" s="78">
        <f t="shared" si="12"/>
        <v>-1547.3812416831295</v>
      </c>
    </row>
    <row r="54" spans="1:8" x14ac:dyDescent="0.2">
      <c r="A54" s="29">
        <f t="shared" si="0"/>
        <v>47</v>
      </c>
      <c r="B54" s="92" t="str">
        <f t="shared" si="13"/>
        <v>53E</v>
      </c>
      <c r="C54" s="30" t="s">
        <v>5</v>
      </c>
      <c r="D54" s="89">
        <v>250</v>
      </c>
      <c r="E54" s="44">
        <v>24.5</v>
      </c>
      <c r="F54" s="88">
        <f t="shared" si="11"/>
        <v>-3.7471376122076953E-2</v>
      </c>
      <c r="G54" s="87">
        <v>21425</v>
      </c>
      <c r="H54" s="78">
        <f t="shared" si="12"/>
        <v>-802.82423341549872</v>
      </c>
    </row>
    <row r="55" spans="1:8" x14ac:dyDescent="0.2">
      <c r="A55" s="29">
        <f t="shared" si="0"/>
        <v>48</v>
      </c>
      <c r="B55" s="92" t="str">
        <f t="shared" si="13"/>
        <v>53E</v>
      </c>
      <c r="C55" s="30" t="s">
        <v>5</v>
      </c>
      <c r="D55" s="89">
        <v>310</v>
      </c>
      <c r="E55" s="44">
        <v>24.5</v>
      </c>
      <c r="F55" s="88">
        <f t="shared" si="11"/>
        <v>-3.7471376122076953E-2</v>
      </c>
      <c r="G55" s="87">
        <v>237</v>
      </c>
      <c r="H55" s="78">
        <f t="shared" si="12"/>
        <v>-8.8807161409322379</v>
      </c>
    </row>
    <row r="56" spans="1:8" x14ac:dyDescent="0.2">
      <c r="A56" s="29">
        <f t="shared" si="0"/>
        <v>49</v>
      </c>
      <c r="B56" s="92" t="str">
        <f t="shared" si="13"/>
        <v>53E</v>
      </c>
      <c r="C56" s="30" t="s">
        <v>5</v>
      </c>
      <c r="D56" s="89">
        <v>400</v>
      </c>
      <c r="E56" s="44">
        <v>38.409999999999997</v>
      </c>
      <c r="F56" s="88">
        <f t="shared" si="11"/>
        <v>-5.8745941095876553E-2</v>
      </c>
      <c r="G56" s="87">
        <v>14576</v>
      </c>
      <c r="H56" s="78">
        <f t="shared" si="12"/>
        <v>-856.28083741349667</v>
      </c>
    </row>
    <row r="57" spans="1:8" x14ac:dyDescent="0.2">
      <c r="A57" s="29">
        <f t="shared" si="0"/>
        <v>50</v>
      </c>
      <c r="B57" s="92" t="str">
        <f t="shared" si="13"/>
        <v>53E</v>
      </c>
      <c r="C57" s="30" t="s">
        <v>5</v>
      </c>
      <c r="D57" s="89">
        <v>1000</v>
      </c>
      <c r="E57" s="44">
        <v>96.03</v>
      </c>
      <c r="F57" s="88">
        <f t="shared" si="11"/>
        <v>-0.14687249995930815</v>
      </c>
      <c r="G57" s="87">
        <v>0</v>
      </c>
      <c r="H57" s="78">
        <f t="shared" si="12"/>
        <v>0</v>
      </c>
    </row>
    <row r="58" spans="1:8" x14ac:dyDescent="0.2">
      <c r="A58" s="29">
        <f t="shared" si="0"/>
        <v>51</v>
      </c>
      <c r="B58" s="92"/>
      <c r="C58" s="30"/>
      <c r="D58" s="89"/>
      <c r="E58" s="44"/>
      <c r="F58" s="88"/>
      <c r="G58" s="87"/>
      <c r="H58" s="30"/>
    </row>
    <row r="59" spans="1:8" x14ac:dyDescent="0.2">
      <c r="A59" s="29">
        <f t="shared" si="0"/>
        <v>52</v>
      </c>
      <c r="B59" s="92" t="str">
        <f>+B57</f>
        <v>53E</v>
      </c>
      <c r="C59" s="30" t="s">
        <v>21</v>
      </c>
      <c r="D59" s="89">
        <v>70</v>
      </c>
      <c r="E59" s="44">
        <v>6.97</v>
      </c>
      <c r="F59" s="88">
        <f t="shared" ref="F59:F64" si="14">E59*$H$167</f>
        <v>-1.0660224145750056E-2</v>
      </c>
      <c r="G59" s="87">
        <v>0</v>
      </c>
      <c r="H59" s="78">
        <f t="shared" ref="H59:H64" si="15">F59*G59</f>
        <v>0</v>
      </c>
    </row>
    <row r="60" spans="1:8" x14ac:dyDescent="0.2">
      <c r="A60" s="29">
        <f t="shared" si="0"/>
        <v>53</v>
      </c>
      <c r="B60" s="92" t="str">
        <f>+B59</f>
        <v>53E</v>
      </c>
      <c r="C60" s="30" t="s">
        <v>21</v>
      </c>
      <c r="D60" s="89">
        <v>100</v>
      </c>
      <c r="E60" s="44">
        <v>10.56</v>
      </c>
      <c r="F60" s="88">
        <f t="shared" si="14"/>
        <v>-1.6150927830576842E-2</v>
      </c>
      <c r="G60" s="87">
        <v>0</v>
      </c>
      <c r="H60" s="78">
        <f t="shared" si="15"/>
        <v>0</v>
      </c>
    </row>
    <row r="61" spans="1:8" x14ac:dyDescent="0.2">
      <c r="A61" s="29">
        <f t="shared" si="0"/>
        <v>54</v>
      </c>
      <c r="B61" s="92" t="str">
        <f>+B60</f>
        <v>53E</v>
      </c>
      <c r="C61" s="30" t="s">
        <v>21</v>
      </c>
      <c r="D61" s="89">
        <v>150</v>
      </c>
      <c r="E61" s="44">
        <v>10.56</v>
      </c>
      <c r="F61" s="88">
        <f t="shared" si="14"/>
        <v>-1.6150927830576842E-2</v>
      </c>
      <c r="G61" s="87">
        <v>0</v>
      </c>
      <c r="H61" s="78">
        <f t="shared" si="15"/>
        <v>0</v>
      </c>
    </row>
    <row r="62" spans="1:8" x14ac:dyDescent="0.2">
      <c r="A62" s="29">
        <f t="shared" si="0"/>
        <v>55</v>
      </c>
      <c r="B62" s="92" t="str">
        <f>+B61</f>
        <v>53E</v>
      </c>
      <c r="C62" s="30" t="s">
        <v>21</v>
      </c>
      <c r="D62" s="89">
        <v>175</v>
      </c>
      <c r="E62" s="44">
        <v>18.5</v>
      </c>
      <c r="F62" s="88">
        <f t="shared" si="14"/>
        <v>-2.8294712581976474E-2</v>
      </c>
      <c r="G62" s="87">
        <v>48</v>
      </c>
      <c r="H62" s="78">
        <f t="shared" si="15"/>
        <v>-1.3581462039348708</v>
      </c>
    </row>
    <row r="63" spans="1:8" x14ac:dyDescent="0.2">
      <c r="A63" s="29">
        <f t="shared" si="0"/>
        <v>56</v>
      </c>
      <c r="B63" s="92" t="str">
        <f>+B62</f>
        <v>53E</v>
      </c>
      <c r="C63" s="30" t="s">
        <v>21</v>
      </c>
      <c r="D63" s="89">
        <v>250</v>
      </c>
      <c r="E63" s="44">
        <v>24.5</v>
      </c>
      <c r="F63" s="88">
        <f t="shared" si="14"/>
        <v>-3.7471376122076953E-2</v>
      </c>
      <c r="G63" s="87">
        <v>0</v>
      </c>
      <c r="H63" s="78">
        <f t="shared" si="15"/>
        <v>0</v>
      </c>
    </row>
    <row r="64" spans="1:8" x14ac:dyDescent="0.2">
      <c r="A64" s="29">
        <f t="shared" si="0"/>
        <v>57</v>
      </c>
      <c r="B64" s="92" t="str">
        <f>+B63</f>
        <v>53E</v>
      </c>
      <c r="C64" s="30" t="s">
        <v>21</v>
      </c>
      <c r="D64" s="89">
        <v>400</v>
      </c>
      <c r="E64" s="44">
        <v>38.409999999999997</v>
      </c>
      <c r="F64" s="88">
        <f t="shared" si="14"/>
        <v>-5.8745941095876553E-2</v>
      </c>
      <c r="G64" s="87">
        <v>0</v>
      </c>
      <c r="H64" s="78">
        <f t="shared" si="15"/>
        <v>0</v>
      </c>
    </row>
    <row r="65" spans="1:8" x14ac:dyDescent="0.2">
      <c r="A65" s="29">
        <f t="shared" si="0"/>
        <v>58</v>
      </c>
      <c r="B65" s="92"/>
      <c r="C65" s="30"/>
      <c r="D65" s="89"/>
      <c r="E65" s="44"/>
      <c r="F65" s="88"/>
      <c r="G65" s="87"/>
      <c r="H65" s="30"/>
    </row>
    <row r="66" spans="1:8" x14ac:dyDescent="0.2">
      <c r="A66" s="29">
        <f t="shared" si="0"/>
        <v>59</v>
      </c>
      <c r="B66" s="92" t="str">
        <f>+B63</f>
        <v>53E</v>
      </c>
      <c r="C66" s="30" t="s">
        <v>10</v>
      </c>
      <c r="D66" s="79" t="s">
        <v>47</v>
      </c>
      <c r="E66" s="44">
        <v>1.98</v>
      </c>
      <c r="F66" s="88">
        <f t="shared" ref="F66:F75" si="16">E66*$H$167</f>
        <v>-3.0282989682331577E-3</v>
      </c>
      <c r="G66" s="87">
        <v>2</v>
      </c>
      <c r="H66" s="78">
        <f t="shared" ref="H66:H76" si="17">F66*G66</f>
        <v>-6.0565979364663155E-3</v>
      </c>
    </row>
    <row r="67" spans="1:8" x14ac:dyDescent="0.2">
      <c r="A67" s="29">
        <f t="shared" si="0"/>
        <v>60</v>
      </c>
      <c r="B67" s="92" t="str">
        <f>+B64</f>
        <v>53E</v>
      </c>
      <c r="C67" s="30" t="s">
        <v>10</v>
      </c>
      <c r="D67" s="91" t="s">
        <v>48</v>
      </c>
      <c r="E67" s="44">
        <v>4.32</v>
      </c>
      <c r="F67" s="88">
        <f t="shared" si="16"/>
        <v>-6.6071977488723448E-3</v>
      </c>
      <c r="G67" s="87">
        <v>284567</v>
      </c>
      <c r="H67" s="78">
        <f t="shared" si="17"/>
        <v>-1880.1904418033566</v>
      </c>
    </row>
    <row r="68" spans="1:8" x14ac:dyDescent="0.2">
      <c r="A68" s="29">
        <f t="shared" si="0"/>
        <v>61</v>
      </c>
      <c r="B68" s="92" t="str">
        <f t="shared" ref="B68:B75" si="18">B67</f>
        <v>53E</v>
      </c>
      <c r="C68" s="30" t="s">
        <v>10</v>
      </c>
      <c r="D68" s="89" t="s">
        <v>12</v>
      </c>
      <c r="E68" s="44">
        <v>6.97</v>
      </c>
      <c r="F68" s="88">
        <f t="shared" si="16"/>
        <v>-1.0660224145750056E-2</v>
      </c>
      <c r="G68" s="87">
        <v>16395</v>
      </c>
      <c r="H68" s="78">
        <f t="shared" si="17"/>
        <v>-174.77437486957217</v>
      </c>
    </row>
    <row r="69" spans="1:8" x14ac:dyDescent="0.2">
      <c r="A69" s="29">
        <f t="shared" si="0"/>
        <v>62</v>
      </c>
      <c r="B69" s="92" t="str">
        <f t="shared" si="18"/>
        <v>53E</v>
      </c>
      <c r="C69" s="30" t="s">
        <v>10</v>
      </c>
      <c r="D69" s="89" t="s">
        <v>13</v>
      </c>
      <c r="E69" s="44">
        <v>10.56</v>
      </c>
      <c r="F69" s="88">
        <f t="shared" si="16"/>
        <v>-1.6150927830576842E-2</v>
      </c>
      <c r="G69" s="87">
        <v>43801</v>
      </c>
      <c r="H69" s="78">
        <f t="shared" si="17"/>
        <v>-707.42678990709624</v>
      </c>
    </row>
    <row r="70" spans="1:8" x14ac:dyDescent="0.2">
      <c r="A70" s="29">
        <f t="shared" si="0"/>
        <v>63</v>
      </c>
      <c r="B70" s="92" t="str">
        <f t="shared" si="18"/>
        <v>53E</v>
      </c>
      <c r="C70" s="30" t="s">
        <v>10</v>
      </c>
      <c r="D70" s="89" t="s">
        <v>14</v>
      </c>
      <c r="E70" s="44">
        <v>10.56</v>
      </c>
      <c r="F70" s="88">
        <f t="shared" si="16"/>
        <v>-1.6150927830576842E-2</v>
      </c>
      <c r="G70" s="87">
        <v>23799</v>
      </c>
      <c r="H70" s="78">
        <f t="shared" si="17"/>
        <v>-384.3759314398983</v>
      </c>
    </row>
    <row r="71" spans="1:8" x14ac:dyDescent="0.2">
      <c r="A71" s="29">
        <f t="shared" si="0"/>
        <v>64</v>
      </c>
      <c r="B71" s="92" t="str">
        <f t="shared" si="18"/>
        <v>53E</v>
      </c>
      <c r="C71" s="30" t="s">
        <v>10</v>
      </c>
      <c r="D71" s="89" t="s">
        <v>15</v>
      </c>
      <c r="E71" s="44">
        <v>18.5</v>
      </c>
      <c r="F71" s="88">
        <f t="shared" si="16"/>
        <v>-2.8294712581976474E-2</v>
      </c>
      <c r="G71" s="87">
        <v>18581</v>
      </c>
      <c r="H71" s="78">
        <f t="shared" si="17"/>
        <v>-525.74405448570485</v>
      </c>
    </row>
    <row r="72" spans="1:8" x14ac:dyDescent="0.2">
      <c r="A72" s="29">
        <f t="shared" si="0"/>
        <v>65</v>
      </c>
      <c r="B72" s="92" t="str">
        <f t="shared" si="18"/>
        <v>53E</v>
      </c>
      <c r="C72" s="30" t="s">
        <v>10</v>
      </c>
      <c r="D72" s="89" t="s">
        <v>16</v>
      </c>
      <c r="E72" s="44">
        <v>18.5</v>
      </c>
      <c r="F72" s="88">
        <f t="shared" si="16"/>
        <v>-2.8294712581976474E-2</v>
      </c>
      <c r="G72" s="87">
        <v>6336</v>
      </c>
      <c r="H72" s="78">
        <f t="shared" si="17"/>
        <v>-179.27529891940293</v>
      </c>
    </row>
    <row r="73" spans="1:8" x14ac:dyDescent="0.2">
      <c r="A73" s="29">
        <f t="shared" ref="A73:A136" si="19">+A72+1</f>
        <v>66</v>
      </c>
      <c r="B73" s="92" t="str">
        <f t="shared" si="18"/>
        <v>53E</v>
      </c>
      <c r="C73" s="30" t="s">
        <v>10</v>
      </c>
      <c r="D73" s="89" t="s">
        <v>17</v>
      </c>
      <c r="E73" s="44">
        <v>18.5</v>
      </c>
      <c r="F73" s="88">
        <f t="shared" si="16"/>
        <v>-2.8294712581976474E-2</v>
      </c>
      <c r="G73" s="87">
        <v>1024</v>
      </c>
      <c r="H73" s="78">
        <f t="shared" si="17"/>
        <v>-28.973785683943909</v>
      </c>
    </row>
    <row r="74" spans="1:8" x14ac:dyDescent="0.2">
      <c r="A74" s="29">
        <f t="shared" si="19"/>
        <v>67</v>
      </c>
      <c r="B74" s="92" t="str">
        <f t="shared" si="18"/>
        <v>53E</v>
      </c>
      <c r="C74" s="30" t="s">
        <v>10</v>
      </c>
      <c r="D74" s="89" t="s">
        <v>18</v>
      </c>
      <c r="E74" s="44">
        <v>24.5</v>
      </c>
      <c r="F74" s="88">
        <f t="shared" si="16"/>
        <v>-3.7471376122076953E-2</v>
      </c>
      <c r="G74" s="87">
        <v>312</v>
      </c>
      <c r="H74" s="78">
        <f t="shared" si="17"/>
        <v>-11.691069350088009</v>
      </c>
    </row>
    <row r="75" spans="1:8" x14ac:dyDescent="0.2">
      <c r="A75" s="29">
        <f t="shared" si="19"/>
        <v>68</v>
      </c>
      <c r="B75" s="92" t="str">
        <f t="shared" si="18"/>
        <v>53E</v>
      </c>
      <c r="C75" s="30" t="s">
        <v>10</v>
      </c>
      <c r="D75" s="89" t="s">
        <v>19</v>
      </c>
      <c r="E75" s="44">
        <v>24.5</v>
      </c>
      <c r="F75" s="88">
        <f t="shared" si="16"/>
        <v>-3.7471376122076953E-2</v>
      </c>
      <c r="G75" s="87">
        <v>1899</v>
      </c>
      <c r="H75" s="78">
        <f t="shared" si="17"/>
        <v>-71.158143255824129</v>
      </c>
    </row>
    <row r="76" spans="1:8" x14ac:dyDescent="0.2">
      <c r="A76" s="29">
        <f t="shared" si="19"/>
        <v>69</v>
      </c>
      <c r="B76" s="92" t="s">
        <v>101</v>
      </c>
      <c r="C76" s="30" t="s">
        <v>42</v>
      </c>
      <c r="D76" s="96" t="s">
        <v>49</v>
      </c>
      <c r="E76" s="41"/>
      <c r="F76" s="268">
        <f>N10</f>
        <v>-4.0606168234216675E-4</v>
      </c>
      <c r="G76" s="93">
        <v>2320955.870615927</v>
      </c>
      <c r="H76" s="78">
        <f t="shared" si="17"/>
        <v>-942.45124546423165</v>
      </c>
    </row>
    <row r="77" spans="1:8" x14ac:dyDescent="0.2">
      <c r="A77" s="29">
        <f t="shared" si="19"/>
        <v>70</v>
      </c>
      <c r="B77" s="90"/>
      <c r="C77" s="30"/>
      <c r="D77" s="89"/>
      <c r="E77" s="44"/>
      <c r="F77" s="88"/>
      <c r="G77" s="87"/>
      <c r="H77" s="30"/>
    </row>
    <row r="78" spans="1:8" ht="13.5" x14ac:dyDescent="0.35">
      <c r="A78" s="29">
        <f t="shared" si="19"/>
        <v>71</v>
      </c>
      <c r="B78" s="42" t="s">
        <v>102</v>
      </c>
      <c r="D78" s="79"/>
      <c r="E78" s="44"/>
      <c r="F78" s="88"/>
      <c r="G78" s="87"/>
      <c r="H78" s="30"/>
    </row>
    <row r="79" spans="1:8" x14ac:dyDescent="0.2">
      <c r="A79" s="29">
        <f t="shared" si="19"/>
        <v>72</v>
      </c>
      <c r="B79" s="92" t="s">
        <v>22</v>
      </c>
      <c r="C79" s="30" t="s">
        <v>5</v>
      </c>
      <c r="D79" s="89">
        <v>50</v>
      </c>
      <c r="E79" s="44">
        <v>4.32</v>
      </c>
      <c r="F79" s="88">
        <f t="shared" ref="F79:F87" si="20">E79*$H$167</f>
        <v>-6.6071977488723448E-3</v>
      </c>
      <c r="G79" s="87">
        <v>456</v>
      </c>
      <c r="H79" s="78">
        <f t="shared" ref="H79:H87" si="21">F79*G79</f>
        <v>-3.0128821734857891</v>
      </c>
    </row>
    <row r="80" spans="1:8" x14ac:dyDescent="0.2">
      <c r="A80" s="29">
        <f t="shared" si="19"/>
        <v>73</v>
      </c>
      <c r="B80" s="92" t="str">
        <f t="shared" ref="B80:B87" si="22">+B79</f>
        <v>54E</v>
      </c>
      <c r="C80" s="30" t="s">
        <v>5</v>
      </c>
      <c r="D80" s="89">
        <v>70</v>
      </c>
      <c r="E80" s="44">
        <v>6.97</v>
      </c>
      <c r="F80" s="88">
        <f t="shared" si="20"/>
        <v>-1.0660224145750056E-2</v>
      </c>
      <c r="G80" s="87">
        <v>1843</v>
      </c>
      <c r="H80" s="78">
        <f t="shared" si="21"/>
        <v>-19.646793100617352</v>
      </c>
    </row>
    <row r="81" spans="1:8" x14ac:dyDescent="0.2">
      <c r="A81" s="29">
        <f t="shared" si="19"/>
        <v>74</v>
      </c>
      <c r="B81" s="92" t="str">
        <f t="shared" si="22"/>
        <v>54E</v>
      </c>
      <c r="C81" s="30" t="s">
        <v>5</v>
      </c>
      <c r="D81" s="89">
        <v>100</v>
      </c>
      <c r="E81" s="44">
        <v>10.56</v>
      </c>
      <c r="F81" s="88">
        <f t="shared" si="20"/>
        <v>-1.6150927830576842E-2</v>
      </c>
      <c r="G81" s="87">
        <v>9599</v>
      </c>
      <c r="H81" s="78">
        <f t="shared" si="21"/>
        <v>-155.03275624570711</v>
      </c>
    </row>
    <row r="82" spans="1:8" x14ac:dyDescent="0.2">
      <c r="A82" s="29">
        <f t="shared" si="19"/>
        <v>75</v>
      </c>
      <c r="B82" s="92" t="str">
        <f t="shared" si="22"/>
        <v>54E</v>
      </c>
      <c r="C82" s="30" t="s">
        <v>5</v>
      </c>
      <c r="D82" s="89">
        <v>150</v>
      </c>
      <c r="E82" s="44">
        <v>10.56</v>
      </c>
      <c r="F82" s="88">
        <f t="shared" si="20"/>
        <v>-1.6150927830576842E-2</v>
      </c>
      <c r="G82" s="87">
        <v>3365</v>
      </c>
      <c r="H82" s="78">
        <f t="shared" si="21"/>
        <v>-54.347872149891074</v>
      </c>
    </row>
    <row r="83" spans="1:8" x14ac:dyDescent="0.2">
      <c r="A83" s="29">
        <f t="shared" si="19"/>
        <v>76</v>
      </c>
      <c r="B83" s="92" t="str">
        <f t="shared" si="22"/>
        <v>54E</v>
      </c>
      <c r="C83" s="30" t="s">
        <v>5</v>
      </c>
      <c r="D83" s="89">
        <v>200</v>
      </c>
      <c r="E83" s="44">
        <v>18.5</v>
      </c>
      <c r="F83" s="88">
        <f t="shared" si="20"/>
        <v>-2.8294712581976474E-2</v>
      </c>
      <c r="G83" s="87">
        <v>3340</v>
      </c>
      <c r="H83" s="78">
        <f t="shared" si="21"/>
        <v>-94.504340023801419</v>
      </c>
    </row>
    <row r="84" spans="1:8" x14ac:dyDescent="0.2">
      <c r="A84" s="29">
        <f t="shared" si="19"/>
        <v>77</v>
      </c>
      <c r="B84" s="92" t="str">
        <f t="shared" si="22"/>
        <v>54E</v>
      </c>
      <c r="C84" s="30" t="s">
        <v>5</v>
      </c>
      <c r="D84" s="89">
        <v>250</v>
      </c>
      <c r="E84" s="44">
        <v>24.5</v>
      </c>
      <c r="F84" s="88">
        <f t="shared" si="20"/>
        <v>-3.7471376122076953E-2</v>
      </c>
      <c r="G84" s="87">
        <v>3601</v>
      </c>
      <c r="H84" s="78">
        <f t="shared" si="21"/>
        <v>-134.93442541559912</v>
      </c>
    </row>
    <row r="85" spans="1:8" x14ac:dyDescent="0.2">
      <c r="A85" s="29">
        <f t="shared" si="19"/>
        <v>78</v>
      </c>
      <c r="B85" s="92" t="str">
        <f t="shared" si="22"/>
        <v>54E</v>
      </c>
      <c r="C85" s="30" t="s">
        <v>5</v>
      </c>
      <c r="D85" s="89">
        <v>310</v>
      </c>
      <c r="E85" s="44">
        <v>24.5</v>
      </c>
      <c r="F85" s="88">
        <f t="shared" si="20"/>
        <v>-3.7471376122076953E-2</v>
      </c>
      <c r="G85" s="87">
        <v>669</v>
      </c>
      <c r="H85" s="78">
        <f t="shared" si="21"/>
        <v>-25.068350625669481</v>
      </c>
    </row>
    <row r="86" spans="1:8" x14ac:dyDescent="0.2">
      <c r="A86" s="29">
        <f t="shared" si="19"/>
        <v>79</v>
      </c>
      <c r="B86" s="92" t="str">
        <f t="shared" si="22"/>
        <v>54E</v>
      </c>
      <c r="C86" s="30" t="s">
        <v>5</v>
      </c>
      <c r="D86" s="89">
        <v>400</v>
      </c>
      <c r="E86" s="44">
        <v>38.409999999999997</v>
      </c>
      <c r="F86" s="88">
        <f t="shared" si="20"/>
        <v>-5.8745941095876553E-2</v>
      </c>
      <c r="G86" s="87">
        <v>6792</v>
      </c>
      <c r="H86" s="78">
        <f t="shared" si="21"/>
        <v>-399.00243192319357</v>
      </c>
    </row>
    <row r="87" spans="1:8" x14ac:dyDescent="0.2">
      <c r="A87" s="29">
        <f t="shared" si="19"/>
        <v>80</v>
      </c>
      <c r="B87" s="92" t="str">
        <f t="shared" si="22"/>
        <v>54E</v>
      </c>
      <c r="C87" s="30" t="s">
        <v>5</v>
      </c>
      <c r="D87" s="89">
        <v>1000</v>
      </c>
      <c r="E87" s="44">
        <v>96.03</v>
      </c>
      <c r="F87" s="88">
        <f t="shared" si="20"/>
        <v>-0.14687249995930815</v>
      </c>
      <c r="G87" s="87">
        <v>0</v>
      </c>
      <c r="H87" s="78">
        <f t="shared" si="21"/>
        <v>0</v>
      </c>
    </row>
    <row r="88" spans="1:8" x14ac:dyDescent="0.2">
      <c r="A88" s="29">
        <f t="shared" si="19"/>
        <v>81</v>
      </c>
      <c r="B88" s="90"/>
      <c r="C88" s="30"/>
      <c r="D88" s="89"/>
      <c r="E88" s="44"/>
      <c r="F88" s="88"/>
      <c r="G88" s="87"/>
      <c r="H88" s="30"/>
    </row>
    <row r="89" spans="1:8" x14ac:dyDescent="0.2">
      <c r="A89" s="29">
        <f t="shared" si="19"/>
        <v>82</v>
      </c>
      <c r="B89" s="92" t="str">
        <f>+B86</f>
        <v>54E</v>
      </c>
      <c r="C89" s="30" t="s">
        <v>10</v>
      </c>
      <c r="D89" s="91" t="s">
        <v>43</v>
      </c>
      <c r="E89" s="44">
        <v>1.98</v>
      </c>
      <c r="F89" s="88">
        <f t="shared" ref="F89:F98" si="23">E89*$H$167</f>
        <v>-3.0282989682331577E-3</v>
      </c>
      <c r="G89" s="87">
        <v>0</v>
      </c>
      <c r="H89" s="78">
        <f t="shared" ref="H89:H98" si="24">F89*G89</f>
        <v>0</v>
      </c>
    </row>
    <row r="90" spans="1:8" x14ac:dyDescent="0.2">
      <c r="A90" s="29">
        <f t="shared" si="19"/>
        <v>83</v>
      </c>
      <c r="B90" s="92" t="str">
        <f>+B87</f>
        <v>54E</v>
      </c>
      <c r="C90" s="30" t="s">
        <v>10</v>
      </c>
      <c r="D90" s="91" t="s">
        <v>11</v>
      </c>
      <c r="E90" s="44">
        <v>4.32</v>
      </c>
      <c r="F90" s="88">
        <f t="shared" si="23"/>
        <v>-6.6071977488723448E-3</v>
      </c>
      <c r="G90" s="87">
        <v>34694</v>
      </c>
      <c r="H90" s="78">
        <f t="shared" si="24"/>
        <v>-229.23011869937713</v>
      </c>
    </row>
    <row r="91" spans="1:8" x14ac:dyDescent="0.2">
      <c r="A91" s="29">
        <f t="shared" si="19"/>
        <v>84</v>
      </c>
      <c r="B91" s="92" t="str">
        <f t="shared" ref="B91:B98" si="25">+B90</f>
        <v>54E</v>
      </c>
      <c r="C91" s="30" t="s">
        <v>10</v>
      </c>
      <c r="D91" s="89" t="s">
        <v>12</v>
      </c>
      <c r="E91" s="44">
        <v>6.97</v>
      </c>
      <c r="F91" s="88">
        <f t="shared" si="23"/>
        <v>-1.0660224145750056E-2</v>
      </c>
      <c r="G91" s="87">
        <v>2923</v>
      </c>
      <c r="H91" s="78">
        <f t="shared" si="24"/>
        <v>-31.159835178027411</v>
      </c>
    </row>
    <row r="92" spans="1:8" x14ac:dyDescent="0.2">
      <c r="A92" s="29">
        <f t="shared" si="19"/>
        <v>85</v>
      </c>
      <c r="B92" s="92" t="str">
        <f t="shared" si="25"/>
        <v>54E</v>
      </c>
      <c r="C92" s="30" t="s">
        <v>10</v>
      </c>
      <c r="D92" s="89" t="s">
        <v>13</v>
      </c>
      <c r="E92" s="44">
        <v>10.56</v>
      </c>
      <c r="F92" s="88">
        <f t="shared" si="23"/>
        <v>-1.6150927830576842E-2</v>
      </c>
      <c r="G92" s="87">
        <v>35164</v>
      </c>
      <c r="H92" s="78">
        <f t="shared" si="24"/>
        <v>-567.93122623440411</v>
      </c>
    </row>
    <row r="93" spans="1:8" x14ac:dyDescent="0.2">
      <c r="A93" s="29">
        <f t="shared" si="19"/>
        <v>86</v>
      </c>
      <c r="B93" s="92" t="str">
        <f t="shared" si="25"/>
        <v>54E</v>
      </c>
      <c r="C93" s="30" t="s">
        <v>10</v>
      </c>
      <c r="D93" s="89" t="s">
        <v>14</v>
      </c>
      <c r="E93" s="44">
        <v>10.56</v>
      </c>
      <c r="F93" s="88">
        <f t="shared" si="23"/>
        <v>-1.6150927830576842E-2</v>
      </c>
      <c r="G93" s="87">
        <v>12553</v>
      </c>
      <c r="H93" s="78">
        <f t="shared" si="24"/>
        <v>-202.74259705723111</v>
      </c>
    </row>
    <row r="94" spans="1:8" x14ac:dyDescent="0.2">
      <c r="A94" s="29">
        <f t="shared" si="19"/>
        <v>87</v>
      </c>
      <c r="B94" s="92" t="str">
        <f t="shared" si="25"/>
        <v>54E</v>
      </c>
      <c r="C94" s="30" t="s">
        <v>10</v>
      </c>
      <c r="D94" s="89" t="s">
        <v>15</v>
      </c>
      <c r="E94" s="44">
        <v>18.5</v>
      </c>
      <c r="F94" s="88">
        <f t="shared" si="23"/>
        <v>-2.8294712581976474E-2</v>
      </c>
      <c r="G94" s="87">
        <v>5036</v>
      </c>
      <c r="H94" s="78">
        <f t="shared" si="24"/>
        <v>-142.49217256283353</v>
      </c>
    </row>
    <row r="95" spans="1:8" x14ac:dyDescent="0.2">
      <c r="A95" s="29">
        <f t="shared" si="19"/>
        <v>88</v>
      </c>
      <c r="B95" s="92" t="str">
        <f t="shared" si="25"/>
        <v>54E</v>
      </c>
      <c r="C95" s="30" t="s">
        <v>10</v>
      </c>
      <c r="D95" s="89" t="s">
        <v>16</v>
      </c>
      <c r="E95" s="44">
        <v>18.5</v>
      </c>
      <c r="F95" s="88">
        <f t="shared" si="23"/>
        <v>-2.8294712581976474E-2</v>
      </c>
      <c r="G95" s="87">
        <v>2165</v>
      </c>
      <c r="H95" s="78">
        <f t="shared" si="24"/>
        <v>-61.258052739979064</v>
      </c>
    </row>
    <row r="96" spans="1:8" x14ac:dyDescent="0.2">
      <c r="A96" s="29">
        <f t="shared" si="19"/>
        <v>89</v>
      </c>
      <c r="B96" s="92" t="str">
        <f t="shared" si="25"/>
        <v>54E</v>
      </c>
      <c r="C96" s="30" t="s">
        <v>10</v>
      </c>
      <c r="D96" s="89" t="s">
        <v>17</v>
      </c>
      <c r="E96" s="44">
        <v>18.5</v>
      </c>
      <c r="F96" s="88">
        <f t="shared" si="23"/>
        <v>-2.8294712581976474E-2</v>
      </c>
      <c r="G96" s="87">
        <v>468</v>
      </c>
      <c r="H96" s="78">
        <f t="shared" si="24"/>
        <v>-13.24192548836499</v>
      </c>
    </row>
    <row r="97" spans="1:8" x14ac:dyDescent="0.2">
      <c r="A97" s="29">
        <f t="shared" si="19"/>
        <v>90</v>
      </c>
      <c r="B97" s="92" t="str">
        <f t="shared" si="25"/>
        <v>54E</v>
      </c>
      <c r="C97" s="30" t="s">
        <v>10</v>
      </c>
      <c r="D97" s="89" t="s">
        <v>18</v>
      </c>
      <c r="E97" s="44">
        <v>24.5</v>
      </c>
      <c r="F97" s="88">
        <f t="shared" si="23"/>
        <v>-3.7471376122076953E-2</v>
      </c>
      <c r="G97" s="87">
        <v>48</v>
      </c>
      <c r="H97" s="78">
        <f t="shared" si="24"/>
        <v>-1.7986260538596937</v>
      </c>
    </row>
    <row r="98" spans="1:8" x14ac:dyDescent="0.2">
      <c r="A98" s="29">
        <f t="shared" si="19"/>
        <v>91</v>
      </c>
      <c r="B98" s="92" t="str">
        <f t="shared" si="25"/>
        <v>54E</v>
      </c>
      <c r="C98" s="30" t="s">
        <v>10</v>
      </c>
      <c r="D98" s="89" t="s">
        <v>19</v>
      </c>
      <c r="E98" s="44">
        <v>24.5</v>
      </c>
      <c r="F98" s="88">
        <f t="shared" si="23"/>
        <v>-3.7471376122076953E-2</v>
      </c>
      <c r="G98" s="87">
        <v>0</v>
      </c>
      <c r="H98" s="78">
        <f t="shared" si="24"/>
        <v>0</v>
      </c>
    </row>
    <row r="99" spans="1:8" x14ac:dyDescent="0.2">
      <c r="A99" s="29">
        <f t="shared" si="19"/>
        <v>92</v>
      </c>
      <c r="B99" s="90"/>
      <c r="C99" s="30"/>
      <c r="D99" s="89"/>
      <c r="E99" s="44"/>
      <c r="F99" s="88"/>
      <c r="G99" s="87"/>
      <c r="H99" s="30"/>
    </row>
    <row r="100" spans="1:8" ht="13.5" x14ac:dyDescent="0.35">
      <c r="A100" s="29">
        <f t="shared" si="19"/>
        <v>93</v>
      </c>
      <c r="B100" s="42" t="s">
        <v>23</v>
      </c>
      <c r="C100" s="30"/>
      <c r="D100" s="89"/>
      <c r="E100" s="44"/>
      <c r="F100" s="88"/>
      <c r="G100" s="87"/>
      <c r="H100" s="30"/>
    </row>
    <row r="101" spans="1:8" x14ac:dyDescent="0.2">
      <c r="A101" s="29">
        <f t="shared" si="19"/>
        <v>94</v>
      </c>
      <c r="B101" s="92" t="s">
        <v>24</v>
      </c>
      <c r="C101" s="30" t="s">
        <v>5</v>
      </c>
      <c r="D101" s="89">
        <v>70</v>
      </c>
      <c r="E101" s="44">
        <v>14.06</v>
      </c>
      <c r="F101" s="88">
        <f t="shared" ref="F101:F106" si="26">E101*$H$167</f>
        <v>-2.150398156230212E-2</v>
      </c>
      <c r="G101" s="87">
        <v>170</v>
      </c>
      <c r="H101" s="78">
        <f t="shared" ref="H101:H106" si="27">F101*G101</f>
        <v>-3.6556768655913605</v>
      </c>
    </row>
    <row r="102" spans="1:8" x14ac:dyDescent="0.2">
      <c r="A102" s="29">
        <f t="shared" si="19"/>
        <v>95</v>
      </c>
      <c r="B102" s="90" t="str">
        <f>+B101</f>
        <v>55E &amp; 56E</v>
      </c>
      <c r="C102" s="30" t="s">
        <v>5</v>
      </c>
      <c r="D102" s="89">
        <v>100</v>
      </c>
      <c r="E102" s="44">
        <v>17.170000000000002</v>
      </c>
      <c r="F102" s="88">
        <f t="shared" si="26"/>
        <v>-2.6260552163920869E-2</v>
      </c>
      <c r="G102" s="87">
        <v>42182</v>
      </c>
      <c r="H102" s="78">
        <f t="shared" si="27"/>
        <v>-1107.72261137851</v>
      </c>
    </row>
    <row r="103" spans="1:8" x14ac:dyDescent="0.2">
      <c r="A103" s="29">
        <f t="shared" si="19"/>
        <v>96</v>
      </c>
      <c r="B103" s="90" t="str">
        <f>+B102</f>
        <v>55E &amp; 56E</v>
      </c>
      <c r="C103" s="30" t="s">
        <v>5</v>
      </c>
      <c r="D103" s="89">
        <v>150</v>
      </c>
      <c r="E103" s="44">
        <v>17.170000000000002</v>
      </c>
      <c r="F103" s="88">
        <f t="shared" si="26"/>
        <v>-2.6260552163920869E-2</v>
      </c>
      <c r="G103" s="87">
        <v>5620</v>
      </c>
      <c r="H103" s="78">
        <f t="shared" si="27"/>
        <v>-147.58430316123528</v>
      </c>
    </row>
    <row r="104" spans="1:8" x14ac:dyDescent="0.2">
      <c r="A104" s="29">
        <f t="shared" si="19"/>
        <v>97</v>
      </c>
      <c r="B104" s="90" t="str">
        <f>+B103</f>
        <v>55E &amp; 56E</v>
      </c>
      <c r="C104" s="30" t="s">
        <v>5</v>
      </c>
      <c r="D104" s="89">
        <v>200</v>
      </c>
      <c r="E104" s="44">
        <v>25.65</v>
      </c>
      <c r="F104" s="88">
        <f t="shared" si="26"/>
        <v>-3.9230236633929542E-2</v>
      </c>
      <c r="G104" s="87">
        <v>11814</v>
      </c>
      <c r="H104" s="78">
        <f t="shared" si="27"/>
        <v>-463.46601559324364</v>
      </c>
    </row>
    <row r="105" spans="1:8" x14ac:dyDescent="0.2">
      <c r="A105" s="29">
        <f t="shared" si="19"/>
        <v>98</v>
      </c>
      <c r="B105" s="90" t="str">
        <f>+B104</f>
        <v>55E &amp; 56E</v>
      </c>
      <c r="C105" s="30" t="s">
        <v>5</v>
      </c>
      <c r="D105" s="89">
        <v>250</v>
      </c>
      <c r="E105" s="44">
        <v>31.78</v>
      </c>
      <c r="F105" s="88">
        <f t="shared" si="26"/>
        <v>-4.860572788406553E-2</v>
      </c>
      <c r="G105" s="87">
        <v>1249</v>
      </c>
      <c r="H105" s="78">
        <f t="shared" si="27"/>
        <v>-60.70855412719785</v>
      </c>
    </row>
    <row r="106" spans="1:8" x14ac:dyDescent="0.2">
      <c r="A106" s="29">
        <f t="shared" si="19"/>
        <v>99</v>
      </c>
      <c r="B106" s="90" t="str">
        <f>+B105</f>
        <v>55E &amp; 56E</v>
      </c>
      <c r="C106" s="30" t="s">
        <v>5</v>
      </c>
      <c r="D106" s="89">
        <v>400</v>
      </c>
      <c r="E106" s="44">
        <v>44.71</v>
      </c>
      <c r="F106" s="88">
        <f t="shared" si="26"/>
        <v>-6.838143781298206E-2</v>
      </c>
      <c r="G106" s="87">
        <v>468</v>
      </c>
      <c r="H106" s="78">
        <f t="shared" si="27"/>
        <v>-32.002512896475601</v>
      </c>
    </row>
    <row r="107" spans="1:8" x14ac:dyDescent="0.2">
      <c r="A107" s="29">
        <f t="shared" si="19"/>
        <v>100</v>
      </c>
      <c r="B107" s="90"/>
      <c r="C107" s="30"/>
      <c r="D107" s="89"/>
      <c r="E107" s="44"/>
      <c r="F107" s="88"/>
      <c r="G107" s="87"/>
      <c r="H107" s="30"/>
    </row>
    <row r="108" spans="1:8" x14ac:dyDescent="0.2">
      <c r="A108" s="29">
        <f t="shared" si="19"/>
        <v>101</v>
      </c>
      <c r="B108" s="90" t="str">
        <f>+B106</f>
        <v>55E &amp; 56E</v>
      </c>
      <c r="C108" s="30" t="s">
        <v>21</v>
      </c>
      <c r="D108" s="89">
        <v>250</v>
      </c>
      <c r="E108" s="44">
        <v>31.78</v>
      </c>
      <c r="F108" s="88">
        <f>E108*$H$167</f>
        <v>-4.860572788406553E-2</v>
      </c>
      <c r="G108" s="87">
        <v>80</v>
      </c>
      <c r="H108" s="78">
        <f>F108*G108</f>
        <v>-3.8884582307252424</v>
      </c>
    </row>
    <row r="109" spans="1:8" x14ac:dyDescent="0.2">
      <c r="A109" s="29">
        <f t="shared" si="19"/>
        <v>102</v>
      </c>
      <c r="B109" s="90"/>
      <c r="C109" s="30"/>
      <c r="D109" s="89"/>
      <c r="E109" s="44"/>
      <c r="F109" s="88"/>
      <c r="G109" s="87"/>
      <c r="H109" s="30"/>
    </row>
    <row r="110" spans="1:8" x14ac:dyDescent="0.2">
      <c r="A110" s="29">
        <f t="shared" si="19"/>
        <v>103</v>
      </c>
      <c r="B110" s="90" t="s">
        <v>24</v>
      </c>
      <c r="C110" s="30" t="s">
        <v>10</v>
      </c>
      <c r="D110" s="79" t="s">
        <v>47</v>
      </c>
      <c r="E110" s="44">
        <v>8.4499999999999993</v>
      </c>
      <c r="F110" s="88">
        <f t="shared" ref="F110:F119" si="28">E110*$H$167</f>
        <v>-1.2923801152308172E-2</v>
      </c>
      <c r="G110" s="87">
        <v>0</v>
      </c>
      <c r="H110" s="78">
        <f t="shared" ref="H110:H119" si="29">F110*G110</f>
        <v>0</v>
      </c>
    </row>
    <row r="111" spans="1:8" x14ac:dyDescent="0.2">
      <c r="A111" s="29">
        <f t="shared" si="19"/>
        <v>104</v>
      </c>
      <c r="B111" s="90" t="s">
        <v>24</v>
      </c>
      <c r="C111" s="30" t="s">
        <v>10</v>
      </c>
      <c r="D111" s="91" t="s">
        <v>11</v>
      </c>
      <c r="E111" s="44">
        <v>10.68</v>
      </c>
      <c r="F111" s="88">
        <f t="shared" si="28"/>
        <v>-1.6334461101378851E-2</v>
      </c>
      <c r="G111" s="87">
        <v>9435</v>
      </c>
      <c r="H111" s="78">
        <f t="shared" si="29"/>
        <v>-154.11564049150945</v>
      </c>
    </row>
    <row r="112" spans="1:8" x14ac:dyDescent="0.2">
      <c r="A112" s="29">
        <f t="shared" si="19"/>
        <v>105</v>
      </c>
      <c r="B112" s="90" t="s">
        <v>24</v>
      </c>
      <c r="C112" s="30" t="s">
        <v>10</v>
      </c>
      <c r="D112" s="89" t="s">
        <v>12</v>
      </c>
      <c r="E112" s="44">
        <v>14.06</v>
      </c>
      <c r="F112" s="88">
        <f t="shared" si="28"/>
        <v>-2.150398156230212E-2</v>
      </c>
      <c r="G112" s="87">
        <v>330</v>
      </c>
      <c r="H112" s="78">
        <f t="shared" si="29"/>
        <v>-7.0963139155596995</v>
      </c>
    </row>
    <row r="113" spans="1:8" x14ac:dyDescent="0.2">
      <c r="A113" s="29">
        <f t="shared" si="19"/>
        <v>106</v>
      </c>
      <c r="B113" s="90" t="s">
        <v>24</v>
      </c>
      <c r="C113" s="30" t="s">
        <v>10</v>
      </c>
      <c r="D113" s="89" t="s">
        <v>13</v>
      </c>
      <c r="E113" s="44">
        <v>17.170000000000002</v>
      </c>
      <c r="F113" s="88">
        <f t="shared" si="28"/>
        <v>-2.6260552163920869E-2</v>
      </c>
      <c r="G113" s="87">
        <v>1968</v>
      </c>
      <c r="H113" s="78">
        <f t="shared" si="29"/>
        <v>-51.680766658596269</v>
      </c>
    </row>
    <row r="114" spans="1:8" x14ac:dyDescent="0.2">
      <c r="A114" s="29">
        <f t="shared" si="19"/>
        <v>107</v>
      </c>
      <c r="B114" s="90" t="s">
        <v>24</v>
      </c>
      <c r="C114" s="30" t="s">
        <v>10</v>
      </c>
      <c r="D114" s="89" t="s">
        <v>14</v>
      </c>
      <c r="E114" s="44">
        <v>17.170000000000002</v>
      </c>
      <c r="F114" s="88">
        <f t="shared" si="28"/>
        <v>-2.6260552163920869E-2</v>
      </c>
      <c r="G114" s="87">
        <v>0</v>
      </c>
      <c r="H114" s="78">
        <f t="shared" si="29"/>
        <v>0</v>
      </c>
    </row>
    <row r="115" spans="1:8" x14ac:dyDescent="0.2">
      <c r="A115" s="29">
        <f t="shared" si="19"/>
        <v>108</v>
      </c>
      <c r="B115" s="90" t="s">
        <v>24</v>
      </c>
      <c r="C115" s="30" t="s">
        <v>10</v>
      </c>
      <c r="D115" s="89" t="s">
        <v>15</v>
      </c>
      <c r="E115" s="44">
        <v>25.65</v>
      </c>
      <c r="F115" s="88">
        <f t="shared" si="28"/>
        <v>-3.9230236633929542E-2</v>
      </c>
      <c r="G115" s="87">
        <v>0</v>
      </c>
      <c r="H115" s="78">
        <f t="shared" si="29"/>
        <v>0</v>
      </c>
    </row>
    <row r="116" spans="1:8" x14ac:dyDescent="0.2">
      <c r="A116" s="29">
        <f t="shared" si="19"/>
        <v>109</v>
      </c>
      <c r="B116" s="90" t="s">
        <v>24</v>
      </c>
      <c r="C116" s="30" t="s">
        <v>10</v>
      </c>
      <c r="D116" s="89" t="s">
        <v>16</v>
      </c>
      <c r="E116" s="44">
        <v>25.65</v>
      </c>
      <c r="F116" s="88">
        <f t="shared" si="28"/>
        <v>-3.9230236633929542E-2</v>
      </c>
      <c r="G116" s="87">
        <v>0</v>
      </c>
      <c r="H116" s="78">
        <f t="shared" si="29"/>
        <v>0</v>
      </c>
    </row>
    <row r="117" spans="1:8" x14ac:dyDescent="0.2">
      <c r="A117" s="29">
        <f t="shared" si="19"/>
        <v>110</v>
      </c>
      <c r="B117" s="90" t="s">
        <v>24</v>
      </c>
      <c r="C117" s="30" t="s">
        <v>10</v>
      </c>
      <c r="D117" s="89" t="s">
        <v>17</v>
      </c>
      <c r="E117" s="44">
        <v>25.65</v>
      </c>
      <c r="F117" s="88">
        <f t="shared" si="28"/>
        <v>-3.9230236633929542E-2</v>
      </c>
      <c r="G117" s="87">
        <v>0</v>
      </c>
      <c r="H117" s="78">
        <f t="shared" si="29"/>
        <v>0</v>
      </c>
    </row>
    <row r="118" spans="1:8" x14ac:dyDescent="0.2">
      <c r="A118" s="29">
        <f t="shared" si="19"/>
        <v>111</v>
      </c>
      <c r="B118" s="90" t="s">
        <v>24</v>
      </c>
      <c r="C118" s="30" t="s">
        <v>10</v>
      </c>
      <c r="D118" s="89" t="s">
        <v>18</v>
      </c>
      <c r="E118" s="44">
        <v>31.78</v>
      </c>
      <c r="F118" s="88">
        <f t="shared" si="28"/>
        <v>-4.860572788406553E-2</v>
      </c>
      <c r="G118" s="87">
        <v>0</v>
      </c>
      <c r="H118" s="78">
        <f t="shared" si="29"/>
        <v>0</v>
      </c>
    </row>
    <row r="119" spans="1:8" x14ac:dyDescent="0.2">
      <c r="A119" s="29">
        <f t="shared" si="19"/>
        <v>112</v>
      </c>
      <c r="B119" s="90" t="s">
        <v>24</v>
      </c>
      <c r="C119" s="30" t="s">
        <v>10</v>
      </c>
      <c r="D119" s="89" t="s">
        <v>19</v>
      </c>
      <c r="E119" s="44">
        <v>31.78</v>
      </c>
      <c r="F119" s="88">
        <f t="shared" si="28"/>
        <v>-4.860572788406553E-2</v>
      </c>
      <c r="G119" s="87">
        <v>0</v>
      </c>
      <c r="H119" s="78">
        <f t="shared" si="29"/>
        <v>0</v>
      </c>
    </row>
    <row r="120" spans="1:8" x14ac:dyDescent="0.2">
      <c r="A120" s="29">
        <f t="shared" si="19"/>
        <v>113</v>
      </c>
      <c r="B120" s="90"/>
      <c r="C120" s="30"/>
      <c r="D120" s="89"/>
      <c r="E120" s="44"/>
      <c r="F120" s="88"/>
      <c r="G120" s="87"/>
      <c r="H120" s="30"/>
    </row>
    <row r="121" spans="1:8" ht="13.5" x14ac:dyDescent="0.35">
      <c r="A121" s="29">
        <f t="shared" si="19"/>
        <v>114</v>
      </c>
      <c r="B121" s="42" t="s">
        <v>35</v>
      </c>
      <c r="C121" s="30"/>
      <c r="D121" s="89"/>
      <c r="E121" s="44"/>
      <c r="F121" s="88"/>
      <c r="G121" s="87"/>
      <c r="H121" s="30"/>
    </row>
    <row r="122" spans="1:8" x14ac:dyDescent="0.2">
      <c r="A122" s="29">
        <f t="shared" si="19"/>
        <v>115</v>
      </c>
      <c r="B122" s="90" t="s">
        <v>36</v>
      </c>
      <c r="C122" s="30" t="s">
        <v>37</v>
      </c>
      <c r="D122" s="95"/>
      <c r="E122" s="50">
        <v>6.8820000000000006E-2</v>
      </c>
      <c r="F122" s="94">
        <f>E122*$H$167</f>
        <v>-1.0525633080495249E-4</v>
      </c>
      <c r="G122" s="93">
        <v>5488824.0099999998</v>
      </c>
      <c r="H122" s="78">
        <f>F122*G122</f>
        <v>-577.73347572672583</v>
      </c>
    </row>
    <row r="123" spans="1:8" x14ac:dyDescent="0.2">
      <c r="A123" s="29">
        <f t="shared" si="19"/>
        <v>116</v>
      </c>
      <c r="B123" s="90"/>
      <c r="C123" s="30"/>
      <c r="D123" s="89"/>
      <c r="E123" s="44"/>
      <c r="F123" s="88"/>
      <c r="G123" s="87"/>
      <c r="H123" s="30"/>
    </row>
    <row r="124" spans="1:8" ht="13.5" x14ac:dyDescent="0.35">
      <c r="A124" s="29">
        <f t="shared" si="19"/>
        <v>117</v>
      </c>
      <c r="B124" s="42" t="s">
        <v>25</v>
      </c>
      <c r="C124" s="30"/>
      <c r="D124" s="89"/>
      <c r="E124" s="44"/>
      <c r="F124" s="88"/>
      <c r="G124" s="87"/>
      <c r="H124" s="30"/>
    </row>
    <row r="125" spans="1:8" x14ac:dyDescent="0.2">
      <c r="A125" s="29">
        <f t="shared" si="19"/>
        <v>118</v>
      </c>
      <c r="B125" s="92" t="s">
        <v>26</v>
      </c>
      <c r="C125" s="30" t="s">
        <v>5</v>
      </c>
      <c r="D125" s="89">
        <v>70</v>
      </c>
      <c r="E125" s="44">
        <v>14.06</v>
      </c>
      <c r="F125" s="88">
        <f t="shared" ref="F125:F130" si="30">E125*$H$167</f>
        <v>-2.150398156230212E-2</v>
      </c>
      <c r="G125" s="87">
        <v>614</v>
      </c>
      <c r="H125" s="78">
        <f t="shared" ref="H125:H161" si="31">F125*G125</f>
        <v>-13.203444679253503</v>
      </c>
    </row>
    <row r="126" spans="1:8" x14ac:dyDescent="0.2">
      <c r="A126" s="29">
        <f t="shared" si="19"/>
        <v>119</v>
      </c>
      <c r="B126" s="90" t="str">
        <f>+B125</f>
        <v>58E &amp; 59E - Directional</v>
      </c>
      <c r="C126" s="30" t="s">
        <v>5</v>
      </c>
      <c r="D126" s="89">
        <v>100</v>
      </c>
      <c r="E126" s="44">
        <v>17.170000000000002</v>
      </c>
      <c r="F126" s="88">
        <f t="shared" si="30"/>
        <v>-2.6260552163920869E-2</v>
      </c>
      <c r="G126" s="87">
        <v>121</v>
      </c>
      <c r="H126" s="78">
        <f t="shared" si="31"/>
        <v>-3.1775268118344253</v>
      </c>
    </row>
    <row r="127" spans="1:8" x14ac:dyDescent="0.2">
      <c r="A127" s="29">
        <f t="shared" si="19"/>
        <v>120</v>
      </c>
      <c r="B127" s="90" t="str">
        <f>+B126</f>
        <v>58E &amp; 59E - Directional</v>
      </c>
      <c r="C127" s="30" t="s">
        <v>5</v>
      </c>
      <c r="D127" s="89">
        <v>150</v>
      </c>
      <c r="E127" s="44">
        <v>17.170000000000002</v>
      </c>
      <c r="F127" s="88">
        <f t="shared" si="30"/>
        <v>-2.6260552163920869E-2</v>
      </c>
      <c r="G127" s="87">
        <v>1701</v>
      </c>
      <c r="H127" s="78">
        <f t="shared" si="31"/>
        <v>-44.669199230829399</v>
      </c>
    </row>
    <row r="128" spans="1:8" x14ac:dyDescent="0.2">
      <c r="A128" s="29">
        <f t="shared" si="19"/>
        <v>121</v>
      </c>
      <c r="B128" s="90" t="str">
        <f>+B127</f>
        <v>58E &amp; 59E - Directional</v>
      </c>
      <c r="C128" s="30" t="s">
        <v>5</v>
      </c>
      <c r="D128" s="89">
        <v>200</v>
      </c>
      <c r="E128" s="44">
        <v>25.65</v>
      </c>
      <c r="F128" s="88">
        <f t="shared" si="30"/>
        <v>-3.9230236633929542E-2</v>
      </c>
      <c r="G128" s="87">
        <v>3072</v>
      </c>
      <c r="H128" s="78">
        <f t="shared" si="31"/>
        <v>-120.51528693943155</v>
      </c>
    </row>
    <row r="129" spans="1:8" x14ac:dyDescent="0.2">
      <c r="A129" s="29">
        <f t="shared" si="19"/>
        <v>122</v>
      </c>
      <c r="B129" s="90" t="str">
        <f>+B128</f>
        <v>58E &amp; 59E - Directional</v>
      </c>
      <c r="C129" s="30" t="s">
        <v>5</v>
      </c>
      <c r="D129" s="89">
        <v>250</v>
      </c>
      <c r="E129" s="44">
        <v>31.78</v>
      </c>
      <c r="F129" s="88">
        <f t="shared" si="30"/>
        <v>-4.860572788406553E-2</v>
      </c>
      <c r="G129" s="87">
        <v>459</v>
      </c>
      <c r="H129" s="78">
        <f t="shared" si="31"/>
        <v>-22.310029098786078</v>
      </c>
    </row>
    <row r="130" spans="1:8" x14ac:dyDescent="0.2">
      <c r="A130" s="29">
        <f t="shared" si="19"/>
        <v>123</v>
      </c>
      <c r="B130" s="90" t="str">
        <f>+B129</f>
        <v>58E &amp; 59E - Directional</v>
      </c>
      <c r="C130" s="30" t="s">
        <v>5</v>
      </c>
      <c r="D130" s="89">
        <v>400</v>
      </c>
      <c r="E130" s="44">
        <v>44.71</v>
      </c>
      <c r="F130" s="88">
        <f t="shared" si="30"/>
        <v>-6.838143781298206E-2</v>
      </c>
      <c r="G130" s="87">
        <v>4009</v>
      </c>
      <c r="H130" s="78">
        <f t="shared" si="31"/>
        <v>-274.14118419224508</v>
      </c>
    </row>
    <row r="131" spans="1:8" x14ac:dyDescent="0.2">
      <c r="A131" s="29">
        <f t="shared" si="19"/>
        <v>124</v>
      </c>
      <c r="B131" s="90"/>
      <c r="C131" s="30"/>
      <c r="D131" s="89"/>
      <c r="E131" s="44"/>
      <c r="F131" s="88"/>
      <c r="G131" s="87"/>
      <c r="H131" s="30"/>
    </row>
    <row r="132" spans="1:8" x14ac:dyDescent="0.2">
      <c r="A132" s="29">
        <f t="shared" si="19"/>
        <v>125</v>
      </c>
      <c r="B132" s="92" t="s">
        <v>27</v>
      </c>
      <c r="C132" s="30" t="s">
        <v>5</v>
      </c>
      <c r="D132" s="89">
        <v>100</v>
      </c>
      <c r="E132" s="44">
        <v>17.170000000000002</v>
      </c>
      <c r="F132" s="88">
        <f>E132*$H$167</f>
        <v>-2.6260552163920869E-2</v>
      </c>
      <c r="G132" s="87">
        <v>0</v>
      </c>
      <c r="H132" s="78">
        <f t="shared" si="31"/>
        <v>0</v>
      </c>
    </row>
    <row r="133" spans="1:8" x14ac:dyDescent="0.2">
      <c r="A133" s="29">
        <f t="shared" si="19"/>
        <v>126</v>
      </c>
      <c r="B133" s="90" t="str">
        <f>B132</f>
        <v>58E &amp; 59E - Horizontal</v>
      </c>
      <c r="C133" s="30" t="s">
        <v>5</v>
      </c>
      <c r="D133" s="89">
        <v>150</v>
      </c>
      <c r="E133" s="44">
        <v>17.170000000000002</v>
      </c>
      <c r="F133" s="88">
        <f>E133*$H$167</f>
        <v>-2.6260552163920869E-2</v>
      </c>
      <c r="G133" s="87">
        <v>166</v>
      </c>
      <c r="H133" s="78">
        <f t="shared" si="31"/>
        <v>-4.3592516592108641</v>
      </c>
    </row>
    <row r="134" spans="1:8" x14ac:dyDescent="0.2">
      <c r="A134" s="29">
        <f t="shared" si="19"/>
        <v>127</v>
      </c>
      <c r="B134" s="90" t="str">
        <f>B133</f>
        <v>58E &amp; 59E - Horizontal</v>
      </c>
      <c r="C134" s="30" t="s">
        <v>5</v>
      </c>
      <c r="D134" s="89">
        <v>200</v>
      </c>
      <c r="E134" s="44">
        <v>25.65</v>
      </c>
      <c r="F134" s="88">
        <f>E134*$H$167</f>
        <v>-3.9230236633929542E-2</v>
      </c>
      <c r="G134" s="87">
        <v>99</v>
      </c>
      <c r="H134" s="78">
        <f t="shared" si="31"/>
        <v>-3.8837934267590248</v>
      </c>
    </row>
    <row r="135" spans="1:8" x14ac:dyDescent="0.2">
      <c r="A135" s="29">
        <f t="shared" si="19"/>
        <v>128</v>
      </c>
      <c r="B135" s="90" t="str">
        <f>B134</f>
        <v>58E &amp; 59E - Horizontal</v>
      </c>
      <c r="C135" s="30" t="s">
        <v>5</v>
      </c>
      <c r="D135" s="89">
        <v>250</v>
      </c>
      <c r="E135" s="44">
        <v>31.78</v>
      </c>
      <c r="F135" s="88">
        <f>E135*$H$167</f>
        <v>-4.860572788406553E-2</v>
      </c>
      <c r="G135" s="87">
        <v>381</v>
      </c>
      <c r="H135" s="78">
        <f t="shared" si="31"/>
        <v>-18.518782323828969</v>
      </c>
    </row>
    <row r="136" spans="1:8" x14ac:dyDescent="0.2">
      <c r="A136" s="29">
        <f t="shared" si="19"/>
        <v>129</v>
      </c>
      <c r="B136" s="90" t="str">
        <f>B135</f>
        <v>58E &amp; 59E - Horizontal</v>
      </c>
      <c r="C136" s="30" t="s">
        <v>5</v>
      </c>
      <c r="D136" s="89">
        <v>400</v>
      </c>
      <c r="E136" s="44">
        <v>44.71</v>
      </c>
      <c r="F136" s="88">
        <f>E136*$H$167</f>
        <v>-6.838143781298206E-2</v>
      </c>
      <c r="G136" s="87">
        <v>510</v>
      </c>
      <c r="H136" s="78">
        <f t="shared" si="31"/>
        <v>-34.874533284620853</v>
      </c>
    </row>
    <row r="137" spans="1:8" x14ac:dyDescent="0.2">
      <c r="A137" s="29">
        <f t="shared" ref="A137:A169" si="32">+A136+1</f>
        <v>130</v>
      </c>
      <c r="B137" s="90"/>
      <c r="C137" s="30"/>
      <c r="D137" s="89"/>
      <c r="E137" s="44"/>
      <c r="F137" s="88"/>
      <c r="G137" s="87"/>
      <c r="H137" s="30"/>
    </row>
    <row r="138" spans="1:8" x14ac:dyDescent="0.2">
      <c r="A138" s="29">
        <f t="shared" si="32"/>
        <v>131</v>
      </c>
      <c r="B138" s="90" t="str">
        <f>B126</f>
        <v>58E &amp; 59E - Directional</v>
      </c>
      <c r="C138" s="30" t="s">
        <v>21</v>
      </c>
      <c r="D138" s="89">
        <v>175</v>
      </c>
      <c r="E138" s="44">
        <v>25.65</v>
      </c>
      <c r="F138" s="88">
        <f>E138*$H$167</f>
        <v>-3.9230236633929542E-2</v>
      </c>
      <c r="G138" s="87">
        <v>36</v>
      </c>
      <c r="H138" s="78">
        <f t="shared" si="31"/>
        <v>-1.4122885188214636</v>
      </c>
    </row>
    <row r="139" spans="1:8" x14ac:dyDescent="0.2">
      <c r="A139" s="29">
        <f t="shared" si="32"/>
        <v>132</v>
      </c>
      <c r="B139" s="90" t="str">
        <f>B138</f>
        <v>58E &amp; 59E - Directional</v>
      </c>
      <c r="C139" s="30" t="s">
        <v>21</v>
      </c>
      <c r="D139" s="89">
        <v>250</v>
      </c>
      <c r="E139" s="44">
        <v>31.78</v>
      </c>
      <c r="F139" s="88">
        <f>E139*$H$167</f>
        <v>-4.860572788406553E-2</v>
      </c>
      <c r="G139" s="87">
        <v>200</v>
      </c>
      <c r="H139" s="78">
        <f t="shared" si="31"/>
        <v>-9.7211455768131056</v>
      </c>
    </row>
    <row r="140" spans="1:8" x14ac:dyDescent="0.2">
      <c r="A140" s="29">
        <f t="shared" si="32"/>
        <v>133</v>
      </c>
      <c r="B140" s="90" t="str">
        <f>B139</f>
        <v>58E &amp; 59E - Directional</v>
      </c>
      <c r="C140" s="30" t="s">
        <v>21</v>
      </c>
      <c r="D140" s="89">
        <v>400</v>
      </c>
      <c r="E140" s="44">
        <v>44.71</v>
      </c>
      <c r="F140" s="88">
        <f>E140*$H$167</f>
        <v>-6.838143781298206E-2</v>
      </c>
      <c r="G140" s="87">
        <v>924</v>
      </c>
      <c r="H140" s="78">
        <f t="shared" si="31"/>
        <v>-63.184448539195422</v>
      </c>
    </row>
    <row r="141" spans="1:8" x14ac:dyDescent="0.2">
      <c r="A141" s="29">
        <f t="shared" si="32"/>
        <v>134</v>
      </c>
      <c r="B141" s="90" t="str">
        <f>B140</f>
        <v>58E &amp; 59E - Directional</v>
      </c>
      <c r="C141" s="30" t="s">
        <v>21</v>
      </c>
      <c r="D141" s="89">
        <v>1000</v>
      </c>
      <c r="E141" s="44">
        <v>104.12</v>
      </c>
      <c r="F141" s="88">
        <f>E141*$H$167</f>
        <v>-0.15924570129921031</v>
      </c>
      <c r="G141" s="87">
        <v>1383</v>
      </c>
      <c r="H141" s="78">
        <f t="shared" si="31"/>
        <v>-220.23680489680785</v>
      </c>
    </row>
    <row r="142" spans="1:8" x14ac:dyDescent="0.2">
      <c r="A142" s="29">
        <f t="shared" si="32"/>
        <v>135</v>
      </c>
      <c r="B142" s="90"/>
      <c r="C142" s="30"/>
      <c r="D142" s="89"/>
      <c r="E142" s="44"/>
      <c r="F142" s="88"/>
      <c r="G142" s="87"/>
      <c r="H142" s="30"/>
    </row>
    <row r="143" spans="1:8" x14ac:dyDescent="0.2">
      <c r="A143" s="29">
        <f t="shared" si="32"/>
        <v>136</v>
      </c>
      <c r="B143" s="90" t="str">
        <f>B132</f>
        <v>58E &amp; 59E - Horizontal</v>
      </c>
      <c r="C143" s="30" t="s">
        <v>21</v>
      </c>
      <c r="D143" s="89">
        <v>250</v>
      </c>
      <c r="E143" s="44">
        <v>31.78</v>
      </c>
      <c r="F143" s="88">
        <f>E143*$H$167</f>
        <v>-4.860572788406553E-2</v>
      </c>
      <c r="G143" s="87">
        <v>100</v>
      </c>
      <c r="H143" s="78">
        <f t="shared" si="31"/>
        <v>-4.8605727884065528</v>
      </c>
    </row>
    <row r="144" spans="1:8" x14ac:dyDescent="0.2">
      <c r="A144" s="29">
        <f t="shared" si="32"/>
        <v>137</v>
      </c>
      <c r="B144" s="90" t="str">
        <f>B143</f>
        <v>58E &amp; 59E - Horizontal</v>
      </c>
      <c r="C144" s="30" t="s">
        <v>21</v>
      </c>
      <c r="D144" s="89">
        <v>400</v>
      </c>
      <c r="E144" s="44">
        <v>44.71</v>
      </c>
      <c r="F144" s="88">
        <f>E144*$H$167</f>
        <v>-6.838143781298206E-2</v>
      </c>
      <c r="G144" s="87">
        <v>468</v>
      </c>
      <c r="H144" s="78">
        <f t="shared" si="31"/>
        <v>-32.002512896475601</v>
      </c>
    </row>
    <row r="145" spans="1:8" x14ac:dyDescent="0.2">
      <c r="A145" s="29">
        <f t="shared" si="32"/>
        <v>138</v>
      </c>
      <c r="B145" s="90"/>
      <c r="C145" s="30"/>
      <c r="D145" s="89"/>
      <c r="E145" s="44"/>
      <c r="F145" s="88"/>
      <c r="G145" s="87"/>
      <c r="H145" s="30"/>
    </row>
    <row r="146" spans="1:8" x14ac:dyDescent="0.2">
      <c r="A146" s="29">
        <f t="shared" si="32"/>
        <v>139</v>
      </c>
      <c r="B146" s="90" t="s">
        <v>28</v>
      </c>
      <c r="C146" s="30" t="s">
        <v>10</v>
      </c>
      <c r="D146" s="79" t="s">
        <v>47</v>
      </c>
      <c r="E146" s="44">
        <v>8.4499999999999993</v>
      </c>
      <c r="F146" s="88">
        <f t="shared" ref="F146:F161" si="33">E146*$H$167</f>
        <v>-1.2923801152308172E-2</v>
      </c>
      <c r="G146" s="87">
        <v>0</v>
      </c>
      <c r="H146" s="78">
        <f t="shared" si="31"/>
        <v>0</v>
      </c>
    </row>
    <row r="147" spans="1:8" x14ac:dyDescent="0.2">
      <c r="A147" s="29">
        <f t="shared" si="32"/>
        <v>140</v>
      </c>
      <c r="B147" s="90" t="s">
        <v>28</v>
      </c>
      <c r="C147" s="30" t="s">
        <v>10</v>
      </c>
      <c r="D147" s="91" t="s">
        <v>48</v>
      </c>
      <c r="E147" s="44">
        <v>10.68</v>
      </c>
      <c r="F147" s="88">
        <f t="shared" si="33"/>
        <v>-1.6334461101378851E-2</v>
      </c>
      <c r="G147" s="87">
        <v>50</v>
      </c>
      <c r="H147" s="78">
        <f t="shared" si="31"/>
        <v>-0.8167230550689426</v>
      </c>
    </row>
    <row r="148" spans="1:8" x14ac:dyDescent="0.2">
      <c r="A148" s="29">
        <f t="shared" si="32"/>
        <v>141</v>
      </c>
      <c r="B148" s="90" t="str">
        <f t="shared" ref="B148:B161" si="34">B147</f>
        <v>58E &amp; 59E</v>
      </c>
      <c r="C148" s="30" t="s">
        <v>10</v>
      </c>
      <c r="D148" s="89" t="s">
        <v>12</v>
      </c>
      <c r="E148" s="44">
        <v>14.06</v>
      </c>
      <c r="F148" s="88">
        <f t="shared" si="33"/>
        <v>-2.150398156230212E-2</v>
      </c>
      <c r="G148" s="87">
        <v>837</v>
      </c>
      <c r="H148" s="78">
        <f t="shared" si="31"/>
        <v>-17.998832567646875</v>
      </c>
    </row>
    <row r="149" spans="1:8" x14ac:dyDescent="0.2">
      <c r="A149" s="29">
        <f t="shared" si="32"/>
        <v>142</v>
      </c>
      <c r="B149" s="90" t="str">
        <f t="shared" si="34"/>
        <v>58E &amp; 59E</v>
      </c>
      <c r="C149" s="30" t="s">
        <v>10</v>
      </c>
      <c r="D149" s="89" t="s">
        <v>13</v>
      </c>
      <c r="E149" s="44">
        <v>17.170000000000002</v>
      </c>
      <c r="F149" s="88">
        <f t="shared" si="33"/>
        <v>-2.6260552163920869E-2</v>
      </c>
      <c r="G149" s="87">
        <v>194</v>
      </c>
      <c r="H149" s="78">
        <f t="shared" si="31"/>
        <v>-5.0945471198006489</v>
      </c>
    </row>
    <row r="150" spans="1:8" x14ac:dyDescent="0.2">
      <c r="A150" s="29">
        <f t="shared" si="32"/>
        <v>143</v>
      </c>
      <c r="B150" s="90" t="str">
        <f t="shared" si="34"/>
        <v>58E &amp; 59E</v>
      </c>
      <c r="C150" s="30" t="s">
        <v>10</v>
      </c>
      <c r="D150" s="89" t="s">
        <v>14</v>
      </c>
      <c r="E150" s="44">
        <v>17.170000000000002</v>
      </c>
      <c r="F150" s="88">
        <f t="shared" si="33"/>
        <v>-2.6260552163920869E-2</v>
      </c>
      <c r="G150" s="87">
        <v>1675</v>
      </c>
      <c r="H150" s="78">
        <f t="shared" si="31"/>
        <v>-43.986424874567454</v>
      </c>
    </row>
    <row r="151" spans="1:8" x14ac:dyDescent="0.2">
      <c r="A151" s="29">
        <f t="shared" si="32"/>
        <v>144</v>
      </c>
      <c r="B151" s="90" t="str">
        <f t="shared" si="34"/>
        <v>58E &amp; 59E</v>
      </c>
      <c r="C151" s="30" t="s">
        <v>10</v>
      </c>
      <c r="D151" s="89" t="s">
        <v>15</v>
      </c>
      <c r="E151" s="44">
        <v>25.65</v>
      </c>
      <c r="F151" s="88">
        <f t="shared" si="33"/>
        <v>-3.9230236633929542E-2</v>
      </c>
      <c r="G151" s="87">
        <v>320</v>
      </c>
      <c r="H151" s="78">
        <f t="shared" si="31"/>
        <v>-12.553675722857454</v>
      </c>
    </row>
    <row r="152" spans="1:8" x14ac:dyDescent="0.2">
      <c r="A152" s="29">
        <f t="shared" si="32"/>
        <v>145</v>
      </c>
      <c r="B152" s="90" t="str">
        <f t="shared" si="34"/>
        <v>58E &amp; 59E</v>
      </c>
      <c r="C152" s="30" t="s">
        <v>10</v>
      </c>
      <c r="D152" s="89" t="s">
        <v>16</v>
      </c>
      <c r="E152" s="44">
        <v>25.65</v>
      </c>
      <c r="F152" s="88">
        <f t="shared" si="33"/>
        <v>-3.9230236633929542E-2</v>
      </c>
      <c r="G152" s="87">
        <v>0</v>
      </c>
      <c r="H152" s="78">
        <f t="shared" si="31"/>
        <v>0</v>
      </c>
    </row>
    <row r="153" spans="1:8" x14ac:dyDescent="0.2">
      <c r="A153" s="29">
        <f t="shared" si="32"/>
        <v>146</v>
      </c>
      <c r="B153" s="90" t="str">
        <f t="shared" si="34"/>
        <v>58E &amp; 59E</v>
      </c>
      <c r="C153" s="30" t="s">
        <v>10</v>
      </c>
      <c r="D153" s="89" t="s">
        <v>17</v>
      </c>
      <c r="E153" s="44">
        <v>25.65</v>
      </c>
      <c r="F153" s="88">
        <f t="shared" si="33"/>
        <v>-3.9230236633929542E-2</v>
      </c>
      <c r="G153" s="87">
        <v>180</v>
      </c>
      <c r="H153" s="78">
        <f t="shared" si="31"/>
        <v>-7.0614425941073176</v>
      </c>
    </row>
    <row r="154" spans="1:8" x14ac:dyDescent="0.2">
      <c r="A154" s="29">
        <f t="shared" si="32"/>
        <v>147</v>
      </c>
      <c r="B154" s="90" t="str">
        <f t="shared" si="34"/>
        <v>58E &amp; 59E</v>
      </c>
      <c r="C154" s="30" t="s">
        <v>10</v>
      </c>
      <c r="D154" s="89" t="s">
        <v>18</v>
      </c>
      <c r="E154" s="44">
        <v>31.78</v>
      </c>
      <c r="F154" s="88">
        <f t="shared" si="33"/>
        <v>-4.860572788406553E-2</v>
      </c>
      <c r="G154" s="87">
        <v>263</v>
      </c>
      <c r="H154" s="78">
        <f t="shared" si="31"/>
        <v>-12.783306433509235</v>
      </c>
    </row>
    <row r="155" spans="1:8" x14ac:dyDescent="0.2">
      <c r="A155" s="29">
        <f t="shared" si="32"/>
        <v>148</v>
      </c>
      <c r="B155" s="90" t="str">
        <f t="shared" si="34"/>
        <v>58E &amp; 59E</v>
      </c>
      <c r="C155" s="30" t="s">
        <v>10</v>
      </c>
      <c r="D155" s="89" t="s">
        <v>19</v>
      </c>
      <c r="E155" s="44">
        <v>31.78</v>
      </c>
      <c r="F155" s="88">
        <f t="shared" si="33"/>
        <v>-4.860572788406553E-2</v>
      </c>
      <c r="G155" s="87">
        <v>0</v>
      </c>
      <c r="H155" s="78">
        <f t="shared" si="31"/>
        <v>0</v>
      </c>
    </row>
    <row r="156" spans="1:8" x14ac:dyDescent="0.2">
      <c r="A156" s="29">
        <f t="shared" si="32"/>
        <v>149</v>
      </c>
      <c r="B156" s="90" t="str">
        <f t="shared" si="34"/>
        <v>58E &amp; 59E</v>
      </c>
      <c r="C156" s="30" t="s">
        <v>10</v>
      </c>
      <c r="D156" s="89" t="s">
        <v>29</v>
      </c>
      <c r="E156" s="44">
        <v>44.71</v>
      </c>
      <c r="F156" s="88">
        <f t="shared" si="33"/>
        <v>-6.838143781298206E-2</v>
      </c>
      <c r="G156" s="87">
        <v>0</v>
      </c>
      <c r="H156" s="78">
        <f t="shared" si="31"/>
        <v>0</v>
      </c>
    </row>
    <row r="157" spans="1:8" x14ac:dyDescent="0.2">
      <c r="A157" s="29">
        <f t="shared" si="32"/>
        <v>150</v>
      </c>
      <c r="B157" s="90" t="str">
        <f t="shared" si="34"/>
        <v>58E &amp; 59E</v>
      </c>
      <c r="C157" s="30" t="s">
        <v>10</v>
      </c>
      <c r="D157" s="89" t="s">
        <v>30</v>
      </c>
      <c r="E157" s="44">
        <v>44.71</v>
      </c>
      <c r="F157" s="88">
        <f t="shared" si="33"/>
        <v>-6.838143781298206E-2</v>
      </c>
      <c r="G157" s="87">
        <v>0</v>
      </c>
      <c r="H157" s="78">
        <f t="shared" si="31"/>
        <v>0</v>
      </c>
    </row>
    <row r="158" spans="1:8" x14ac:dyDescent="0.2">
      <c r="A158" s="29">
        <f t="shared" si="32"/>
        <v>151</v>
      </c>
      <c r="B158" s="90" t="str">
        <f t="shared" si="34"/>
        <v>58E &amp; 59E</v>
      </c>
      <c r="C158" s="30" t="s">
        <v>10</v>
      </c>
      <c r="D158" s="89" t="s">
        <v>31</v>
      </c>
      <c r="E158" s="44">
        <v>44.71</v>
      </c>
      <c r="F158" s="88">
        <f t="shared" si="33"/>
        <v>-6.838143781298206E-2</v>
      </c>
      <c r="G158" s="87">
        <v>0</v>
      </c>
      <c r="H158" s="78">
        <f t="shared" si="31"/>
        <v>0</v>
      </c>
    </row>
    <row r="159" spans="1:8" x14ac:dyDescent="0.2">
      <c r="A159" s="29">
        <f t="shared" si="32"/>
        <v>152</v>
      </c>
      <c r="B159" s="90" t="str">
        <f t="shared" si="34"/>
        <v>58E &amp; 59E</v>
      </c>
      <c r="C159" s="30" t="s">
        <v>10</v>
      </c>
      <c r="D159" s="89" t="s">
        <v>32</v>
      </c>
      <c r="E159" s="44">
        <v>104.12</v>
      </c>
      <c r="F159" s="88">
        <f t="shared" si="33"/>
        <v>-0.15924570129921031</v>
      </c>
      <c r="G159" s="87">
        <v>0</v>
      </c>
      <c r="H159" s="78">
        <f t="shared" si="31"/>
        <v>0</v>
      </c>
    </row>
    <row r="160" spans="1:8" x14ac:dyDescent="0.2">
      <c r="A160" s="29">
        <f t="shared" si="32"/>
        <v>153</v>
      </c>
      <c r="B160" s="90" t="str">
        <f t="shared" si="34"/>
        <v>58E &amp; 59E</v>
      </c>
      <c r="C160" s="30" t="s">
        <v>10</v>
      </c>
      <c r="D160" s="89" t="s">
        <v>33</v>
      </c>
      <c r="E160" s="44">
        <v>104.12</v>
      </c>
      <c r="F160" s="88">
        <f t="shared" si="33"/>
        <v>-0.15924570129921031</v>
      </c>
      <c r="G160" s="87">
        <v>0</v>
      </c>
      <c r="H160" s="78">
        <f t="shared" si="31"/>
        <v>0</v>
      </c>
    </row>
    <row r="161" spans="1:8" x14ac:dyDescent="0.2">
      <c r="A161" s="29">
        <f t="shared" si="32"/>
        <v>154</v>
      </c>
      <c r="B161" s="90" t="str">
        <f t="shared" si="34"/>
        <v>58E &amp; 59E</v>
      </c>
      <c r="C161" s="30" t="s">
        <v>10</v>
      </c>
      <c r="D161" s="89" t="s">
        <v>34</v>
      </c>
      <c r="E161" s="44">
        <v>104.12</v>
      </c>
      <c r="F161" s="88">
        <f t="shared" si="33"/>
        <v>-0.15924570129921031</v>
      </c>
      <c r="G161" s="87">
        <v>0</v>
      </c>
      <c r="H161" s="78">
        <f t="shared" si="31"/>
        <v>0</v>
      </c>
    </row>
    <row r="162" spans="1:8" x14ac:dyDescent="0.2">
      <c r="A162" s="29">
        <f t="shared" si="32"/>
        <v>155</v>
      </c>
      <c r="F162" s="86" t="s">
        <v>103</v>
      </c>
      <c r="G162" s="85">
        <v>0</v>
      </c>
    </row>
    <row r="163" spans="1:8" x14ac:dyDescent="0.2">
      <c r="A163" s="29">
        <f t="shared" si="32"/>
        <v>156</v>
      </c>
      <c r="D163" s="2"/>
    </row>
    <row r="164" spans="1:8" x14ac:dyDescent="0.2">
      <c r="A164" s="29">
        <f t="shared" si="32"/>
        <v>157</v>
      </c>
      <c r="D164" s="2"/>
      <c r="G164" s="84" t="s">
        <v>104</v>
      </c>
      <c r="H164" s="78">
        <f>SUM(H10:H161)</f>
        <v>-26274.911460809919</v>
      </c>
    </row>
    <row r="165" spans="1:8" ht="13.5" x14ac:dyDescent="0.35">
      <c r="A165" s="29">
        <f t="shared" si="32"/>
        <v>158</v>
      </c>
      <c r="D165" s="2"/>
      <c r="G165" s="83" t="s">
        <v>105</v>
      </c>
      <c r="H165" s="82">
        <f>'Rate Spread and Design'!J45</f>
        <v>-26274.911460809883</v>
      </c>
    </row>
    <row r="166" spans="1:8" x14ac:dyDescent="0.2">
      <c r="A166" s="29">
        <f t="shared" si="32"/>
        <v>159</v>
      </c>
      <c r="G166" s="77" t="s">
        <v>106</v>
      </c>
      <c r="H166" s="76">
        <f>+H165-H164</f>
        <v>3.637978807091713E-11</v>
      </c>
    </row>
    <row r="167" spans="1:8" ht="13.5" x14ac:dyDescent="0.35">
      <c r="A167" s="29">
        <f t="shared" si="32"/>
        <v>160</v>
      </c>
      <c r="B167" s="79"/>
      <c r="F167" s="78"/>
      <c r="G167" s="81" t="s">
        <v>107</v>
      </c>
      <c r="H167" s="80">
        <v>-1.5294439233500797E-3</v>
      </c>
    </row>
    <row r="168" spans="1:8" x14ac:dyDescent="0.2">
      <c r="A168" s="29">
        <f t="shared" si="32"/>
        <v>161</v>
      </c>
      <c r="B168" s="79"/>
      <c r="F168" s="78"/>
      <c r="G168" s="77"/>
      <c r="H168" s="76"/>
    </row>
    <row r="169" spans="1:8" x14ac:dyDescent="0.2">
      <c r="A169" s="29">
        <f t="shared" si="32"/>
        <v>162</v>
      </c>
      <c r="B169" s="75" t="s">
        <v>175</v>
      </c>
      <c r="C169" s="75"/>
      <c r="D169" s="75"/>
      <c r="E169" s="75"/>
      <c r="F169" s="74"/>
      <c r="G169" s="74"/>
      <c r="H169" s="73"/>
    </row>
    <row r="170" spans="1:8" x14ac:dyDescent="0.2">
      <c r="A170" s="29"/>
    </row>
  </sheetData>
  <mergeCells count="3">
    <mergeCell ref="E5:H5"/>
    <mergeCell ref="J5:O5"/>
    <mergeCell ref="K6:L6"/>
  </mergeCells>
  <printOptions horizontalCentered="1"/>
  <pageMargins left="0.7" right="0.7" top="0.75" bottom="0.75" header="0.3" footer="0.3"/>
  <pageSetup scale="55" fitToHeight="0" orientation="landscape" r:id="rId1"/>
  <headerFooter alignWithMargins="0">
    <oddHeader>&amp;RElectric Schedule 120 Rate Design Workpapers
Page &amp;P of &amp;N</oddHeader>
    <oddFooter>&amp;L&amp;F
&amp;A&amp;R&amp;D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6" tint="0.79998168889431442"/>
    <pageSetUpPr fitToPage="1"/>
  </sheetPr>
  <dimension ref="A1:O63"/>
  <sheetViews>
    <sheetView zoomScaleNormal="100" workbookViewId="0">
      <pane ySplit="7" topLeftCell="A34" activePane="bottomLeft" state="frozen"/>
      <selection pane="bottomLeft" activeCell="D45" sqref="D45"/>
    </sheetView>
  </sheetViews>
  <sheetFormatPr defaultColWidth="9.140625" defaultRowHeight="11.25" x14ac:dyDescent="0.2"/>
  <cols>
    <col min="1" max="1" width="4.7109375" style="6" customWidth="1"/>
    <col min="2" max="2" width="36.140625" style="6" bestFit="1" customWidth="1"/>
    <col min="3" max="3" width="12.42578125" style="6" customWidth="1"/>
    <col min="4" max="6" width="12.5703125" style="6" customWidth="1"/>
    <col min="7" max="7" width="10.28515625" style="6" customWidth="1"/>
    <col min="8" max="8" width="9.5703125" style="6" customWidth="1"/>
    <col min="9" max="9" width="11.28515625" style="6" customWidth="1"/>
    <col min="10" max="10" width="12.7109375" style="6" bestFit="1" customWidth="1"/>
    <col min="11" max="11" width="13" style="6" customWidth="1"/>
    <col min="12" max="12" width="1.28515625" style="6" customWidth="1"/>
    <col min="13" max="13" width="16.28515625" style="6" bestFit="1" customWidth="1"/>
    <col min="14" max="14" width="9.85546875" style="6" customWidth="1"/>
    <col min="15" max="15" width="3.28515625" style="6" bestFit="1" customWidth="1"/>
    <col min="16" max="16384" width="9.140625" style="6"/>
  </cols>
  <sheetData>
    <row r="1" spans="1:15" s="7" customFormat="1" ht="12" customHeight="1" x14ac:dyDescent="0.2">
      <c r="A1" s="1" t="str">
        <f>'Sch 141COL Rates'!A1</f>
        <v>PUGET SOUND ENERGY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7"/>
      <c r="M1" s="57"/>
    </row>
    <row r="2" spans="1:15" s="7" customFormat="1" ht="12" customHeight="1" x14ac:dyDescent="0.2">
      <c r="A2" s="1" t="str">
        <f>'Sch 141COL Rates'!A2</f>
        <v xml:space="preserve">Schedule 141COL Colstrip Adjustment Rider 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7"/>
      <c r="M2" s="57"/>
    </row>
    <row r="3" spans="1:15" s="7" customFormat="1" ht="12" customHeight="1" x14ac:dyDescent="0.2">
      <c r="A3" s="1" t="str">
        <f>'Sch 141COL Rates'!A3</f>
        <v>Effective January 1, 2026 - December 31, 2026</v>
      </c>
      <c r="B3" s="56"/>
      <c r="C3" s="56"/>
      <c r="D3" s="56"/>
      <c r="E3" s="56"/>
      <c r="F3" s="56"/>
      <c r="G3" s="56"/>
      <c r="H3" s="56"/>
      <c r="I3" s="56"/>
      <c r="J3" s="56"/>
      <c r="K3" s="57"/>
      <c r="L3" s="57"/>
      <c r="M3" s="57"/>
    </row>
    <row r="4" spans="1:15" s="7" customFormat="1" ht="10.15" customHeight="1" x14ac:dyDescent="0.2">
      <c r="A4" s="58" t="s">
        <v>121</v>
      </c>
      <c r="B4" s="58"/>
      <c r="C4" s="58"/>
      <c r="D4" s="58"/>
      <c r="E4" s="58"/>
      <c r="F4" s="58"/>
      <c r="G4" s="58"/>
      <c r="H4" s="58"/>
      <c r="I4" s="58"/>
      <c r="J4" s="58"/>
      <c r="K4" s="59"/>
      <c r="L4" s="59"/>
      <c r="M4" s="59"/>
    </row>
    <row r="5" spans="1:15" s="7" customFormat="1" ht="10.15" customHeigh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9"/>
      <c r="L5" s="59"/>
      <c r="M5" s="59"/>
    </row>
    <row r="6" spans="1:15" s="9" customFormat="1" x14ac:dyDescent="0.2">
      <c r="B6" s="10"/>
      <c r="C6" s="10"/>
      <c r="D6" s="10"/>
      <c r="E6" s="8" t="s">
        <v>169</v>
      </c>
      <c r="F6" s="8" t="s">
        <v>169</v>
      </c>
      <c r="G6" s="8" t="s">
        <v>169</v>
      </c>
      <c r="H6" s="8" t="s">
        <v>169</v>
      </c>
    </row>
    <row r="7" spans="1:15" s="8" customFormat="1" ht="57" thickBot="1" x14ac:dyDescent="0.25">
      <c r="A7" s="12" t="s">
        <v>0</v>
      </c>
      <c r="B7" s="13" t="s">
        <v>53</v>
      </c>
      <c r="C7" s="177" t="s">
        <v>54</v>
      </c>
      <c r="D7" s="71" t="str">
        <f>Inputs!B3&amp;" Forecast Billing Determinants "&amp;TEXT(Inputs!B4,"mm/d/yy")&amp;"-"&amp;TEXT(Inputs!B5,"mm/d/yy")</f>
        <v>F2025 Forecast Billing Determinants 01/1/26-12/31/26</v>
      </c>
      <c r="E7" s="13" t="s">
        <v>166</v>
      </c>
      <c r="F7" s="13" t="s">
        <v>170</v>
      </c>
      <c r="G7" s="14" t="s">
        <v>167</v>
      </c>
      <c r="H7" s="14" t="s">
        <v>120</v>
      </c>
      <c r="I7" s="15" t="s">
        <v>168</v>
      </c>
      <c r="J7" s="15" t="s">
        <v>158</v>
      </c>
      <c r="K7" s="72" t="str">
        <f>"Proposed Rates
Eff "&amp;TEXT(Inputs!B2,"mm/d/yy")</f>
        <v>Proposed Rates
Eff 01/1/26</v>
      </c>
      <c r="L7" s="72"/>
      <c r="M7" s="72"/>
      <c r="N7" s="190"/>
    </row>
    <row r="8" spans="1:15" s="8" customFormat="1" ht="12" thickBot="1" x14ac:dyDescent="0.25">
      <c r="A8" s="16"/>
      <c r="B8" s="17" t="s">
        <v>55</v>
      </c>
      <c r="C8" s="178" t="s">
        <v>93</v>
      </c>
      <c r="D8" s="17" t="s">
        <v>56</v>
      </c>
      <c r="E8" s="17" t="s">
        <v>94</v>
      </c>
      <c r="F8" s="17" t="s">
        <v>95</v>
      </c>
      <c r="G8" s="18" t="s">
        <v>57</v>
      </c>
      <c r="H8" s="18" t="s">
        <v>171</v>
      </c>
      <c r="I8" s="19" t="s">
        <v>172</v>
      </c>
      <c r="J8" s="67" t="s">
        <v>173</v>
      </c>
      <c r="K8" s="67" t="s">
        <v>174</v>
      </c>
      <c r="L8" s="67"/>
      <c r="M8" s="67"/>
    </row>
    <row r="9" spans="1:15" x14ac:dyDescent="0.2">
      <c r="A9" s="20">
        <v>1</v>
      </c>
      <c r="B9" s="11" t="s">
        <v>58</v>
      </c>
      <c r="C9" s="179" t="s">
        <v>245</v>
      </c>
      <c r="D9" s="61">
        <v>11517682320</v>
      </c>
      <c r="E9" s="66">
        <v>12288973727.343735</v>
      </c>
      <c r="F9" s="66">
        <v>2077039.2372930404</v>
      </c>
      <c r="G9" s="22">
        <f>+E9/E$51*$G$51</f>
        <v>0.16180995662482328</v>
      </c>
      <c r="H9" s="22">
        <f>+F9/F$51*$H$51</f>
        <v>0.41343570221777798</v>
      </c>
      <c r="I9" s="22">
        <f>G9+H9</f>
        <v>0.57524565884260126</v>
      </c>
      <c r="J9" s="60">
        <f>+I9*$J$57</f>
        <v>-9638885.2770563308</v>
      </c>
      <c r="K9" s="68">
        <f>+J9/D9</f>
        <v>-8.3687716063489501E-4</v>
      </c>
      <c r="L9" s="68"/>
      <c r="M9" s="196" t="s">
        <v>222</v>
      </c>
      <c r="N9" s="201" t="s">
        <v>219</v>
      </c>
      <c r="O9" s="197" t="s">
        <v>219</v>
      </c>
    </row>
    <row r="10" spans="1:15" ht="12" thickBot="1" x14ac:dyDescent="0.25">
      <c r="A10" s="20">
        <f t="shared" ref="A10:A57" si="0">+A9+1</f>
        <v>2</v>
      </c>
      <c r="B10" s="11"/>
      <c r="C10" s="180"/>
      <c r="D10" s="21"/>
      <c r="E10" s="66"/>
      <c r="F10" s="66"/>
      <c r="G10" s="22"/>
      <c r="H10" s="22"/>
      <c r="I10" s="22"/>
      <c r="J10" s="60"/>
      <c r="K10" s="69"/>
      <c r="L10" s="69"/>
      <c r="M10" s="198"/>
      <c r="N10" s="199"/>
      <c r="O10" s="200" t="s">
        <v>220</v>
      </c>
    </row>
    <row r="11" spans="1:15" ht="12" thickBot="1" x14ac:dyDescent="0.25">
      <c r="A11" s="20">
        <f t="shared" si="0"/>
        <v>3</v>
      </c>
      <c r="B11" s="23" t="s">
        <v>59</v>
      </c>
      <c r="C11" s="179" t="s">
        <v>246</v>
      </c>
      <c r="D11" s="61">
        <v>2691263476.7031999</v>
      </c>
      <c r="E11" s="66">
        <v>3008998588.0702906</v>
      </c>
      <c r="F11" s="66">
        <v>434184.40454902942</v>
      </c>
      <c r="G11" s="22">
        <f>+E11/E$51*$G$51</f>
        <v>3.9619738948294479E-2</v>
      </c>
      <c r="H11" s="22">
        <f>+F11/F$51*$H$51</f>
        <v>8.6424623552458127E-2</v>
      </c>
      <c r="I11" s="22">
        <f>G11+H11</f>
        <v>0.1260443625007526</v>
      </c>
      <c r="J11" s="60">
        <f>(+I11*$J$57)-(N13*J49)</f>
        <v>-2110629.6858490761</v>
      </c>
      <c r="K11" s="68">
        <f>+J11/D11</f>
        <v>-7.8425234248509902E-4</v>
      </c>
      <c r="L11" s="68"/>
      <c r="M11" s="68"/>
    </row>
    <row r="12" spans="1:15" ht="15" x14ac:dyDescent="0.25">
      <c r="A12" s="20">
        <f t="shared" si="0"/>
        <v>4</v>
      </c>
      <c r="B12" s="23"/>
      <c r="C12" s="181"/>
      <c r="D12" s="21"/>
      <c r="E12" s="66"/>
      <c r="F12" s="66"/>
      <c r="G12" s="22"/>
      <c r="H12" s="22"/>
      <c r="I12" s="22"/>
      <c r="J12" s="60"/>
      <c r="K12" s="68"/>
      <c r="L12" s="68"/>
      <c r="M12" s="280" t="s">
        <v>221</v>
      </c>
      <c r="N12" s="281"/>
    </row>
    <row r="13" spans="1:15" x14ac:dyDescent="0.2">
      <c r="A13" s="20">
        <f t="shared" si="0"/>
        <v>5</v>
      </c>
      <c r="B13" s="11" t="s">
        <v>60</v>
      </c>
      <c r="C13" s="182" t="s">
        <v>117</v>
      </c>
      <c r="D13" s="61">
        <v>2964082214.6510997</v>
      </c>
      <c r="E13" s="66"/>
      <c r="F13" s="66"/>
      <c r="G13" s="22"/>
      <c r="H13" s="22"/>
      <c r="I13" s="22"/>
      <c r="J13" s="60">
        <f>J15*$G$51</f>
        <v>-697410.66126660886</v>
      </c>
      <c r="K13" s="68">
        <f>IF($N$9="yes",+J13/D13,J15/D13)</f>
        <v>-2.3528721903170983E-4</v>
      </c>
      <c r="L13" s="68"/>
      <c r="M13" s="191" t="str">
        <f>C11</f>
        <v>08 (24) (324)</v>
      </c>
      <c r="N13" s="192">
        <v>0.37674516534486147</v>
      </c>
    </row>
    <row r="14" spans="1:15" x14ac:dyDescent="0.2">
      <c r="A14" s="20">
        <f t="shared" si="0"/>
        <v>6</v>
      </c>
      <c r="B14" s="11" t="s">
        <v>61</v>
      </c>
      <c r="C14" s="181" t="str">
        <f>C13</f>
        <v>7A (11) (25)</v>
      </c>
      <c r="D14" s="61">
        <v>5563918.0587056717</v>
      </c>
      <c r="E14" s="66"/>
      <c r="F14" s="66"/>
      <c r="G14" s="22"/>
      <c r="H14" s="22"/>
      <c r="I14" s="22"/>
      <c r="J14" s="60">
        <f>J15*$H$51</f>
        <v>-1627291.5429554207</v>
      </c>
      <c r="K14" s="70">
        <f>IF($N$9="yes",+J14/D14,0)</f>
        <v>-0.29247223373630626</v>
      </c>
      <c r="L14" s="70"/>
      <c r="M14" s="193" t="str">
        <f>C13</f>
        <v>7A (11) (25)</v>
      </c>
      <c r="N14" s="192">
        <v>0.38921283050923178</v>
      </c>
    </row>
    <row r="15" spans="1:15" x14ac:dyDescent="0.2">
      <c r="A15" s="20">
        <f t="shared" si="0"/>
        <v>7</v>
      </c>
      <c r="B15" s="11" t="s">
        <v>62</v>
      </c>
      <c r="C15" s="181" t="str">
        <f>C14</f>
        <v>7A (11) (25)</v>
      </c>
      <c r="D15" s="21"/>
      <c r="E15" s="66">
        <v>3254969130.9299946</v>
      </c>
      <c r="F15" s="66">
        <v>482110.93993286794</v>
      </c>
      <c r="G15" s="22">
        <f>+E15/E$51*$G$51</f>
        <v>4.2858453893428947E-2</v>
      </c>
      <c r="H15" s="22">
        <f>+F15/F$51*$H$51</f>
        <v>9.5964424464985085E-2</v>
      </c>
      <c r="I15" s="22">
        <f>G15+H15</f>
        <v>0.13882287835841403</v>
      </c>
      <c r="J15" s="60">
        <f>+I15*$J$57-(N14*J49)</f>
        <v>-2324702.2042220295</v>
      </c>
      <c r="K15" s="68"/>
      <c r="L15" s="68"/>
      <c r="M15" s="191" t="str">
        <f>C17</f>
        <v>12 (26) (26P)</v>
      </c>
      <c r="N15" s="192">
        <v>0.23404200414590684</v>
      </c>
    </row>
    <row r="16" spans="1:15" ht="12" thickBot="1" x14ac:dyDescent="0.25">
      <c r="A16" s="20">
        <f t="shared" si="0"/>
        <v>8</v>
      </c>
      <c r="B16" s="11"/>
      <c r="C16" s="181"/>
      <c r="D16" s="21"/>
      <c r="E16" s="66"/>
      <c r="F16" s="66"/>
      <c r="G16" s="22"/>
      <c r="H16" s="22"/>
      <c r="I16" s="22"/>
      <c r="J16" s="60"/>
      <c r="K16" s="68"/>
      <c r="L16" s="68"/>
      <c r="M16" s="194"/>
      <c r="N16" s="195">
        <f>SUM(N13:N15)</f>
        <v>1</v>
      </c>
    </row>
    <row r="17" spans="1:13" x14ac:dyDescent="0.2">
      <c r="A17" s="20">
        <f t="shared" si="0"/>
        <v>9</v>
      </c>
      <c r="B17" s="11" t="s">
        <v>63</v>
      </c>
      <c r="C17" s="179" t="s">
        <v>247</v>
      </c>
      <c r="D17" s="61">
        <v>2008775612.538182</v>
      </c>
      <c r="E17" s="66"/>
      <c r="F17" s="66"/>
      <c r="G17" s="22"/>
      <c r="H17" s="22"/>
      <c r="I17" s="22"/>
      <c r="J17" s="60">
        <f>J19*$G$51</f>
        <v>-397216.15260144247</v>
      </c>
      <c r="K17" s="68">
        <f>IF($N$9="yes",+J17/D17,J19/D17)</f>
        <v>-1.9774042960405184E-4</v>
      </c>
      <c r="L17" s="68"/>
      <c r="M17" s="68"/>
    </row>
    <row r="18" spans="1:13" x14ac:dyDescent="0.2">
      <c r="A18" s="20">
        <f t="shared" si="0"/>
        <v>10</v>
      </c>
      <c r="B18" s="11" t="s">
        <v>64</v>
      </c>
      <c r="C18" s="181" t="str">
        <f>C17</f>
        <v>12 (26) (26P)</v>
      </c>
      <c r="D18" s="61">
        <v>5074331.2299567023</v>
      </c>
      <c r="E18" s="66"/>
      <c r="F18" s="66"/>
      <c r="G18" s="22"/>
      <c r="H18" s="22"/>
      <c r="I18" s="22"/>
      <c r="J18" s="60">
        <f>J19*$H$51</f>
        <v>-926837.68940336583</v>
      </c>
      <c r="K18" s="70">
        <f>IF($N$9="yes",+J18/D18,0)</f>
        <v>-0.18265218555929275</v>
      </c>
      <c r="L18" s="70"/>
      <c r="M18" s="70"/>
    </row>
    <row r="19" spans="1:13" x14ac:dyDescent="0.2">
      <c r="A19" s="20">
        <f t="shared" si="0"/>
        <v>11</v>
      </c>
      <c r="B19" s="11" t="s">
        <v>65</v>
      </c>
      <c r="C19" s="181" t="str">
        <f>C18</f>
        <v>12 (26) (26P)</v>
      </c>
      <c r="D19" s="21"/>
      <c r="E19" s="66">
        <v>1961040601.5115995</v>
      </c>
      <c r="F19" s="66">
        <v>267516.38797677035</v>
      </c>
      <c r="G19" s="22">
        <f>+E19/E$51*$G$51</f>
        <v>2.5821187489730047E-2</v>
      </c>
      <c r="H19" s="22">
        <f>+F19/F$51*$H$51</f>
        <v>5.3249271237688897E-2</v>
      </c>
      <c r="I19" s="22">
        <f>G19+H19</f>
        <v>7.9070458727418941E-2</v>
      </c>
      <c r="J19" s="60">
        <f>+I19*$J$57-(N15*J49)</f>
        <v>-1324053.8420048084</v>
      </c>
      <c r="K19" s="68"/>
      <c r="L19" s="68"/>
      <c r="M19" s="70"/>
    </row>
    <row r="20" spans="1:13" x14ac:dyDescent="0.2">
      <c r="A20" s="20">
        <f t="shared" si="0"/>
        <v>12</v>
      </c>
      <c r="B20" s="11"/>
      <c r="C20" s="181"/>
      <c r="D20" s="11"/>
      <c r="E20" s="66"/>
      <c r="F20" s="66"/>
      <c r="G20" s="22"/>
      <c r="H20" s="22"/>
      <c r="I20" s="22"/>
      <c r="J20" s="60"/>
      <c r="K20" s="11"/>
      <c r="L20" s="11"/>
      <c r="M20" s="70"/>
    </row>
    <row r="21" spans="1:13" x14ac:dyDescent="0.2">
      <c r="A21" s="20">
        <f t="shared" si="0"/>
        <v>13</v>
      </c>
      <c r="B21" s="11" t="s">
        <v>66</v>
      </c>
      <c r="C21" s="179">
        <v>29</v>
      </c>
      <c r="D21" s="61">
        <v>14167690</v>
      </c>
      <c r="E21" s="66"/>
      <c r="F21" s="66"/>
      <c r="G21" s="22"/>
      <c r="H21" s="22"/>
      <c r="I21" s="22"/>
      <c r="J21" s="60">
        <f>J23*$G$51</f>
        <v>-3003.2651133005484</v>
      </c>
      <c r="K21" s="68">
        <f>IF($N$9="yes",+J21/D21,J23/D21)</f>
        <v>-2.1197987203987019E-4</v>
      </c>
      <c r="L21" s="68"/>
      <c r="M21" s="70"/>
    </row>
    <row r="22" spans="1:13" x14ac:dyDescent="0.2">
      <c r="A22" s="20">
        <f t="shared" si="0"/>
        <v>14</v>
      </c>
      <c r="B22" s="11" t="s">
        <v>67</v>
      </c>
      <c r="C22" s="181">
        <f>C21</f>
        <v>29</v>
      </c>
      <c r="D22" s="61">
        <v>10351.167139290392</v>
      </c>
      <c r="E22" s="66"/>
      <c r="F22" s="66"/>
      <c r="G22" s="22"/>
      <c r="H22" s="22"/>
      <c r="I22" s="22"/>
      <c r="J22" s="60">
        <f>J23*$H$51</f>
        <v>-7007.6185977012792</v>
      </c>
      <c r="K22" s="70">
        <f>IF($N$9="yes",+J22/D22,0)</f>
        <v>-0.67698825682199115</v>
      </c>
      <c r="L22" s="70"/>
      <c r="M22" s="70"/>
    </row>
    <row r="23" spans="1:13" x14ac:dyDescent="0.2">
      <c r="A23" s="20">
        <f t="shared" si="0"/>
        <v>15</v>
      </c>
      <c r="B23" s="11" t="s">
        <v>68</v>
      </c>
      <c r="C23" s="181">
        <f>C22</f>
        <v>29</v>
      </c>
      <c r="D23" s="61"/>
      <c r="E23" s="66">
        <v>14580688.031536154</v>
      </c>
      <c r="F23" s="66">
        <v>2036.9768117293431</v>
      </c>
      <c r="G23" s="22">
        <f>+E23/E$51*$G$51</f>
        <v>1.9198515273031742E-4</v>
      </c>
      <c r="H23" s="22">
        <f>+F23/F$51*$H$51</f>
        <v>4.0546125631031349E-4</v>
      </c>
      <c r="I23" s="22">
        <f>G23+H23</f>
        <v>5.9744640904063097E-4</v>
      </c>
      <c r="J23" s="60">
        <f>+I23*$J$57</f>
        <v>-10010.883711001828</v>
      </c>
      <c r="K23" s="68"/>
      <c r="L23" s="68"/>
      <c r="M23" s="70"/>
    </row>
    <row r="24" spans="1:13" x14ac:dyDescent="0.2">
      <c r="A24" s="20">
        <f t="shared" si="0"/>
        <v>16</v>
      </c>
      <c r="B24" s="11"/>
      <c r="C24" s="181"/>
      <c r="D24" s="21"/>
      <c r="E24" s="66"/>
      <c r="F24" s="66"/>
      <c r="G24" s="22"/>
      <c r="H24" s="22"/>
      <c r="I24" s="22"/>
      <c r="J24" s="60"/>
      <c r="K24" s="69"/>
      <c r="L24" s="69"/>
      <c r="M24" s="70"/>
    </row>
    <row r="25" spans="1:13" x14ac:dyDescent="0.2">
      <c r="A25" s="20">
        <f t="shared" si="0"/>
        <v>17</v>
      </c>
      <c r="B25" s="11" t="s">
        <v>69</v>
      </c>
      <c r="C25" s="179" t="s">
        <v>248</v>
      </c>
      <c r="D25" s="61">
        <v>1368299990</v>
      </c>
      <c r="E25" s="66"/>
      <c r="F25" s="66"/>
      <c r="G25" s="22"/>
      <c r="H25" s="22"/>
      <c r="I25" s="22"/>
      <c r="J25" s="60">
        <f>J27*$G$51</f>
        <v>-277466.88767882279</v>
      </c>
      <c r="K25" s="68">
        <f>IF($N$9="yes",+J25/D25,J27/D25)</f>
        <v>-2.0278220398059257E-4</v>
      </c>
      <c r="L25" s="68"/>
      <c r="M25" s="70"/>
    </row>
    <row r="26" spans="1:13" x14ac:dyDescent="0.2">
      <c r="A26" s="20">
        <f t="shared" si="0"/>
        <v>18</v>
      </c>
      <c r="B26" s="11" t="s">
        <v>70</v>
      </c>
      <c r="C26" s="181" t="str">
        <f>C25</f>
        <v>10 (31)</v>
      </c>
      <c r="D26" s="61">
        <v>3414599.9572998122</v>
      </c>
      <c r="E26" s="66"/>
      <c r="F26" s="66"/>
      <c r="G26" s="22"/>
      <c r="H26" s="22"/>
      <c r="I26" s="22"/>
      <c r="J26" s="60">
        <f>J27*$H$51</f>
        <v>-647422.73791725317</v>
      </c>
      <c r="K26" s="70">
        <f>IF($N$9="yes",+J26/D26,0)</f>
        <v>-0.18960427166092403</v>
      </c>
      <c r="L26" s="70"/>
      <c r="M26" s="70"/>
    </row>
    <row r="27" spans="1:13" x14ac:dyDescent="0.2">
      <c r="A27" s="20">
        <f t="shared" si="0"/>
        <v>19</v>
      </c>
      <c r="B27" s="11" t="s">
        <v>71</v>
      </c>
      <c r="C27" s="181" t="str">
        <f>C26</f>
        <v>10 (31)</v>
      </c>
      <c r="D27" s="21"/>
      <c r="E27" s="66">
        <v>1410892046.4660163</v>
      </c>
      <c r="F27" s="66">
        <v>183972.35055793452</v>
      </c>
      <c r="G27" s="22">
        <f>+E27/E$51*$G$51</f>
        <v>1.8577334926919122E-2</v>
      </c>
      <c r="H27" s="22">
        <f>+F27/F$51*$H$51</f>
        <v>3.6619788676069097E-2</v>
      </c>
      <c r="I27" s="22">
        <f>G27+H27</f>
        <v>5.5197123602988216E-2</v>
      </c>
      <c r="J27" s="60">
        <f>+I27*$J$57</f>
        <v>-924889.62559607602</v>
      </c>
      <c r="K27" s="68"/>
      <c r="L27" s="68"/>
      <c r="M27" s="68"/>
    </row>
    <row r="28" spans="1:13" x14ac:dyDescent="0.2">
      <c r="A28" s="20">
        <f t="shared" si="0"/>
        <v>20</v>
      </c>
      <c r="B28" s="11"/>
      <c r="C28" s="181"/>
      <c r="D28" s="21"/>
      <c r="E28" s="66"/>
      <c r="F28" s="66"/>
      <c r="G28" s="22"/>
      <c r="H28" s="22"/>
      <c r="I28" s="22"/>
      <c r="J28" s="60"/>
      <c r="K28" s="68"/>
      <c r="L28" s="68"/>
      <c r="M28" s="68"/>
    </row>
    <row r="29" spans="1:13" x14ac:dyDescent="0.2">
      <c r="A29" s="20">
        <f t="shared" si="0"/>
        <v>21</v>
      </c>
      <c r="B29" s="11" t="s">
        <v>72</v>
      </c>
      <c r="C29" s="179">
        <v>35</v>
      </c>
      <c r="D29" s="61">
        <v>6365840</v>
      </c>
      <c r="E29" s="66"/>
      <c r="F29" s="66"/>
      <c r="G29" s="22"/>
      <c r="H29" s="22"/>
      <c r="I29" s="22"/>
      <c r="J29" s="60">
        <f>J31*$G$51</f>
        <v>-791.17584432816591</v>
      </c>
      <c r="K29" s="68">
        <f>IF($N$9="yes",+J29/D29,J31/D29)</f>
        <v>-1.2428459470048979E-4</v>
      </c>
      <c r="L29" s="68"/>
      <c r="M29" s="68"/>
    </row>
    <row r="30" spans="1:13" x14ac:dyDescent="0.2">
      <c r="A30" s="20">
        <f t="shared" si="0"/>
        <v>22</v>
      </c>
      <c r="B30" s="11" t="s">
        <v>73</v>
      </c>
      <c r="C30" s="181">
        <f>C29</f>
        <v>35</v>
      </c>
      <c r="D30" s="61">
        <v>11427.69615721795</v>
      </c>
      <c r="E30" s="66"/>
      <c r="F30" s="66"/>
      <c r="G30" s="22"/>
      <c r="H30" s="22"/>
      <c r="I30" s="22"/>
      <c r="J30" s="60">
        <f>J31*$H$51</f>
        <v>-1846.0769700990536</v>
      </c>
      <c r="K30" s="70">
        <f>IF($N$9="yes",+J30/D30,0)</f>
        <v>-0.16154410693996588</v>
      </c>
      <c r="L30" s="70"/>
      <c r="M30" s="70"/>
    </row>
    <row r="31" spans="1:13" x14ac:dyDescent="0.2">
      <c r="A31" s="20">
        <f t="shared" si="0"/>
        <v>23</v>
      </c>
      <c r="B31" s="11" t="s">
        <v>74</v>
      </c>
      <c r="C31" s="181">
        <f>C30</f>
        <v>35</v>
      </c>
      <c r="D31" s="21"/>
      <c r="E31" s="66">
        <v>5342649.5344676618</v>
      </c>
      <c r="F31" s="66">
        <v>437.2925668304344</v>
      </c>
      <c r="G31" s="22">
        <f>+E31/E$51*$G$51</f>
        <v>7.0347118369233031E-5</v>
      </c>
      <c r="H31" s="22">
        <f>+F31/F$51*$H$51</f>
        <v>8.7043304813912866E-5</v>
      </c>
      <c r="I31" s="22">
        <f>G31+H31</f>
        <v>1.573904231831459E-4</v>
      </c>
      <c r="J31" s="60">
        <f>+I31*$J$57</f>
        <v>-2637.2528144272196</v>
      </c>
      <c r="K31" s="68"/>
      <c r="L31" s="68"/>
      <c r="M31" s="68"/>
    </row>
    <row r="32" spans="1:13" x14ac:dyDescent="0.2">
      <c r="A32" s="20">
        <f t="shared" si="0"/>
        <v>24</v>
      </c>
      <c r="B32" s="11"/>
      <c r="C32" s="181"/>
      <c r="D32" s="21"/>
      <c r="E32" s="66"/>
      <c r="F32" s="66"/>
      <c r="G32" s="22"/>
      <c r="H32" s="22"/>
      <c r="I32" s="22"/>
      <c r="J32" s="60"/>
      <c r="K32" s="68"/>
      <c r="L32" s="68"/>
      <c r="M32" s="68"/>
    </row>
    <row r="33" spans="1:13" x14ac:dyDescent="0.2">
      <c r="A33" s="20">
        <f t="shared" si="0"/>
        <v>25</v>
      </c>
      <c r="B33" s="11" t="s">
        <v>75</v>
      </c>
      <c r="C33" s="179">
        <v>43</v>
      </c>
      <c r="D33" s="61">
        <v>109995270</v>
      </c>
      <c r="E33" s="66"/>
      <c r="F33" s="66"/>
      <c r="G33" s="22"/>
      <c r="H33" s="22"/>
      <c r="I33" s="22"/>
      <c r="J33" s="60">
        <f>J35*$G$51</f>
        <v>-8446.5963227076118</v>
      </c>
      <c r="K33" s="68">
        <f>IF($N$9="yes",+J33/D33,J35/D33)</f>
        <v>-7.6790541290617419E-5</v>
      </c>
      <c r="L33" s="68"/>
      <c r="M33" s="68"/>
    </row>
    <row r="34" spans="1:13" x14ac:dyDescent="0.2">
      <c r="A34" s="20">
        <f t="shared" si="0"/>
        <v>26</v>
      </c>
      <c r="B34" s="11" t="s">
        <v>76</v>
      </c>
      <c r="C34" s="181">
        <f>C33</f>
        <v>43</v>
      </c>
      <c r="D34" s="61">
        <v>512816.45317538717</v>
      </c>
      <c r="E34" s="66"/>
      <c r="F34" s="66"/>
      <c r="G34" s="22"/>
      <c r="H34" s="22"/>
      <c r="I34" s="22"/>
      <c r="J34" s="60">
        <f>J35*$H$51</f>
        <v>-19708.724752984424</v>
      </c>
      <c r="K34" s="70">
        <f>IF($N$9="yes",+J34/D34,0)</f>
        <v>-3.8432317510382001E-2</v>
      </c>
      <c r="L34" s="70"/>
      <c r="M34" s="70"/>
    </row>
    <row r="35" spans="1:13" x14ac:dyDescent="0.2">
      <c r="A35" s="20">
        <f t="shared" si="0"/>
        <v>27</v>
      </c>
      <c r="B35" s="11" t="s">
        <v>77</v>
      </c>
      <c r="C35" s="181">
        <f>C34</f>
        <v>43</v>
      </c>
      <c r="D35" s="21"/>
      <c r="E35" s="66">
        <v>127613728.35415003</v>
      </c>
      <c r="F35" s="66">
        <v>0</v>
      </c>
      <c r="G35" s="22">
        <f>+E35/E$51*$G$51</f>
        <v>1.6803007564229141E-3</v>
      </c>
      <c r="H35" s="22">
        <f>+F35/F$51*$H$51</f>
        <v>0</v>
      </c>
      <c r="I35" s="22">
        <f>G35+H35</f>
        <v>1.6803007564229141E-3</v>
      </c>
      <c r="J35" s="60">
        <f>+I35*$J$57</f>
        <v>-28155.321075692038</v>
      </c>
      <c r="K35" s="68"/>
      <c r="L35" s="68"/>
      <c r="M35" s="68"/>
    </row>
    <row r="36" spans="1:13" x14ac:dyDescent="0.2">
      <c r="A36" s="20">
        <f t="shared" si="0"/>
        <v>28</v>
      </c>
      <c r="B36" s="11"/>
      <c r="C36" s="181"/>
      <c r="D36" s="21"/>
      <c r="E36" s="66"/>
      <c r="F36" s="66"/>
      <c r="G36" s="22"/>
      <c r="H36" s="22"/>
      <c r="I36" s="22"/>
      <c r="J36" s="60"/>
      <c r="K36" s="69"/>
      <c r="L36" s="69"/>
      <c r="M36" s="69"/>
    </row>
    <row r="37" spans="1:13" x14ac:dyDescent="0.2">
      <c r="A37" s="20">
        <f t="shared" si="0"/>
        <v>29</v>
      </c>
      <c r="B37" s="23" t="s">
        <v>78</v>
      </c>
      <c r="C37" s="179">
        <v>46</v>
      </c>
      <c r="D37" s="61">
        <v>94617360</v>
      </c>
      <c r="E37" s="66"/>
      <c r="F37" s="66"/>
      <c r="G37" s="22"/>
      <c r="H37" s="22"/>
      <c r="I37" s="22"/>
      <c r="J37" s="60">
        <f>J39*$G$51</f>
        <v>-6285.5259726732747</v>
      </c>
      <c r="K37" s="68">
        <f>IF($N$9="yes",+J37/D37,J39/D37)</f>
        <v>-6.6431001379379793E-5</v>
      </c>
      <c r="L37" s="68"/>
      <c r="M37" s="68"/>
    </row>
    <row r="38" spans="1:13" x14ac:dyDescent="0.2">
      <c r="A38" s="20">
        <f t="shared" si="0"/>
        <v>30</v>
      </c>
      <c r="B38" s="23" t="s">
        <v>79</v>
      </c>
      <c r="C38" s="181">
        <f>C37</f>
        <v>46</v>
      </c>
      <c r="D38" s="61">
        <v>435203.70801027847</v>
      </c>
      <c r="E38" s="66"/>
      <c r="F38" s="66"/>
      <c r="G38" s="22"/>
      <c r="H38" s="22"/>
      <c r="I38" s="22"/>
      <c r="J38" s="60">
        <f>J39*$H$51</f>
        <v>-14666.227269570973</v>
      </c>
      <c r="K38" s="70">
        <f>IF($N$9="yes",+J38/D38,0)</f>
        <v>-3.3699683618560967E-2</v>
      </c>
      <c r="L38" s="70"/>
      <c r="M38" s="70"/>
    </row>
    <row r="39" spans="1:13" x14ac:dyDescent="0.2">
      <c r="A39" s="20">
        <f t="shared" si="0"/>
        <v>31</v>
      </c>
      <c r="B39" s="23" t="s">
        <v>80</v>
      </c>
      <c r="C39" s="181">
        <f>C38</f>
        <v>46</v>
      </c>
      <c r="D39" s="21"/>
      <c r="E39" s="66">
        <v>94963624.801541045</v>
      </c>
      <c r="F39" s="66">
        <v>0</v>
      </c>
      <c r="G39" s="22">
        <f>+E39/E$51*$G$51</f>
        <v>1.2503940809868365E-3</v>
      </c>
      <c r="H39" s="22">
        <f>+F39/F$51*$H$51</f>
        <v>0</v>
      </c>
      <c r="I39" s="22">
        <f>G39+H39</f>
        <v>1.2503940809868365E-3</v>
      </c>
      <c r="J39" s="60">
        <f>+I39*$J$57</f>
        <v>-20951.753242244249</v>
      </c>
      <c r="K39" s="68"/>
      <c r="L39" s="68"/>
      <c r="M39" s="68"/>
    </row>
    <row r="40" spans="1:13" x14ac:dyDescent="0.2">
      <c r="A40" s="20">
        <f t="shared" si="0"/>
        <v>32</v>
      </c>
      <c r="B40" s="23"/>
      <c r="C40" s="181"/>
      <c r="D40" s="21"/>
      <c r="E40" s="66"/>
      <c r="F40" s="66"/>
      <c r="G40" s="22"/>
      <c r="H40" s="22"/>
      <c r="I40" s="22"/>
      <c r="J40" s="60"/>
      <c r="K40" s="68"/>
      <c r="L40" s="68"/>
      <c r="M40" s="68"/>
    </row>
    <row r="41" spans="1:13" x14ac:dyDescent="0.2">
      <c r="A41" s="20">
        <f t="shared" si="0"/>
        <v>33</v>
      </c>
      <c r="B41" s="23" t="s">
        <v>81</v>
      </c>
      <c r="C41" s="179">
        <v>49</v>
      </c>
      <c r="D41" s="61">
        <v>537210610</v>
      </c>
      <c r="E41" s="66"/>
      <c r="F41" s="66"/>
      <c r="G41" s="22"/>
      <c r="H41" s="22"/>
      <c r="I41" s="22"/>
      <c r="J41" s="60">
        <f>J43*$G$51</f>
        <v>-100954.28424911357</v>
      </c>
      <c r="K41" s="68">
        <f>IF($N$9="yes",+J41/D41,J43/D41)</f>
        <v>-1.8792310198250471E-4</v>
      </c>
      <c r="L41" s="68"/>
      <c r="M41" s="68"/>
    </row>
    <row r="42" spans="1:13" x14ac:dyDescent="0.2">
      <c r="A42" s="20">
        <f t="shared" si="0"/>
        <v>34</v>
      </c>
      <c r="B42" s="23" t="s">
        <v>82</v>
      </c>
      <c r="C42" s="181">
        <f>C41</f>
        <v>49</v>
      </c>
      <c r="D42" s="61">
        <v>1336915.5538150333</v>
      </c>
      <c r="E42" s="66"/>
      <c r="F42" s="66"/>
      <c r="G42" s="22"/>
      <c r="H42" s="22"/>
      <c r="I42" s="22"/>
      <c r="J42" s="60">
        <f>J43*$H$51</f>
        <v>-235559.996581265</v>
      </c>
      <c r="K42" s="70">
        <f>IF($N$9="yes",+J42/D42,0)</f>
        <v>-0.17619661609072393</v>
      </c>
      <c r="L42" s="70"/>
      <c r="M42" s="70"/>
    </row>
    <row r="43" spans="1:13" x14ac:dyDescent="0.2">
      <c r="A43" s="20">
        <f t="shared" si="0"/>
        <v>35</v>
      </c>
      <c r="B43" s="23" t="s">
        <v>83</v>
      </c>
      <c r="C43" s="181">
        <f>C42</f>
        <v>49</v>
      </c>
      <c r="D43" s="21"/>
      <c r="E43" s="66">
        <v>537226148.4278425</v>
      </c>
      <c r="F43" s="66">
        <v>65357.106790461847</v>
      </c>
      <c r="G43" s="22">
        <f>+E43/E$51*$G$51</f>
        <v>7.0737021417344743E-3</v>
      </c>
      <c r="H43" s="22">
        <f>+F43/F$51*$H$51</f>
        <v>1.3009364895798851E-2</v>
      </c>
      <c r="I43" s="22">
        <f>G43+H43</f>
        <v>2.0083067037533327E-2</v>
      </c>
      <c r="J43" s="60">
        <f>+I43*$J$57</f>
        <v>-336514.28083037859</v>
      </c>
      <c r="K43" s="68"/>
      <c r="L43" s="68"/>
      <c r="M43" s="68"/>
    </row>
    <row r="44" spans="1:13" x14ac:dyDescent="0.2">
      <c r="A44" s="20">
        <f t="shared" si="0"/>
        <v>36</v>
      </c>
      <c r="B44" s="23"/>
      <c r="C44" s="181"/>
      <c r="D44" s="21"/>
      <c r="E44" s="66"/>
      <c r="F44" s="66"/>
      <c r="G44" s="22"/>
      <c r="H44" s="22"/>
      <c r="I44" s="22"/>
      <c r="J44" s="60"/>
      <c r="K44" s="69"/>
      <c r="L44" s="69"/>
      <c r="M44" s="69"/>
    </row>
    <row r="45" spans="1:13" x14ac:dyDescent="0.2">
      <c r="A45" s="20">
        <f t="shared" si="0"/>
        <v>37</v>
      </c>
      <c r="B45" s="11" t="s">
        <v>51</v>
      </c>
      <c r="C45" s="179" t="s">
        <v>249</v>
      </c>
      <c r="D45" s="61">
        <v>64706700</v>
      </c>
      <c r="E45" s="66">
        <v>72445888.195832968</v>
      </c>
      <c r="F45" s="66">
        <v>3085.5353551248622</v>
      </c>
      <c r="G45" s="22">
        <f>+E45/E$51*$G$51</f>
        <v>9.5390113826440269E-4</v>
      </c>
      <c r="H45" s="22">
        <f>+F45/F$51*$H$51</f>
        <v>6.1417736042694191E-4</v>
      </c>
      <c r="I45" s="22">
        <f>G45+H45</f>
        <v>1.5680784986913446E-3</v>
      </c>
      <c r="J45" s="60">
        <f>+I45*$J$57</f>
        <v>-26274.911460809883</v>
      </c>
      <c r="K45" s="68">
        <f>+J45/D45</f>
        <v>-4.0606168234216675E-4</v>
      </c>
      <c r="L45" s="68"/>
      <c r="M45" s="68"/>
    </row>
    <row r="46" spans="1:13" x14ac:dyDescent="0.2">
      <c r="A46" s="20">
        <f t="shared" si="0"/>
        <v>38</v>
      </c>
      <c r="B46" s="11"/>
      <c r="C46" s="181"/>
      <c r="D46" s="21"/>
      <c r="E46" s="66"/>
      <c r="F46" s="66"/>
      <c r="G46" s="22"/>
      <c r="H46" s="22"/>
      <c r="I46" s="22"/>
      <c r="J46" s="60"/>
      <c r="K46" s="68"/>
      <c r="L46" s="68"/>
      <c r="M46" s="68"/>
    </row>
    <row r="47" spans="1:13" x14ac:dyDescent="0.2">
      <c r="A47" s="20">
        <f>+A46+1</f>
        <v>39</v>
      </c>
      <c r="B47" s="23" t="s">
        <v>84</v>
      </c>
      <c r="C47" s="179">
        <v>5</v>
      </c>
      <c r="D47" s="61">
        <v>7094190</v>
      </c>
      <c r="E47" s="66">
        <v>7040110.3329880126</v>
      </c>
      <c r="F47" s="66">
        <v>955.25021064582234</v>
      </c>
      <c r="G47" s="22">
        <f>+E47/E$51*$G$51</f>
        <v>9.2697728296062547E-5</v>
      </c>
      <c r="H47" s="22">
        <f>+F47/F$51*$H$51</f>
        <v>1.9014303367072903E-4</v>
      </c>
      <c r="I47" s="22">
        <f>G47+H47</f>
        <v>2.8284076196679155E-4</v>
      </c>
      <c r="J47" s="60">
        <f>+I47*$J$57</f>
        <v>-4739.3137425119849</v>
      </c>
      <c r="K47" s="68">
        <f>+J47/D47</f>
        <v>-6.6805565434700581E-4</v>
      </c>
      <c r="L47" s="68"/>
      <c r="M47" s="68"/>
    </row>
    <row r="48" spans="1:13" x14ac:dyDescent="0.2">
      <c r="A48" s="20">
        <f t="shared" si="0"/>
        <v>40</v>
      </c>
      <c r="B48" s="23"/>
      <c r="C48" s="179"/>
      <c r="D48" s="61"/>
      <c r="E48" s="66"/>
      <c r="F48" s="66"/>
      <c r="G48" s="22"/>
      <c r="H48" s="22"/>
      <c r="I48" s="22"/>
      <c r="J48" s="60"/>
      <c r="K48" s="68"/>
      <c r="L48" s="68"/>
      <c r="M48" s="68"/>
    </row>
    <row r="49" spans="1:13" x14ac:dyDescent="0.2">
      <c r="A49" s="20">
        <f t="shared" si="0"/>
        <v>41</v>
      </c>
      <c r="B49" s="23" t="s">
        <v>218</v>
      </c>
      <c r="C49" s="179">
        <v>558</v>
      </c>
      <c r="D49" s="61">
        <v>4888106.1075181812</v>
      </c>
      <c r="E49" s="189"/>
      <c r="F49" s="189"/>
      <c r="G49" s="189"/>
      <c r="H49" s="189"/>
      <c r="I49" s="22"/>
      <c r="J49" s="60">
        <f>K49*D49</f>
        <v>-3675.627552462432</v>
      </c>
      <c r="K49" s="68">
        <f>SUM(+I11*$J$57,+I15*$J$57,+I19*$J$57)/SUM(D11,D13,D17)</f>
        <v>-7.5195330698920606E-4</v>
      </c>
      <c r="L49" s="68"/>
      <c r="M49" s="68"/>
    </row>
    <row r="50" spans="1:13" x14ac:dyDescent="0.2">
      <c r="A50" s="20">
        <f t="shared" si="0"/>
        <v>42</v>
      </c>
      <c r="B50" s="11"/>
      <c r="C50" s="181"/>
      <c r="D50" s="11"/>
      <c r="E50" s="63"/>
      <c r="F50" s="63"/>
      <c r="G50" s="22"/>
      <c r="H50" s="11"/>
      <c r="I50" s="11"/>
      <c r="J50" s="60"/>
      <c r="K50" s="69"/>
      <c r="L50" s="69"/>
      <c r="M50" s="69"/>
    </row>
    <row r="51" spans="1:13" x14ac:dyDescent="0.2">
      <c r="A51" s="20">
        <f t="shared" si="0"/>
        <v>43</v>
      </c>
      <c r="B51" s="11" t="s">
        <v>44</v>
      </c>
      <c r="C51" s="181"/>
      <c r="D51" s="184">
        <f>SUM(D9,D11,D13,D17,D21,D25,D29,D33,D37,D41,D45,D47,D49)</f>
        <v>21389149380</v>
      </c>
      <c r="E51" s="184">
        <f>SUM(E9:E49)</f>
        <v>22784086931.999985</v>
      </c>
      <c r="F51" s="184">
        <f>SUM(F9:F49)</f>
        <v>3516695.4820444351</v>
      </c>
      <c r="G51" s="185">
        <v>0.3</v>
      </c>
      <c r="H51" s="185">
        <v>0.7</v>
      </c>
      <c r="I51" s="186">
        <f>SUM(I9:I49)</f>
        <v>1</v>
      </c>
      <c r="J51" s="187">
        <f>SUM(J9,J11,J15,J19,J23,J27,J31,J35,J39,J43,J45,J47,J49)</f>
        <v>-16756119.979157848</v>
      </c>
      <c r="K51" s="188"/>
      <c r="L51" s="68"/>
      <c r="M51" s="68"/>
    </row>
    <row r="52" spans="1:13" x14ac:dyDescent="0.2">
      <c r="A52" s="20">
        <f t="shared" si="0"/>
        <v>44</v>
      </c>
      <c r="B52" s="11"/>
      <c r="C52" s="181"/>
      <c r="D52" s="21"/>
      <c r="E52" s="24"/>
      <c r="F52" s="24"/>
      <c r="G52" s="22"/>
      <c r="H52" s="22"/>
      <c r="I52" s="22"/>
      <c r="J52" s="60"/>
      <c r="K52" s="68"/>
      <c r="L52" s="68"/>
      <c r="M52" s="68"/>
    </row>
    <row r="53" spans="1:13" x14ac:dyDescent="0.2">
      <c r="A53" s="20">
        <f t="shared" si="0"/>
        <v>45</v>
      </c>
      <c r="B53" s="183" t="s">
        <v>216</v>
      </c>
      <c r="C53" s="181"/>
      <c r="D53" s="21"/>
      <c r="E53" s="24"/>
      <c r="F53" s="24"/>
      <c r="G53" s="22"/>
      <c r="H53" s="22"/>
      <c r="I53" s="22"/>
      <c r="J53" s="60"/>
      <c r="K53" s="68"/>
      <c r="L53" s="68"/>
      <c r="M53" s="68"/>
    </row>
    <row r="54" spans="1:13" x14ac:dyDescent="0.2">
      <c r="A54" s="20">
        <f t="shared" si="0"/>
        <v>46</v>
      </c>
      <c r="B54" s="11" t="s">
        <v>215</v>
      </c>
      <c r="C54" s="179" t="s">
        <v>38</v>
      </c>
      <c r="D54" s="61">
        <v>329999375.90200001</v>
      </c>
      <c r="E54" s="24"/>
      <c r="F54" s="24"/>
      <c r="G54" s="22"/>
      <c r="H54" s="22"/>
      <c r="I54" s="22"/>
      <c r="J54" s="62">
        <v>0</v>
      </c>
      <c r="K54" s="68">
        <f>+J54/D54</f>
        <v>0</v>
      </c>
      <c r="L54" s="68"/>
      <c r="M54" s="68"/>
    </row>
    <row r="55" spans="1:13" x14ac:dyDescent="0.2">
      <c r="A55" s="20">
        <f t="shared" si="0"/>
        <v>47</v>
      </c>
      <c r="B55" s="11" t="s">
        <v>85</v>
      </c>
      <c r="C55" s="179" t="s">
        <v>250</v>
      </c>
      <c r="D55" s="61">
        <v>1985663180</v>
      </c>
      <c r="E55" s="24"/>
      <c r="F55" s="24"/>
      <c r="G55" s="11"/>
      <c r="H55" s="11"/>
      <c r="I55" s="21"/>
      <c r="J55" s="62">
        <v>0</v>
      </c>
      <c r="K55" s="68">
        <f>+J55/D55</f>
        <v>0</v>
      </c>
      <c r="L55" s="68"/>
      <c r="M55" s="68"/>
    </row>
    <row r="56" spans="1:13" x14ac:dyDescent="0.2">
      <c r="A56" s="20">
        <f t="shared" si="0"/>
        <v>48</v>
      </c>
      <c r="B56" s="11"/>
      <c r="C56" s="180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12" thickBot="1" x14ac:dyDescent="0.25">
      <c r="A57" s="20">
        <f t="shared" si="0"/>
        <v>49</v>
      </c>
      <c r="B57" s="11" t="s">
        <v>2</v>
      </c>
      <c r="C57" s="65"/>
      <c r="D57" s="174">
        <f>SUM(D9,D11,D13,D17,D21,D25,D29,D33,D37,D41,D45,D47,D54,D55,D49)</f>
        <v>23704811935.902</v>
      </c>
      <c r="E57" s="11"/>
      <c r="F57" s="11"/>
      <c r="G57" s="11"/>
      <c r="H57" s="11"/>
      <c r="I57" s="11"/>
      <c r="J57" s="202">
        <v>-16756119.979157848</v>
      </c>
      <c r="K57" s="69"/>
      <c r="L57" s="69"/>
      <c r="M57" s="69"/>
    </row>
    <row r="58" spans="1:13" ht="12" thickTop="1" x14ac:dyDescent="0.2">
      <c r="A58" s="20"/>
      <c r="B58" s="11"/>
      <c r="C58" s="65" t="s">
        <v>103</v>
      </c>
      <c r="D58" s="64">
        <v>0</v>
      </c>
      <c r="E58" s="65">
        <v>0</v>
      </c>
      <c r="F58" s="65">
        <v>0</v>
      </c>
      <c r="G58" s="11"/>
      <c r="H58" s="11"/>
      <c r="I58" s="65" t="s">
        <v>103</v>
      </c>
      <c r="J58" s="64">
        <f>J51-J57</f>
        <v>0</v>
      </c>
      <c r="K58" s="11"/>
      <c r="L58" s="11"/>
      <c r="M58" s="11"/>
    </row>
    <row r="59" spans="1:13" ht="12" thickBot="1" x14ac:dyDescent="0.25">
      <c r="A59" s="25"/>
      <c r="B59" s="26"/>
      <c r="C59" s="175" t="s">
        <v>103</v>
      </c>
      <c r="D59" s="176">
        <v>0</v>
      </c>
      <c r="E59" s="175"/>
      <c r="F59" s="26"/>
      <c r="G59" s="26"/>
      <c r="H59" s="26"/>
      <c r="I59" s="26"/>
      <c r="J59" s="11"/>
      <c r="K59" s="11"/>
      <c r="L59" s="11"/>
      <c r="M59" s="11"/>
    </row>
    <row r="61" spans="1:13" x14ac:dyDescent="0.2">
      <c r="A61" s="173" t="s">
        <v>224</v>
      </c>
    </row>
    <row r="62" spans="1:13" x14ac:dyDescent="0.2">
      <c r="A62" s="173" t="s">
        <v>223</v>
      </c>
    </row>
    <row r="63" spans="1:13" x14ac:dyDescent="0.2">
      <c r="A63" s="173"/>
    </row>
  </sheetData>
  <mergeCells count="1">
    <mergeCell ref="M12:N12"/>
  </mergeCells>
  <dataValidations count="1">
    <dataValidation type="list" allowBlank="1" showInputMessage="1" showErrorMessage="1" sqref="N9" xr:uid="{7985A9BB-4147-475B-A0E0-55CB503ED87E}">
      <formula1>$O$9:$O$10</formula1>
    </dataValidation>
  </dataValidations>
  <printOptions horizontalCentered="1"/>
  <pageMargins left="0.7" right="0.7" top="0.75" bottom="0.75" header="0.3" footer="0.3"/>
  <pageSetup scale="79" fitToHeight="0" orientation="landscape" r:id="rId1"/>
  <headerFooter alignWithMargins="0">
    <oddFooter xml:space="preserve">&amp;L&amp;F
&amp;A&amp;RPage &amp;P of &amp;N
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8"/>
  <sheetViews>
    <sheetView zoomScaleNormal="100" workbookViewId="0">
      <selection activeCell="B2" sqref="B2"/>
    </sheetView>
  </sheetViews>
  <sheetFormatPr defaultColWidth="8.85546875" defaultRowHeight="12.75" x14ac:dyDescent="0.2"/>
  <cols>
    <col min="1" max="1" width="38.28515625" style="32" customWidth="1"/>
    <col min="2" max="2" width="7.85546875" style="32" bestFit="1" customWidth="1"/>
    <col min="3" max="16384" width="8.85546875" style="32"/>
  </cols>
  <sheetData>
    <row r="1" spans="1:2" ht="15" x14ac:dyDescent="0.35">
      <c r="A1" s="33" t="s">
        <v>217</v>
      </c>
      <c r="B1" s="34">
        <v>45658</v>
      </c>
    </row>
    <row r="2" spans="1:2" ht="15" x14ac:dyDescent="0.35">
      <c r="A2" s="33" t="s">
        <v>108</v>
      </c>
      <c r="B2" s="34">
        <v>46023</v>
      </c>
    </row>
    <row r="3" spans="1:2" ht="15" x14ac:dyDescent="0.35">
      <c r="A3" s="35" t="s">
        <v>109</v>
      </c>
      <c r="B3" s="36" t="s">
        <v>165</v>
      </c>
    </row>
    <row r="4" spans="1:2" ht="15" x14ac:dyDescent="0.35">
      <c r="A4" s="35" t="s">
        <v>110</v>
      </c>
      <c r="B4" s="37">
        <v>46023</v>
      </c>
    </row>
    <row r="5" spans="1:2" ht="15" x14ac:dyDescent="0.35">
      <c r="A5" s="35" t="s">
        <v>111</v>
      </c>
      <c r="B5" s="37">
        <v>46387</v>
      </c>
    </row>
    <row r="6" spans="1:2" ht="15" x14ac:dyDescent="0.35">
      <c r="A6" s="35"/>
      <c r="B6" s="36"/>
    </row>
    <row r="7" spans="1:2" ht="15" x14ac:dyDescent="0.35">
      <c r="A7" s="33"/>
      <c r="B7" s="37"/>
    </row>
    <row r="8" spans="1:2" ht="15" x14ac:dyDescent="0.35">
      <c r="A8" s="35"/>
      <c r="B8" s="37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3 I x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G 3 I x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y M V s o i k e 4 D g A A A B E A A A A T A B w A R m 9 y b X V s Y X M v U 2 V j d G l v b j E u b S C i G A A o o B Q A A A A A A A A A A A A A A A A A A A A A A A A A A A A r T k 0 u y c z P U w i G 0 I b W A F B L A Q I t A B Q A A g A I A B t y M V t L Q M D j p A A A A P Y A A A A S A A A A A A A A A A A A A A A A A A A A A A B D b 2 5 m a W c v U G F j a 2 F n Z S 5 4 b W x Q S w E C L Q A U A A I A C A A b c j F b D 8 r p q 6 Q A A A D p A A A A E w A A A A A A A A A A A A A A A A D w A A A A W 0 N v b n R l b n R f V H l w Z X N d L n h t b F B L A Q I t A B Q A A g A I A B t y M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x 4 v d w k p e x S J j 5 k v i a 3 w 3 x A A A A A A I A A A A A A B B m A A A A A Q A A I A A A A J 4 Y O J X S Z I r b 8 J S x y 6 2 F R 9 0 q J U k f H F 4 U p b 3 H S 8 l P 6 1 2 s A A A A A A 6 A A A A A A g A A I A A A A K K / A z A p I 1 i i 7 x 7 u f C 8 O l 4 K 8 y 1 a 4 2 i O Z z 7 a E h Q S q 1 r 1 v U A A A A N p M 0 a W h Y P h g p 9 C p X q 4 J R L k a t 2 4 Q t C s r V Y 0 A g 1 6 U 9 W z u j d h 8 U h J f M d 1 9 b B R b r 6 T v 8 Y b 6 E d k s S t J c R m 8 s J l 6 W N h E 4 x t m d E m V O L 6 f g + s Q E 0 p p e Q A A A A G k + 3 7 Y l 5 Q J c q S j T u E v G a c K m M 0 d V E H 9 M F c v h 8 u X 1 p S u Z L J f A N H H V Z z l Y q X k t f m k w Y 3 2 d d s i R 5 G K P 1 W d G c + G E F G w = < / D a t a M a s h u p > 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D0CFAC4342187A4D9EC5B5DA179D0B3F" ma:contentTypeVersion="19" ma:contentTypeDescription="" ma:contentTypeScope="" ma:versionID="bb95518803de2b783df3d46dcd95c0c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2025-09-30T07:00:00+00:00</OpenedDate>
    <SignificantOrder xmlns="dc463f71-b30c-4ab2-9473-d307f9d35888">false</SignificantOrder>
    <Date1 xmlns="dc463f71-b30c-4ab2-9473-d307f9d35888">2025-09-30T07:00:00+00:00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250733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313E67EE-46D2-4832-A221-475F4C67451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3BF65C8-B9FC-430D-AB9B-FDFE0BBCDA7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4CE7A310-310A-4B12-931E-DB1588B3A75C}"/>
</file>

<file path=customXml/itemProps4.xml><?xml version="1.0" encoding="utf-8"?>
<ds:datastoreItem xmlns:ds="http://schemas.openxmlformats.org/officeDocument/2006/customXml" ds:itemID="{F3831468-BB27-490A-9F3B-CD1270C0122F}"/>
</file>

<file path=customXml/itemProps5.xml><?xml version="1.0" encoding="utf-8"?>
<ds:datastoreItem xmlns:ds="http://schemas.openxmlformats.org/officeDocument/2006/customXml" ds:itemID="{F7F10AAE-BF3C-4687-B2C9-7F131A46FA1D}"/>
</file>

<file path=customXml/itemProps6.xml><?xml version="1.0" encoding="utf-8"?>
<ds:datastoreItem xmlns:ds="http://schemas.openxmlformats.org/officeDocument/2006/customXml" ds:itemID="{CB5F6E82-BA2E-4C87-9557-293C93E107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Sch 141COL Rates</vt:lpstr>
      <vt:lpstr>Lighting Rates</vt:lpstr>
      <vt:lpstr>Rate Impacts</vt:lpstr>
      <vt:lpstr>Workpapers -&gt;</vt:lpstr>
      <vt:lpstr>Lighting RD</vt:lpstr>
      <vt:lpstr>Rate Spread and Design</vt:lpstr>
      <vt:lpstr>Inputs</vt:lpstr>
      <vt:lpstr>'Rate Spread and Design'!Print_Area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prasan</dc:creator>
  <cp:lastModifiedBy>Waltari, Julie</cp:lastModifiedBy>
  <cp:lastPrinted>2021-03-15T17:22:18Z</cp:lastPrinted>
  <dcterms:created xsi:type="dcterms:W3CDTF">2014-04-04T17:25:38Z</dcterms:created>
  <dcterms:modified xsi:type="dcterms:W3CDTF">2025-09-29T18:07:39Z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2024-09-26T19:27:16Z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8c6d12e5-5def-46ae-a421-d9d847106d7e</vt:lpwstr>
  </property>
  <property fmtid="{D5CDD505-2E9C-101B-9397-08002B2CF9AE}" pid="8" name="MSIP_Label_b689cc04-6351-41d8-9f1d-a834e5351c1d_ContentBits">
    <vt:lpwstr>0</vt:lpwstr>
  </property>
  <property fmtid="{D5CDD505-2E9C-101B-9397-08002B2CF9AE}" pid="9" name="ContentTypeId">
    <vt:lpwstr>0x0101006E56B4D1795A2E4DB2F0B01679ED314A00D0CFAC4342187A4D9EC5B5DA179D0B3F</vt:lpwstr>
  </property>
  <property fmtid="{D5CDD505-2E9C-101B-9397-08002B2CF9AE}" pid="10" name="_docset_NoMedatataSyncRequired">
    <vt:lpwstr>False</vt:lpwstr>
  </property>
</Properties>
</file>