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nx.org\Regions\Western Region\2000 Western Region Office\WUTC\WUTC-Vashon  2132\Misc Filings\B&amp;O Tax Increase 10.2025\"/>
    </mc:Choice>
  </mc:AlternateContent>
  <xr:revisionPtr revIDLastSave="0" documentId="13_ncr:1_{C61E6B18-971A-4DBC-B5C0-9B8A37C24348}" xr6:coauthVersionLast="47" xr6:coauthVersionMax="47" xr10:uidLastSave="{00000000-0000-0000-0000-000000000000}"/>
  <bookViews>
    <workbookView xWindow="-108" yWindow="-108" windowWidth="23256" windowHeight="12576" activeTab="3" xr2:uid="{F19D11C3-1BBE-43AC-A1DB-EF752AA7FAD6}"/>
  </bookViews>
  <sheets>
    <sheet name="Vashon Rate Sheet" sheetId="1" r:id="rId1"/>
    <sheet name="Vashon Price Out" sheetId="2" r:id="rId2"/>
    <sheet name="LG BRG - Vashon MSW" sheetId="3" r:id="rId3"/>
    <sheet name="LG BRG -Vashon Recycle" sheetId="4" r:id="rId4"/>
  </sheets>
  <definedNames>
    <definedName name="\A" localSheetId="1">#REF!</definedName>
    <definedName name="\A" localSheetId="0">#REF!</definedName>
    <definedName name="\A">#REF!</definedName>
    <definedName name="\c">#REF!</definedName>
    <definedName name="\D" localSheetId="2">#REF!</definedName>
    <definedName name="\D" localSheetId="3">#REF!</definedName>
    <definedName name="\D" localSheetId="0">#REF!</definedName>
    <definedName name="\D">#REF!</definedName>
    <definedName name="\E">#REF!</definedName>
    <definedName name="\R">#REF!</definedName>
    <definedName name="\S" localSheetId="2">#REF!</definedName>
    <definedName name="\S" localSheetId="3">#REF!</definedName>
    <definedName name="\S" localSheetId="1">#REF!</definedName>
    <definedName name="\S" localSheetId="0">#REF!</definedName>
    <definedName name="\S">#REF!</definedName>
    <definedName name="\Y" localSheetId="2">#REF!</definedName>
    <definedName name="\Y" localSheetId="3">#REF!</definedName>
    <definedName name="\Y" localSheetId="0">#REF!</definedName>
    <definedName name="\Y">#REF!</definedName>
    <definedName name="\z" localSheetId="0">#REF!</definedName>
    <definedName name="\z">#REF!</definedName>
    <definedName name="______________CYA1">#REF!</definedName>
    <definedName name="______________CYA10">#REF!</definedName>
    <definedName name="______________CYA11">#REF!</definedName>
    <definedName name="______________CYA2">#REF!</definedName>
    <definedName name="______________CYA3">#REF!</definedName>
    <definedName name="______________CYA4">#REF!</definedName>
    <definedName name="______________CYA5">#REF!</definedName>
    <definedName name="______________CYA6">#REF!</definedName>
    <definedName name="______________CYA7">#REF!</definedName>
    <definedName name="______________CYA8">#REF!</definedName>
    <definedName name="______________CYA9">#REF!</definedName>
    <definedName name="______________LYA12">#REF!</definedName>
    <definedName name="_____________CYA1">#REF!</definedName>
    <definedName name="_____________CYA10">#REF!</definedName>
    <definedName name="_____________CYA11">#REF!</definedName>
    <definedName name="_____________CYA2">#REF!</definedName>
    <definedName name="_____________CYA3">#REF!</definedName>
    <definedName name="_____________CYA4">#REF!</definedName>
    <definedName name="_____________CYA5">#REF!</definedName>
    <definedName name="_____________CYA6">#REF!</definedName>
    <definedName name="_____________CYA7">#REF!</definedName>
    <definedName name="_____________CYA8">#REF!</definedName>
    <definedName name="_____________CYA9">#REF!</definedName>
    <definedName name="_____________LYA12">#REF!</definedName>
    <definedName name="____________CYA1">#REF!</definedName>
    <definedName name="____________CYA10">#REF!</definedName>
    <definedName name="____________CYA11">#REF!</definedName>
    <definedName name="____________CYA2">#REF!</definedName>
    <definedName name="____________CYA3">#REF!</definedName>
    <definedName name="____________CYA4">#REF!</definedName>
    <definedName name="____________CYA5">#REF!</definedName>
    <definedName name="____________CYA6">#REF!</definedName>
    <definedName name="____________CYA7">#REF!</definedName>
    <definedName name="____________CYA8">#REF!</definedName>
    <definedName name="____________CYA9">#REF!</definedName>
    <definedName name="____________LYA12">#REF!</definedName>
    <definedName name="___________CYA1">#REF!</definedName>
    <definedName name="___________CYA10">#REF!</definedName>
    <definedName name="___________CYA11">#REF!</definedName>
    <definedName name="___________CYA2">#REF!</definedName>
    <definedName name="___________CYA3">#REF!</definedName>
    <definedName name="___________CYA4">#REF!</definedName>
    <definedName name="___________CYA5">#REF!</definedName>
    <definedName name="___________CYA6">#REF!</definedName>
    <definedName name="___________CYA7">#REF!</definedName>
    <definedName name="___________CYA8">#REF!</definedName>
    <definedName name="___________CYA9">#REF!</definedName>
    <definedName name="___________LYA12">#REF!</definedName>
    <definedName name="__________CYA1">#REF!</definedName>
    <definedName name="__________CYA10">#REF!</definedName>
    <definedName name="__________CYA11">#REF!</definedName>
    <definedName name="__________CYA2">#REF!</definedName>
    <definedName name="__________CYA3">#REF!</definedName>
    <definedName name="__________CYA4">#REF!</definedName>
    <definedName name="__________CYA5">#REF!</definedName>
    <definedName name="__________CYA6">#REF!</definedName>
    <definedName name="__________CYA7">#REF!</definedName>
    <definedName name="__________CYA8">#REF!</definedName>
    <definedName name="__________CYA9">#REF!</definedName>
    <definedName name="__________LYA12">#REF!</definedName>
    <definedName name="_________CYA1">#REF!</definedName>
    <definedName name="_________CYA10">#REF!</definedName>
    <definedName name="_________CYA11">#REF!</definedName>
    <definedName name="_________CYA2">#REF!</definedName>
    <definedName name="_________CYA3">#REF!</definedName>
    <definedName name="_________CYA4">#REF!</definedName>
    <definedName name="_________CYA5">#REF!</definedName>
    <definedName name="_________CYA6">#REF!</definedName>
    <definedName name="_________CYA7">#REF!</definedName>
    <definedName name="_________CYA8">#REF!</definedName>
    <definedName name="_________CYA9">#REF!</definedName>
    <definedName name="_________LYA12">#REF!</definedName>
    <definedName name="________CYA1">#REF!</definedName>
    <definedName name="________CYA10">#REF!</definedName>
    <definedName name="________CYA11">#REF!</definedName>
    <definedName name="________CYA2">#REF!</definedName>
    <definedName name="________CYA3">#REF!</definedName>
    <definedName name="________CYA4">#REF!</definedName>
    <definedName name="________CYA5">#REF!</definedName>
    <definedName name="________CYA6">#REF!</definedName>
    <definedName name="________CYA7">#REF!</definedName>
    <definedName name="________CYA8">#REF!</definedName>
    <definedName name="________CYA9">#REF!</definedName>
    <definedName name="________LYA12">#REF!</definedName>
    <definedName name="_______CYA1">#REF!</definedName>
    <definedName name="_______CYA10">#REF!</definedName>
    <definedName name="_______CYA11">#REF!</definedName>
    <definedName name="_______CYA2">#REF!</definedName>
    <definedName name="_______CYA3">#REF!</definedName>
    <definedName name="_______CYA4">#REF!</definedName>
    <definedName name="_______CYA5">#REF!</definedName>
    <definedName name="_______CYA6">#REF!</definedName>
    <definedName name="_______CYA7">#REF!</definedName>
    <definedName name="_______CYA8">#REF!</definedName>
    <definedName name="_______CYA9">#REF!</definedName>
    <definedName name="_______LYA12">#REF!</definedName>
    <definedName name="______ACT1">#REF!</definedName>
    <definedName name="______ACT2">#REF!</definedName>
    <definedName name="______ACT3">#REF!</definedName>
    <definedName name="______CYA1">#REF!</definedName>
    <definedName name="______CYA10">#REF!</definedName>
    <definedName name="______CYA11">#REF!</definedName>
    <definedName name="______CYA2">#REF!</definedName>
    <definedName name="______CYA3">#REF!</definedName>
    <definedName name="______CYA4">#REF!</definedName>
    <definedName name="______CYA5">#REF!</definedName>
    <definedName name="______CYA6">#REF!</definedName>
    <definedName name="______CYA7">#REF!</definedName>
    <definedName name="______CYA8">#REF!</definedName>
    <definedName name="______CYA9">#REF!</definedName>
    <definedName name="______LYA12">#REF!</definedName>
    <definedName name="_____ACT1">#REF!</definedName>
    <definedName name="_____ACT2">#REF!</definedName>
    <definedName name="_____ACT3">#REF!</definedName>
    <definedName name="_____CYA1">#REF!</definedName>
    <definedName name="_____CYA10">#REF!</definedName>
    <definedName name="_____CYA11">#REF!</definedName>
    <definedName name="_____CYA2">#REF!</definedName>
    <definedName name="_____CYA3">#REF!</definedName>
    <definedName name="_____CYA4">#REF!</definedName>
    <definedName name="_____CYA5">#REF!</definedName>
    <definedName name="_____CYA6">#REF!</definedName>
    <definedName name="_____CYA7">#REF!</definedName>
    <definedName name="_____CYA8">#REF!</definedName>
    <definedName name="_____CYA9">#REF!</definedName>
    <definedName name="_____LYA12">#REF!</definedName>
    <definedName name="____ACT1">#REF!</definedName>
    <definedName name="____ACT2">#REF!</definedName>
    <definedName name="____ACT3">#REF!</definedName>
    <definedName name="____CYA1">#REF!</definedName>
    <definedName name="____CYA10">#REF!</definedName>
    <definedName name="____CYA11">#REF!</definedName>
    <definedName name="____CYA2">#REF!</definedName>
    <definedName name="____CYA3">#REF!</definedName>
    <definedName name="____CYA4">#REF!</definedName>
    <definedName name="____CYA5">#REF!</definedName>
    <definedName name="____CYA6">#REF!</definedName>
    <definedName name="____CYA7">#REF!</definedName>
    <definedName name="____CYA8">#REF!</definedName>
    <definedName name="____CYA9">#REF!</definedName>
    <definedName name="____LYA12">#REF!</definedName>
    <definedName name="___ACT1">#REF!</definedName>
    <definedName name="___ACT2">#REF!</definedName>
    <definedName name="___ACT3">#REF!</definedName>
    <definedName name="___CYA1">#REF!</definedName>
    <definedName name="___CYA10">#REF!</definedName>
    <definedName name="___CYA11">#REF!</definedName>
    <definedName name="___CYA2">#REF!</definedName>
    <definedName name="___CYA3">#REF!</definedName>
    <definedName name="___CYA4">#REF!</definedName>
    <definedName name="___CYA5">#REF!</definedName>
    <definedName name="___CYA6">#REF!</definedName>
    <definedName name="___CYA7">#REF!</definedName>
    <definedName name="___CYA8">#REF!</definedName>
    <definedName name="___CYA9">#REF!</definedName>
    <definedName name="___LYA12">#REF!</definedName>
    <definedName name="__ACT1" localSheetId="2">#REF!</definedName>
    <definedName name="__ACT1" localSheetId="3">#REF!</definedName>
    <definedName name="__ACT1" localSheetId="1">#REF!</definedName>
    <definedName name="__ACT1">#REF!</definedName>
    <definedName name="__ACT2" localSheetId="3">#REF!</definedName>
    <definedName name="__ACT2" localSheetId="1">#REF!</definedName>
    <definedName name="__ACT2">#REF!</definedName>
    <definedName name="__ACT3" localSheetId="3">#REF!</definedName>
    <definedName name="__ACT3" localSheetId="1">#REF!</definedName>
    <definedName name="__ACT3">#REF!</definedName>
    <definedName name="__CYA1">#REF!</definedName>
    <definedName name="__CYA10">#REF!</definedName>
    <definedName name="__CYA11">#REF!</definedName>
    <definedName name="__CYA2">#REF!</definedName>
    <definedName name="__CYA3">#REF!</definedName>
    <definedName name="__CYA4">#REF!</definedName>
    <definedName name="__CYA5">#REF!</definedName>
    <definedName name="__CYA6">#REF!</definedName>
    <definedName name="__CYA7">#REF!</definedName>
    <definedName name="__CYA8">#REF!</definedName>
    <definedName name="__CYA9">#REF!</definedName>
    <definedName name="__LYA1">#REF!</definedName>
    <definedName name="__LYA10">#REF!</definedName>
    <definedName name="__LYA11">#REF!</definedName>
    <definedName name="__LYA12">#REF!</definedName>
    <definedName name="__LYA2">#REF!</definedName>
    <definedName name="__LYA3">#REF!</definedName>
    <definedName name="__LYA4">#REF!</definedName>
    <definedName name="__LYA5">#REF!</definedName>
    <definedName name="__LYA6">#REF!</definedName>
    <definedName name="__LYA7">#REF!</definedName>
    <definedName name="__LYA8">#REF!</definedName>
    <definedName name="__LYA9">#REF!</definedName>
    <definedName name="_123Graph_g" hidden="1">#REF!</definedName>
    <definedName name="_13054">#REF!</definedName>
    <definedName name="_132" hidden="1">#REF!</definedName>
    <definedName name="_132Graph_h" localSheetId="2" hidden="1">#REF!</definedName>
    <definedName name="_132Graph_h" localSheetId="3" hidden="1">#REF!</definedName>
    <definedName name="_132Graph_h" localSheetId="1" hidden="1">#REF!</definedName>
    <definedName name="_132Graph_h" localSheetId="0" hidden="1">#REF!</definedName>
    <definedName name="_132Graph_h" hidden="1">#REF!</definedName>
    <definedName name="_ACT1" localSheetId="2">#REF!</definedName>
    <definedName name="_ACT1" localSheetId="3">#REF!</definedName>
    <definedName name="_ACT1" localSheetId="1">#REF!</definedName>
    <definedName name="_ACT1" localSheetId="0">#REF!</definedName>
    <definedName name="_ACT1">#REF!</definedName>
    <definedName name="_ACT2" localSheetId="2">#REF!</definedName>
    <definedName name="_ACT2" localSheetId="3">#REF!</definedName>
    <definedName name="_ACT2" localSheetId="0">#REF!</definedName>
    <definedName name="_ACT2">#REF!</definedName>
    <definedName name="_ACT3" localSheetId="2">#REF!</definedName>
    <definedName name="_ACT3" localSheetId="3">#REF!</definedName>
    <definedName name="_ACT3">#REF!</definedName>
    <definedName name="_ACT4">#REF!</definedName>
    <definedName name="_BUN1">#REF!</definedName>
    <definedName name="_BUN3">#REF!</definedName>
    <definedName name="_COS1" localSheetId="2">#REF!</definedName>
    <definedName name="_COS1" localSheetId="3">#REF!</definedName>
    <definedName name="_COS1" localSheetId="1">#REF!</definedName>
    <definedName name="_COS1" localSheetId="0">#REF!</definedName>
    <definedName name="_COS1">#REF!</definedName>
    <definedName name="_COS2" localSheetId="2">#REF!</definedName>
    <definedName name="_COS2" localSheetId="3">#REF!</definedName>
    <definedName name="_COS2" localSheetId="1">#REF!</definedName>
    <definedName name="_COS2" localSheetId="0">#REF!</definedName>
    <definedName name="_COS2">#REF!</definedName>
    <definedName name="_CYA1">#REF!</definedName>
    <definedName name="_CYA10">#REF!</definedName>
    <definedName name="_CYA11">#REF!</definedName>
    <definedName name="_CYA2">#REF!</definedName>
    <definedName name="_CYA3">#REF!</definedName>
    <definedName name="_CYA4">#REF!</definedName>
    <definedName name="_CYA5">#REF!</definedName>
    <definedName name="_CYA6">#REF!</definedName>
    <definedName name="_CYA7">#REF!</definedName>
    <definedName name="_CYA8">#REF!</definedName>
    <definedName name="_CYA9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'Vashon Price Out'!$B$5:$AP$158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hidden="1">#REF!</definedName>
    <definedName name="_key5" hidden="1">#REF!</definedName>
    <definedName name="_LYA1">#REF!</definedName>
    <definedName name="_LYA10">#REF!</definedName>
    <definedName name="_LYA11">#REF!</definedName>
    <definedName name="_LYA12">#REF!</definedName>
    <definedName name="_LYA2">#REF!</definedName>
    <definedName name="_LYA3">#REF!</definedName>
    <definedName name="_LYA4">#REF!</definedName>
    <definedName name="_LYA5">#REF!</definedName>
    <definedName name="_LYA6">#REF!</definedName>
    <definedName name="_LYA7">#REF!</definedName>
    <definedName name="_LYA8">#REF!</definedName>
    <definedName name="_LYA9">#REF!</definedName>
    <definedName name="_max" localSheetId="2" hidden="1">#REF!</definedName>
    <definedName name="_max" localSheetId="3" hidden="1">#REF!</definedName>
    <definedName name="_max" localSheetId="1" hidden="1">#REF!</definedName>
    <definedName name="_max" localSheetId="0" hidden="1">#REF!</definedName>
    <definedName name="_max" hidden="1">#REF!</definedName>
    <definedName name="_Mon" localSheetId="2" hidden="1">#REF!</definedName>
    <definedName name="_Mon" localSheetId="3" hidden="1">#REF!</definedName>
    <definedName name="_Mon" localSheetId="0" hidden="1">#REF!</definedName>
    <definedName name="_Mon" hidden="1">#REF!</definedName>
    <definedName name="_Order1" hidden="1">255</definedName>
    <definedName name="_Order2" hidden="1">255</definedName>
    <definedName name="_Order3" hidden="1">0</definedName>
    <definedName name="_PER1">#REF!</definedName>
    <definedName name="_PER2">#REF!</definedName>
    <definedName name="_PER3">#REF!</definedName>
    <definedName name="_PER4">#REF!</definedName>
    <definedName name="_PER5">#REF!</definedName>
    <definedName name="_Regression_Int">0</definedName>
    <definedName name="_SFD1">#REF!</definedName>
    <definedName name="_SFD3">#REF!</definedName>
    <definedName name="_SFV1">#REF!</definedName>
    <definedName name="_SFV4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_Sort1" hidden="1">#REF!</definedName>
    <definedName name="_sort3" hidden="1">#REF!</definedName>
    <definedName name="a" localSheetId="2">#REF!</definedName>
    <definedName name="a" localSheetId="3">#REF!</definedName>
    <definedName name="a" localSheetId="1">#REF!</definedName>
    <definedName name="a" localSheetId="0">#REF!</definedName>
    <definedName name="a">#REF!</definedName>
    <definedName name="aaaaaaa" localSheetId="2">rank</definedName>
    <definedName name="aaaaaaa" localSheetId="3">rank</definedName>
    <definedName name="aaaaaaa" localSheetId="1">rank</definedName>
    <definedName name="aaaaaaa" localSheetId="0">rank</definedName>
    <definedName name="aaaaaaa">rank</definedName>
    <definedName name="Accounts" localSheetId="3">#REF!</definedName>
    <definedName name="Accounts" localSheetId="0">#REF!</definedName>
    <definedName name="Accounts">#REF!</definedName>
    <definedName name="ACCT" localSheetId="2">#REF!</definedName>
    <definedName name="ACCT" localSheetId="3">#REF!</definedName>
    <definedName name="ACCT" localSheetId="0">#REF!</definedName>
    <definedName name="ACCT">#REF!</definedName>
    <definedName name="ACCT.ConsolSum">#REF!</definedName>
    <definedName name="AcctName">#REF!</definedName>
    <definedName name="ACT_CUR" localSheetId="2">#REF!</definedName>
    <definedName name="ACT_CUR" localSheetId="3">#REF!</definedName>
    <definedName name="ACT_CUR" localSheetId="1">#REF!</definedName>
    <definedName name="ACT_CUR" localSheetId="0">#REF!</definedName>
    <definedName name="ACT_CUR">#REF!</definedName>
    <definedName name="ACT_YTD" localSheetId="2">#REF!</definedName>
    <definedName name="ACT_YTD" localSheetId="3">#REF!</definedName>
    <definedName name="ACT_YTD" localSheetId="0">#REF!</definedName>
    <definedName name="ACT_YTD">#REF!</definedName>
    <definedName name="AD">#REF!</definedName>
    <definedName name="adfd" localSheetId="2">rank</definedName>
    <definedName name="adfd" localSheetId="3">rank</definedName>
    <definedName name="adfd" localSheetId="1">rank</definedName>
    <definedName name="adfd" localSheetId="0">rank</definedName>
    <definedName name="adfd">rank</definedName>
    <definedName name="ADK">#REF!</definedName>
    <definedName name="afsdfsdfsd" localSheetId="2">#REF!</definedName>
    <definedName name="afsdfsdfsd" localSheetId="3">#REF!</definedName>
    <definedName name="afsdfsdfsd" localSheetId="1">#REF!</definedName>
    <definedName name="afsdfsdfsd" localSheetId="0">#REF!</definedName>
    <definedName name="afsdfsdfsd">#REF!</definedName>
    <definedName name="AmountCount" localSheetId="2">#REF!</definedName>
    <definedName name="AmountCount" localSheetId="3">#REF!</definedName>
    <definedName name="AmountCount" localSheetId="0">#REF!</definedName>
    <definedName name="AmountCount">#REF!</definedName>
    <definedName name="AmountCount1" localSheetId="2">#REF!</definedName>
    <definedName name="AmountCount1" localSheetId="3">#REF!</definedName>
    <definedName name="AmountCount1" localSheetId="0">#REF!</definedName>
    <definedName name="AmountCount1">#REF!</definedName>
    <definedName name="AmountFrom" localSheetId="3">#REF!</definedName>
    <definedName name="AmountFrom" localSheetId="0">#REF!</definedName>
    <definedName name="AmountFrom">#REF!</definedName>
    <definedName name="AmountTo" localSheetId="3">#REF!</definedName>
    <definedName name="AmountTo" localSheetId="0">#REF!</definedName>
    <definedName name="AmountTo">#REF!</definedName>
    <definedName name="AmountTotal" localSheetId="2">#REF!</definedName>
    <definedName name="AmountTotal" localSheetId="3">#REF!</definedName>
    <definedName name="AmountTotal" localSheetId="0">#REF!</definedName>
    <definedName name="AmountTotal">#REF!</definedName>
    <definedName name="AmountTotal1" localSheetId="2">#REF!</definedName>
    <definedName name="AmountTotal1" localSheetId="3">#REF!</definedName>
    <definedName name="AmountTotal1" localSheetId="0">#REF!</definedName>
    <definedName name="AmountTotal1">#REF!</definedName>
    <definedName name="AOK" localSheetId="0">#REF!</definedName>
    <definedName name="AOK">#REF!</definedName>
    <definedName name="APA" localSheetId="0">#REF!</definedName>
    <definedName name="APA">#REF!</definedName>
    <definedName name="APN" localSheetId="0">#REF!</definedName>
    <definedName name="APN">#REF!</definedName>
    <definedName name="ASD">#REF!</definedName>
    <definedName name="AST">#REF!</definedName>
    <definedName name="BaseMonthDate">#REF!</definedName>
    <definedName name="BaseMonthDate2">#REF!</definedName>
    <definedName name="BaseMonthDate3">#REF!</definedName>
    <definedName name="BaseYear" localSheetId="1">#REF!</definedName>
    <definedName name="BaseYear" localSheetId="0">#REF!</definedName>
    <definedName name="BaseYear">#REF!</definedName>
    <definedName name="BEGCELL" localSheetId="1">#REF!</definedName>
    <definedName name="BEGCELL" localSheetId="0">#REF!</definedName>
    <definedName name="BEGCELL">#REF!</definedName>
    <definedName name="begin" localSheetId="1">#REF!</definedName>
    <definedName name="begin" localSheetId="0">#REF!</definedName>
    <definedName name="begin">#REF!</definedName>
    <definedName name="BookRev" localSheetId="2">#REF!</definedName>
    <definedName name="BookRev" localSheetId="3">#REF!</definedName>
    <definedName name="BookRev">#REF!</definedName>
    <definedName name="BookRev_com" localSheetId="2">#REF!</definedName>
    <definedName name="BookRev_com" localSheetId="3">#REF!</definedName>
    <definedName name="BookRev_com">#REF!</definedName>
    <definedName name="BookRev_mfr" localSheetId="2">#REF!</definedName>
    <definedName name="BookRev_mfr" localSheetId="3">#REF!</definedName>
    <definedName name="BookRev_mfr">#REF!</definedName>
    <definedName name="BookRev_ro" localSheetId="2">#REF!</definedName>
    <definedName name="BookRev_ro" localSheetId="3">#REF!</definedName>
    <definedName name="BookRev_ro">#REF!</definedName>
    <definedName name="BookRev_rr" localSheetId="2">#REF!</definedName>
    <definedName name="BookRev_rr" localSheetId="3">#REF!</definedName>
    <definedName name="BookRev_rr">#REF!</definedName>
    <definedName name="BookRev_yw" localSheetId="2">#REF!</definedName>
    <definedName name="BookRev_yw" localSheetId="3">#REF!</definedName>
    <definedName name="BookRev_yw">#REF!</definedName>
    <definedName name="BREMAIR_COST_of_SERVICE_STUDY" localSheetId="2">#REF!</definedName>
    <definedName name="BREMAIR_COST_of_SERVICE_STUDY" localSheetId="3">#REF!</definedName>
    <definedName name="BREMAIR_COST_of_SERVICE_STUDY" localSheetId="1">#REF!</definedName>
    <definedName name="BREMAIR_COST_of_SERVICE_STUDY" localSheetId="0">#REF!</definedName>
    <definedName name="BREMAIR_COST_of_SERVICE_STUDY">#REF!</definedName>
    <definedName name="Brokerage">#REF!</definedName>
    <definedName name="BUD_CUR" localSheetId="2">#REF!</definedName>
    <definedName name="BUD_CUR" localSheetId="3">#REF!</definedName>
    <definedName name="BUD_CUR" localSheetId="1">#REF!</definedName>
    <definedName name="BUD_CUR" localSheetId="0">#REF!</definedName>
    <definedName name="BUD_CUR">#REF!</definedName>
    <definedName name="BUD_YTD" localSheetId="2">#REF!</definedName>
    <definedName name="BUD_YTD" localSheetId="3">#REF!</definedName>
    <definedName name="BUD_YTD" localSheetId="0">#REF!</definedName>
    <definedName name="BUD_YTD">#REF!</definedName>
    <definedName name="BUN">#REF!</definedName>
    <definedName name="BusUnitCode">#REF!</definedName>
    <definedName name="BusUnitName">#REF!</definedName>
    <definedName name="BUV">#REF!</definedName>
    <definedName name="Calc">#REF!</definedName>
    <definedName name="Calc0">#REF!</definedName>
    <definedName name="Calc1">#REF!</definedName>
    <definedName name="Calc10">#REF!</definedName>
    <definedName name="Calc11">#REF!</definedName>
    <definedName name="Calc12">#REF!</definedName>
    <definedName name="Calc13">#REF!</definedName>
    <definedName name="Calc14">#REF!</definedName>
    <definedName name="Calc15">#REF!</definedName>
    <definedName name="Calc16">#REF!</definedName>
    <definedName name="Calc17">#REF!</definedName>
    <definedName name="Calc18">#REF!</definedName>
    <definedName name="Calc2">#REF!</definedName>
    <definedName name="Calc3">#REF!</definedName>
    <definedName name="Calc4">#REF!</definedName>
    <definedName name="Calc5">#REF!</definedName>
    <definedName name="Calc6">#REF!</definedName>
    <definedName name="Calc7">#REF!</definedName>
    <definedName name="Calc8">#REF!</definedName>
    <definedName name="Calc9">#REF!</definedName>
    <definedName name="CalRecyTons" localSheetId="2">#REF!</definedName>
    <definedName name="CalRecyTons" localSheetId="3">#REF!</definedName>
    <definedName name="CalRecyTons">#REF!</definedName>
    <definedName name="CanCartTons">#REF!</definedName>
    <definedName name="CheckTotals" localSheetId="2">#REF!</definedName>
    <definedName name="CheckTotals" localSheetId="3">#REF!</definedName>
    <definedName name="CheckTotals" localSheetId="1">#REF!</definedName>
    <definedName name="CheckTotals" localSheetId="0">#REF!</definedName>
    <definedName name="CheckTotals">#REF!</definedName>
    <definedName name="clear" localSheetId="0">#REF!</definedName>
    <definedName name="clear">#REF!</definedName>
    <definedName name="CoCanTons">#REF!</definedName>
    <definedName name="CoComYd">#REF!</definedName>
    <definedName name="CoCustCnt" localSheetId="2">#REF!</definedName>
    <definedName name="CoCustCnt" localSheetId="3">#REF!</definedName>
    <definedName name="CoCustCnt" localSheetId="1">#REF!</definedName>
    <definedName name="CoCustCnt" localSheetId="0">#REF!</definedName>
    <definedName name="CoCustCnt">#REF!</definedName>
    <definedName name="colgroup">#REF!</definedName>
    <definedName name="colsegment">#REF!</definedName>
    <definedName name="Comments">#REF!:INDEX(#REF!,SUMPRODUCT(--(#REF!&lt;&gt;"")))</definedName>
    <definedName name="CommlStaffPriceOut" localSheetId="3">#REF!</definedName>
    <definedName name="CommlStaffPriceOut" localSheetId="1">#REF!</definedName>
    <definedName name="CommlStaffPriceOut" localSheetId="0">#REF!</definedName>
    <definedName name="CommlStaffPriceOut">#REF!</definedName>
    <definedName name="CoMultiYd">#REF!</definedName>
    <definedName name="ContainerTons">#REF!</definedName>
    <definedName name="ControlNumber">#REF!</definedName>
    <definedName name="COST_OF_SERVICE_STUDY" localSheetId="2">#REF!</definedName>
    <definedName name="COST_OF_SERVICE_STUDY" localSheetId="3">#REF!</definedName>
    <definedName name="COST_OF_SERVICE_STUDY" localSheetId="1">#REF!</definedName>
    <definedName name="COST_OF_SERVICE_STUDY" localSheetId="0">#REF!</definedName>
    <definedName name="COST_OF_SERVICE_STUDY">#REF!</definedName>
    <definedName name="Coststudy" localSheetId="1">#REF!</definedName>
    <definedName name="Coststudy" localSheetId="0">#REF!</definedName>
    <definedName name="Coststudy">#REF!</definedName>
    <definedName name="CoXtraYds" localSheetId="2">#REF!</definedName>
    <definedName name="CoXtraYds" localSheetId="3">#REF!</definedName>
    <definedName name="CoXtraYds" localSheetId="1">#REF!</definedName>
    <definedName name="CoXtraYds" localSheetId="0">#REF!</definedName>
    <definedName name="CoXtraYds">#REF!</definedName>
    <definedName name="CR" localSheetId="2">#REF!</definedName>
    <definedName name="CR" localSheetId="3">#REF!</definedName>
    <definedName name="CR" localSheetId="0">#REF!</definedName>
    <definedName name="CR">#REF!</definedName>
    <definedName name="CRCTable" localSheetId="2">#REF!</definedName>
    <definedName name="CRCTable" localSheetId="3">#REF!</definedName>
    <definedName name="CRCTable" localSheetId="0">#REF!</definedName>
    <definedName name="CRCTable">#REF!</definedName>
    <definedName name="CRCTableOLD" localSheetId="2">#REF!</definedName>
    <definedName name="CRCTableOLD" localSheetId="3">#REF!</definedName>
    <definedName name="CRCTableOLD" localSheetId="0">#REF!</definedName>
    <definedName name="CRCTableOLD">#REF!</definedName>
    <definedName name="CriteriaType">#REF!</definedName>
    <definedName name="CtyCanTons">#REF!</definedName>
    <definedName name="CtyComYd">#REF!</definedName>
    <definedName name="CtyCustCnt" localSheetId="2">#REF!</definedName>
    <definedName name="CtyCustCnt" localSheetId="3">#REF!</definedName>
    <definedName name="CtyCustCnt" localSheetId="1">#REF!</definedName>
    <definedName name="CtyCustCnt" localSheetId="0">#REF!</definedName>
    <definedName name="CtyCustCnt">#REF!</definedName>
    <definedName name="CtyMultiYd">#REF!</definedName>
    <definedName name="CtyXtraYds" localSheetId="2">#REF!</definedName>
    <definedName name="CtyXtraYds" localSheetId="3">#REF!</definedName>
    <definedName name="CtyXtraYds" localSheetId="1">#REF!</definedName>
    <definedName name="CtyXtraYds" localSheetId="0">#REF!</definedName>
    <definedName name="CtyXtraYds">#REF!</definedName>
    <definedName name="CUR" localSheetId="1">#REF!</definedName>
    <definedName name="CUR" localSheetId="0">#REF!</definedName>
    <definedName name="CUR">#REF!</definedName>
    <definedName name="Currency">#REF!</definedName>
    <definedName name="CurrentMonth" localSheetId="2">#REF!</definedName>
    <definedName name="CurrentMonth" localSheetId="3">#REF!</definedName>
    <definedName name="CurrentMonth" localSheetId="1">#REF!</definedName>
    <definedName name="CurrentMonth" localSheetId="0">#REF!</definedName>
    <definedName name="CurrentMonth">#REF!</definedName>
    <definedName name="Cutomers" localSheetId="2">#REF!</definedName>
    <definedName name="Cutomers" localSheetId="3">#REF!</definedName>
    <definedName name="Cutomers" localSheetId="0">#REF!</definedName>
    <definedName name="Cutomers">#REF!</definedName>
    <definedName name="CWR">#REF!</definedName>
    <definedName name="CWRS" localSheetId="1">#REF!</definedName>
    <definedName name="CWRS" localSheetId="0">#REF!</definedName>
    <definedName name="CWRS">#REF!</definedName>
    <definedName name="CYear" localSheetId="0">#REF!</definedName>
    <definedName name="CYear">#REF!</definedName>
    <definedName name="dasd" localSheetId="2">rank</definedName>
    <definedName name="dasd" localSheetId="3">rank</definedName>
    <definedName name="dasd" localSheetId="1">rank</definedName>
    <definedName name="dasd" localSheetId="0">rank</definedName>
    <definedName name="dasd">rank</definedName>
    <definedName name="Data_End_Test" localSheetId="1">#REF!</definedName>
    <definedName name="Data_End_Test" localSheetId="0">#REF!</definedName>
    <definedName name="Data_End_Test">#REF!</definedName>
    <definedName name="Data_Start_Test" localSheetId="1">#REF!</definedName>
    <definedName name="Data_Start_Test" localSheetId="0">#REF!</definedName>
    <definedName name="Data_Start_Test">#REF!</definedName>
    <definedName name="_xlnm.Database" localSheetId="2">#REF!</definedName>
    <definedName name="_xlnm.Database" localSheetId="3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1" localSheetId="2">#REF!</definedName>
    <definedName name="Database1" localSheetId="3">#REF!</definedName>
    <definedName name="Database1" localSheetId="0">#REF!</definedName>
    <definedName name="Database1">#REF!</definedName>
    <definedName name="DateFrom" localSheetId="2">#REF!</definedName>
    <definedName name="DateFrom" localSheetId="3">#REF!</definedName>
    <definedName name="DateFrom" localSheetId="1">#REF!</definedName>
    <definedName name="DateFrom" localSheetId="0">#REF!</definedName>
    <definedName name="DateFrom">#REF!</definedName>
    <definedName name="DateRange" localSheetId="0">#REF!</definedName>
    <definedName name="DateRange">#REF!</definedName>
    <definedName name="DateTo" localSheetId="2">#REF!</definedName>
    <definedName name="DateTo" localSheetId="3">#REF!</definedName>
    <definedName name="DateTo" localSheetId="1">#REF!</definedName>
    <definedName name="DateTo" localSheetId="0">#REF!</definedName>
    <definedName name="DateTo">#REF!</definedName>
    <definedName name="DAY" localSheetId="0">#REF!</definedName>
    <definedName name="DAY">#REF!</definedName>
    <definedName name="DBxStaffPriceOut" localSheetId="3">#REF!</definedName>
    <definedName name="DBxStaffPriceOut">#REF!</definedName>
    <definedName name="DEBITS">#REF!</definedName>
    <definedName name="Debt_Rate" localSheetId="2">'LG BRG - Vashon MSW'!$K$27</definedName>
    <definedName name="Debt_Rate" localSheetId="3">'LG BRG -Vashon Recycle'!$K$27</definedName>
    <definedName name="debtP" localSheetId="2">'LG BRG - Vashon MSW'!$I$27</definedName>
    <definedName name="debtP" localSheetId="3">'LG BRG -Vashon Recycle'!$I$27</definedName>
    <definedName name="debtP" localSheetId="1">#REF!</definedName>
    <definedName name="debtP" localSheetId="0">#REF!</definedName>
    <definedName name="debtP">#REF!</definedName>
    <definedName name="DeleteCMReconBook">#REF!</definedName>
    <definedName name="deletion" localSheetId="1">#REF!</definedName>
    <definedName name="deletion" localSheetId="0">#REF!</definedName>
    <definedName name="deletion">#REF!</definedName>
    <definedName name="DEPT" localSheetId="2">#REF!</definedName>
    <definedName name="DEPT" localSheetId="3">#REF!</definedName>
    <definedName name="DEPT">#REF!</definedName>
    <definedName name="Detail" localSheetId="1">#REF!</definedName>
    <definedName name="Detail" localSheetId="0">#REF!</definedName>
    <definedName name="Detail">#REF!</definedName>
    <definedName name="DetailBudYear" localSheetId="2">#REF!</definedName>
    <definedName name="DetailBudYear" localSheetId="3">#REF!</definedName>
    <definedName name="DetailBudYear" localSheetId="1">#REF!</definedName>
    <definedName name="DetailBudYear" localSheetId="0">#REF!</definedName>
    <definedName name="DetailBudYear">#REF!</definedName>
    <definedName name="DetailDistrict" localSheetId="2">#REF!</definedName>
    <definedName name="DetailDistrict" localSheetId="3">#REF!</definedName>
    <definedName name="DetailDistrict" localSheetId="1">#REF!</definedName>
    <definedName name="DetailDistrict" localSheetId="0">#REF!</definedName>
    <definedName name="DetailDistrict">#REF!</definedName>
    <definedName name="DispRates" localSheetId="0">#REF!</definedName>
    <definedName name="DispRates">#REF!</definedName>
    <definedName name="Dist" localSheetId="2">#REF!</definedName>
    <definedName name="Dist" localSheetId="3">#REF!</definedName>
    <definedName name="Dist" localSheetId="0">#REF!</definedName>
    <definedName name="Dist">#REF!</definedName>
    <definedName name="District" localSheetId="2">#REF!</definedName>
    <definedName name="District" localSheetId="3">#REF!</definedName>
    <definedName name="District" localSheetId="1">#REF!</definedName>
    <definedName name="District" localSheetId="0">#REF!</definedName>
    <definedName name="District">#REF!</definedName>
    <definedName name="DistrictName">#REF!</definedName>
    <definedName name="DistrictNum" localSheetId="2">#REF!</definedName>
    <definedName name="DistrictNum" localSheetId="3">#REF!</definedName>
    <definedName name="DistrictNum" localSheetId="1">#REF!</definedName>
    <definedName name="DistrictNum" localSheetId="0">#REF!</definedName>
    <definedName name="DistrictNum">#REF!</definedName>
    <definedName name="Districts" localSheetId="3">#REF!</definedName>
    <definedName name="Districts" localSheetId="0">#REF!</definedName>
    <definedName name="Districts">#REF!</definedName>
    <definedName name="DistrictSelection">#REF!</definedName>
    <definedName name="DistStaffSignOffStatus">#REF!</definedName>
    <definedName name="DivisionSignOffReq">#REF!</definedName>
    <definedName name="DivSignOffStatus">#REF!</definedName>
    <definedName name="dOG" localSheetId="2">#REF!</definedName>
    <definedName name="dOG" localSheetId="3">#REF!</definedName>
    <definedName name="dOG" localSheetId="1">#REF!</definedName>
    <definedName name="dOG" localSheetId="0">#REF!</definedName>
    <definedName name="dOG">#REF!</definedName>
    <definedName name="drlFilter">#REF!</definedName>
    <definedName name="End" localSheetId="2">#REF!</definedName>
    <definedName name="End" localSheetId="3">#REF!</definedName>
    <definedName name="End" localSheetId="1">#REF!</definedName>
    <definedName name="End" localSheetId="0">#REF!</definedName>
    <definedName name="End">#REF!</definedName>
    <definedName name="EndTime" localSheetId="1">#REF!</definedName>
    <definedName name="EndTime" localSheetId="0">#REF!</definedName>
    <definedName name="EndTime">#REF!</definedName>
    <definedName name="EntrieShownLimit" localSheetId="2">#REF!</definedName>
    <definedName name="EntrieShownLimit" localSheetId="3">#REF!</definedName>
    <definedName name="EntrieShownLimit" localSheetId="1">#REF!</definedName>
    <definedName name="EntrieShownLimit" localSheetId="0">#REF!</definedName>
    <definedName name="EntrieShownLimit">#REF!</definedName>
    <definedName name="Equity_percent" localSheetId="2">'LG BRG - Vashon MSW'!$S$57</definedName>
    <definedName name="Equity_percent" localSheetId="3">'LG BRG -Vashon Recycle'!$S$57</definedName>
    <definedName name="equityP" localSheetId="2">'LG BRG - Vashon MSW'!$I$26</definedName>
    <definedName name="equityP" localSheetId="3">'LG BRG -Vashon Recycle'!$I$26</definedName>
    <definedName name="ExcludeIC" localSheetId="2">#REF!</definedName>
    <definedName name="ExcludeIC" localSheetId="3">#REF!</definedName>
    <definedName name="ExcludeIC" localSheetId="1">#REF!</definedName>
    <definedName name="ExcludeIC">#REF!</definedName>
    <definedName name="expenses" localSheetId="2">'LG BRG - Vashon MSW'!$I$8</definedName>
    <definedName name="expenses" localSheetId="3">'LG BRG -Vashon Recycle'!$I$8</definedName>
    <definedName name="expenses" localSheetId="1">#REF!</definedName>
    <definedName name="expenses" localSheetId="0">#REF!</definedName>
    <definedName name="expenses">#REF!</definedName>
    <definedName name="ExpensesPF1" localSheetId="2">#REF!</definedName>
    <definedName name="ExpensesPF1" localSheetId="3">#REF!</definedName>
    <definedName name="ExpensesPF1" localSheetId="1">#REF!</definedName>
    <definedName name="ExpensesPF1" localSheetId="0">#REF!</definedName>
    <definedName name="ExpensesPF1">#REF!</definedName>
    <definedName name="EXT" localSheetId="2">#REF!</definedName>
    <definedName name="EXT" localSheetId="3">#REF!</definedName>
    <definedName name="EXT" localSheetId="1">#REF!</definedName>
    <definedName name="EXT" localSheetId="0">#REF!</definedName>
    <definedName name="EXT">#REF!</definedName>
    <definedName name="FBTable" localSheetId="2">#REF!</definedName>
    <definedName name="FBTable" localSheetId="3">#REF!</definedName>
    <definedName name="FBTable" localSheetId="0">#REF!</definedName>
    <definedName name="FBTable">#REF!</definedName>
    <definedName name="FBTableOld" localSheetId="2">#REF!</definedName>
    <definedName name="FBTableOld" localSheetId="3">#REF!</definedName>
    <definedName name="FBTableOld" localSheetId="0">#REF!</definedName>
    <definedName name="FBTableOld">#REF!</definedName>
    <definedName name="filter">#REF!</definedName>
    <definedName name="Financial">#REF!</definedName>
    <definedName name="FirstColCriteria">#REF!</definedName>
    <definedName name="FirstHeaderCriteria">#REF!</definedName>
    <definedName name="flag">#REF!</definedName>
    <definedName name="Format_Column" localSheetId="1">#REF!</definedName>
    <definedName name="Format_Column" localSheetId="0">#REF!</definedName>
    <definedName name="Format_Column">#REF!</definedName>
    <definedName name="formata" localSheetId="1">#REF!</definedName>
    <definedName name="formata" localSheetId="0">#REF!</definedName>
    <definedName name="formata">#REF!</definedName>
    <definedName name="formatb" localSheetId="1">#REF!</definedName>
    <definedName name="formatb" localSheetId="0">#REF!</definedName>
    <definedName name="formatb">#REF!</definedName>
    <definedName name="FromMonth" localSheetId="2">#REF!</definedName>
    <definedName name="FromMonth" localSheetId="3">#REF!</definedName>
    <definedName name="FromMonth" localSheetId="0">#REF!</definedName>
    <definedName name="FromMonth">#REF!</definedName>
    <definedName name="FundsApprPend" localSheetId="2">#REF!</definedName>
    <definedName name="FundsApprPend" localSheetId="3">#REF!</definedName>
    <definedName name="FundsApprPend" localSheetId="0">#REF!</definedName>
    <definedName name="FundsApprPend">#REF!</definedName>
    <definedName name="FundsBudUnbud" localSheetId="2">#REF!</definedName>
    <definedName name="FundsBudUnbud" localSheetId="3">#REF!</definedName>
    <definedName name="FundsBudUnbud" localSheetId="0">#REF!</definedName>
    <definedName name="FundsBudUnbud">#REF!</definedName>
    <definedName name="FY">#REF!</definedName>
    <definedName name="GLMappingStart" localSheetId="2">#REF!</definedName>
    <definedName name="GLMappingStart" localSheetId="3">#REF!</definedName>
    <definedName name="GLMappingStart" localSheetId="1">#REF!</definedName>
    <definedName name="GLMappingStart" localSheetId="0">#REF!</definedName>
    <definedName name="GLMappingStart">#REF!</definedName>
    <definedName name="GLMappingStart1" localSheetId="2">#REF!</definedName>
    <definedName name="GLMappingStart1" localSheetId="3">#REF!</definedName>
    <definedName name="GLMappingStart1" localSheetId="0">#REF!</definedName>
    <definedName name="GLMappingStart1">#REF!</definedName>
    <definedName name="GRETABLE">#REF!</definedName>
    <definedName name="HeaderReturnMessage">#REF!</definedName>
    <definedName name="Heading1">#REF!</definedName>
    <definedName name="IDN">#REF!</definedName>
    <definedName name="IFN">#REF!</definedName>
    <definedName name="Import_Range" localSheetId="2">#REF!</definedName>
    <definedName name="Import_Range" localSheetId="3">#REF!</definedName>
    <definedName name="Import_Range" localSheetId="1">#REF!</definedName>
    <definedName name="Import_Range" localSheetId="0">#REF!</definedName>
    <definedName name="Import_Range">#REF!</definedName>
    <definedName name="IncomeStmnt" localSheetId="2">#REF!</definedName>
    <definedName name="IncomeStmnt" localSheetId="3">#REF!</definedName>
    <definedName name="IncomeStmnt" localSheetId="1">#REF!</definedName>
    <definedName name="IncomeStmnt" localSheetId="0">#REF!</definedName>
    <definedName name="IncomeStmnt">#REF!</definedName>
    <definedName name="INPUT" localSheetId="2">'LG BRG - Vashon MSW'!#REF!</definedName>
    <definedName name="INPUT" localSheetId="3">'LG BRG -Vashon Recycle'!#REF!</definedName>
    <definedName name="INPUT" localSheetId="0">#REF!</definedName>
    <definedName name="INPUT">#REF!</definedName>
    <definedName name="INPUTc" localSheetId="2">#REF!</definedName>
    <definedName name="INPUTc" localSheetId="3">#REF!</definedName>
    <definedName name="INPUTc" localSheetId="0">#REF!</definedName>
    <definedName name="INPUTc">#REF!</definedName>
    <definedName name="InsertColRange" localSheetId="0">#REF!</definedName>
    <definedName name="InsertColRange">#REF!</definedName>
    <definedName name="Insurance" localSheetId="2">#REF!</definedName>
    <definedName name="Insurance" localSheetId="3">#REF!</definedName>
    <definedName name="Insurance" localSheetId="1">#REF!</definedName>
    <definedName name="Insurance" localSheetId="0">#REF!</definedName>
    <definedName name="Insurance">#REF!</definedName>
    <definedName name="Interject_LastPulledValues_BalanceRange" localSheetId="3">#REF!</definedName>
    <definedName name="Interject_LastPulledValues_BalanceRange" localSheetId="1">#REF!</definedName>
    <definedName name="Interject_LastPulledValues_BalanceRange" localSheetId="0">#REF!</definedName>
    <definedName name="Interject_LastPulledValues_DescriptionRange" localSheetId="3">#REF!</definedName>
    <definedName name="Interject_LastPulledValues_DescriptionRange" localSheetId="1">#REF!</definedName>
    <definedName name="Interject_LastPulledValues_DescriptionRange" localSheetId="0">#REF!</definedName>
    <definedName name="Interject_LastPulledValues_LastChangeGUID" localSheetId="3">#REF!</definedName>
    <definedName name="Interject_LastPulledValues_LastChangeGUID" localSheetId="1">#REF!</definedName>
    <definedName name="Interject_LastPulledValues_LastChangeGUID" localSheetId="0">#REF!</definedName>
    <definedName name="Interject_LastPulledValues_PreviousLastChangeGUID" localSheetId="3">#REF!</definedName>
    <definedName name="Interject_LastPulledValues_PreviousLastChangeGUID" localSheetId="1">#REF!</definedName>
    <definedName name="Interject_LastPulledValues_PreviousLastChangeGUID" localSheetId="0">#REF!</definedName>
    <definedName name="Investment" localSheetId="2">'LG BRG - Vashon MSW'!$J$28</definedName>
    <definedName name="Investment" localSheetId="3">'LG BRG -Vashon Recycle'!$J$28</definedName>
    <definedName name="Invoice_Start" localSheetId="2">#REF!</definedName>
    <definedName name="Invoice_Start" localSheetId="3">#REF!</definedName>
    <definedName name="Invoice_Start" localSheetId="0">#REF!</definedName>
    <definedName name="Invoice_Star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EDetail" localSheetId="2">#REF!</definedName>
    <definedName name="JEDetail" localSheetId="3">#REF!</definedName>
    <definedName name="JEDetail" localSheetId="0">#REF!</definedName>
    <definedName name="JEDetail">#REF!</definedName>
    <definedName name="JEDetail1" localSheetId="2">#REF!</definedName>
    <definedName name="JEDetail1" localSheetId="3">#REF!</definedName>
    <definedName name="JEDetail1" localSheetId="0">#REF!</definedName>
    <definedName name="JEDetail1">#REF!</definedName>
    <definedName name="JEType" localSheetId="2">#REF!</definedName>
    <definedName name="JEType" localSheetId="3">#REF!</definedName>
    <definedName name="JEType" localSheetId="0">#REF!</definedName>
    <definedName name="JEType">#REF!</definedName>
    <definedName name="JEType1" localSheetId="2">#REF!</definedName>
    <definedName name="JEType1" localSheetId="3">#REF!</definedName>
    <definedName name="JEType1" localSheetId="0">#REF!</definedName>
    <definedName name="JEType1">#REF!</definedName>
    <definedName name="Juris1CanCount">#REF!</definedName>
    <definedName name="Juris1CanTons">#REF!</definedName>
    <definedName name="Juris1ComYd">#REF!</definedName>
    <definedName name="Juris1CustCnt">#REF!</definedName>
    <definedName name="Juris1MultiYd">#REF!</definedName>
    <definedName name="Juris1SeasonalYds">#REF!</definedName>
    <definedName name="Juris1XtraYds">#REF!</definedName>
    <definedName name="Juris2CanCount">#REF!</definedName>
    <definedName name="Juris2CanTons">#REF!</definedName>
    <definedName name="Juris2ComYd">#REF!</definedName>
    <definedName name="Juris2CustCnt">#REF!</definedName>
    <definedName name="Juris2MultiYd">#REF!</definedName>
    <definedName name="Juris2SeasonalYds">#REF!</definedName>
    <definedName name="Juris2XtraYds">#REF!</definedName>
    <definedName name="Juris3CanCount">#REF!</definedName>
    <definedName name="Juris3CanTons">#REF!</definedName>
    <definedName name="Juris3ComYd">#REF!</definedName>
    <definedName name="Juris3CustCnt">#REF!</definedName>
    <definedName name="Juris3MultiYd">#REF!</definedName>
    <definedName name="Juris3SeasonalYds">#REF!</definedName>
    <definedName name="Juris3XtraYds">#REF!</definedName>
    <definedName name="Juris4CanCount">#REF!</definedName>
    <definedName name="Juris4CanTons">#REF!</definedName>
    <definedName name="Juris4ComYd">#REF!</definedName>
    <definedName name="Juris4CustCnt">#REF!</definedName>
    <definedName name="Juris4MultiYd">#REF!</definedName>
    <definedName name="Juris4SeasonalYds">#REF!</definedName>
    <definedName name="Juris4XtraYds">#REF!</definedName>
    <definedName name="Juris5CanCount">#REF!</definedName>
    <definedName name="Juris5CanTons">#REF!</definedName>
    <definedName name="Juris5ComYD">#REF!</definedName>
    <definedName name="Juris5CustCnt">#REF!</definedName>
    <definedName name="Juris5MultiYd">#REF!</definedName>
    <definedName name="Juris5SeasonalYds">#REF!</definedName>
    <definedName name="Juris5XtraYds">#REF!</definedName>
    <definedName name="Jurisdiction_1">#REF!</definedName>
    <definedName name="Jurisdiction_2">#REF!</definedName>
    <definedName name="Jurisdiction_3">#REF!</definedName>
    <definedName name="Jurisdiction_4">#REF!</definedName>
    <definedName name="Jurisdiction_5">#REF!</definedName>
    <definedName name="LAST_ROW">#REF!</definedName>
    <definedName name="LastExecutedFor">#REF!</definedName>
    <definedName name="LastSavedOn">#REF!</definedName>
    <definedName name="lblBillAreaStatus" localSheetId="2">#REF!</definedName>
    <definedName name="lblBillAreaStatus" localSheetId="3">#REF!</definedName>
    <definedName name="lblBillAreaStatus" localSheetId="1">#REF!</definedName>
    <definedName name="lblBillAreaStatus" localSheetId="0">#REF!</definedName>
    <definedName name="lblBillAreaStatus">#REF!</definedName>
    <definedName name="lblBillCycleStatus" localSheetId="2">#REF!</definedName>
    <definedName name="lblBillCycleStatus" localSheetId="3">#REF!</definedName>
    <definedName name="lblBillCycleStatus" localSheetId="0">#REF!</definedName>
    <definedName name="lblBillCycleStatus">#REF!</definedName>
    <definedName name="lblCategoryStatus" localSheetId="2">#REF!</definedName>
    <definedName name="lblCategoryStatus" localSheetId="3">#REF!</definedName>
    <definedName name="lblCategoryStatus" localSheetId="0">#REF!</definedName>
    <definedName name="lblCategoryStatus">#REF!</definedName>
    <definedName name="lblCompanyStatus" localSheetId="2">#REF!</definedName>
    <definedName name="lblCompanyStatus" localSheetId="3">#REF!</definedName>
    <definedName name="lblCompanyStatus" localSheetId="0">#REF!</definedName>
    <definedName name="lblCompanyStatus">#REF!</definedName>
    <definedName name="lblDatabaseStatus" localSheetId="2">#REF!</definedName>
    <definedName name="lblDatabaseStatus" localSheetId="3">#REF!</definedName>
    <definedName name="lblDatabaseStatus" localSheetId="0">#REF!</definedName>
    <definedName name="lblDatabaseStatus">#REF!</definedName>
    <definedName name="lblPullStatus" localSheetId="2">#REF!</definedName>
    <definedName name="lblPullStatus" localSheetId="3">#REF!</definedName>
    <definedName name="lblPullStatus" localSheetId="0">#REF!</definedName>
    <definedName name="lblPullStatus">#REF!</definedName>
    <definedName name="lllllllllllllllllllll" localSheetId="2">#REF!</definedName>
    <definedName name="lllllllllllllllllllll" localSheetId="3">#REF!</definedName>
    <definedName name="lllllllllllllllllllll" localSheetId="0">#REF!</definedName>
    <definedName name="lllllllllllllllllllll">#REF!</definedName>
    <definedName name="LOB" localSheetId="2">#REF!</definedName>
    <definedName name="LOB" localSheetId="3">#REF!</definedName>
    <definedName name="LOB" localSheetId="0">#REF!</definedName>
    <definedName name="LOB">#REF!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U_Line" localSheetId="2">#REF!</definedName>
    <definedName name="LU_Line" localSheetId="3">#REF!</definedName>
    <definedName name="LU_Line" localSheetId="1">#REF!</definedName>
    <definedName name="LU_Line" localSheetId="0">#REF!</definedName>
    <definedName name="LU_Line">#REF!</definedName>
    <definedName name="Lurito" localSheetId="1">#REF!</definedName>
    <definedName name="Lurito" localSheetId="0">#REF!</definedName>
    <definedName name="Lurito">#REF!</definedName>
    <definedName name="LYN" localSheetId="1">#REF!</definedName>
    <definedName name="LYN" localSheetId="0">#REF!</definedName>
    <definedName name="LYN">#REF!</definedName>
    <definedName name="MainDataEnd" localSheetId="2">#REF!</definedName>
    <definedName name="MainDataEnd" localSheetId="3">#REF!</definedName>
    <definedName name="MainDataEnd" localSheetId="1">#REF!</definedName>
    <definedName name="MainDataEnd" localSheetId="0">#REF!</definedName>
    <definedName name="MainDataEnd">#REF!</definedName>
    <definedName name="MainDataStart" localSheetId="2">#REF!</definedName>
    <definedName name="MainDataStart" localSheetId="3">#REF!</definedName>
    <definedName name="MainDataStart" localSheetId="0">#REF!</definedName>
    <definedName name="MainDataStart">#REF!</definedName>
    <definedName name="MapKeyStart" localSheetId="2">#REF!</definedName>
    <definedName name="MapKeyStart" localSheetId="3">#REF!</definedName>
    <definedName name="MapKeyStart" localSheetId="0">#REF!</definedName>
    <definedName name="MapKeyStart">#REF!</definedName>
    <definedName name="master_def" localSheetId="2">#REF!</definedName>
    <definedName name="master_def" localSheetId="3">#REF!</definedName>
    <definedName name="master_def" localSheetId="0">#REF!</definedName>
    <definedName name="master_def">#REF!</definedName>
    <definedName name="MATRIX" localSheetId="2">#REF!</definedName>
    <definedName name="MATRIX" localSheetId="3">#REF!</definedName>
    <definedName name="MATRIX" localSheetId="0">#REF!</definedName>
    <definedName name="MATRIX">#REF!</definedName>
    <definedName name="MemoAttachment" localSheetId="2">#REF!</definedName>
    <definedName name="MemoAttachment" localSheetId="3">#REF!</definedName>
    <definedName name="MemoAttachment" localSheetId="0">#REF!</definedName>
    <definedName name="MemoAttachment">#REF!</definedName>
    <definedName name="MetaSet">#REF!</definedName>
    <definedName name="MFStaffPriceOut" localSheetId="3">#REF!</definedName>
    <definedName name="MFStaffPriceOut" localSheetId="1">#REF!</definedName>
    <definedName name="MFStaffPriceOut" localSheetId="0">#REF!</definedName>
    <definedName name="MFStaffPriceOut">#REF!</definedName>
    <definedName name="MILTON" localSheetId="2">#REF!</definedName>
    <definedName name="MILTON" localSheetId="3">#REF!</definedName>
    <definedName name="MILTON" localSheetId="0">#REF!</definedName>
    <definedName name="MILTON">#REF!</definedName>
    <definedName name="MissingAccountList">#REF!</definedName>
    <definedName name="Month" localSheetId="2">#REF!</definedName>
    <definedName name="Month" localSheetId="3">#REF!</definedName>
    <definedName name="Month" localSheetId="1">#REF!</definedName>
    <definedName name="Month" localSheetId="0">#REF!</definedName>
    <definedName name="Month">#REF!</definedName>
    <definedName name="MonthList" localSheetId="2">#REF!</definedName>
    <definedName name="MonthList" localSheetId="3">#REF!</definedName>
    <definedName name="MonthList" localSheetId="0">#REF!</definedName>
    <definedName name="MonthList">#REF!</definedName>
    <definedName name="MthValue">#REF!</definedName>
    <definedName name="NarrThreshold_Doll">#REF!</definedName>
    <definedName name="NarrThreshold_Perc">#REF!</definedName>
    <definedName name="New" localSheetId="1">#REF!</definedName>
    <definedName name="New" localSheetId="0">#REF!</definedName>
    <definedName name="New">#REF!</definedName>
    <definedName name="NewAccountCheck">#REF!</definedName>
    <definedName name="NewLob" localSheetId="2">#REF!</definedName>
    <definedName name="NewLob" localSheetId="3">#REF!</definedName>
    <definedName name="NewLob" localSheetId="0">#REF!</definedName>
    <definedName name="NewLob">#REF!</definedName>
    <definedName name="NewOnlyOrg">#N/A</definedName>
    <definedName name="NewSource" localSheetId="2">#REF!</definedName>
    <definedName name="NewSource" localSheetId="3">#REF!</definedName>
    <definedName name="NewSource" localSheetId="0">#REF!</definedName>
    <definedName name="NewSource">#REF!</definedName>
    <definedName name="nn" localSheetId="2">#REF!</definedName>
    <definedName name="nn" localSheetId="3">#REF!</definedName>
    <definedName name="nn" localSheetId="1">#REF!</definedName>
    <definedName name="nn" localSheetId="0">#REF!</definedName>
    <definedName name="nn">#REF!</definedName>
    <definedName name="NONRECAP" localSheetId="1">#REF!</definedName>
    <definedName name="NONRECAP" localSheetId="0">#REF!</definedName>
    <definedName name="NONRECAP">#REF!</definedName>
    <definedName name="NOTES" localSheetId="2">#REF!</definedName>
    <definedName name="NOTES" localSheetId="3">#REF!</definedName>
    <definedName name="NOTES" localSheetId="0">#REF!</definedName>
    <definedName name="NOTES">#REF!</definedName>
    <definedName name="NR" localSheetId="2">#REF!</definedName>
    <definedName name="NR" localSheetId="3">#REF!</definedName>
    <definedName name="NR" localSheetId="0">#REF!</definedName>
    <definedName name="NR">#REF!</definedName>
    <definedName name="NvsASD">"V2008-12-31"</definedName>
    <definedName name="NvsAutoDrillOk">"VN"</definedName>
    <definedName name="NvsElapsedTime">0.000729166669771075</definedName>
    <definedName name="NvsEndTime">39896.5868402778</definedName>
    <definedName name="NvsEndTime2">39823.1371643519</definedName>
    <definedName name="NvsEndTime3">39918.4137268519</definedName>
    <definedName name="NvsEndTime4">39825.0263078704</definedName>
    <definedName name="NvsEndTime5">39822.9425347222</definedName>
    <definedName name="NvsInstanceHook" localSheetId="2">rank</definedName>
    <definedName name="NvsInstanceHook" localSheetId="3">rank</definedName>
    <definedName name="NvsInstanceHook" localSheetId="1">rank</definedName>
    <definedName name="NvsInstanceHook" localSheetId="0">rank</definedName>
    <definedName name="NvsInstanceHook">rank</definedName>
    <definedName name="NvsInstanceHook1" localSheetId="2">rank</definedName>
    <definedName name="NvsInstanceHook1" localSheetId="3">rank</definedName>
    <definedName name="NvsInstanceHook1" localSheetId="1">rank</definedName>
    <definedName name="NvsInstanceHook1" localSheetId="0">rank</definedName>
    <definedName name="NvsInstanceHook1">rank</definedName>
    <definedName name="NvsInstLang">"VENG"</definedName>
    <definedName name="NvsInstSpec">"%,FBUSINESS_UNIT,V01815"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"V1950-01-01"</definedName>
    <definedName name="NvsPanelSetid">"VWASTE"</definedName>
    <definedName name="NvsReqBU">"V01815"</definedName>
    <definedName name="NvsReqBUOnly">"VY"</definedName>
    <definedName name="NvsTransLed">"VN"</definedName>
    <definedName name="NvsTreeASD">"V2008-12-31"</definedName>
    <definedName name="NvsValTbl.ACCOUNT">"GL_ACCOUNT_TBL"</definedName>
    <definedName name="NvsValTbl.ACCOUNT_SUM">"ZGL_SACCT_VW"</definedName>
    <definedName name="NvsValTbl.ASSET_CLASS">"ASSET_CLASS_TBL"</definedName>
    <definedName name="NvsValTbl.BUSINESS_UNIT">"BUS_UNIT_TBL_GL"</definedName>
    <definedName name="NvsValTbl.CURRENCY_CD">"CURRENCY_CD_TBL"</definedName>
    <definedName name="NvsValTbl.DEPTID">"DEPT_TBL"</definedName>
    <definedName name="NvsValTbl.OPERATING_UNIT">"OPER_UNIT_TBL"</definedName>
    <definedName name="NvsValTbl.PRODUCT">"PRODUCT_TBL"</definedName>
    <definedName name="OfficerSalary">#N/A</definedName>
    <definedName name="OffsetAcctBil" localSheetId="1">#REF!</definedName>
    <definedName name="OffsetAcctBil">#REF!</definedName>
    <definedName name="OffsetAcctPmt" localSheetId="1">#REF!</definedName>
    <definedName name="OffsetAcctPmt">#REF!</definedName>
    <definedName name="Operations">#REF!</definedName>
    <definedName name="OPR">#REF!</definedName>
    <definedName name="Org11_13">#N/A</definedName>
    <definedName name="Org7_10">#N/A</definedName>
    <definedName name="ORIG2GALWT_" localSheetId="0">#REF!</definedName>
    <definedName name="ORIG2GALWT_">#REF!</definedName>
    <definedName name="ORIG2OH" localSheetId="1">#REF!</definedName>
    <definedName name="ORIG2OH" localSheetId="0">#REF!</definedName>
    <definedName name="ORIG2OH">#REF!</definedName>
    <definedName name="OthCanTons">#REF!</definedName>
    <definedName name="OthComYd">#REF!</definedName>
    <definedName name="OthCustCnt" localSheetId="2">#REF!</definedName>
    <definedName name="OthCustCnt" localSheetId="3">#REF!</definedName>
    <definedName name="OthCustCnt" localSheetId="1">#REF!</definedName>
    <definedName name="OthCustCnt" localSheetId="0">#REF!</definedName>
    <definedName name="OthCustCnt">#REF!</definedName>
    <definedName name="OthMultiYd">#REF!</definedName>
    <definedName name="OthXtraYds" localSheetId="2">#REF!</definedName>
    <definedName name="OthXtraYds" localSheetId="3">#REF!</definedName>
    <definedName name="OthXtraYds" localSheetId="1">#REF!</definedName>
    <definedName name="OthXtraYds" localSheetId="0">#REF!</definedName>
    <definedName name="OthXtraYds">#REF!</definedName>
    <definedName name="p" localSheetId="2">#REF!</definedName>
    <definedName name="p" localSheetId="3">#REF!</definedName>
    <definedName name="p" localSheetId="0">#REF!</definedName>
    <definedName name="p">#REF!</definedName>
    <definedName name="PAGE_1" localSheetId="2">#REF!</definedName>
    <definedName name="PAGE_1" localSheetId="3">#REF!</definedName>
    <definedName name="PAGE_1" localSheetId="0">#REF!</definedName>
    <definedName name="PAGE_1">#REF!</definedName>
    <definedName name="Page10" localSheetId="2">#REF!</definedName>
    <definedName name="Page10" localSheetId="3">#REF!</definedName>
    <definedName name="Page10" localSheetId="0">#REF!</definedName>
    <definedName name="Page10">#REF!</definedName>
    <definedName name="Page10a" localSheetId="2">#REF!</definedName>
    <definedName name="Page10a" localSheetId="3">#REF!</definedName>
    <definedName name="Page10a" localSheetId="0">#REF!</definedName>
    <definedName name="Page10a">#REF!</definedName>
    <definedName name="page11" localSheetId="2">#REF!</definedName>
    <definedName name="page11" localSheetId="3">#REF!</definedName>
    <definedName name="page11" localSheetId="0">#REF!</definedName>
    <definedName name="page11">#REF!</definedName>
    <definedName name="page12" localSheetId="2">#REF!</definedName>
    <definedName name="page12" localSheetId="3">#REF!</definedName>
    <definedName name="page12" localSheetId="0">#REF!</definedName>
    <definedName name="page12">#REF!</definedName>
    <definedName name="Page16" localSheetId="2">#REF!</definedName>
    <definedName name="Page16" localSheetId="3">#REF!</definedName>
    <definedName name="Page16" localSheetId="0">#REF!</definedName>
    <definedName name="Page16">#REF!</definedName>
    <definedName name="Page17" localSheetId="2">#REF!</definedName>
    <definedName name="Page17" localSheetId="3">#REF!</definedName>
    <definedName name="Page17" localSheetId="0">#REF!</definedName>
    <definedName name="Page17">#REF!</definedName>
    <definedName name="Page18" localSheetId="2">#REF!</definedName>
    <definedName name="Page18" localSheetId="3">#REF!</definedName>
    <definedName name="Page18" localSheetId="0">#REF!</definedName>
    <definedName name="Page18">#REF!</definedName>
    <definedName name="Page20" localSheetId="2">#REF!</definedName>
    <definedName name="Page20" localSheetId="3">#REF!</definedName>
    <definedName name="Page20" localSheetId="0">#REF!</definedName>
    <definedName name="Page20">#REF!</definedName>
    <definedName name="page7" localSheetId="2">#REF!</definedName>
    <definedName name="page7" localSheetId="3">#REF!</definedName>
    <definedName name="page7" localSheetId="0">#REF!</definedName>
    <definedName name="page7">#REF!</definedName>
    <definedName name="Page7a" localSheetId="2">#REF!</definedName>
    <definedName name="Page7a" localSheetId="3">#REF!</definedName>
    <definedName name="Page7a" localSheetId="0">#REF!</definedName>
    <definedName name="Page7a">#REF!</definedName>
    <definedName name="pBatchID" localSheetId="2">#REF!</definedName>
    <definedName name="pBatchID" localSheetId="3">#REF!</definedName>
    <definedName name="pBatchID" localSheetId="0">#REF!</definedName>
    <definedName name="pBatchID">#REF!</definedName>
    <definedName name="pBillArea" localSheetId="2">#REF!</definedName>
    <definedName name="pBillArea" localSheetId="3">#REF!</definedName>
    <definedName name="pBillArea" localSheetId="0">#REF!</definedName>
    <definedName name="pBillArea">#REF!</definedName>
    <definedName name="pBillCycle" localSheetId="2">#REF!</definedName>
    <definedName name="pBillCycle" localSheetId="3">#REF!</definedName>
    <definedName name="pBillCycle" localSheetId="0">#REF!</definedName>
    <definedName name="pBillCycle">#REF!</definedName>
    <definedName name="pCategory" localSheetId="2">#REF!</definedName>
    <definedName name="pCategory" localSheetId="3">#REF!</definedName>
    <definedName name="pCategory" localSheetId="0">#REF!</definedName>
    <definedName name="pCategory">#REF!</definedName>
    <definedName name="pCompany" localSheetId="2">#REF!</definedName>
    <definedName name="pCompany" localSheetId="3">#REF!</definedName>
    <definedName name="pCompany" localSheetId="0">#REF!</definedName>
    <definedName name="pCompany">#REF!</definedName>
    <definedName name="pCustomerNumber" localSheetId="2">#REF!</definedName>
    <definedName name="pCustomerNumber" localSheetId="3">#REF!</definedName>
    <definedName name="pCustomerNumber" localSheetId="0">#REF!</definedName>
    <definedName name="pCustomerNumber">#REF!</definedName>
    <definedName name="pDatabase" localSheetId="2">#REF!</definedName>
    <definedName name="pDatabase" localSheetId="3">#REF!</definedName>
    <definedName name="pDatabase" localSheetId="0">#REF!</definedName>
    <definedName name="pDatabase">#REF!</definedName>
    <definedName name="PED" localSheetId="0">#REF!</definedName>
    <definedName name="PED">#REF!</definedName>
    <definedName name="pEndPostDate" localSheetId="2">#REF!</definedName>
    <definedName name="pEndPostDate" localSheetId="3">#REF!</definedName>
    <definedName name="pEndPostDate" localSheetId="1">#REF!</definedName>
    <definedName name="pEndPostDate" localSheetId="0">#REF!</definedName>
    <definedName name="pEndPostDate">#REF!</definedName>
    <definedName name="PER">#REF!</definedName>
    <definedName name="Period" localSheetId="2">#REF!</definedName>
    <definedName name="Period" localSheetId="3">#REF!</definedName>
    <definedName name="Period" localSheetId="1">#REF!</definedName>
    <definedName name="Period" localSheetId="0">#REF!</definedName>
    <definedName name="Period">#REF!</definedName>
    <definedName name="Pfd_weighted" localSheetId="2">'LG BRG - Vashon MSW'!$U$56</definedName>
    <definedName name="Pfd_weighted" localSheetId="3">'LG BRG -Vashon Recycle'!$U$56</definedName>
    <definedName name="PFREVB4" localSheetId="0">#REF!</definedName>
    <definedName name="PFREVB4">#REF!</definedName>
    <definedName name="pMonth" localSheetId="2">#REF!</definedName>
    <definedName name="pMonth" localSheetId="3">#REF!</definedName>
    <definedName name="pMonth" localSheetId="0">#REF!</definedName>
    <definedName name="pMonth">#REF!</definedName>
    <definedName name="pOnlyShowLastTranx" localSheetId="2">#REF!</definedName>
    <definedName name="pOnlyShowLastTranx" localSheetId="3">#REF!</definedName>
    <definedName name="pOnlyShowLastTranx" localSheetId="0">#REF!</definedName>
    <definedName name="pOnlyShowLastTranx">#REF!</definedName>
    <definedName name="Posting" localSheetId="3">#REF!</definedName>
    <definedName name="Posting" localSheetId="0">#REF!</definedName>
    <definedName name="Posting">#REF!</definedName>
    <definedName name="POTruckSubTypeLookup">#REF!</definedName>
    <definedName name="primtbl">#REF!</definedName>
    <definedName name="_xlnm.Print_Area" localSheetId="2">'LG BRG - Vashon MSW'!$F$2:$N$49</definedName>
    <definedName name="_xlnm.Print_Area" localSheetId="3">'LG BRG -Vashon Recycle'!$F$2:$N$49</definedName>
    <definedName name="_xlnm.Print_Area" localSheetId="1">'Vashon Price Out'!$B$1:$BG$160</definedName>
    <definedName name="_xlnm.Print_Area" localSheetId="0">'Vashon Rate Sheet'!$A$1:$N$163</definedName>
    <definedName name="_xlnm.Print_Area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Print_Area_MIc" localSheetId="2">#REF!</definedName>
    <definedName name="Print_Area_MIc" localSheetId="3">#REF!</definedName>
    <definedName name="Print_Area_MIc" localSheetId="0">#REF!</definedName>
    <definedName name="Print_Area_MIc">#REF!</definedName>
    <definedName name="Print_Area1" localSheetId="2">#REF!</definedName>
    <definedName name="Print_Area1" localSheetId="3">#REF!</definedName>
    <definedName name="Print_Area1" localSheetId="0">#REF!</definedName>
    <definedName name="Print_Area1">#REF!</definedName>
    <definedName name="Print_Area2" localSheetId="2">#REF!</definedName>
    <definedName name="Print_Area2" localSheetId="3">#REF!</definedName>
    <definedName name="Print_Area2" localSheetId="0">#REF!</definedName>
    <definedName name="Print_Area2">#REF!</definedName>
    <definedName name="Print_Area3" localSheetId="2">#REF!</definedName>
    <definedName name="Print_Area3" localSheetId="3">#REF!</definedName>
    <definedName name="Print_Area3" localSheetId="0">#REF!</definedName>
    <definedName name="Print_Area3">#REF!</definedName>
    <definedName name="Print_Area5" localSheetId="2">#REF!</definedName>
    <definedName name="Print_Area5" localSheetId="3">#REF!</definedName>
    <definedName name="Print_Area5" localSheetId="0">#REF!</definedName>
    <definedName name="Print_Area5">#REF!</definedName>
    <definedName name="_xlnm.Print_Titles" localSheetId="1">'Vashon Price Out'!$B:$C,'Vashon Price Out'!$1:$5</definedName>
    <definedName name="_xlnm.Print_Titles" localSheetId="0">'Vashon Rate Sheet'!$6:$6</definedName>
    <definedName name="Print_Titles_MI" localSheetId="1">#REF!</definedName>
    <definedName name="Print_Titles_MI" localSheetId="0">#REF!</definedName>
    <definedName name="Print_Titles_MI">#REF!</definedName>
    <definedName name="Print1" localSheetId="2">#REF!</definedName>
    <definedName name="Print1" localSheetId="3">#REF!</definedName>
    <definedName name="Print1" localSheetId="0">#REF!</definedName>
    <definedName name="Print1">#REF!</definedName>
    <definedName name="Print2" localSheetId="2">#REF!</definedName>
    <definedName name="Print2" localSheetId="3">#REF!</definedName>
    <definedName name="Print2" localSheetId="0">#REF!</definedName>
    <definedName name="Print2">#REF!</definedName>
    <definedName name="Print5" localSheetId="2">#REF!</definedName>
    <definedName name="Print5" localSheetId="3">#REF!</definedName>
    <definedName name="Print5" localSheetId="0">#REF!</definedName>
    <definedName name="Print5">#REF!</definedName>
    <definedName name="Prnit_Range" localSheetId="0">#REF!</definedName>
    <definedName name="Prnit_Range">#REF!</definedName>
    <definedName name="ProRev" localSheetId="2">#REF!</definedName>
    <definedName name="ProRev" localSheetId="3">#REF!</definedName>
    <definedName name="ProRev">#REF!</definedName>
    <definedName name="ProRev_com" localSheetId="2">#REF!</definedName>
    <definedName name="ProRev_com" localSheetId="3">#REF!</definedName>
    <definedName name="ProRev_com">#REF!</definedName>
    <definedName name="ProRev_mfr" localSheetId="2">#REF!</definedName>
    <definedName name="ProRev_mfr" localSheetId="3">#REF!</definedName>
    <definedName name="ProRev_mfr">#REF!</definedName>
    <definedName name="ProRev_ro" localSheetId="2">#REF!</definedName>
    <definedName name="ProRev_ro" localSheetId="3">#REF!</definedName>
    <definedName name="ProRev_ro">#REF!</definedName>
    <definedName name="ProRev_rr" localSheetId="2">#REF!</definedName>
    <definedName name="ProRev_rr" localSheetId="3">#REF!</definedName>
    <definedName name="ProRev_rr">#REF!</definedName>
    <definedName name="ProRev_yw" localSheetId="2">#REF!</definedName>
    <definedName name="ProRev_yw" localSheetId="3">#REF!</definedName>
    <definedName name="ProRev_yw">#REF!</definedName>
    <definedName name="pServer" localSheetId="2">#REF!</definedName>
    <definedName name="pServer" localSheetId="3">#REF!</definedName>
    <definedName name="pServer" localSheetId="1">#REF!</definedName>
    <definedName name="pServer" localSheetId="0">#REF!</definedName>
    <definedName name="pServer">#REF!</definedName>
    <definedName name="pServiceCode" localSheetId="2">#REF!</definedName>
    <definedName name="pServiceCode" localSheetId="3">#REF!</definedName>
    <definedName name="pServiceCode" localSheetId="0">#REF!</definedName>
    <definedName name="pServiceCode">#REF!</definedName>
    <definedName name="pShowAllUnposted" localSheetId="2">#REF!</definedName>
    <definedName name="pShowAllUnposted" localSheetId="3">#REF!</definedName>
    <definedName name="pShowAllUnposted" localSheetId="0">#REF!</definedName>
    <definedName name="pShowAllUnposted">#REF!</definedName>
    <definedName name="pShowCustomerDetail" localSheetId="2">#REF!</definedName>
    <definedName name="pShowCustomerDetail" localSheetId="3">#REF!</definedName>
    <definedName name="pShowCustomerDetail" localSheetId="0">#REF!</definedName>
    <definedName name="pShowCustomerDetail">#REF!</definedName>
    <definedName name="pSortOption" localSheetId="2">#REF!</definedName>
    <definedName name="pSortOption" localSheetId="3">#REF!</definedName>
    <definedName name="pSortOption" localSheetId="0">#REF!</definedName>
    <definedName name="pSortOption">#REF!</definedName>
    <definedName name="pStartPostDate" localSheetId="2">#REF!</definedName>
    <definedName name="pStartPostDate" localSheetId="3">#REF!</definedName>
    <definedName name="pStartPostDate" localSheetId="0">#REF!</definedName>
    <definedName name="pStartPostDate">#REF!</definedName>
    <definedName name="pTransType" localSheetId="2">#REF!</definedName>
    <definedName name="pTransType" localSheetId="3">#REF!</definedName>
    <definedName name="pTransType" localSheetId="0">#REF!</definedName>
    <definedName name="pTransType">#REF!</definedName>
    <definedName name="PYear" localSheetId="0">#REF!</definedName>
    <definedName name="PYear">#REF!</definedName>
    <definedName name="QtrValue" localSheetId="1">#REF!</definedName>
    <definedName name="QtrValue" localSheetId="0">#REF!</definedName>
    <definedName name="QtrValue">#REF!</definedName>
    <definedName name="Quarter_Budget" localSheetId="1">#REF!</definedName>
    <definedName name="Quarter_Budget" localSheetId="0">#REF!</definedName>
    <definedName name="Quarter_Budget">#REF!</definedName>
    <definedName name="Quarter_Month" localSheetId="1">#REF!</definedName>
    <definedName name="Quarter_Month" localSheetId="0">#REF!</definedName>
    <definedName name="Quarter_Month">#REF!</definedName>
    <definedName name="RBU" localSheetId="1">#REF!</definedName>
    <definedName name="RBU" localSheetId="0">#REF!</definedName>
    <definedName name="RBU">#REF!</definedName>
    <definedName name="RCW_81.04.080">#N/A</definedName>
    <definedName name="RECAP" localSheetId="1">#REF!</definedName>
    <definedName name="RECAP" localSheetId="0">#REF!</definedName>
    <definedName name="RECAP">#REF!</definedName>
    <definedName name="RECAP2" localSheetId="1">#REF!</definedName>
    <definedName name="RECAP2" localSheetId="0">#REF!</definedName>
    <definedName name="RECAP2">#REF!</definedName>
    <definedName name="ReconMonth">#REF!</definedName>
    <definedName name="_xlnm.Recorder" localSheetId="1">#REF!</definedName>
    <definedName name="_xlnm.Recorder" localSheetId="0">#REF!</definedName>
    <definedName name="_xlnm.Recorder">#REF!</definedName>
    <definedName name="RecyDisposal">#N/A</definedName>
    <definedName name="Reg_Cust_Billed_Percent" localSheetId="2">#REF!</definedName>
    <definedName name="Reg_Cust_Billed_Percent" localSheetId="3">#REF!</definedName>
    <definedName name="Reg_Cust_Billed_Percent" localSheetId="0">#REF!</definedName>
    <definedName name="Reg_Cust_Billed_Percent">#REF!</definedName>
    <definedName name="Reg_Cust_Percent" localSheetId="2">#REF!</definedName>
    <definedName name="Reg_Cust_Percent" localSheetId="3">#REF!</definedName>
    <definedName name="Reg_Cust_Percent" localSheetId="0">#REF!</definedName>
    <definedName name="Reg_Cust_Percent">#REF!</definedName>
    <definedName name="Reg_Drive_Percent" localSheetId="2">#REF!</definedName>
    <definedName name="Reg_Drive_Percent" localSheetId="3">#REF!</definedName>
    <definedName name="Reg_Drive_Percent" localSheetId="0">#REF!</definedName>
    <definedName name="Reg_Drive_Percent">#REF!</definedName>
    <definedName name="Reg_Haul_Rev_Percent" localSheetId="2">#REF!</definedName>
    <definedName name="Reg_Haul_Rev_Percent" localSheetId="3">#REF!</definedName>
    <definedName name="Reg_Haul_Rev_Percent" localSheetId="0">#REF!</definedName>
    <definedName name="Reg_Haul_Rev_Percent">#REF!</definedName>
    <definedName name="Reg_Lab_Percent" localSheetId="2">#REF!</definedName>
    <definedName name="Reg_Lab_Percent" localSheetId="3">#REF!</definedName>
    <definedName name="Reg_Lab_Percent" localSheetId="0">#REF!</definedName>
    <definedName name="Reg_Lab_Percent">#REF!</definedName>
    <definedName name="Reg_Steel_Cont_Percent" localSheetId="2">#REF!</definedName>
    <definedName name="Reg_Steel_Cont_Percent" localSheetId="3">#REF!</definedName>
    <definedName name="Reg_Steel_Cont_Percent" localSheetId="0">#REF!</definedName>
    <definedName name="Reg_Steel_Cont_Percent">#REF!</definedName>
    <definedName name="regDebt_weighted" localSheetId="2">'LG BRG - Vashon MSW'!$U$55</definedName>
    <definedName name="regDebt_weighted" localSheetId="3">'LG BRG -Vashon Recycle'!$U$55</definedName>
    <definedName name="RegionSignOffReq">#REF!</definedName>
    <definedName name="RegionSignOffStatus">#REF!</definedName>
    <definedName name="RegulatedIS" localSheetId="2">#REF!</definedName>
    <definedName name="RegulatedIS" localSheetId="3">#REF!</definedName>
    <definedName name="RegulatedIS" localSheetId="0">#REF!</definedName>
    <definedName name="RegulatedIS">#REF!</definedName>
    <definedName name="RelatedSalary">#N/A</definedName>
    <definedName name="report_type">#REF!</definedName>
    <definedName name="Reporting_Jurisdiction">#REF!</definedName>
    <definedName name="ReportNames">#REF!</definedName>
    <definedName name="ReportVersion">#REF!</definedName>
    <definedName name="ReslStaffPriceOut" localSheetId="3">#REF!</definedName>
    <definedName name="ReslStaffPriceOut" localSheetId="1">#REF!</definedName>
    <definedName name="ReslStaffPriceOut" localSheetId="0">#REF!</definedName>
    <definedName name="ReslStaffPriceOut">#REF!</definedName>
    <definedName name="RetainedEarnings" localSheetId="2">#REF!</definedName>
    <definedName name="RetainedEarnings" localSheetId="3">#REF!</definedName>
    <definedName name="RetainedEarnings" localSheetId="1">#REF!</definedName>
    <definedName name="RetainedEarnings" localSheetId="0">#REF!</definedName>
    <definedName name="RetainedEarnings">#REF!</definedName>
    <definedName name="RevCust" localSheetId="2">#REF!</definedName>
    <definedName name="RevCust" localSheetId="3">#REF!</definedName>
    <definedName name="RevCust" localSheetId="1">#REF!</definedName>
    <definedName name="RevCust" localSheetId="0">#REF!</definedName>
    <definedName name="RevCust">#REF!</definedName>
    <definedName name="RevCustomer" localSheetId="2">#REF!</definedName>
    <definedName name="RevCustomer" localSheetId="3">#REF!</definedName>
    <definedName name="RevCustomer" localSheetId="1">#REF!</definedName>
    <definedName name="RevCustomer" localSheetId="0">#REF!</definedName>
    <definedName name="RevCustomer">#REF!</definedName>
    <definedName name="REVDETAIL" localSheetId="0">#REF!</definedName>
    <definedName name="REVDETAIL">#REF!</definedName>
    <definedName name="Revenue" localSheetId="2">'LG BRG - Vashon MSW'!$I$7</definedName>
    <definedName name="Revenue" localSheetId="3">'LG BRG -Vashon Recycle'!$I$7</definedName>
    <definedName name="Revenue" localSheetId="1">#REF!</definedName>
    <definedName name="Revenue" localSheetId="0">#REF!</definedName>
    <definedName name="Revenue">#REF!</definedName>
    <definedName name="RevenuePF1" localSheetId="2">#REF!</definedName>
    <definedName name="RevenuePF1" localSheetId="3">#REF!</definedName>
    <definedName name="RevenuePF1" localSheetId="1">#REF!</definedName>
    <definedName name="RevenuePF1" localSheetId="0">#REF!</definedName>
    <definedName name="RevenuePF1">#REF!</definedName>
    <definedName name="REVMAT" localSheetId="0">#REF!</definedName>
    <definedName name="REVMAT">#REF!</definedName>
    <definedName name="RID" localSheetId="0">#REF!</definedName>
    <definedName name="RID">#REF!</definedName>
    <definedName name="rngBodyText">#REF!</definedName>
    <definedName name="RngBottomRight">#REF!</definedName>
    <definedName name="rngColDelChars">#REF!</definedName>
    <definedName name="rngColumnDelete">#REF!</definedName>
    <definedName name="rngCreateLog">#REF!</definedName>
    <definedName name="rngDeleteColumns">#REF!</definedName>
    <definedName name="rngDeleteRows">#REF!</definedName>
    <definedName name="rngEmail">#REF!</definedName>
    <definedName name="rngFileDir">#REF!</definedName>
    <definedName name="rngFileFormat">#REF!</definedName>
    <definedName name="rngFileName">#REF!</definedName>
    <definedName name="rngFilePassword">#REF!</definedName>
    <definedName name="rngPassword">#REF!</definedName>
    <definedName name="rngPasswordProtect">#REF!</definedName>
    <definedName name="rngPrint">#REF!</definedName>
    <definedName name="rngRetainFormulas">#REF!</definedName>
    <definedName name="rngSaveFile">#REF!</definedName>
    <definedName name="rngSourceTab">#REF!</definedName>
    <definedName name="rngSubjectLine">#REF!</definedName>
    <definedName name="rngTabName">#REF!</definedName>
    <definedName name="rngTopLeft">#REF!</definedName>
    <definedName name="ROCE" localSheetId="1">#REF!,#REF!</definedName>
    <definedName name="ROCE" localSheetId="0">#REF!,#REF!</definedName>
    <definedName name="ROCE">#REF!,#REF!</definedName>
    <definedName name="ROW_SUPRESS" localSheetId="1">#REF!</definedName>
    <definedName name="ROW_SUPRESS" localSheetId="0">#REF!</definedName>
    <definedName name="ROW_SUPRESS">#REF!</definedName>
    <definedName name="rowgroup">#REF!</definedName>
    <definedName name="rowsegment">#REF!</definedName>
    <definedName name="RptEmailAddress">#REF!</definedName>
    <definedName name="rtr">#REF!</definedName>
    <definedName name="RTT">#REF!</definedName>
    <definedName name="sale" localSheetId="1">#REF!</definedName>
    <definedName name="sale" localSheetId="0">#REF!</definedName>
    <definedName name="sale">#REF!</definedName>
    <definedName name="SALES_TAX_RETURN" localSheetId="1">#REF!</definedName>
    <definedName name="SALES_TAX_RETURN" localSheetId="0">#REF!</definedName>
    <definedName name="SALES_TAX_RETURN">#REF!</definedName>
    <definedName name="Sbst" localSheetId="1">#REF!</definedName>
    <definedName name="Sbst" localSheetId="0">#REF!</definedName>
    <definedName name="Sbst">#REF!</definedName>
    <definedName name="SCN" localSheetId="1">#REF!</definedName>
    <definedName name="SCN" localSheetId="0">#REF!</definedName>
    <definedName name="SCN">#REF!</definedName>
    <definedName name="seffasfasdfsd" localSheetId="3">#REF!</definedName>
    <definedName name="seffasfasdfsd" localSheetId="1">#REF!</definedName>
    <definedName name="seffasfasdfsd" localSheetId="0">#REF!</definedName>
    <definedName name="seffasfasdfsd">#REF!</definedName>
    <definedName name="SEPARATE" localSheetId="1">#REF!</definedName>
    <definedName name="SEPARATE" localSheetId="0">#REF!</definedName>
    <definedName name="SEPARATE">#REF!</definedName>
    <definedName name="Separation" localSheetId="1">#REF!</definedName>
    <definedName name="Separation" localSheetId="0">#REF!</definedName>
    <definedName name="Separation">#REF!</definedName>
    <definedName name="Sequential_Group">#REF!</definedName>
    <definedName name="Sequential_Segment">#REF!</definedName>
    <definedName name="Sequential_sort">#REF!</definedName>
    <definedName name="Setting_DeprFactor">#REF!</definedName>
    <definedName name="Setting_LFDeplUnitAcct">#REF!</definedName>
    <definedName name="Setting_LFUnitCost">#REF!</definedName>
    <definedName name="Setting_LFUnitCostNY">#REF!</definedName>
    <definedName name="Setting_LFUnitRow">#REF!</definedName>
    <definedName name="SFD">#REF!</definedName>
    <definedName name="SFD_BU">#REF!</definedName>
    <definedName name="SFD_DEPTID">#REF!</definedName>
    <definedName name="SFD_OP">#REF!</definedName>
    <definedName name="SFD_PROD">#REF!</definedName>
    <definedName name="SFD_PROJ">#REF!</definedName>
    <definedName name="sfdbusunit" localSheetId="1">#REF!</definedName>
    <definedName name="sfdbusunit" localSheetId="0">#REF!</definedName>
    <definedName name="sfdbusunit">#REF!</definedName>
    <definedName name="SFV">#REF!</definedName>
    <definedName name="SFV_BU">#REF!</definedName>
    <definedName name="SFV_CUR" localSheetId="1">#REF!</definedName>
    <definedName name="SFV_CUR" localSheetId="0">#REF!</definedName>
    <definedName name="SFV_CUR">#REF!</definedName>
    <definedName name="SFV_CUR1">#REF!</definedName>
    <definedName name="SFV_CUR5">#REF!</definedName>
    <definedName name="SFV_DEPTID">#REF!</definedName>
    <definedName name="SFV_OP">#REF!</definedName>
    <definedName name="SFV_PROD">#REF!</definedName>
    <definedName name="SFV_PROJ">#REF!</definedName>
    <definedName name="SIC_Table" localSheetId="2">#REF!</definedName>
    <definedName name="SIC_Table" localSheetId="3">#REF!</definedName>
    <definedName name="SIC_Table" localSheetId="1">#REF!</definedName>
    <definedName name="SIC_Table" localSheetId="0">#REF!</definedName>
    <definedName name="SIC_Table">#REF!</definedName>
    <definedName name="slope" localSheetId="2">'LG BRG - Vashon MSW'!$Y$57</definedName>
    <definedName name="slope" localSheetId="3">'LG BRG -Vashon Recycle'!$Y$57</definedName>
    <definedName name="slope">#REF!</definedName>
    <definedName name="sort" localSheetId="1">#REF!</definedName>
    <definedName name="sort" localSheetId="0">#REF!</definedName>
    <definedName name="sort">#REF!</definedName>
    <definedName name="Sort1" localSheetId="1">#REF!</definedName>
    <definedName name="Sort1" localSheetId="0">#REF!</definedName>
    <definedName name="Sort1">#REF!</definedName>
    <definedName name="sortcol" localSheetId="2">#REF!</definedName>
    <definedName name="sortcol" localSheetId="3">#REF!</definedName>
    <definedName name="sortcol" localSheetId="0">#REF!</definedName>
    <definedName name="sortcol">#REF!</definedName>
    <definedName name="Source" localSheetId="2">#REF!</definedName>
    <definedName name="Source" localSheetId="3">#REF!</definedName>
    <definedName name="Source" localSheetId="0">#REF!</definedName>
    <definedName name="Source">#REF!</definedName>
    <definedName name="SPWS_WBID">"115966228744984"</definedName>
    <definedName name="sSRCDate" localSheetId="2">#REF!</definedName>
    <definedName name="sSRCDate" localSheetId="3">#REF!</definedName>
    <definedName name="sSRCDate" localSheetId="1">#REF!</definedName>
    <definedName name="sSRCDate" localSheetId="0">#REF!</definedName>
    <definedName name="sSRCDate">#REF!</definedName>
    <definedName name="start" localSheetId="1">#REF!</definedName>
    <definedName name="start" localSheetId="0">#REF!</definedName>
    <definedName name="start">#REF!</definedName>
    <definedName name="Stop" localSheetId="1">#REF!</definedName>
    <definedName name="Stop">#REF!</definedName>
    <definedName name="SubSystem" localSheetId="2">#REF!</definedName>
    <definedName name="SubSystem" localSheetId="3">#REF!</definedName>
    <definedName name="SubSystems" localSheetId="3">#REF!</definedName>
    <definedName name="SubSystems" localSheetId="0">#REF!</definedName>
    <definedName name="SubSystems">#REF!</definedName>
    <definedName name="SubtypeToTruckType">#REF!</definedName>
    <definedName name="SUMMARY" localSheetId="1">#REF!</definedName>
    <definedName name="SUMMARY" localSheetId="0">#REF!</definedName>
    <definedName name="SUMMARY">#REF!</definedName>
    <definedName name="Summary_DistrictName">#REF!</definedName>
    <definedName name="Summary_DistrictNo">#REF!</definedName>
    <definedName name="Supplemental_filter">#REF!</definedName>
    <definedName name="SWDisposal">#N/A</definedName>
    <definedName name="Syst" localSheetId="0">#REF!</definedName>
    <definedName name="Syst">#REF!</definedName>
    <definedName name="System" localSheetId="2">#REF!</definedName>
    <definedName name="System" localSheetId="3">#REF!</definedName>
    <definedName name="System">#REF!</definedName>
    <definedName name="Systems" localSheetId="3">#REF!</definedName>
    <definedName name="Systems" localSheetId="1">#REF!</definedName>
    <definedName name="Systems" localSheetId="0">#REF!</definedName>
    <definedName name="Systems">#REF!</definedName>
    <definedName name="Table_SIC" localSheetId="2">#REF!</definedName>
    <definedName name="Table_SIC" localSheetId="3">#REF!</definedName>
    <definedName name="Table_SIC" localSheetId="0">#REF!</definedName>
    <definedName name="Table_SIC">#REF!</definedName>
    <definedName name="TargetMonths">#REF!</definedName>
    <definedName name="taxrate" localSheetId="2">'LG BRG - Vashon MSW'!$J$38</definedName>
    <definedName name="taxrate" localSheetId="3">'LG BRG -Vashon Recycle'!$J$38</definedName>
    <definedName name="TemplateEnd" localSheetId="2">#REF!</definedName>
    <definedName name="TemplateEnd" localSheetId="3">#REF!</definedName>
    <definedName name="TemplateEnd" localSheetId="1">#REF!</definedName>
    <definedName name="TemplateEnd" localSheetId="0">#REF!</definedName>
    <definedName name="TemplateEnd">#REF!</definedName>
    <definedName name="TemplateStart" localSheetId="2">#REF!</definedName>
    <definedName name="TemplateStart" localSheetId="3">#REF!</definedName>
    <definedName name="TemplateStart" localSheetId="1">#REF!</definedName>
    <definedName name="TemplateStart" localSheetId="0">#REF!</definedName>
    <definedName name="TemplateStart">#REF!</definedName>
    <definedName name="test">#REF!</definedName>
    <definedName name="TheTable" localSheetId="2">#REF!</definedName>
    <definedName name="TheTable" localSheetId="3">#REF!</definedName>
    <definedName name="TheTable" localSheetId="1">#REF!</definedName>
    <definedName name="TheTable" localSheetId="0">#REF!</definedName>
    <definedName name="TheTable">#REF!</definedName>
    <definedName name="TheTableOLD" localSheetId="2">#REF!</definedName>
    <definedName name="TheTableOLD" localSheetId="3">#REF!</definedName>
    <definedName name="TheTableOLD" localSheetId="0">#REF!</definedName>
    <definedName name="TheTableOLD">#REF!</definedName>
    <definedName name="timeseries">#REF!</definedName>
    <definedName name="Title2">#REF!</definedName>
    <definedName name="ToMonth" localSheetId="2">#REF!</definedName>
    <definedName name="ToMonth" localSheetId="3">#REF!</definedName>
    <definedName name="ToMonth" localSheetId="1">#REF!</definedName>
    <definedName name="ToMonth" localSheetId="0">#REF!</definedName>
    <definedName name="ToMonth">#REF!</definedName>
    <definedName name="Tons" localSheetId="2">#REF!</definedName>
    <definedName name="Tons" localSheetId="3">#REF!</definedName>
    <definedName name="Tons" localSheetId="0">#REF!</definedName>
    <definedName name="Tons">#REF!</definedName>
    <definedName name="TOP" localSheetId="0">#REF!</definedName>
    <definedName name="TOP">#REF!</definedName>
    <definedName name="Total_Comm" localSheetId="2">#REF!</definedName>
    <definedName name="Total_Comm" localSheetId="3">#REF!</definedName>
    <definedName name="Total_Comm">#REF!</definedName>
    <definedName name="Total_DB" localSheetId="2">#REF!</definedName>
    <definedName name="Total_DB" localSheetId="3">#REF!</definedName>
    <definedName name="Total_DB">#REF!</definedName>
    <definedName name="Total_Interest">#REF!</definedName>
    <definedName name="Total_Resi" localSheetId="2">#REF!</definedName>
    <definedName name="Total_Resi" localSheetId="3">#REF!</definedName>
    <definedName name="Total_Resi">#REF!</definedName>
    <definedName name="TotalYards">#REF!</definedName>
    <definedName name="TOTCONT">#REF!</definedName>
    <definedName name="TOTCRECCONT">#REF!</definedName>
    <definedName name="TOTCRECCUST" localSheetId="2">#REF!</definedName>
    <definedName name="TOTCRECCUST" localSheetId="3">#REF!</definedName>
    <definedName name="TOTCRECCUST" localSheetId="1">#REF!</definedName>
    <definedName name="TOTCRECCUST">#REF!</definedName>
    <definedName name="TOTCRECDH" localSheetId="2">#REF!</definedName>
    <definedName name="TOTCRECDH" localSheetId="3">#REF!</definedName>
    <definedName name="TOTCRECDH" localSheetId="1">#REF!</definedName>
    <definedName name="TOTCRECDH">#REF!</definedName>
    <definedName name="TOTCRECREV" localSheetId="2">#REF!</definedName>
    <definedName name="TOTCRECREV" localSheetId="3">#REF!</definedName>
    <definedName name="TOTCRECREV" localSheetId="1">#REF!</definedName>
    <definedName name="TOTCRECREV">#REF!</definedName>
    <definedName name="TOTCRECTDEP" localSheetId="2">#REF!</definedName>
    <definedName name="TOTCRECTDEP" localSheetId="3">#REF!</definedName>
    <definedName name="TOTCRECTDEP" localSheetId="1">#REF!</definedName>
    <definedName name="TOTCRECTDEP">#REF!</definedName>
    <definedName name="TOTCRECTH">#REF!</definedName>
    <definedName name="TOTCRECTV" localSheetId="2">#REF!</definedName>
    <definedName name="TOTCRECTV" localSheetId="3">#REF!</definedName>
    <definedName name="TOTCRECTV" localSheetId="1">#REF!</definedName>
    <definedName name="TOTCRECTV">#REF!</definedName>
    <definedName name="TOTCUST" localSheetId="2">#REF!</definedName>
    <definedName name="TOTCUST" localSheetId="3">#REF!</definedName>
    <definedName name="TOTCUST" localSheetId="1">#REF!</definedName>
    <definedName name="TOTCUST">#REF!</definedName>
    <definedName name="TOTDBCONT" localSheetId="2">#REF!</definedName>
    <definedName name="TOTDBCONT" localSheetId="3">#REF!</definedName>
    <definedName name="TOTDBCONT" localSheetId="1">#REF!</definedName>
    <definedName name="TOTDBCONT">#REF!</definedName>
    <definedName name="TOTDBCUST" localSheetId="2">#REF!</definedName>
    <definedName name="TOTDBCUST" localSheetId="3">#REF!</definedName>
    <definedName name="TOTDBCUST" localSheetId="1">#REF!</definedName>
    <definedName name="TOTDBCUST">#REF!</definedName>
    <definedName name="TOTDBDH" localSheetId="2">#REF!</definedName>
    <definedName name="TOTDBDH" localSheetId="3">#REF!</definedName>
    <definedName name="TOTDBDH">#REF!</definedName>
    <definedName name="TOTDBREV" localSheetId="2">#REF!</definedName>
    <definedName name="TOTDBREV" localSheetId="3">#REF!</definedName>
    <definedName name="TOTDBREV">#REF!</definedName>
    <definedName name="TOTDBTDEP" localSheetId="2">#REF!</definedName>
    <definedName name="TOTDBTDEP" localSheetId="3">#REF!</definedName>
    <definedName name="TOTDBTDEP">#REF!</definedName>
    <definedName name="TOTDBTH" localSheetId="2">#REF!</definedName>
    <definedName name="TOTDBTH" localSheetId="3">#REF!</definedName>
    <definedName name="TOTDBTH">#REF!</definedName>
    <definedName name="TOTDBTV" localSheetId="2">#REF!</definedName>
    <definedName name="TOTDBTV" localSheetId="3">#REF!</definedName>
    <definedName name="TOTDBTV">#REF!</definedName>
    <definedName name="TOTDEBCONT" localSheetId="2">#REF!</definedName>
    <definedName name="TOTDEBCONT" localSheetId="3">#REF!</definedName>
    <definedName name="TOTDEBCONT">#REF!</definedName>
    <definedName name="TOTDEBCUST" localSheetId="2">#REF!</definedName>
    <definedName name="TOTDEBCUST" localSheetId="3">#REF!</definedName>
    <definedName name="TOTDEBCUST">#REF!</definedName>
    <definedName name="TOTDEBDH" localSheetId="2">#REF!</definedName>
    <definedName name="TOTDEBDH" localSheetId="3">#REF!</definedName>
    <definedName name="TOTDEBDH">#REF!</definedName>
    <definedName name="TOTDEBREV" localSheetId="2">#REF!</definedName>
    <definedName name="TOTDEBREV" localSheetId="3">#REF!</definedName>
    <definedName name="TOTDEBREV">#REF!</definedName>
    <definedName name="TOTDEBTH">#REF!</definedName>
    <definedName name="TOTDH" localSheetId="2">#REF!</definedName>
    <definedName name="TOTDH" localSheetId="3">#REF!</definedName>
    <definedName name="TOTDH" localSheetId="1">#REF!</definedName>
    <definedName name="TOTDH">#REF!</definedName>
    <definedName name="TOTFELCONT" localSheetId="2">#REF!</definedName>
    <definedName name="TOTFELCONT" localSheetId="3">#REF!</definedName>
    <definedName name="TOTFELCONT" localSheetId="1">#REF!</definedName>
    <definedName name="TOTFELCONT">#REF!</definedName>
    <definedName name="TOTFELCUST" localSheetId="2">#REF!</definedName>
    <definedName name="TOTFELCUST" localSheetId="3">#REF!</definedName>
    <definedName name="TOTFELCUST" localSheetId="1">#REF!</definedName>
    <definedName name="TOTFELCUST">#REF!</definedName>
    <definedName name="TOTFELDH" localSheetId="2">#REF!</definedName>
    <definedName name="TOTFELDH" localSheetId="3">#REF!</definedName>
    <definedName name="TOTFELDH" localSheetId="1">#REF!</definedName>
    <definedName name="TOTFELDH">#REF!</definedName>
    <definedName name="TOTFELREV" localSheetId="2">#REF!</definedName>
    <definedName name="TOTFELREV" localSheetId="3">#REF!</definedName>
    <definedName name="TOTFELREV">#REF!</definedName>
    <definedName name="TOTFELTDEP" localSheetId="2">#REF!</definedName>
    <definedName name="TOTFELTDEP" localSheetId="3">#REF!</definedName>
    <definedName name="TOTFELTDEP">#REF!</definedName>
    <definedName name="TOTFELTH" localSheetId="2">#REF!</definedName>
    <definedName name="TOTFELTH" localSheetId="3">#REF!</definedName>
    <definedName name="TOTFELTH">#REF!</definedName>
    <definedName name="TOTFELTV" localSheetId="2">#REF!</definedName>
    <definedName name="TOTFELTV" localSheetId="3">#REF!</definedName>
    <definedName name="TOTFELTV">#REF!</definedName>
    <definedName name="TOTRESCONT" localSheetId="2">#REF!</definedName>
    <definedName name="TOTRESCONT" localSheetId="3">#REF!</definedName>
    <definedName name="TOTRESCONT">#REF!</definedName>
    <definedName name="TOTRESCUST" localSheetId="2">#REF!</definedName>
    <definedName name="TOTRESCUST" localSheetId="3">#REF!</definedName>
    <definedName name="TOTRESCUST">#REF!</definedName>
    <definedName name="TOTRESDH" localSheetId="2">#REF!</definedName>
    <definedName name="TOTRESDH" localSheetId="3">#REF!</definedName>
    <definedName name="TOTRESDH">#REF!</definedName>
    <definedName name="TOTRESRCONT" localSheetId="2">#REF!</definedName>
    <definedName name="TOTRESRCONT" localSheetId="3">#REF!</definedName>
    <definedName name="TOTRESRCONT">#REF!</definedName>
    <definedName name="TOTRESRCUST" localSheetId="2">#REF!</definedName>
    <definedName name="TOTRESRCUST" localSheetId="3">#REF!</definedName>
    <definedName name="TOTRESRCUST">#REF!</definedName>
    <definedName name="TOTRESRDH" localSheetId="2">#REF!</definedName>
    <definedName name="TOTRESRDH" localSheetId="3">#REF!</definedName>
    <definedName name="TOTRESRDH">#REF!</definedName>
    <definedName name="TOTRESREV" localSheetId="2">#REF!</definedName>
    <definedName name="TOTRESREV" localSheetId="3">#REF!</definedName>
    <definedName name="TOTRESREV">#REF!</definedName>
    <definedName name="TOTRESRREV" localSheetId="2">#REF!</definedName>
    <definedName name="TOTRESRREV" localSheetId="3">#REF!</definedName>
    <definedName name="TOTRESRREV">#REF!</definedName>
    <definedName name="TOTRESRTDEP" localSheetId="2">#REF!</definedName>
    <definedName name="TOTRESRTDEP" localSheetId="3">#REF!</definedName>
    <definedName name="TOTRESRTDEP">#REF!</definedName>
    <definedName name="TOTRESRTH" localSheetId="2">#REF!</definedName>
    <definedName name="TOTRESRTH" localSheetId="3">#REF!</definedName>
    <definedName name="TOTRESRTH">#REF!</definedName>
    <definedName name="TOTRESRTV" localSheetId="2">#REF!</definedName>
    <definedName name="TOTRESRTV" localSheetId="3">#REF!</definedName>
    <definedName name="TOTRESRTV">#REF!</definedName>
    <definedName name="TOTRESTDEP" localSheetId="2">#REF!</definedName>
    <definedName name="TOTRESTDEP" localSheetId="3">#REF!</definedName>
    <definedName name="TOTRESTDEP">#REF!</definedName>
    <definedName name="TOTRESTH" localSheetId="2">#REF!</definedName>
    <definedName name="TOTRESTH" localSheetId="3">#REF!</definedName>
    <definedName name="TOTRESTH">#REF!</definedName>
    <definedName name="TOTRESTV" localSheetId="2">#REF!</definedName>
    <definedName name="TOTRESTV" localSheetId="3">#REF!</definedName>
    <definedName name="TOTRESTV">#REF!</definedName>
    <definedName name="TOTREV" localSheetId="2">#REF!</definedName>
    <definedName name="TOTREV" localSheetId="3">#REF!</definedName>
    <definedName name="TOTREV">#REF!</definedName>
    <definedName name="TOTTDEP" localSheetId="2">#REF!</definedName>
    <definedName name="TOTTDEP" localSheetId="3">#REF!</definedName>
    <definedName name="TOTTDEP">#REF!</definedName>
    <definedName name="TOTTH" localSheetId="2">#REF!</definedName>
    <definedName name="TOTTH" localSheetId="3">#REF!</definedName>
    <definedName name="TOTTH">#REF!</definedName>
    <definedName name="TOTTV" localSheetId="2">#REF!</definedName>
    <definedName name="TOTTV" localSheetId="3">#REF!</definedName>
    <definedName name="TOTTV">#REF!</definedName>
    <definedName name="Transactions" localSheetId="2">#REF!</definedName>
    <definedName name="Transactions" localSheetId="3">#REF!</definedName>
    <definedName name="Transactions" localSheetId="1">#REF!</definedName>
    <definedName name="Transactions" localSheetId="0">#REF!</definedName>
    <definedName name="Transactions">#REF!</definedName>
    <definedName name="UnformattedIS" localSheetId="2">#REF!</definedName>
    <definedName name="UnformattedIS" localSheetId="3">#REF!</definedName>
    <definedName name="UnformattedIS" localSheetId="0">#REF!</definedName>
    <definedName name="UnformattedIS">#REF!</definedName>
    <definedName name="UnregulatedIS" localSheetId="2">#REF!</definedName>
    <definedName name="UnregulatedIS" localSheetId="3">#REF!</definedName>
    <definedName name="UnregulatedIS" localSheetId="0">#REF!</definedName>
    <definedName name="UnregulatedIS">#REF!</definedName>
    <definedName name="UserTestMode">#REF!</definedName>
    <definedName name="ValidFormats">#REF!</definedName>
    <definedName name="Variables">#REF!</definedName>
    <definedName name="VarianceStatus">#REF!</definedName>
    <definedName name="VarianceTolerance">#REF!</definedName>
    <definedName name="VendorCode" localSheetId="3">#REF!</definedName>
    <definedName name="VendorCode" localSheetId="0">#REF!</definedName>
    <definedName name="VendorCode">#REF!</definedName>
    <definedName name="Version" localSheetId="2">#REF!</definedName>
    <definedName name="Version" localSheetId="3">#REF!</definedName>
    <definedName name="Version" localSheetId="0">#REF!</definedName>
    <definedName name="Version">#REF!</definedName>
    <definedName name="Waste_Management__Inc." localSheetId="1">#REF!</definedName>
    <definedName name="Waste_Management__Inc." localSheetId="0">#REF!</definedName>
    <definedName name="Waste_Management__Inc.">#REF!</definedName>
    <definedName name="WksInYr" localSheetId="2">#REF!</definedName>
    <definedName name="WksInYr" localSheetId="3">#REF!</definedName>
    <definedName name="WksInYr" localSheetId="1">#REF!</definedName>
    <definedName name="WksInYr" localSheetId="0">#REF!</definedName>
    <definedName name="WksInYr">#REF!</definedName>
    <definedName name="WM" localSheetId="1">#REF!</definedName>
    <definedName name="WM" localSheetId="0">#REF!</definedName>
    <definedName name="WM">#REF!</definedName>
    <definedName name="wrn.PrintReview." localSheetId="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localSheetId="3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localSheetId="1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3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1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3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1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nPg1_Pg11." localSheetId="2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localSheetId="3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localSheetId="1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localSheetId="0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test." localSheetId="2" hidden="1">{"Page1",#N/A,TRUE,"SUMM";"Page2",#N/A,TRUE,"Rev";"Page3",#N/A,TRUE,"Dir_Costs"}</definedName>
    <definedName name="wrn.test." localSheetId="3" hidden="1">{"Page1",#N/A,TRUE,"SUMM";"Page2",#N/A,TRUE,"Rev";"Page3",#N/A,TRUE,"Dir_Costs"}</definedName>
    <definedName name="wrn.test." localSheetId="1" hidden="1">{"Page1",#N/A,TRUE,"SUMM";"Page2",#N/A,TRUE,"Rev";"Page3",#N/A,TRUE,"Dir_Costs"}</definedName>
    <definedName name="wrn.test." localSheetId="0" hidden="1">{"Page1",#N/A,TRUE,"SUMM";"Page2",#N/A,TRUE,"Rev";"Page3",#N/A,TRUE,"Dir_Costs"}</definedName>
    <definedName name="wrn.test." hidden="1">{"Page1",#N/A,TRUE,"SUMM";"Page2",#N/A,TRUE,"Rev";"Page3",#N/A,TRUE,"Dir_Costs"}</definedName>
    <definedName name="WTable" localSheetId="2">#REF!</definedName>
    <definedName name="WTable" localSheetId="3">#REF!</definedName>
    <definedName name="WTable" localSheetId="1">#REF!</definedName>
    <definedName name="WTable" localSheetId="0">#REF!</definedName>
    <definedName name="WTable">#REF!</definedName>
    <definedName name="WTableOld" localSheetId="2">#REF!</definedName>
    <definedName name="WTableOld" localSheetId="3">#REF!</definedName>
    <definedName name="WTableOld" localSheetId="0">#REF!</definedName>
    <definedName name="WTableOld">#REF!</definedName>
    <definedName name="ww" localSheetId="2">#REF!</definedName>
    <definedName name="ww" localSheetId="3">#REF!</definedName>
    <definedName name="ww" localSheetId="0">#REF!</definedName>
    <definedName name="ww">#REF!</definedName>
    <definedName name="x" localSheetId="2">rank</definedName>
    <definedName name="x" localSheetId="3">rank</definedName>
    <definedName name="x" localSheetId="1">rank</definedName>
    <definedName name="x" localSheetId="0">rank</definedName>
    <definedName name="x">rank</definedName>
    <definedName name="xperiod">#REF!</definedName>
    <definedName name="xtabin" localSheetId="2">#REF!</definedName>
    <definedName name="xtabin" localSheetId="3">#REF!</definedName>
    <definedName name="xtabin" localSheetId="1">#REF!</definedName>
    <definedName name="xtabin" localSheetId="0">#REF!</definedName>
    <definedName name="xtabin">#REF!</definedName>
    <definedName name="xx" localSheetId="2">#REF!</definedName>
    <definedName name="xx" localSheetId="3">#REF!</definedName>
    <definedName name="xx" localSheetId="1">#REF!</definedName>
    <definedName name="xx" localSheetId="0">#REF!</definedName>
    <definedName name="xx">#REF!</definedName>
    <definedName name="xxx" localSheetId="2">#REF!</definedName>
    <definedName name="xxx" localSheetId="3">#REF!</definedName>
    <definedName name="xxx" localSheetId="0">#REF!</definedName>
    <definedName name="xxx">#REF!</definedName>
    <definedName name="xxxx" localSheetId="2">#REF!</definedName>
    <definedName name="xxxx" localSheetId="3">#REF!</definedName>
    <definedName name="xxxx" localSheetId="0">#REF!</definedName>
    <definedName name="xxxx">#REF!</definedName>
    <definedName name="y_inter1" localSheetId="2">'LG BRG - Vashon MSW'!$X$54</definedName>
    <definedName name="y_inter1" localSheetId="3">'LG BRG -Vashon Recycle'!$X$54</definedName>
    <definedName name="y_inter1">#REF!</definedName>
    <definedName name="y_inter2" localSheetId="2">'LG BRG - Vashon MSW'!$X$55</definedName>
    <definedName name="y_inter2" localSheetId="3">'LG BRG -Vashon Recycle'!$X$55</definedName>
    <definedName name="y_inter2">#REF!</definedName>
    <definedName name="y_inter3" localSheetId="2">'LG BRG - Vashon MSW'!$Z$54</definedName>
    <definedName name="y_inter3" localSheetId="3">'LG BRG -Vashon Recycle'!$Z$54</definedName>
    <definedName name="y_inter3">#REF!</definedName>
    <definedName name="y_inter4" localSheetId="2">'LG BRG - Vashon MSW'!$Z$55</definedName>
    <definedName name="y_inter4" localSheetId="3">'LG BRG -Vashon Recycle'!$Z$55</definedName>
    <definedName name="y_inter4">#REF!</definedName>
    <definedName name="Year">#REF!</definedName>
    <definedName name="Year_of_Review">#REF!</definedName>
    <definedName name="YEAR4" localSheetId="1">#REF!</definedName>
    <definedName name="YEAR4" localSheetId="0">#REF!</definedName>
    <definedName name="YEAR4">#REF!</definedName>
    <definedName name="YearMonth" localSheetId="2">#REF!</definedName>
    <definedName name="YearMonth" localSheetId="3">#REF!</definedName>
    <definedName name="YearMonth" localSheetId="1">#REF!</definedName>
    <definedName name="YearMonth" localSheetId="0">#REF!</definedName>
    <definedName name="YearMonth">#REF!</definedName>
    <definedName name="YearMonthDate">#REF!</definedName>
    <definedName name="YearMonthDate2">#REF!</definedName>
    <definedName name="YearMonthDate3">#REF!</definedName>
    <definedName name="YearMonthDate4">#REF!</definedName>
    <definedName name="YearMonthDate5">#REF!</definedName>
    <definedName name="yrCur">#REF!</definedName>
    <definedName name="yrNext">#REF!</definedName>
    <definedName name="YWMedWasteDisp">#N/A</definedName>
    <definedName name="yy" localSheetId="2">#REF!</definedName>
    <definedName name="yy" localSheetId="3">#REF!</definedName>
    <definedName name="yy" localSheetId="1">#REF!</definedName>
    <definedName name="yy" localSheetId="0">#REF!</definedName>
    <definedName name="yy">#REF!</definedName>
    <definedName name="Zero_Format" localSheetId="0">#REF!</definedName>
    <definedName name="Zero_Forma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  <c r="H4" i="1" s="1"/>
  <c r="S58" i="4"/>
  <c r="U56" i="4"/>
  <c r="U55" i="4"/>
  <c r="J45" i="4"/>
  <c r="J44" i="4"/>
  <c r="J43" i="4"/>
  <c r="V39" i="4"/>
  <c r="V38" i="4"/>
  <c r="K38" i="4"/>
  <c r="Z67" i="4" s="1"/>
  <c r="J38" i="4"/>
  <c r="Y67" i="4" s="1"/>
  <c r="V37" i="4"/>
  <c r="V36" i="4"/>
  <c r="V34" i="4"/>
  <c r="V33" i="4"/>
  <c r="V32" i="4"/>
  <c r="V31" i="4"/>
  <c r="V29" i="4"/>
  <c r="V28" i="4"/>
  <c r="V27" i="4"/>
  <c r="V26" i="4"/>
  <c r="V24" i="4"/>
  <c r="V23" i="4"/>
  <c r="V22" i="4"/>
  <c r="V21" i="4"/>
  <c r="V19" i="4"/>
  <c r="V18" i="4"/>
  <c r="V17" i="4"/>
  <c r="V16" i="4"/>
  <c r="V14" i="4"/>
  <c r="J46" i="4"/>
  <c r="V13" i="4"/>
  <c r="V12" i="4"/>
  <c r="V11" i="4"/>
  <c r="V9" i="4"/>
  <c r="K27" i="4"/>
  <c r="V8" i="4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I27" i="4"/>
  <c r="AC21" i="4" s="1"/>
  <c r="V7" i="4"/>
  <c r="J28" i="4"/>
  <c r="Y6" i="4"/>
  <c r="Y7" i="4" s="1"/>
  <c r="Y8" i="4" s="1"/>
  <c r="Y9" i="4" s="1"/>
  <c r="Y11" i="4" s="1"/>
  <c r="Y12" i="4" s="1"/>
  <c r="Y13" i="4" s="1"/>
  <c r="Y14" i="4" s="1"/>
  <c r="Y16" i="4" s="1"/>
  <c r="Y17" i="4" s="1"/>
  <c r="Y18" i="4" s="1"/>
  <c r="Y19" i="4" s="1"/>
  <c r="Y21" i="4" s="1"/>
  <c r="Y22" i="4" s="1"/>
  <c r="Y23" i="4" s="1"/>
  <c r="Y24" i="4" s="1"/>
  <c r="Y26" i="4" s="1"/>
  <c r="Y27" i="4" s="1"/>
  <c r="Y28" i="4" s="1"/>
  <c r="Y29" i="4" s="1"/>
  <c r="Y31" i="4" s="1"/>
  <c r="Y32" i="4" s="1"/>
  <c r="Y33" i="4" s="1"/>
  <c r="Y34" i="4" s="1"/>
  <c r="Y36" i="4" s="1"/>
  <c r="Y37" i="4" s="1"/>
  <c r="Y38" i="4" s="1"/>
  <c r="Y39" i="4" s="1"/>
  <c r="V6" i="4"/>
  <c r="I7" i="4"/>
  <c r="S58" i="3"/>
  <c r="U56" i="3"/>
  <c r="U55" i="3"/>
  <c r="J45" i="3"/>
  <c r="J44" i="3"/>
  <c r="J43" i="3"/>
  <c r="V39" i="3"/>
  <c r="V38" i="3"/>
  <c r="K38" i="3"/>
  <c r="Z67" i="3" s="1"/>
  <c r="J38" i="3"/>
  <c r="Y67" i="3" s="1"/>
  <c r="V37" i="3"/>
  <c r="V36" i="3"/>
  <c r="V34" i="3"/>
  <c r="V33" i="3"/>
  <c r="V32" i="3"/>
  <c r="V31" i="3"/>
  <c r="V29" i="3"/>
  <c r="V28" i="3"/>
  <c r="V27" i="3"/>
  <c r="V26" i="3"/>
  <c r="V24" i="3"/>
  <c r="V23" i="3"/>
  <c r="V22" i="3"/>
  <c r="V21" i="3"/>
  <c r="V19" i="3"/>
  <c r="V18" i="3"/>
  <c r="V17" i="3"/>
  <c r="V16" i="3"/>
  <c r="V14" i="3"/>
  <c r="J46" i="3"/>
  <c r="V13" i="3"/>
  <c r="V12" i="3"/>
  <c r="V11" i="3"/>
  <c r="V9" i="3"/>
  <c r="F9" i="3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K27" i="3"/>
  <c r="V8" i="3"/>
  <c r="F8" i="3"/>
  <c r="I27" i="3"/>
  <c r="Y7" i="3"/>
  <c r="Y8" i="3" s="1"/>
  <c r="Y9" i="3" s="1"/>
  <c r="Y11" i="3" s="1"/>
  <c r="Y12" i="3" s="1"/>
  <c r="Y13" i="3" s="1"/>
  <c r="Y14" i="3" s="1"/>
  <c r="Y16" i="3" s="1"/>
  <c r="Y17" i="3" s="1"/>
  <c r="Y18" i="3" s="1"/>
  <c r="Y19" i="3" s="1"/>
  <c r="Y21" i="3" s="1"/>
  <c r="Y22" i="3" s="1"/>
  <c r="Y23" i="3" s="1"/>
  <c r="Y24" i="3" s="1"/>
  <c r="Y26" i="3" s="1"/>
  <c r="Y27" i="3" s="1"/>
  <c r="Y28" i="3" s="1"/>
  <c r="Y29" i="3" s="1"/>
  <c r="Y31" i="3" s="1"/>
  <c r="Y32" i="3" s="1"/>
  <c r="Y33" i="3" s="1"/>
  <c r="Y34" i="3" s="1"/>
  <c r="Y36" i="3" s="1"/>
  <c r="Y37" i="3" s="1"/>
  <c r="Y38" i="3" s="1"/>
  <c r="Y39" i="3" s="1"/>
  <c r="V7" i="3"/>
  <c r="I7" i="3"/>
  <c r="J28" i="3"/>
  <c r="S6" i="3" s="1"/>
  <c r="Y6" i="3"/>
  <c r="V6" i="3"/>
  <c r="AC155" i="2"/>
  <c r="AB155" i="2"/>
  <c r="AA155" i="2"/>
  <c r="Z155" i="2"/>
  <c r="Y155" i="2"/>
  <c r="X155" i="2"/>
  <c r="W155" i="2"/>
  <c r="V155" i="2"/>
  <c r="U155" i="2"/>
  <c r="R155" i="2"/>
  <c r="AF155" i="2" s="1"/>
  <c r="N155" i="2"/>
  <c r="K155" i="2"/>
  <c r="J155" i="2"/>
  <c r="I155" i="2"/>
  <c r="G155" i="2"/>
  <c r="AU152" i="2"/>
  <c r="S152" i="2"/>
  <c r="R152" i="2"/>
  <c r="Q152" i="2"/>
  <c r="Q155" i="2" s="1"/>
  <c r="AE155" i="2" s="1"/>
  <c r="P152" i="2"/>
  <c r="P155" i="2" s="1"/>
  <c r="AD155" i="2" s="1"/>
  <c r="O152" i="2"/>
  <c r="O155" i="2" s="1"/>
  <c r="N152" i="2"/>
  <c r="M152" i="2"/>
  <c r="M155" i="2" s="1"/>
  <c r="L152" i="2"/>
  <c r="L155" i="2" s="1"/>
  <c r="K152" i="2"/>
  <c r="J152" i="2"/>
  <c r="I152" i="2"/>
  <c r="H152" i="2"/>
  <c r="H155" i="2" s="1"/>
  <c r="G152" i="2"/>
  <c r="AD150" i="2"/>
  <c r="A150" i="2"/>
  <c r="Z149" i="2"/>
  <c r="Y149" i="2"/>
  <c r="X149" i="2"/>
  <c r="V149" i="2"/>
  <c r="U149" i="2"/>
  <c r="AA149" i="2"/>
  <c r="A149" i="2"/>
  <c r="AB149" i="2" s="1"/>
  <c r="A148" i="2"/>
  <c r="X147" i="2"/>
  <c r="Z147" i="2"/>
  <c r="A147" i="2"/>
  <c r="AH140" i="2"/>
  <c r="AF140" i="2"/>
  <c r="AF143" i="2" s="1"/>
  <c r="AE140" i="2"/>
  <c r="AE143" i="2" s="1"/>
  <c r="AD140" i="2"/>
  <c r="AD143" i="2" s="1"/>
  <c r="AC140" i="2"/>
  <c r="AC143" i="2" s="1"/>
  <c r="AB140" i="2"/>
  <c r="AB143" i="2" s="1"/>
  <c r="AA140" i="2"/>
  <c r="AA143" i="2" s="1"/>
  <c r="Z140" i="2"/>
  <c r="Z143" i="2" s="1"/>
  <c r="Y140" i="2"/>
  <c r="Y143" i="2" s="1"/>
  <c r="X140" i="2"/>
  <c r="X143" i="2" s="1"/>
  <c r="W140" i="2"/>
  <c r="W143" i="2" s="1"/>
  <c r="V140" i="2"/>
  <c r="V143" i="2" s="1"/>
  <c r="U140" i="2"/>
  <c r="U143" i="2" s="1"/>
  <c r="S140" i="2"/>
  <c r="AU140" i="2" s="1"/>
  <c r="R140" i="2"/>
  <c r="R143" i="2" s="1"/>
  <c r="Q140" i="2"/>
  <c r="Q143" i="2" s="1"/>
  <c r="P140" i="2"/>
  <c r="P143" i="2" s="1"/>
  <c r="O140" i="2"/>
  <c r="O143" i="2" s="1"/>
  <c r="N140" i="2"/>
  <c r="N143" i="2" s="1"/>
  <c r="M140" i="2"/>
  <c r="M143" i="2" s="1"/>
  <c r="L140" i="2"/>
  <c r="L143" i="2" s="1"/>
  <c r="K140" i="2"/>
  <c r="K143" i="2" s="1"/>
  <c r="J140" i="2"/>
  <c r="J143" i="2" s="1"/>
  <c r="I140" i="2"/>
  <c r="I143" i="2" s="1"/>
  <c r="H140" i="2"/>
  <c r="H143" i="2" s="1"/>
  <c r="G140" i="2"/>
  <c r="G143" i="2" s="1"/>
  <c r="S143" i="2" s="1"/>
  <c r="R135" i="2"/>
  <c r="Q135" i="2"/>
  <c r="N135" i="2"/>
  <c r="M135" i="2"/>
  <c r="J135" i="2"/>
  <c r="I135" i="2"/>
  <c r="AU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AF130" i="2"/>
  <c r="AB130" i="2"/>
  <c r="X130" i="2"/>
  <c r="Z130" i="2"/>
  <c r="A130" i="2"/>
  <c r="AK127" i="2"/>
  <c r="AJ127" i="2"/>
  <c r="S127" i="2"/>
  <c r="S135" i="2" s="1"/>
  <c r="R127" i="2"/>
  <c r="Q127" i="2"/>
  <c r="P127" i="2"/>
  <c r="P135" i="2" s="1"/>
  <c r="O127" i="2"/>
  <c r="O135" i="2" s="1"/>
  <c r="N127" i="2"/>
  <c r="M127" i="2"/>
  <c r="L127" i="2"/>
  <c r="L135" i="2" s="1"/>
  <c r="K127" i="2"/>
  <c r="K135" i="2" s="1"/>
  <c r="J127" i="2"/>
  <c r="I127" i="2"/>
  <c r="H127" i="2"/>
  <c r="H135" i="2" s="1"/>
  <c r="G127" i="2"/>
  <c r="G135" i="2" s="1"/>
  <c r="AN126" i="2"/>
  <c r="AD125" i="2"/>
  <c r="AA125" i="2"/>
  <c r="Z125" i="2"/>
  <c r="Y125" i="2"/>
  <c r="X125" i="2"/>
  <c r="W125" i="2"/>
  <c r="V125" i="2"/>
  <c r="U125" i="2"/>
  <c r="AF125" i="2"/>
  <c r="A125" i="2"/>
  <c r="AE124" i="2"/>
  <c r="AA124" i="2"/>
  <c r="Z124" i="2"/>
  <c r="Y124" i="2"/>
  <c r="X124" i="2"/>
  <c r="W124" i="2"/>
  <c r="V124" i="2"/>
  <c r="U124" i="2"/>
  <c r="A124" i="2"/>
  <c r="A123" i="2"/>
  <c r="Z122" i="2"/>
  <c r="X122" i="2"/>
  <c r="V122" i="2"/>
  <c r="Y122" i="2"/>
  <c r="A122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AG121" i="2" s="1"/>
  <c r="A121" i="2"/>
  <c r="AE120" i="2"/>
  <c r="AC120" i="2"/>
  <c r="Y120" i="2"/>
  <c r="AD120" i="2"/>
  <c r="AA120" i="2"/>
  <c r="A120" i="2"/>
  <c r="AE119" i="2"/>
  <c r="AA119" i="2"/>
  <c r="Z119" i="2"/>
  <c r="V119" i="2"/>
  <c r="U119" i="2"/>
  <c r="X119" i="2"/>
  <c r="A119" i="2"/>
  <c r="AD119" i="2" s="1"/>
  <c r="AF118" i="2"/>
  <c r="AB118" i="2"/>
  <c r="AA118" i="2"/>
  <c r="W118" i="2"/>
  <c r="U118" i="2"/>
  <c r="AD118" i="2"/>
  <c r="Y118" i="2"/>
  <c r="A118" i="2"/>
  <c r="AD117" i="2"/>
  <c r="A117" i="2"/>
  <c r="AE116" i="2"/>
  <c r="A116" i="2"/>
  <c r="AE115" i="2"/>
  <c r="AD115" i="2"/>
  <c r="AA115" i="2"/>
  <c r="Z115" i="2"/>
  <c r="V115" i="2"/>
  <c r="U115" i="2"/>
  <c r="X115" i="2"/>
  <c r="A115" i="2"/>
  <c r="AF114" i="2"/>
  <c r="AA114" i="2"/>
  <c r="Z114" i="2"/>
  <c r="V114" i="2"/>
  <c r="A114" i="2"/>
  <c r="AA113" i="2"/>
  <c r="Y113" i="2"/>
  <c r="U113" i="2"/>
  <c r="A113" i="2"/>
  <c r="Z112" i="2"/>
  <c r="Y112" i="2"/>
  <c r="X112" i="2"/>
  <c r="V112" i="2"/>
  <c r="U112" i="2"/>
  <c r="AA112" i="2"/>
  <c r="A112" i="2"/>
  <c r="AF112" i="2" s="1"/>
  <c r="AA111" i="2"/>
  <c r="Z111" i="2"/>
  <c r="W111" i="2"/>
  <c r="V111" i="2"/>
  <c r="U111" i="2"/>
  <c r="X111" i="2"/>
  <c r="A111" i="2"/>
  <c r="AC111" i="2" s="1"/>
  <c r="AB110" i="2"/>
  <c r="AA110" i="2"/>
  <c r="Z110" i="2"/>
  <c r="W110" i="2"/>
  <c r="V110" i="2"/>
  <c r="A110" i="2"/>
  <c r="AF110" i="2" s="1"/>
  <c r="AF109" i="2"/>
  <c r="AB109" i="2"/>
  <c r="AA109" i="2"/>
  <c r="Y109" i="2"/>
  <c r="W109" i="2"/>
  <c r="U109" i="2"/>
  <c r="AD109" i="2"/>
  <c r="A109" i="2"/>
  <c r="P103" i="2"/>
  <c r="M103" i="2"/>
  <c r="H103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S100" i="2"/>
  <c r="AU100" i="2" s="1"/>
  <c r="R100" i="2"/>
  <c r="Q100" i="2"/>
  <c r="P100" i="2"/>
  <c r="O100" i="2"/>
  <c r="N100" i="2"/>
  <c r="M100" i="2"/>
  <c r="L100" i="2"/>
  <c r="K100" i="2"/>
  <c r="J100" i="2"/>
  <c r="I100" i="2"/>
  <c r="H100" i="2"/>
  <c r="G100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S96" i="2"/>
  <c r="AU96" i="2" s="1"/>
  <c r="R96" i="2"/>
  <c r="Q96" i="2"/>
  <c r="Q103" i="2" s="1"/>
  <c r="P96" i="2"/>
  <c r="O96" i="2"/>
  <c r="N96" i="2"/>
  <c r="M96" i="2"/>
  <c r="L96" i="2"/>
  <c r="L103" i="2" s="1"/>
  <c r="K96" i="2"/>
  <c r="J96" i="2"/>
  <c r="I96" i="2"/>
  <c r="I103" i="2" s="1"/>
  <c r="H96" i="2"/>
  <c r="G96" i="2"/>
  <c r="AK91" i="2"/>
  <c r="AJ91" i="2"/>
  <c r="S91" i="2"/>
  <c r="S103" i="2" s="1"/>
  <c r="R91" i="2"/>
  <c r="R103" i="2" s="1"/>
  <c r="Q91" i="2"/>
  <c r="P91" i="2"/>
  <c r="O91" i="2"/>
  <c r="O103" i="2" s="1"/>
  <c r="N91" i="2"/>
  <c r="N103" i="2" s="1"/>
  <c r="M91" i="2"/>
  <c r="L91" i="2"/>
  <c r="K91" i="2"/>
  <c r="K103" i="2" s="1"/>
  <c r="J91" i="2"/>
  <c r="J103" i="2" s="1"/>
  <c r="I91" i="2"/>
  <c r="H91" i="2"/>
  <c r="G91" i="2"/>
  <c r="G103" i="2" s="1"/>
  <c r="AN90" i="2"/>
  <c r="A89" i="2"/>
  <c r="AF88" i="2"/>
  <c r="AD88" i="2"/>
  <c r="AB88" i="2"/>
  <c r="X88" i="2"/>
  <c r="W88" i="2"/>
  <c r="E88" i="2"/>
  <c r="AC88" i="2" s="1"/>
  <c r="D88" i="2"/>
  <c r="A88" i="2"/>
  <c r="AF87" i="2"/>
  <c r="AC87" i="2"/>
  <c r="AB87" i="2"/>
  <c r="AA87" i="2"/>
  <c r="E87" i="2"/>
  <c r="AD87" i="2" s="1"/>
  <c r="X87" i="2"/>
  <c r="A87" i="2"/>
  <c r="AC86" i="2"/>
  <c r="AB86" i="2"/>
  <c r="V86" i="2"/>
  <c r="E86" i="2"/>
  <c r="A86" i="2"/>
  <c r="X86" i="2" s="1"/>
  <c r="AC85" i="2"/>
  <c r="AA85" i="2"/>
  <c r="V85" i="2"/>
  <c r="A85" i="2"/>
  <c r="AD85" i="2" s="1"/>
  <c r="AD84" i="2"/>
  <c r="AC84" i="2"/>
  <c r="A84" i="2"/>
  <c r="AQ83" i="2"/>
  <c r="X83" i="2"/>
  <c r="W83" i="2"/>
  <c r="E83" i="2"/>
  <c r="AB83" i="2" s="1"/>
  <c r="D83" i="2"/>
  <c r="A83" i="2"/>
  <c r="AQ82" i="2"/>
  <c r="AE82" i="2"/>
  <c r="AD82" i="2"/>
  <c r="AC82" i="2"/>
  <c r="AA82" i="2"/>
  <c r="Z82" i="2"/>
  <c r="Y82" i="2"/>
  <c r="V82" i="2"/>
  <c r="U82" i="2"/>
  <c r="E82" i="2"/>
  <c r="AF82" i="2" s="1"/>
  <c r="D82" i="2"/>
  <c r="X82" i="2" s="1"/>
  <c r="A82" i="2"/>
  <c r="AA81" i="2"/>
  <c r="W81" i="2"/>
  <c r="V81" i="2"/>
  <c r="A81" i="2"/>
  <c r="AA80" i="2"/>
  <c r="Y80" i="2"/>
  <c r="W80" i="2"/>
  <c r="U80" i="2"/>
  <c r="A80" i="2"/>
  <c r="AQ79" i="2"/>
  <c r="AE79" i="2"/>
  <c r="AD79" i="2"/>
  <c r="AC79" i="2"/>
  <c r="Y79" i="2"/>
  <c r="E79" i="2"/>
  <c r="AF79" i="2" s="1"/>
  <c r="D79" i="2"/>
  <c r="A79" i="2"/>
  <c r="AA78" i="2"/>
  <c r="X78" i="2"/>
  <c r="U78" i="2"/>
  <c r="A78" i="2"/>
  <c r="A77" i="2"/>
  <c r="AF76" i="2"/>
  <c r="AC76" i="2"/>
  <c r="AB76" i="2"/>
  <c r="AD76" i="2"/>
  <c r="X76" i="2"/>
  <c r="A76" i="2"/>
  <c r="AF75" i="2"/>
  <c r="AE75" i="2"/>
  <c r="AD75" i="2"/>
  <c r="AC75" i="2"/>
  <c r="AB75" i="2"/>
  <c r="AA75" i="2"/>
  <c r="Z75" i="2"/>
  <c r="Y75" i="2"/>
  <c r="X75" i="2"/>
  <c r="W75" i="2"/>
  <c r="V75" i="2"/>
  <c r="U75" i="2"/>
  <c r="A75" i="2"/>
  <c r="AF74" i="2"/>
  <c r="AE74" i="2"/>
  <c r="AD74" i="2"/>
  <c r="AC74" i="2"/>
  <c r="AB74" i="2"/>
  <c r="AA74" i="2"/>
  <c r="Z74" i="2"/>
  <c r="Y74" i="2"/>
  <c r="X74" i="2"/>
  <c r="W74" i="2"/>
  <c r="V74" i="2"/>
  <c r="U74" i="2"/>
  <c r="AG74" i="2" s="1"/>
  <c r="A74" i="2"/>
  <c r="AQ73" i="2"/>
  <c r="AF73" i="2"/>
  <c r="AD73" i="2"/>
  <c r="AB73" i="2"/>
  <c r="W73" i="2"/>
  <c r="E73" i="2"/>
  <c r="AC73" i="2" s="1"/>
  <c r="D73" i="2"/>
  <c r="V73" i="2" s="1"/>
  <c r="A73" i="2"/>
  <c r="AQ72" i="2"/>
  <c r="AE72" i="2"/>
  <c r="AD72" i="2"/>
  <c r="AC72" i="2"/>
  <c r="AA72" i="2"/>
  <c r="Z72" i="2"/>
  <c r="Y72" i="2"/>
  <c r="V72" i="2"/>
  <c r="U72" i="2"/>
  <c r="E72" i="2"/>
  <c r="AF72" i="2" s="1"/>
  <c r="D72" i="2"/>
  <c r="X72" i="2" s="1"/>
  <c r="A72" i="2"/>
  <c r="AQ71" i="2"/>
  <c r="AC71" i="2"/>
  <c r="AB71" i="2"/>
  <c r="Z71" i="2"/>
  <c r="Y71" i="2"/>
  <c r="X71" i="2"/>
  <c r="V71" i="2"/>
  <c r="U71" i="2"/>
  <c r="E71" i="2"/>
  <c r="D71" i="2"/>
  <c r="AA71" i="2" s="1"/>
  <c r="A71" i="2"/>
  <c r="AQ70" i="2"/>
  <c r="AA70" i="2"/>
  <c r="Y70" i="2"/>
  <c r="W70" i="2"/>
  <c r="U70" i="2"/>
  <c r="E70" i="2"/>
  <c r="D70" i="2"/>
  <c r="A70" i="2"/>
  <c r="AQ69" i="2"/>
  <c r="AE69" i="2"/>
  <c r="X69" i="2"/>
  <c r="E69" i="2"/>
  <c r="AD69" i="2" s="1"/>
  <c r="D69" i="2"/>
  <c r="W69" i="2" s="1"/>
  <c r="A69" i="2"/>
  <c r="AF68" i="2"/>
  <c r="AE68" i="2"/>
  <c r="AD68" i="2"/>
  <c r="AC68" i="2"/>
  <c r="AB68" i="2"/>
  <c r="AA68" i="2"/>
  <c r="Z68" i="2"/>
  <c r="Y68" i="2"/>
  <c r="X68" i="2"/>
  <c r="W68" i="2"/>
  <c r="V68" i="2"/>
  <c r="U68" i="2"/>
  <c r="A68" i="2"/>
  <c r="AQ67" i="2"/>
  <c r="AE67" i="2"/>
  <c r="AD67" i="2"/>
  <c r="AC67" i="2"/>
  <c r="W67" i="2"/>
  <c r="U67" i="2"/>
  <c r="E67" i="2"/>
  <c r="AF67" i="2" s="1"/>
  <c r="D67" i="2"/>
  <c r="Z67" i="2" s="1"/>
  <c r="A67" i="2"/>
  <c r="AQ66" i="2"/>
  <c r="AF66" i="2"/>
  <c r="AC66" i="2"/>
  <c r="AB66" i="2"/>
  <c r="Z66" i="2"/>
  <c r="Y66" i="2"/>
  <c r="X66" i="2"/>
  <c r="V66" i="2"/>
  <c r="U66" i="2"/>
  <c r="E66" i="2"/>
  <c r="AE66" i="2" s="1"/>
  <c r="D66" i="2"/>
  <c r="AA66" i="2" s="1"/>
  <c r="A66" i="2"/>
  <c r="AQ65" i="2"/>
  <c r="AA65" i="2"/>
  <c r="X65" i="2"/>
  <c r="U65" i="2"/>
  <c r="E65" i="2"/>
  <c r="D65" i="2"/>
  <c r="A65" i="2"/>
  <c r="AF64" i="2"/>
  <c r="AE64" i="2"/>
  <c r="AD64" i="2"/>
  <c r="AC64" i="2"/>
  <c r="AB64" i="2"/>
  <c r="AA64" i="2"/>
  <c r="Z64" i="2"/>
  <c r="Y64" i="2"/>
  <c r="X64" i="2"/>
  <c r="W64" i="2"/>
  <c r="V64" i="2"/>
  <c r="U64" i="2"/>
  <c r="AG64" i="2" s="1"/>
  <c r="A64" i="2"/>
  <c r="AQ63" i="2"/>
  <c r="AC63" i="2"/>
  <c r="Z63" i="2"/>
  <c r="Y63" i="2"/>
  <c r="X63" i="2"/>
  <c r="V63" i="2"/>
  <c r="U63" i="2"/>
  <c r="E63" i="2"/>
  <c r="AE63" i="2" s="1"/>
  <c r="D63" i="2"/>
  <c r="AA63" i="2" s="1"/>
  <c r="A63" i="2"/>
  <c r="AQ62" i="2"/>
  <c r="AF62" i="2"/>
  <c r="AC62" i="2"/>
  <c r="AB62" i="2"/>
  <c r="AA62" i="2"/>
  <c r="W62" i="2"/>
  <c r="U62" i="2"/>
  <c r="E62" i="2"/>
  <c r="AD62" i="2" s="1"/>
  <c r="D62" i="2"/>
  <c r="Y62" i="2" s="1"/>
  <c r="A62" i="2"/>
  <c r="AQ61" i="2"/>
  <c r="AD61" i="2"/>
  <c r="X61" i="2"/>
  <c r="E61" i="2"/>
  <c r="AC61" i="2" s="1"/>
  <c r="D61" i="2"/>
  <c r="A61" i="2"/>
  <c r="AQ60" i="2"/>
  <c r="AE60" i="2"/>
  <c r="AD60" i="2"/>
  <c r="AC60" i="2"/>
  <c r="AA60" i="2"/>
  <c r="V60" i="2"/>
  <c r="E60" i="2"/>
  <c r="AF60" i="2" s="1"/>
  <c r="D60" i="2"/>
  <c r="X60" i="2" s="1"/>
  <c r="A60" i="2"/>
  <c r="AQ59" i="2"/>
  <c r="AD59" i="2"/>
  <c r="Z59" i="2"/>
  <c r="Y59" i="2"/>
  <c r="X59" i="2"/>
  <c r="V59" i="2"/>
  <c r="U59" i="2"/>
  <c r="E59" i="2"/>
  <c r="D59" i="2"/>
  <c r="AA59" i="2" s="1"/>
  <c r="A59" i="2"/>
  <c r="AQ58" i="2"/>
  <c r="AC58" i="2"/>
  <c r="AB58" i="2"/>
  <c r="W58" i="2"/>
  <c r="E58" i="2"/>
  <c r="AD58" i="2" s="1"/>
  <c r="D58" i="2"/>
  <c r="AA58" i="2" s="1"/>
  <c r="A58" i="2"/>
  <c r="AE57" i="2"/>
  <c r="AD57" i="2"/>
  <c r="A57" i="2"/>
  <c r="AA56" i="2"/>
  <c r="Y56" i="2"/>
  <c r="U56" i="2"/>
  <c r="A56" i="2"/>
  <c r="P50" i="2"/>
  <c r="P158" i="2" s="1"/>
  <c r="K50" i="2"/>
  <c r="K158" i="2" s="1"/>
  <c r="G50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AL43" i="2"/>
  <c r="AK43" i="2"/>
  <c r="S43" i="2"/>
  <c r="R43" i="2"/>
  <c r="Q43" i="2"/>
  <c r="P43" i="2"/>
  <c r="O43" i="2"/>
  <c r="N43" i="2"/>
  <c r="M43" i="2"/>
  <c r="L43" i="2"/>
  <c r="L50" i="2" s="1"/>
  <c r="L158" i="2" s="1"/>
  <c r="K43" i="2"/>
  <c r="J43" i="2"/>
  <c r="I43" i="2"/>
  <c r="H43" i="2"/>
  <c r="H50" i="2" s="1"/>
  <c r="H158" i="2" s="1"/>
  <c r="G43" i="2"/>
  <c r="AF41" i="2"/>
  <c r="AE41" i="2"/>
  <c r="AD41" i="2"/>
  <c r="AC41" i="2"/>
  <c r="AB41" i="2"/>
  <c r="AA41" i="2"/>
  <c r="Z41" i="2"/>
  <c r="Y41" i="2"/>
  <c r="X41" i="2"/>
  <c r="W41" i="2"/>
  <c r="V41" i="2"/>
  <c r="U41" i="2"/>
  <c r="AG41" i="2" s="1"/>
  <c r="A41" i="2"/>
  <c r="AF40" i="2"/>
  <c r="AE40" i="2"/>
  <c r="AD40" i="2"/>
  <c r="AC40" i="2"/>
  <c r="AB40" i="2"/>
  <c r="AA40" i="2"/>
  <c r="Z40" i="2"/>
  <c r="Y40" i="2"/>
  <c r="X40" i="2"/>
  <c r="W40" i="2"/>
  <c r="V40" i="2"/>
  <c r="U40" i="2"/>
  <c r="AG40" i="2" s="1"/>
  <c r="A40" i="2"/>
  <c r="AF39" i="2"/>
  <c r="AA39" i="2"/>
  <c r="Y39" i="2"/>
  <c r="W39" i="2"/>
  <c r="U39" i="2"/>
  <c r="AD39" i="2"/>
  <c r="A39" i="2"/>
  <c r="A38" i="2"/>
  <c r="AC38" i="2" s="1"/>
  <c r="AL35" i="2"/>
  <c r="AK35" i="2"/>
  <c r="AJ35" i="2"/>
  <c r="S35" i="2"/>
  <c r="S50" i="2" s="1"/>
  <c r="R35" i="2"/>
  <c r="Q35" i="2"/>
  <c r="Q50" i="2" s="1"/>
  <c r="Q158" i="2" s="1"/>
  <c r="P35" i="2"/>
  <c r="O35" i="2"/>
  <c r="O50" i="2" s="1"/>
  <c r="O158" i="2" s="1"/>
  <c r="N35" i="2"/>
  <c r="M35" i="2"/>
  <c r="L35" i="2"/>
  <c r="K35" i="2"/>
  <c r="J35" i="2"/>
  <c r="I35" i="2"/>
  <c r="I50" i="2" s="1"/>
  <c r="I158" i="2" s="1"/>
  <c r="H35" i="2"/>
  <c r="G35" i="2"/>
  <c r="AN34" i="2"/>
  <c r="AF33" i="2"/>
  <c r="AA33" i="2"/>
  <c r="Y33" i="2"/>
  <c r="W33" i="2"/>
  <c r="U33" i="2"/>
  <c r="AD33" i="2"/>
  <c r="A33" i="2"/>
  <c r="A32" i="2"/>
  <c r="AF31" i="2"/>
  <c r="AE31" i="2"/>
  <c r="AD31" i="2"/>
  <c r="AC31" i="2"/>
  <c r="AB31" i="2"/>
  <c r="X31" i="2"/>
  <c r="A31" i="2"/>
  <c r="Y30" i="2"/>
  <c r="AE30" i="2"/>
  <c r="A30" i="2"/>
  <c r="V30" i="2" s="1"/>
  <c r="AF29" i="2"/>
  <c r="AE29" i="2"/>
  <c r="AD29" i="2"/>
  <c r="AC29" i="2"/>
  <c r="AB29" i="2"/>
  <c r="AA29" i="2"/>
  <c r="Z29" i="2"/>
  <c r="Y29" i="2"/>
  <c r="X29" i="2"/>
  <c r="W29" i="2"/>
  <c r="V29" i="2"/>
  <c r="U29" i="2"/>
  <c r="A29" i="2"/>
  <c r="AF28" i="2"/>
  <c r="AE28" i="2"/>
  <c r="AD28" i="2"/>
  <c r="AC28" i="2"/>
  <c r="AB28" i="2"/>
  <c r="A28" i="2"/>
  <c r="AF27" i="2"/>
  <c r="AE27" i="2"/>
  <c r="AD27" i="2"/>
  <c r="AC27" i="2"/>
  <c r="AB27" i="2"/>
  <c r="W27" i="2"/>
  <c r="A27" i="2"/>
  <c r="AF26" i="2"/>
  <c r="AE26" i="2"/>
  <c r="AD26" i="2"/>
  <c r="AC26" i="2"/>
  <c r="AB26" i="2"/>
  <c r="Z26" i="2"/>
  <c r="U26" i="2"/>
  <c r="X26" i="2"/>
  <c r="A26" i="2"/>
  <c r="AE25" i="2"/>
  <c r="A25" i="2"/>
  <c r="AA24" i="2"/>
  <c r="W24" i="2"/>
  <c r="U24" i="2"/>
  <c r="AD24" i="2"/>
  <c r="A24" i="2"/>
  <c r="AD23" i="2"/>
  <c r="X23" i="2"/>
  <c r="A23" i="2"/>
  <c r="AE23" i="2" s="1"/>
  <c r="Y22" i="2"/>
  <c r="W22" i="2"/>
  <c r="AD22" i="2"/>
  <c r="AA22" i="2"/>
  <c r="A22" i="2"/>
  <c r="AE21" i="2"/>
  <c r="AD21" i="2"/>
  <c r="AA21" i="2"/>
  <c r="V21" i="2"/>
  <c r="X21" i="2"/>
  <c r="A21" i="2"/>
  <c r="AB20" i="2"/>
  <c r="AA20" i="2"/>
  <c r="Y20" i="2"/>
  <c r="W20" i="2"/>
  <c r="U20" i="2"/>
  <c r="AD20" i="2"/>
  <c r="A20" i="2"/>
  <c r="AD19" i="2"/>
  <c r="X19" i="2"/>
  <c r="A19" i="2"/>
  <c r="AE19" i="2" s="1"/>
  <c r="Y18" i="2"/>
  <c r="W18" i="2"/>
  <c r="AD18" i="2"/>
  <c r="AA18" i="2"/>
  <c r="A18" i="2"/>
  <c r="AE17" i="2"/>
  <c r="AD17" i="2"/>
  <c r="AA17" i="2"/>
  <c r="V17" i="2"/>
  <c r="X17" i="2"/>
  <c r="A17" i="2"/>
  <c r="AB16" i="2"/>
  <c r="AA16" i="2"/>
  <c r="Y16" i="2"/>
  <c r="W16" i="2"/>
  <c r="U16" i="2"/>
  <c r="AD16" i="2"/>
  <c r="A16" i="2"/>
  <c r="AD15" i="2"/>
  <c r="X15" i="2"/>
  <c r="A15" i="2"/>
  <c r="AE15" i="2" s="1"/>
  <c r="AF14" i="2"/>
  <c r="AE14" i="2"/>
  <c r="AD14" i="2"/>
  <c r="AC14" i="2"/>
  <c r="AB14" i="2"/>
  <c r="A14" i="2"/>
  <c r="Z13" i="2"/>
  <c r="U13" i="2"/>
  <c r="A13" i="2"/>
  <c r="V13" i="2" s="1"/>
  <c r="AF12" i="2"/>
  <c r="AD12" i="2"/>
  <c r="AA12" i="2"/>
  <c r="V12" i="2"/>
  <c r="AC12" i="2"/>
  <c r="W12" i="2"/>
  <c r="A12" i="2"/>
  <c r="AF11" i="2"/>
  <c r="AE11" i="2"/>
  <c r="AD11" i="2"/>
  <c r="AC11" i="2"/>
  <c r="AB11" i="2"/>
  <c r="AA11" i="2"/>
  <c r="Z11" i="2"/>
  <c r="Y11" i="2"/>
  <c r="X11" i="2"/>
  <c r="W11" i="2"/>
  <c r="V11" i="2"/>
  <c r="U11" i="2"/>
  <c r="AG11" i="2" s="1"/>
  <c r="A11" i="2"/>
  <c r="Y10" i="2"/>
  <c r="V10" i="2"/>
  <c r="A10" i="2"/>
  <c r="Z10" i="2" s="1"/>
  <c r="AF5" i="2"/>
  <c r="AC5" i="2"/>
  <c r="AB5" i="2"/>
  <c r="X5" i="2"/>
  <c r="AE5" i="2"/>
  <c r="AD5" i="2"/>
  <c r="AA5" i="2"/>
  <c r="Z5" i="2"/>
  <c r="Y5" i="2"/>
  <c r="W5" i="2"/>
  <c r="V5" i="2"/>
  <c r="U5" i="2"/>
  <c r="E103" i="1"/>
  <c r="AE10" i="2" l="1"/>
  <c r="AC10" i="2"/>
  <c r="AB10" i="2"/>
  <c r="AF10" i="2"/>
  <c r="AD10" i="2"/>
  <c r="Z14" i="2"/>
  <c r="V14" i="2"/>
  <c r="V35" i="2" s="1"/>
  <c r="Y14" i="2"/>
  <c r="X14" i="2"/>
  <c r="W14" i="2"/>
  <c r="AA14" i="2"/>
  <c r="U14" i="2"/>
  <c r="AG14" i="2" s="1"/>
  <c r="Y28" i="2"/>
  <c r="U28" i="2"/>
  <c r="W28" i="2"/>
  <c r="X28" i="2"/>
  <c r="AA28" i="2"/>
  <c r="V28" i="2"/>
  <c r="Z28" i="2"/>
  <c r="Y15" i="2"/>
  <c r="AE18" i="2"/>
  <c r="AF32" i="2"/>
  <c r="AB32" i="2"/>
  <c r="AC32" i="2"/>
  <c r="AH121" i="2"/>
  <c r="AH155" i="2"/>
  <c r="AH40" i="2"/>
  <c r="AH74" i="2"/>
  <c r="AH64" i="2"/>
  <c r="AH14" i="2"/>
  <c r="AH68" i="2"/>
  <c r="AH41" i="2"/>
  <c r="AH75" i="2"/>
  <c r="U10" i="2"/>
  <c r="AH11" i="2"/>
  <c r="AB12" i="2"/>
  <c r="U15" i="2"/>
  <c r="Z15" i="2"/>
  <c r="Z16" i="2"/>
  <c r="V16" i="2"/>
  <c r="X16" i="2"/>
  <c r="AC16" i="2"/>
  <c r="AF17" i="2"/>
  <c r="AB17" i="2"/>
  <c r="W17" i="2"/>
  <c r="AH17" i="2" s="1"/>
  <c r="AC17" i="2"/>
  <c r="U18" i="2"/>
  <c r="AF18" i="2"/>
  <c r="U19" i="2"/>
  <c r="Z19" i="2"/>
  <c r="Z20" i="2"/>
  <c r="V20" i="2"/>
  <c r="AH20" i="2" s="1"/>
  <c r="X20" i="2"/>
  <c r="AC20" i="2"/>
  <c r="AF21" i="2"/>
  <c r="AB21" i="2"/>
  <c r="W21" i="2"/>
  <c r="AC21" i="2"/>
  <c r="U22" i="2"/>
  <c r="AF22" i="2"/>
  <c r="U23" i="2"/>
  <c r="Z23" i="2"/>
  <c r="Z24" i="2"/>
  <c r="V24" i="2"/>
  <c r="AH24" i="2" s="1"/>
  <c r="X24" i="2"/>
  <c r="AC24" i="2"/>
  <c r="AF25" i="2"/>
  <c r="AB25" i="2"/>
  <c r="AC25" i="2"/>
  <c r="V26" i="2"/>
  <c r="AG26" i="2" s="1"/>
  <c r="U27" i="2"/>
  <c r="AA27" i="2"/>
  <c r="U30" i="2"/>
  <c r="Z30" i="2"/>
  <c r="AF30" i="2"/>
  <c r="U31" i="2"/>
  <c r="AA31" i="2"/>
  <c r="AD32" i="2"/>
  <c r="AB33" i="2"/>
  <c r="X57" i="2"/>
  <c r="AA57" i="2"/>
  <c r="AA91" i="2" s="1"/>
  <c r="AA103" i="2" s="1"/>
  <c r="V57" i="2"/>
  <c r="Z57" i="2"/>
  <c r="U57" i="2"/>
  <c r="W57" i="2"/>
  <c r="AH57" i="2" s="1"/>
  <c r="AE59" i="2"/>
  <c r="AB59" i="2"/>
  <c r="AG59" i="2" s="1"/>
  <c r="AF59" i="2"/>
  <c r="AC59" i="2"/>
  <c r="Y61" i="2"/>
  <c r="U61" i="2"/>
  <c r="AA61" i="2"/>
  <c r="V61" i="2"/>
  <c r="Z61" i="2"/>
  <c r="W61" i="2"/>
  <c r="X84" i="2"/>
  <c r="Z84" i="2"/>
  <c r="U84" i="2"/>
  <c r="W84" i="2"/>
  <c r="AH84" i="2" s="1"/>
  <c r="V84" i="2"/>
  <c r="Y84" i="2"/>
  <c r="Y24" i="2"/>
  <c r="AE24" i="2"/>
  <c r="AD25" i="2"/>
  <c r="AG29" i="2"/>
  <c r="AH29" i="2"/>
  <c r="AB30" i="2"/>
  <c r="W31" i="2"/>
  <c r="AE32" i="2"/>
  <c r="Z33" i="2"/>
  <c r="V33" i="2"/>
  <c r="AG33" i="2" s="1"/>
  <c r="X33" i="2"/>
  <c r="AC33" i="2"/>
  <c r="AD56" i="2"/>
  <c r="AB56" i="2"/>
  <c r="AF56" i="2"/>
  <c r="AC56" i="2"/>
  <c r="AE56" i="2"/>
  <c r="Y57" i="2"/>
  <c r="AD65" i="2"/>
  <c r="AB65" i="2"/>
  <c r="AE65" i="2"/>
  <c r="AC65" i="2"/>
  <c r="AF65" i="2"/>
  <c r="AD70" i="2"/>
  <c r="AC70" i="2"/>
  <c r="AE70" i="2"/>
  <c r="AB70" i="2"/>
  <c r="AF70" i="2"/>
  <c r="X79" i="2"/>
  <c r="Z79" i="2"/>
  <c r="U79" i="2"/>
  <c r="V79" i="2"/>
  <c r="AA79" i="2"/>
  <c r="W79" i="2"/>
  <c r="AA84" i="2"/>
  <c r="Y19" i="2"/>
  <c r="AE22" i="2"/>
  <c r="Y23" i="2"/>
  <c r="AB24" i="2"/>
  <c r="Z27" i="2"/>
  <c r="V27" i="2"/>
  <c r="Y27" i="2"/>
  <c r="AH27" i="2" s="1"/>
  <c r="Y12" i="2"/>
  <c r="Y35" i="2" s="1"/>
  <c r="U12" i="2"/>
  <c r="X12" i="2"/>
  <c r="AA13" i="2"/>
  <c r="W13" i="2"/>
  <c r="X13" i="2"/>
  <c r="V15" i="2"/>
  <c r="AA15" i="2"/>
  <c r="AE16" i="2"/>
  <c r="Y17" i="2"/>
  <c r="AB18" i="2"/>
  <c r="V19" i="2"/>
  <c r="AH19" i="2" s="1"/>
  <c r="AA19" i="2"/>
  <c r="AE20" i="2"/>
  <c r="Y21" i="2"/>
  <c r="AB22" i="2"/>
  <c r="V23" i="2"/>
  <c r="AA23" i="2"/>
  <c r="AA10" i="2"/>
  <c r="W10" i="2"/>
  <c r="X10" i="2"/>
  <c r="Z12" i="2"/>
  <c r="Z35" i="2" s="1"/>
  <c r="AE12" i="2"/>
  <c r="Y13" i="2"/>
  <c r="AF15" i="2"/>
  <c r="AB15" i="2"/>
  <c r="W15" i="2"/>
  <c r="AC15" i="2"/>
  <c r="AF16" i="2"/>
  <c r="U17" i="2"/>
  <c r="Z17" i="2"/>
  <c r="Z18" i="2"/>
  <c r="V18" i="2"/>
  <c r="AH18" i="2" s="1"/>
  <c r="X18" i="2"/>
  <c r="AC18" i="2"/>
  <c r="AF19" i="2"/>
  <c r="AB19" i="2"/>
  <c r="W19" i="2"/>
  <c r="AC19" i="2"/>
  <c r="AF20" i="2"/>
  <c r="U21" i="2"/>
  <c r="Z21" i="2"/>
  <c r="Z22" i="2"/>
  <c r="V22" i="2"/>
  <c r="X22" i="2"/>
  <c r="AC22" i="2"/>
  <c r="AF23" i="2"/>
  <c r="AB23" i="2"/>
  <c r="W23" i="2"/>
  <c r="AC23" i="2"/>
  <c r="AF24" i="2"/>
  <c r="AA26" i="2"/>
  <c r="W26" i="2"/>
  <c r="AH26" i="2" s="1"/>
  <c r="Y26" i="2"/>
  <c r="X27" i="2"/>
  <c r="AA30" i="2"/>
  <c r="W30" i="2"/>
  <c r="X30" i="2"/>
  <c r="AC30" i="2"/>
  <c r="AE33" i="2"/>
  <c r="M50" i="2"/>
  <c r="M158" i="2" s="1"/>
  <c r="Z76" i="2"/>
  <c r="V76" i="2"/>
  <c r="Y76" i="2"/>
  <c r="U76" i="2"/>
  <c r="AA76" i="2"/>
  <c r="W76" i="2"/>
  <c r="AC81" i="2"/>
  <c r="AD81" i="2"/>
  <c r="AE81" i="2"/>
  <c r="AB81" i="2"/>
  <c r="AF81" i="2"/>
  <c r="AD83" i="2"/>
  <c r="AF83" i="2"/>
  <c r="AE83" i="2"/>
  <c r="AC83" i="2"/>
  <c r="AD30" i="2"/>
  <c r="AH30" i="2" s="1"/>
  <c r="Z31" i="2"/>
  <c r="V31" i="2"/>
  <c r="Y31" i="2"/>
  <c r="AF38" i="2"/>
  <c r="AF43" i="2" s="1"/>
  <c r="AB38" i="2"/>
  <c r="AE38" i="2"/>
  <c r="AD38" i="2"/>
  <c r="AD43" i="2" s="1"/>
  <c r="AD78" i="2"/>
  <c r="AB78" i="2"/>
  <c r="AE78" i="2"/>
  <c r="AC78" i="2"/>
  <c r="AF78" i="2"/>
  <c r="AD80" i="2"/>
  <c r="AC80" i="2"/>
  <c r="AE80" i="2"/>
  <c r="AB80" i="2"/>
  <c r="AF80" i="2"/>
  <c r="AE39" i="2"/>
  <c r="J50" i="2"/>
  <c r="J158" i="2" s="1"/>
  <c r="N50" i="2"/>
  <c r="N158" i="2" s="1"/>
  <c r="R50" i="2"/>
  <c r="R158" i="2" s="1"/>
  <c r="Z56" i="2"/>
  <c r="V56" i="2"/>
  <c r="X56" i="2"/>
  <c r="AF57" i="2"/>
  <c r="AB57" i="2"/>
  <c r="AC57" i="2"/>
  <c r="U58" i="2"/>
  <c r="AF58" i="2"/>
  <c r="U60" i="2"/>
  <c r="AH60" i="2" s="1"/>
  <c r="Z60" i="2"/>
  <c r="AB61" i="2"/>
  <c r="AE62" i="2"/>
  <c r="AB63" i="2"/>
  <c r="Z65" i="2"/>
  <c r="V65" i="2"/>
  <c r="AG65" i="2" s="1"/>
  <c r="W65" i="2"/>
  <c r="Y65" i="2"/>
  <c r="AG75" i="2"/>
  <c r="Z78" i="2"/>
  <c r="V78" i="2"/>
  <c r="W78" i="2"/>
  <c r="AH78" i="2" s="1"/>
  <c r="Y78" i="2"/>
  <c r="Y81" i="2"/>
  <c r="U81" i="2"/>
  <c r="X81" i="2"/>
  <c r="AH81" i="2" s="1"/>
  <c r="Z81" i="2"/>
  <c r="Z83" i="2"/>
  <c r="V83" i="2"/>
  <c r="AA83" i="2"/>
  <c r="U83" i="2"/>
  <c r="Y83" i="2"/>
  <c r="AH83" i="2" s="1"/>
  <c r="AF84" i="2"/>
  <c r="AB84" i="2"/>
  <c r="AE84" i="2"/>
  <c r="X85" i="2"/>
  <c r="Z85" i="2"/>
  <c r="U85" i="2"/>
  <c r="Y85" i="2"/>
  <c r="W85" i="2"/>
  <c r="AC116" i="2"/>
  <c r="X123" i="2"/>
  <c r="Z123" i="2"/>
  <c r="V123" i="2"/>
  <c r="U123" i="2"/>
  <c r="W123" i="2"/>
  <c r="AA123" i="2"/>
  <c r="Y123" i="2"/>
  <c r="AF111" i="2"/>
  <c r="AB111" i="2"/>
  <c r="AD111" i="2"/>
  <c r="AE111" i="2"/>
  <c r="AC114" i="2"/>
  <c r="AB114" i="2"/>
  <c r="AD114" i="2"/>
  <c r="AE114" i="2"/>
  <c r="AE112" i="2"/>
  <c r="AC112" i="2"/>
  <c r="AD112" i="2"/>
  <c r="AB112" i="2"/>
  <c r="Z116" i="2"/>
  <c r="V116" i="2"/>
  <c r="AA116" i="2"/>
  <c r="AA127" i="2" s="1"/>
  <c r="AA135" i="2" s="1"/>
  <c r="U116" i="2"/>
  <c r="W116" i="2"/>
  <c r="AH116" i="2" s="1"/>
  <c r="Y116" i="2"/>
  <c r="X116" i="2"/>
  <c r="X127" i="2" s="1"/>
  <c r="X135" i="2" s="1"/>
  <c r="AC122" i="2"/>
  <c r="AE122" i="2"/>
  <c r="AB122" i="2"/>
  <c r="AD122" i="2"/>
  <c r="AF122" i="2"/>
  <c r="AB39" i="2"/>
  <c r="G158" i="2"/>
  <c r="Z58" i="2"/>
  <c r="V58" i="2"/>
  <c r="X58" i="2"/>
  <c r="W60" i="2"/>
  <c r="AE61" i="2"/>
  <c r="AD63" i="2"/>
  <c r="AG68" i="2"/>
  <c r="Y69" i="2"/>
  <c r="U69" i="2"/>
  <c r="AA69" i="2"/>
  <c r="V69" i="2"/>
  <c r="Z69" i="2"/>
  <c r="Y73" i="2"/>
  <c r="U73" i="2"/>
  <c r="AH73" i="2" s="1"/>
  <c r="Z73" i="2"/>
  <c r="X73" i="2"/>
  <c r="Z87" i="2"/>
  <c r="V87" i="2"/>
  <c r="Y87" i="2"/>
  <c r="W87" i="2"/>
  <c r="U87" i="2"/>
  <c r="Z39" i="2"/>
  <c r="V39" i="2"/>
  <c r="AH39" i="2" s="1"/>
  <c r="X39" i="2"/>
  <c r="AC39" i="2"/>
  <c r="AC43" i="2" s="1"/>
  <c r="W56" i="2"/>
  <c r="AG56" i="2" s="1"/>
  <c r="Y58" i="2"/>
  <c r="Y91" i="2" s="1"/>
  <c r="Y103" i="2" s="1"/>
  <c r="AE58" i="2"/>
  <c r="Y60" i="2"/>
  <c r="AF61" i="2"/>
  <c r="Z62" i="2"/>
  <c r="V62" i="2"/>
  <c r="AH62" i="2" s="1"/>
  <c r="X62" i="2"/>
  <c r="AF63" i="2"/>
  <c r="X67" i="2"/>
  <c r="AA67" i="2"/>
  <c r="V67" i="2"/>
  <c r="AG67" i="2" s="1"/>
  <c r="Y67" i="2"/>
  <c r="AC69" i="2"/>
  <c r="AF69" i="2"/>
  <c r="AB69" i="2"/>
  <c r="AE71" i="2"/>
  <c r="AF71" i="2"/>
  <c r="AD71" i="2"/>
  <c r="AG71" i="2" s="1"/>
  <c r="AA73" i="2"/>
  <c r="AE86" i="2"/>
  <c r="AF86" i="2"/>
  <c r="AD86" i="2"/>
  <c r="Y88" i="2"/>
  <c r="U88" i="2"/>
  <c r="Z88" i="2"/>
  <c r="V88" i="2"/>
  <c r="AA88" i="2"/>
  <c r="AD116" i="2"/>
  <c r="AF116" i="2"/>
  <c r="AB116" i="2"/>
  <c r="X117" i="2"/>
  <c r="Z117" i="2"/>
  <c r="U117" i="2"/>
  <c r="AA117" i="2"/>
  <c r="V117" i="2"/>
  <c r="V127" i="2" s="1"/>
  <c r="V135" i="2" s="1"/>
  <c r="Y117" i="2"/>
  <c r="W117" i="2"/>
  <c r="AD147" i="2"/>
  <c r="AC147" i="2"/>
  <c r="AE147" i="2"/>
  <c r="AB147" i="2"/>
  <c r="AF147" i="2"/>
  <c r="W59" i="2"/>
  <c r="AH59" i="2" s="1"/>
  <c r="AB60" i="2"/>
  <c r="W63" i="2"/>
  <c r="AH63" i="2" s="1"/>
  <c r="AD66" i="2"/>
  <c r="Z70" i="2"/>
  <c r="V70" i="2"/>
  <c r="X70" i="2"/>
  <c r="W72" i="2"/>
  <c r="AH72" i="2" s="1"/>
  <c r="AE73" i="2"/>
  <c r="AE76" i="2"/>
  <c r="Z80" i="2"/>
  <c r="V80" i="2"/>
  <c r="AH80" i="2" s="1"/>
  <c r="X80" i="2"/>
  <c r="W82" i="2"/>
  <c r="AH82" i="2" s="1"/>
  <c r="AD113" i="2"/>
  <c r="AB113" i="2"/>
  <c r="AC113" i="2"/>
  <c r="AE113" i="2"/>
  <c r="AF85" i="2"/>
  <c r="AB85" i="2"/>
  <c r="AE85" i="2"/>
  <c r="AA86" i="2"/>
  <c r="W86" i="2"/>
  <c r="Z86" i="2"/>
  <c r="U86" i="2"/>
  <c r="AH86" i="2" s="1"/>
  <c r="Y86" i="2"/>
  <c r="AC110" i="2"/>
  <c r="AD110" i="2"/>
  <c r="AE110" i="2"/>
  <c r="AF113" i="2"/>
  <c r="Z120" i="2"/>
  <c r="Z127" i="2" s="1"/>
  <c r="Z135" i="2" s="1"/>
  <c r="V120" i="2"/>
  <c r="X120" i="2"/>
  <c r="U120" i="2"/>
  <c r="W120" i="2"/>
  <c r="AF117" i="2"/>
  <c r="AB117" i="2"/>
  <c r="AE117" i="2"/>
  <c r="AE127" i="2" s="1"/>
  <c r="AE135" i="2" s="1"/>
  <c r="AC117" i="2"/>
  <c r="AF123" i="2"/>
  <c r="AB123" i="2"/>
  <c r="AD123" i="2"/>
  <c r="AC123" i="2"/>
  <c r="AE123" i="2"/>
  <c r="Y148" i="2"/>
  <c r="U148" i="2"/>
  <c r="AH148" i="2" s="1"/>
  <c r="X148" i="2"/>
  <c r="Z148" i="2"/>
  <c r="V148" i="2"/>
  <c r="W148" i="2"/>
  <c r="AA148" i="2"/>
  <c r="AE109" i="2"/>
  <c r="Z113" i="2"/>
  <c r="V113" i="2"/>
  <c r="AH113" i="2" s="1"/>
  <c r="X113" i="2"/>
  <c r="Y114" i="2"/>
  <c r="U114" i="2"/>
  <c r="X114" i="2"/>
  <c r="Y115" i="2"/>
  <c r="Y127" i="2" s="1"/>
  <c r="Y135" i="2" s="1"/>
  <c r="AD127" i="2"/>
  <c r="AD135" i="2" s="1"/>
  <c r="AE118" i="2"/>
  <c r="Y119" i="2"/>
  <c r="AF124" i="2"/>
  <c r="AB124" i="2"/>
  <c r="AH124" i="2" s="1"/>
  <c r="AD124" i="2"/>
  <c r="AC124" i="2"/>
  <c r="AC148" i="2"/>
  <c r="AF148" i="2"/>
  <c r="AB148" i="2"/>
  <c r="AD148" i="2"/>
  <c r="AE148" i="2"/>
  <c r="S155" i="2"/>
  <c r="S158" i="2" s="1"/>
  <c r="AE149" i="2"/>
  <c r="AD149" i="2"/>
  <c r="AC149" i="2"/>
  <c r="AH149" i="2" s="1"/>
  <c r="AF149" i="2"/>
  <c r="T6" i="3"/>
  <c r="U6" i="3" s="1"/>
  <c r="W6" i="3" s="1"/>
  <c r="X6" i="3" s="1"/>
  <c r="Z6" i="3" s="1"/>
  <c r="AA6" i="3" s="1"/>
  <c r="AB6" i="3" s="1"/>
  <c r="W66" i="2"/>
  <c r="AH66" i="2" s="1"/>
  <c r="AB67" i="2"/>
  <c r="W71" i="2"/>
  <c r="AB72" i="2"/>
  <c r="AB79" i="2"/>
  <c r="AB82" i="2"/>
  <c r="AE87" i="2"/>
  <c r="AE88" i="2"/>
  <c r="Z109" i="2"/>
  <c r="V109" i="2"/>
  <c r="AG109" i="2" s="1"/>
  <c r="X109" i="2"/>
  <c r="AC109" i="2"/>
  <c r="Y110" i="2"/>
  <c r="U110" i="2"/>
  <c r="AG110" i="2" s="1"/>
  <c r="X110" i="2"/>
  <c r="Y111" i="2"/>
  <c r="AH111" i="2" s="1"/>
  <c r="W113" i="2"/>
  <c r="W114" i="2"/>
  <c r="AF115" i="2"/>
  <c r="AB115" i="2"/>
  <c r="W115" i="2"/>
  <c r="AH115" i="2" s="1"/>
  <c r="AC115" i="2"/>
  <c r="Z118" i="2"/>
  <c r="V118" i="2"/>
  <c r="X118" i="2"/>
  <c r="AC118" i="2"/>
  <c r="AF119" i="2"/>
  <c r="AB119" i="2"/>
  <c r="W119" i="2"/>
  <c r="AH119" i="2" s="1"/>
  <c r="AC119" i="2"/>
  <c r="AD130" i="2"/>
  <c r="AC130" i="2"/>
  <c r="AE130" i="2"/>
  <c r="AB120" i="2"/>
  <c r="AF120" i="2"/>
  <c r="W122" i="2"/>
  <c r="AA122" i="2"/>
  <c r="AC125" i="2"/>
  <c r="AH125" i="2" s="1"/>
  <c r="W130" i="2"/>
  <c r="AA130" i="2"/>
  <c r="W147" i="2"/>
  <c r="AA147" i="2"/>
  <c r="Z150" i="2"/>
  <c r="V150" i="2"/>
  <c r="X150" i="2"/>
  <c r="AC150" i="2"/>
  <c r="AG155" i="2"/>
  <c r="J19" i="3"/>
  <c r="S9" i="3"/>
  <c r="S8" i="3"/>
  <c r="S7" i="3"/>
  <c r="Y150" i="2"/>
  <c r="AE150" i="2"/>
  <c r="W112" i="2"/>
  <c r="AG112" i="2" s="1"/>
  <c r="U122" i="2"/>
  <c r="AG122" i="2" s="1"/>
  <c r="AE125" i="2"/>
  <c r="U130" i="2"/>
  <c r="Y130" i="2"/>
  <c r="AG140" i="2"/>
  <c r="AG143" i="2" s="1"/>
  <c r="U147" i="2"/>
  <c r="AG147" i="2" s="1"/>
  <c r="Y147" i="2"/>
  <c r="U150" i="2"/>
  <c r="AA150" i="2"/>
  <c r="AF150" i="2"/>
  <c r="AB125" i="2"/>
  <c r="V130" i="2"/>
  <c r="V147" i="2"/>
  <c r="W150" i="2"/>
  <c r="AB150" i="2"/>
  <c r="AC37" i="3"/>
  <c r="AC33" i="3"/>
  <c r="AC39" i="3"/>
  <c r="AC38" i="3"/>
  <c r="AC36" i="3"/>
  <c r="J27" i="3"/>
  <c r="M27" i="3" s="1"/>
  <c r="K11" i="3" s="1"/>
  <c r="AC34" i="3"/>
  <c r="AC32" i="3"/>
  <c r="AC31" i="3"/>
  <c r="AC8" i="3"/>
  <c r="AC9" i="3"/>
  <c r="AC11" i="3"/>
  <c r="AC12" i="3"/>
  <c r="AC13" i="3"/>
  <c r="AC14" i="3"/>
  <c r="AC16" i="3"/>
  <c r="AC17" i="3"/>
  <c r="AC18" i="3"/>
  <c r="AC22" i="3"/>
  <c r="I26" i="3"/>
  <c r="L27" i="3"/>
  <c r="AC27" i="3"/>
  <c r="W149" i="2"/>
  <c r="AG149" i="2" s="1"/>
  <c r="AC29" i="3"/>
  <c r="AC6" i="3"/>
  <c r="AC19" i="3"/>
  <c r="AC23" i="3"/>
  <c r="AC24" i="3"/>
  <c r="AC7" i="3"/>
  <c r="AC21" i="3"/>
  <c r="AC26" i="3"/>
  <c r="AC28" i="3"/>
  <c r="J19" i="4"/>
  <c r="S9" i="4"/>
  <c r="S8" i="4"/>
  <c r="S7" i="4"/>
  <c r="J47" i="3"/>
  <c r="S6" i="4"/>
  <c r="L27" i="4"/>
  <c r="AC23" i="4"/>
  <c r="AC6" i="4"/>
  <c r="AC19" i="4"/>
  <c r="AC7" i="4"/>
  <c r="AC37" i="4"/>
  <c r="AC29" i="4"/>
  <c r="AC28" i="4"/>
  <c r="AC27" i="4"/>
  <c r="I26" i="4"/>
  <c r="AC33" i="4"/>
  <c r="AC26" i="4"/>
  <c r="AC39" i="4"/>
  <c r="AC38" i="4"/>
  <c r="AC36" i="4"/>
  <c r="J27" i="4"/>
  <c r="M27" i="4" s="1"/>
  <c r="K11" i="4" s="1"/>
  <c r="AC34" i="4"/>
  <c r="AC32" i="4"/>
  <c r="AC31" i="4"/>
  <c r="AC8" i="4"/>
  <c r="AC9" i="4"/>
  <c r="AC11" i="4"/>
  <c r="AC12" i="4"/>
  <c r="AC13" i="4"/>
  <c r="AC14" i="4"/>
  <c r="AC16" i="4"/>
  <c r="AC17" i="4"/>
  <c r="AC18" i="4"/>
  <c r="AC22" i="4"/>
  <c r="AC24" i="4"/>
  <c r="J47" i="4"/>
  <c r="AN30" i="2" l="1"/>
  <c r="AN18" i="2"/>
  <c r="AN24" i="2"/>
  <c r="AN20" i="2"/>
  <c r="AN115" i="2"/>
  <c r="AN66" i="2"/>
  <c r="AN73" i="2"/>
  <c r="AN26" i="2"/>
  <c r="AN63" i="2"/>
  <c r="AN39" i="2"/>
  <c r="AN57" i="2"/>
  <c r="AN19" i="2"/>
  <c r="AN119" i="2"/>
  <c r="AN72" i="2"/>
  <c r="AN62" i="2"/>
  <c r="I11" i="4"/>
  <c r="M11" i="4"/>
  <c r="I11" i="3"/>
  <c r="M11" i="3"/>
  <c r="AN124" i="2"/>
  <c r="AN78" i="2"/>
  <c r="AN60" i="2"/>
  <c r="AN27" i="2"/>
  <c r="AN125" i="2"/>
  <c r="AN59" i="2"/>
  <c r="AN116" i="2"/>
  <c r="AN17" i="2"/>
  <c r="T9" i="3"/>
  <c r="U9" i="3"/>
  <c r="W9" i="3" s="1"/>
  <c r="X9" i="3" s="1"/>
  <c r="Z9" i="3" s="1"/>
  <c r="AA9" i="3" s="1"/>
  <c r="AB9" i="3" s="1"/>
  <c r="AD9" i="3" s="1"/>
  <c r="AE9" i="3" s="1"/>
  <c r="AF9" i="3" s="1"/>
  <c r="AC127" i="2"/>
  <c r="AC135" i="2" s="1"/>
  <c r="AG113" i="2"/>
  <c r="AA89" i="2"/>
  <c r="W89" i="2"/>
  <c r="Y89" i="2"/>
  <c r="U89" i="2"/>
  <c r="Z89" i="2"/>
  <c r="X89" i="2"/>
  <c r="V89" i="2"/>
  <c r="AG124" i="2"/>
  <c r="T6" i="4"/>
  <c r="U6" i="4" s="1"/>
  <c r="W6" i="4" s="1"/>
  <c r="X6" i="4" s="1"/>
  <c r="Z6" i="4" s="1"/>
  <c r="AA6" i="4" s="1"/>
  <c r="AB6" i="4" s="1"/>
  <c r="AD6" i="4" s="1"/>
  <c r="AE6" i="4" s="1"/>
  <c r="AF6" i="4" s="1"/>
  <c r="T8" i="4"/>
  <c r="U8" i="4" s="1"/>
  <c r="W8" i="4" s="1"/>
  <c r="X8" i="4" s="1"/>
  <c r="Z8" i="4" s="1"/>
  <c r="AA8" i="4" s="1"/>
  <c r="AB8" i="4" s="1"/>
  <c r="AD8" i="4" s="1"/>
  <c r="AE8" i="4" s="1"/>
  <c r="AF8" i="4" s="1"/>
  <c r="AD6" i="3"/>
  <c r="AE6" i="3" s="1"/>
  <c r="AF6" i="3" s="1"/>
  <c r="AG150" i="2"/>
  <c r="AG118" i="2"/>
  <c r="AB127" i="2"/>
  <c r="AB135" i="2" s="1"/>
  <c r="AG125" i="2"/>
  <c r="AG70" i="2"/>
  <c r="AG117" i="2"/>
  <c r="AG87" i="2"/>
  <c r="AG58" i="2"/>
  <c r="X91" i="2"/>
  <c r="X103" i="2" s="1"/>
  <c r="AG66" i="2"/>
  <c r="W35" i="2"/>
  <c r="AG79" i="2"/>
  <c r="X25" i="2"/>
  <c r="Z25" i="2"/>
  <c r="U25" i="2"/>
  <c r="AA25" i="2"/>
  <c r="V25" i="2"/>
  <c r="Y25" i="2"/>
  <c r="W25" i="2"/>
  <c r="AG61" i="2"/>
  <c r="X32" i="2"/>
  <c r="AA32" i="2"/>
  <c r="V32" i="2"/>
  <c r="Z32" i="2"/>
  <c r="U32" i="2"/>
  <c r="Y32" i="2"/>
  <c r="W32" i="2"/>
  <c r="AH79" i="2"/>
  <c r="I28" i="4"/>
  <c r="J26" i="4"/>
  <c r="T9" i="4"/>
  <c r="U9" i="4" s="1"/>
  <c r="W9" i="4" s="1"/>
  <c r="X9" i="4" s="1"/>
  <c r="Z9" i="4" s="1"/>
  <c r="AA9" i="4" s="1"/>
  <c r="AB9" i="4" s="1"/>
  <c r="AD9" i="4" s="1"/>
  <c r="AE9" i="4" s="1"/>
  <c r="AF9" i="4" s="1"/>
  <c r="I28" i="3"/>
  <c r="J26" i="3"/>
  <c r="AG130" i="2"/>
  <c r="T8" i="3"/>
  <c r="U8" i="3" s="1"/>
  <c r="W8" i="3" s="1"/>
  <c r="X8" i="3" s="1"/>
  <c r="Z8" i="3" s="1"/>
  <c r="AA8" i="3" s="1"/>
  <c r="AB8" i="3" s="1"/>
  <c r="AD8" i="3" s="1"/>
  <c r="AE8" i="3" s="1"/>
  <c r="AF8" i="3" s="1"/>
  <c r="AF127" i="2"/>
  <c r="AF135" i="2" s="1"/>
  <c r="AG78" i="2"/>
  <c r="AG116" i="2"/>
  <c r="AG119" i="2"/>
  <c r="AG83" i="2"/>
  <c r="V91" i="2"/>
  <c r="V103" i="2" s="1"/>
  <c r="AG72" i="2"/>
  <c r="AG82" i="2"/>
  <c r="AG62" i="2"/>
  <c r="AG21" i="2"/>
  <c r="AG17" i="2"/>
  <c r="AA35" i="2"/>
  <c r="AG63" i="2"/>
  <c r="AC91" i="2"/>
  <c r="AC103" i="2" s="1"/>
  <c r="AG39" i="2"/>
  <c r="AN29" i="2"/>
  <c r="AG30" i="2"/>
  <c r="AH21" i="2"/>
  <c r="AG18" i="2"/>
  <c r="AG16" i="2"/>
  <c r="U35" i="2"/>
  <c r="AH10" i="2"/>
  <c r="AG10" i="2"/>
  <c r="AH67" i="2"/>
  <c r="AH16" i="2"/>
  <c r="AH56" i="2"/>
  <c r="AH65" i="2"/>
  <c r="AH150" i="2"/>
  <c r="AE89" i="2"/>
  <c r="AD89" i="2"/>
  <c r="AB89" i="2"/>
  <c r="AC89" i="2"/>
  <c r="AF89" i="2"/>
  <c r="AG80" i="2"/>
  <c r="AG88" i="2"/>
  <c r="X77" i="2"/>
  <c r="Y77" i="2"/>
  <c r="AA77" i="2"/>
  <c r="U77" i="2"/>
  <c r="Z77" i="2"/>
  <c r="V77" i="2"/>
  <c r="W77" i="2"/>
  <c r="AG73" i="2"/>
  <c r="U91" i="2"/>
  <c r="U103" i="2" s="1"/>
  <c r="U127" i="2"/>
  <c r="U135" i="2" s="1"/>
  <c r="AG123" i="2"/>
  <c r="AG85" i="2"/>
  <c r="AG60" i="2"/>
  <c r="Z91" i="2"/>
  <c r="Z103" i="2" s="1"/>
  <c r="AE43" i="2"/>
  <c r="AG76" i="2"/>
  <c r="AH71" i="2"/>
  <c r="AG12" i="2"/>
  <c r="AF91" i="2"/>
  <c r="AF103" i="2" s="1"/>
  <c r="AG31" i="2"/>
  <c r="AG23" i="2"/>
  <c r="AH12" i="2"/>
  <c r="AN75" i="2"/>
  <c r="AN68" i="2"/>
  <c r="AN74" i="2"/>
  <c r="AH33" i="2"/>
  <c r="AH58" i="2"/>
  <c r="AH88" i="2"/>
  <c r="AH110" i="2"/>
  <c r="AH70" i="2"/>
  <c r="AF77" i="2"/>
  <c r="AB77" i="2"/>
  <c r="AD77" i="2"/>
  <c r="AC77" i="2"/>
  <c r="AE77" i="2"/>
  <c r="AG69" i="2"/>
  <c r="AG81" i="2"/>
  <c r="AB43" i="2"/>
  <c r="AH23" i="2"/>
  <c r="X35" i="2"/>
  <c r="AG111" i="2"/>
  <c r="AB91" i="2"/>
  <c r="AB103" i="2" s="1"/>
  <c r="AG84" i="2"/>
  <c r="AG57" i="2"/>
  <c r="AG91" i="2" s="1"/>
  <c r="AG103" i="2" s="1"/>
  <c r="AG27" i="2"/>
  <c r="AG24" i="2"/>
  <c r="AG19" i="2"/>
  <c r="AH85" i="2"/>
  <c r="AH69" i="2"/>
  <c r="AH31" i="2"/>
  <c r="AH122" i="2"/>
  <c r="AH76" i="2"/>
  <c r="AH112" i="2"/>
  <c r="AH123" i="2"/>
  <c r="AH87" i="2"/>
  <c r="AH118" i="2"/>
  <c r="AH130" i="2"/>
  <c r="T7" i="4"/>
  <c r="U7" i="4" s="1"/>
  <c r="W7" i="4" s="1"/>
  <c r="X7" i="4" s="1"/>
  <c r="Z7" i="4" s="1"/>
  <c r="AA7" i="4" s="1"/>
  <c r="AB7" i="4" s="1"/>
  <c r="AD7" i="4" s="1"/>
  <c r="AE7" i="4" s="1"/>
  <c r="AF7" i="4" s="1"/>
  <c r="U7" i="3"/>
  <c r="W7" i="3" s="1"/>
  <c r="X7" i="3" s="1"/>
  <c r="Z7" i="3" s="1"/>
  <c r="AA7" i="3" s="1"/>
  <c r="AB7" i="3" s="1"/>
  <c r="AD7" i="3" s="1"/>
  <c r="AE7" i="3" s="1"/>
  <c r="AF7" i="3" s="1"/>
  <c r="T7" i="3"/>
  <c r="W127" i="2"/>
  <c r="W135" i="2" s="1"/>
  <c r="AG115" i="2"/>
  <c r="AG114" i="2"/>
  <c r="AG148" i="2"/>
  <c r="AG120" i="2"/>
  <c r="AG86" i="2"/>
  <c r="W91" i="2"/>
  <c r="W103" i="2" s="1"/>
  <c r="AE13" i="2"/>
  <c r="AD13" i="2"/>
  <c r="AC13" i="2"/>
  <c r="AC35" i="2" s="1"/>
  <c r="AC50" i="2" s="1"/>
  <c r="AC158" i="2" s="1"/>
  <c r="AB13" i="2"/>
  <c r="AB35" i="2" s="1"/>
  <c r="AB50" i="2" s="1"/>
  <c r="AB158" i="2" s="1"/>
  <c r="AF13" i="2"/>
  <c r="AF35" i="2" s="1"/>
  <c r="AF50" i="2" s="1"/>
  <c r="AF158" i="2" s="1"/>
  <c r="AE91" i="2"/>
  <c r="AE103" i="2" s="1"/>
  <c r="AD91" i="2"/>
  <c r="AD103" i="2" s="1"/>
  <c r="X38" i="2"/>
  <c r="X43" i="2" s="1"/>
  <c r="Z38" i="2"/>
  <c r="Z43" i="2" s="1"/>
  <c r="Z50" i="2" s="1"/>
  <c r="Z158" i="2" s="1"/>
  <c r="U38" i="2"/>
  <c r="Y38" i="2"/>
  <c r="Y43" i="2" s="1"/>
  <c r="Y50" i="2" s="1"/>
  <c r="Y158" i="2" s="1"/>
  <c r="W38" i="2"/>
  <c r="W43" i="2" s="1"/>
  <c r="V38" i="2"/>
  <c r="V43" i="2" s="1"/>
  <c r="V50" i="2" s="1"/>
  <c r="V158" i="2" s="1"/>
  <c r="AA38" i="2"/>
  <c r="AA43" i="2" s="1"/>
  <c r="AG22" i="2"/>
  <c r="AG20" i="2"/>
  <c r="AH15" i="2"/>
  <c r="AG15" i="2"/>
  <c r="AN11" i="2"/>
  <c r="AH61" i="2"/>
  <c r="AN14" i="2"/>
  <c r="AH22" i="2"/>
  <c r="AN64" i="2"/>
  <c r="AH117" i="2"/>
  <c r="AH114" i="2"/>
  <c r="AH109" i="2"/>
  <c r="AH120" i="2"/>
  <c r="AH147" i="2"/>
  <c r="AG28" i="2"/>
  <c r="AH28" i="2"/>
  <c r="AD35" i="2"/>
  <c r="AD50" i="2" s="1"/>
  <c r="AD158" i="2" s="1"/>
  <c r="AE35" i="2"/>
  <c r="AG77" i="2" l="1"/>
  <c r="AH77" i="2"/>
  <c r="AN16" i="2"/>
  <c r="AN21" i="2"/>
  <c r="AG32" i="2"/>
  <c r="AH32" i="2"/>
  <c r="X50" i="2"/>
  <c r="X158" i="2" s="1"/>
  <c r="AN28" i="2"/>
  <c r="AG127" i="2"/>
  <c r="AG135" i="2" s="1"/>
  <c r="AN23" i="2"/>
  <c r="AN88" i="2"/>
  <c r="AN67" i="2"/>
  <c r="AG13" i="2"/>
  <c r="AH13" i="2"/>
  <c r="AN12" i="2"/>
  <c r="AN65" i="2"/>
  <c r="AL127" i="2"/>
  <c r="AN120" i="2"/>
  <c r="AN118" i="2"/>
  <c r="AN76" i="2"/>
  <c r="U43" i="2"/>
  <c r="U50" i="2" s="1"/>
  <c r="U158" i="2" s="1"/>
  <c r="AG38" i="2"/>
  <c r="AG43" i="2" s="1"/>
  <c r="AH38" i="2"/>
  <c r="AN31" i="2"/>
  <c r="AN58" i="2"/>
  <c r="AG35" i="2"/>
  <c r="AG25" i="2"/>
  <c r="AH25" i="2"/>
  <c r="W50" i="2"/>
  <c r="W158" i="2" s="1"/>
  <c r="AE50" i="2"/>
  <c r="AE158" i="2" s="1"/>
  <c r="AN117" i="2"/>
  <c r="AN127" i="2" s="1"/>
  <c r="AP127" i="2" s="1"/>
  <c r="AN22" i="2"/>
  <c r="AN61" i="2"/>
  <c r="AN15" i="2"/>
  <c r="AN69" i="2"/>
  <c r="AN70" i="2"/>
  <c r="AN33" i="2"/>
  <c r="AN71" i="2"/>
  <c r="AH91" i="2"/>
  <c r="AH103" i="2" s="1"/>
  <c r="AN56" i="2"/>
  <c r="AN10" i="2"/>
  <c r="AH35" i="2"/>
  <c r="AA50" i="2"/>
  <c r="AA158" i="2" s="1"/>
  <c r="AG89" i="2"/>
  <c r="AH89" i="2"/>
  <c r="AH127" i="2"/>
  <c r="AH135" i="2" s="1"/>
  <c r="AN91" i="2" l="1"/>
  <c r="AG50" i="2"/>
  <c r="AG158" i="2" s="1"/>
  <c r="AN77" i="2"/>
  <c r="AL91" i="2" s="1"/>
  <c r="AN89" i="2"/>
  <c r="AN25" i="2"/>
  <c r="AN32" i="2"/>
  <c r="AN38" i="2"/>
  <c r="AH43" i="2"/>
  <c r="AH50" i="2" s="1"/>
  <c r="AH158" i="2" s="1"/>
  <c r="AN13" i="2"/>
  <c r="AN35" i="2" s="1"/>
  <c r="AP35" i="2" s="1"/>
  <c r="AP91" i="2" l="1"/>
  <c r="AN43" i="2"/>
  <c r="AP43" i="2" s="1"/>
  <c r="AJ43" i="2"/>
  <c r="I8" i="4" l="1"/>
  <c r="AG9" i="4" l="1"/>
  <c r="AH9" i="4" s="1"/>
  <c r="AG8" i="4"/>
  <c r="AH8" i="4" s="1"/>
  <c r="I16" i="4"/>
  <c r="K8" i="4"/>
  <c r="AG7" i="4"/>
  <c r="AH7" i="4" s="1"/>
  <c r="AG6" i="4"/>
  <c r="AH6" i="4" s="1"/>
  <c r="I9" i="4"/>
  <c r="I8" i="3"/>
  <c r="I16" i="3" l="1"/>
  <c r="K8" i="3"/>
  <c r="AG7" i="3"/>
  <c r="AH7" i="3" s="1"/>
  <c r="AG6" i="3"/>
  <c r="AH6" i="3" s="1"/>
  <c r="AG9" i="3"/>
  <c r="AH9" i="3" s="1"/>
  <c r="AG8" i="3"/>
  <c r="AH8" i="3" s="1"/>
  <c r="I9" i="3"/>
  <c r="AI6" i="3" l="1"/>
  <c r="AJ6" i="3"/>
  <c r="AK6" i="3"/>
  <c r="J7" i="3"/>
  <c r="K7" i="3"/>
  <c r="L7" i="3"/>
  <c r="M7" i="3"/>
  <c r="AI7" i="3"/>
  <c r="AJ7" i="3"/>
  <c r="AK7" i="3"/>
  <c r="L8" i="3"/>
  <c r="M8" i="3"/>
  <c r="AI8" i="3"/>
  <c r="AJ8" i="3"/>
  <c r="AK8" i="3"/>
  <c r="K9" i="3"/>
  <c r="M9" i="3"/>
  <c r="AI9" i="3"/>
  <c r="AJ9" i="3"/>
  <c r="AK9" i="3"/>
  <c r="S11" i="3"/>
  <c r="T11" i="3"/>
  <c r="U11" i="3"/>
  <c r="W11" i="3"/>
  <c r="X11" i="3"/>
  <c r="Z11" i="3"/>
  <c r="AA11" i="3"/>
  <c r="AB11" i="3"/>
  <c r="AD11" i="3"/>
  <c r="AE11" i="3"/>
  <c r="AF11" i="3"/>
  <c r="AG11" i="3"/>
  <c r="AH11" i="3"/>
  <c r="AI11" i="3"/>
  <c r="AJ11" i="3"/>
  <c r="AK11" i="3"/>
  <c r="I12" i="3"/>
  <c r="J12" i="3"/>
  <c r="K12" i="3"/>
  <c r="M12" i="3"/>
  <c r="S12" i="3"/>
  <c r="T12" i="3"/>
  <c r="U12" i="3"/>
  <c r="W12" i="3"/>
  <c r="X12" i="3"/>
  <c r="Z12" i="3"/>
  <c r="AA12" i="3"/>
  <c r="AB12" i="3"/>
  <c r="AD12" i="3"/>
  <c r="AE12" i="3"/>
  <c r="AF12" i="3"/>
  <c r="AG12" i="3"/>
  <c r="AH12" i="3"/>
  <c r="AI12" i="3"/>
  <c r="AJ12" i="3"/>
  <c r="AK12" i="3"/>
  <c r="S13" i="3"/>
  <c r="T13" i="3"/>
  <c r="U13" i="3"/>
  <c r="W13" i="3"/>
  <c r="X13" i="3"/>
  <c r="Z13" i="3"/>
  <c r="AA13" i="3"/>
  <c r="AB13" i="3"/>
  <c r="AD13" i="3"/>
  <c r="AE13" i="3"/>
  <c r="AF13" i="3"/>
  <c r="AG13" i="3"/>
  <c r="AH13" i="3"/>
  <c r="AI13" i="3"/>
  <c r="AJ13" i="3"/>
  <c r="AK13" i="3"/>
  <c r="I14" i="3"/>
  <c r="K14" i="3"/>
  <c r="M14" i="3"/>
  <c r="S14" i="3"/>
  <c r="T14" i="3"/>
  <c r="U14" i="3"/>
  <c r="W14" i="3"/>
  <c r="X14" i="3"/>
  <c r="Z14" i="3"/>
  <c r="AA14" i="3"/>
  <c r="AB14" i="3"/>
  <c r="AD14" i="3"/>
  <c r="AE14" i="3"/>
  <c r="AF14" i="3"/>
  <c r="AG14" i="3"/>
  <c r="AH14" i="3"/>
  <c r="AI14" i="3"/>
  <c r="AJ14" i="3"/>
  <c r="AK14" i="3"/>
  <c r="K16" i="3"/>
  <c r="M16" i="3"/>
  <c r="S16" i="3"/>
  <c r="T16" i="3"/>
  <c r="U16" i="3"/>
  <c r="W16" i="3"/>
  <c r="X16" i="3"/>
  <c r="Z16" i="3"/>
  <c r="AA16" i="3"/>
  <c r="AB16" i="3"/>
  <c r="AD16" i="3"/>
  <c r="AE16" i="3"/>
  <c r="AF16" i="3"/>
  <c r="AG16" i="3"/>
  <c r="AH16" i="3"/>
  <c r="AI16" i="3"/>
  <c r="AJ16" i="3"/>
  <c r="AK16" i="3"/>
  <c r="S17" i="3"/>
  <c r="T17" i="3"/>
  <c r="U17" i="3"/>
  <c r="W17" i="3"/>
  <c r="X17" i="3"/>
  <c r="Z17" i="3"/>
  <c r="AA17" i="3"/>
  <c r="AB17" i="3"/>
  <c r="AD17" i="3"/>
  <c r="AE17" i="3"/>
  <c r="AF17" i="3"/>
  <c r="AG17" i="3"/>
  <c r="AH17" i="3"/>
  <c r="AI17" i="3"/>
  <c r="AJ17" i="3"/>
  <c r="AK17" i="3"/>
  <c r="S18" i="3"/>
  <c r="T18" i="3"/>
  <c r="U18" i="3"/>
  <c r="W18" i="3"/>
  <c r="X18" i="3"/>
  <c r="Z18" i="3"/>
  <c r="AA18" i="3"/>
  <c r="AB18" i="3"/>
  <c r="AD18" i="3"/>
  <c r="AE18" i="3"/>
  <c r="AF18" i="3"/>
  <c r="AG18" i="3"/>
  <c r="AH18" i="3"/>
  <c r="AI18" i="3"/>
  <c r="AJ18" i="3"/>
  <c r="AK18" i="3"/>
  <c r="M19" i="3"/>
  <c r="S19" i="3"/>
  <c r="T19" i="3"/>
  <c r="U19" i="3"/>
  <c r="W19" i="3"/>
  <c r="X19" i="3"/>
  <c r="Z19" i="3"/>
  <c r="AA19" i="3"/>
  <c r="AB19" i="3"/>
  <c r="AD19" i="3"/>
  <c r="AE19" i="3"/>
  <c r="AF19" i="3"/>
  <c r="AG19" i="3"/>
  <c r="AH19" i="3"/>
  <c r="AI19" i="3"/>
  <c r="AJ19" i="3"/>
  <c r="AK19" i="3"/>
  <c r="J20" i="3"/>
  <c r="M20" i="3"/>
  <c r="J21" i="3"/>
  <c r="M21" i="3"/>
  <c r="S21" i="3"/>
  <c r="T21" i="3"/>
  <c r="U21" i="3"/>
  <c r="W21" i="3"/>
  <c r="X21" i="3"/>
  <c r="Z21" i="3"/>
  <c r="AA21" i="3"/>
  <c r="AB21" i="3"/>
  <c r="AD21" i="3"/>
  <c r="AE21" i="3"/>
  <c r="AF21" i="3"/>
  <c r="AG21" i="3"/>
  <c r="AH21" i="3"/>
  <c r="AI21" i="3"/>
  <c r="AJ21" i="3"/>
  <c r="AK21" i="3"/>
  <c r="K22" i="3"/>
  <c r="S22" i="3"/>
  <c r="T22" i="3"/>
  <c r="U22" i="3"/>
  <c r="W22" i="3"/>
  <c r="X22" i="3"/>
  <c r="Z22" i="3"/>
  <c r="AA22" i="3"/>
  <c r="AB22" i="3"/>
  <c r="AD22" i="3"/>
  <c r="AE22" i="3"/>
  <c r="AF22" i="3"/>
  <c r="AG22" i="3"/>
  <c r="AH22" i="3"/>
  <c r="AI22" i="3"/>
  <c r="AJ22" i="3"/>
  <c r="AK22" i="3"/>
  <c r="S23" i="3"/>
  <c r="T23" i="3"/>
  <c r="U23" i="3"/>
  <c r="W23" i="3"/>
  <c r="X23" i="3"/>
  <c r="Z23" i="3"/>
  <c r="AA23" i="3"/>
  <c r="AB23" i="3"/>
  <c r="AD23" i="3"/>
  <c r="AE23" i="3"/>
  <c r="AF23" i="3"/>
  <c r="AG23" i="3"/>
  <c r="AH23" i="3"/>
  <c r="AI23" i="3"/>
  <c r="AJ23" i="3"/>
  <c r="AK23" i="3"/>
  <c r="S24" i="3"/>
  <c r="T24" i="3"/>
  <c r="U24" i="3"/>
  <c r="W24" i="3"/>
  <c r="X24" i="3"/>
  <c r="Z24" i="3"/>
  <c r="AA24" i="3"/>
  <c r="AB24" i="3"/>
  <c r="AD24" i="3"/>
  <c r="AE24" i="3"/>
  <c r="AF24" i="3"/>
  <c r="AG24" i="3"/>
  <c r="AH24" i="3"/>
  <c r="AI24" i="3"/>
  <c r="AJ24" i="3"/>
  <c r="AK24" i="3"/>
  <c r="K26" i="3"/>
  <c r="L26" i="3"/>
  <c r="M26" i="3"/>
  <c r="S26" i="3"/>
  <c r="T26" i="3"/>
  <c r="U26" i="3"/>
  <c r="W26" i="3"/>
  <c r="X26" i="3"/>
  <c r="Z26" i="3"/>
  <c r="AA26" i="3"/>
  <c r="AB26" i="3"/>
  <c r="AD26" i="3"/>
  <c r="AE26" i="3"/>
  <c r="AF26" i="3"/>
  <c r="AG26" i="3"/>
  <c r="AH26" i="3"/>
  <c r="AI26" i="3"/>
  <c r="AJ26" i="3"/>
  <c r="AK26" i="3"/>
  <c r="S27" i="3"/>
  <c r="T27" i="3"/>
  <c r="U27" i="3"/>
  <c r="W27" i="3"/>
  <c r="X27" i="3"/>
  <c r="Z27" i="3"/>
  <c r="AA27" i="3"/>
  <c r="AB27" i="3"/>
  <c r="AD27" i="3"/>
  <c r="AE27" i="3"/>
  <c r="AF27" i="3"/>
  <c r="AG27" i="3"/>
  <c r="AH27" i="3"/>
  <c r="AI27" i="3"/>
  <c r="AJ27" i="3"/>
  <c r="AK27" i="3"/>
  <c r="L28" i="3"/>
  <c r="M28" i="3"/>
  <c r="S28" i="3"/>
  <c r="T28" i="3"/>
  <c r="U28" i="3"/>
  <c r="W28" i="3"/>
  <c r="X28" i="3"/>
  <c r="Z28" i="3"/>
  <c r="AA28" i="3"/>
  <c r="AB28" i="3"/>
  <c r="AD28" i="3"/>
  <c r="AE28" i="3"/>
  <c r="AF28" i="3"/>
  <c r="AG28" i="3"/>
  <c r="AH28" i="3"/>
  <c r="AI28" i="3"/>
  <c r="AJ28" i="3"/>
  <c r="AK28" i="3"/>
  <c r="S29" i="3"/>
  <c r="T29" i="3"/>
  <c r="U29" i="3"/>
  <c r="W29" i="3"/>
  <c r="X29" i="3"/>
  <c r="Z29" i="3"/>
  <c r="AA29" i="3"/>
  <c r="AB29" i="3"/>
  <c r="AD29" i="3"/>
  <c r="AE29" i="3"/>
  <c r="AF29" i="3"/>
  <c r="AG29" i="3"/>
  <c r="AH29" i="3"/>
  <c r="AI29" i="3"/>
  <c r="AJ29" i="3"/>
  <c r="AK29" i="3"/>
  <c r="S31" i="3"/>
  <c r="T31" i="3"/>
  <c r="U31" i="3"/>
  <c r="W31" i="3"/>
  <c r="X31" i="3"/>
  <c r="Z31" i="3"/>
  <c r="AA31" i="3"/>
  <c r="AB31" i="3"/>
  <c r="AD31" i="3"/>
  <c r="AE31" i="3"/>
  <c r="AF31" i="3"/>
  <c r="AG31" i="3"/>
  <c r="AH31" i="3"/>
  <c r="AI31" i="3"/>
  <c r="AJ31" i="3"/>
  <c r="AK31" i="3"/>
  <c r="S32" i="3"/>
  <c r="T32" i="3"/>
  <c r="U32" i="3"/>
  <c r="W32" i="3"/>
  <c r="X32" i="3"/>
  <c r="Z32" i="3"/>
  <c r="AA32" i="3"/>
  <c r="AB32" i="3"/>
  <c r="AD32" i="3"/>
  <c r="AE32" i="3"/>
  <c r="AF32" i="3"/>
  <c r="AG32" i="3"/>
  <c r="AH32" i="3"/>
  <c r="AI32" i="3"/>
  <c r="AJ32" i="3"/>
  <c r="AK32" i="3"/>
  <c r="J33" i="3"/>
  <c r="K33" i="3"/>
  <c r="S33" i="3"/>
  <c r="T33" i="3"/>
  <c r="U33" i="3"/>
  <c r="W33" i="3"/>
  <c r="X33" i="3"/>
  <c r="Z33" i="3"/>
  <c r="AA33" i="3"/>
  <c r="AB33" i="3"/>
  <c r="AD33" i="3"/>
  <c r="AE33" i="3"/>
  <c r="AF33" i="3"/>
  <c r="AG33" i="3"/>
  <c r="AH33" i="3"/>
  <c r="AI33" i="3"/>
  <c r="AJ33" i="3"/>
  <c r="AK33" i="3"/>
  <c r="J34" i="3"/>
  <c r="K34" i="3"/>
  <c r="S34" i="3"/>
  <c r="T34" i="3"/>
  <c r="U34" i="3"/>
  <c r="W34" i="3"/>
  <c r="X34" i="3"/>
  <c r="Z34" i="3"/>
  <c r="AA34" i="3"/>
  <c r="AB34" i="3"/>
  <c r="AD34" i="3"/>
  <c r="AE34" i="3"/>
  <c r="AF34" i="3"/>
  <c r="AG34" i="3"/>
  <c r="AH34" i="3"/>
  <c r="AI34" i="3"/>
  <c r="AJ34" i="3"/>
  <c r="AK34" i="3"/>
  <c r="J35" i="3"/>
  <c r="K35" i="3"/>
  <c r="J36" i="3"/>
  <c r="K36" i="3"/>
  <c r="S36" i="3"/>
  <c r="T36" i="3"/>
  <c r="U36" i="3"/>
  <c r="W36" i="3"/>
  <c r="X36" i="3"/>
  <c r="Z36" i="3"/>
  <c r="AA36" i="3"/>
  <c r="AB36" i="3"/>
  <c r="AD36" i="3"/>
  <c r="AE36" i="3"/>
  <c r="AF36" i="3"/>
  <c r="AG36" i="3"/>
  <c r="AH36" i="3"/>
  <c r="AI36" i="3"/>
  <c r="AJ36" i="3"/>
  <c r="AK36" i="3"/>
  <c r="J37" i="3"/>
  <c r="K37" i="3"/>
  <c r="S37" i="3"/>
  <c r="T37" i="3"/>
  <c r="U37" i="3"/>
  <c r="W37" i="3"/>
  <c r="X37" i="3"/>
  <c r="Z37" i="3"/>
  <c r="AA37" i="3"/>
  <c r="AB37" i="3"/>
  <c r="AD37" i="3"/>
  <c r="AE37" i="3"/>
  <c r="AF37" i="3"/>
  <c r="AG37" i="3"/>
  <c r="AH37" i="3"/>
  <c r="AI37" i="3"/>
  <c r="AJ37" i="3"/>
  <c r="AK37" i="3"/>
  <c r="S38" i="3"/>
  <c r="T38" i="3"/>
  <c r="U38" i="3"/>
  <c r="W38" i="3"/>
  <c r="X38" i="3"/>
  <c r="Z38" i="3"/>
  <c r="AA38" i="3"/>
  <c r="AB38" i="3"/>
  <c r="AD38" i="3"/>
  <c r="AE38" i="3"/>
  <c r="AF38" i="3"/>
  <c r="AG38" i="3"/>
  <c r="AH38" i="3"/>
  <c r="AI38" i="3"/>
  <c r="AJ38" i="3"/>
  <c r="AK38" i="3"/>
  <c r="S39" i="3"/>
  <c r="T39" i="3"/>
  <c r="U39" i="3"/>
  <c r="W39" i="3"/>
  <c r="X39" i="3"/>
  <c r="Z39" i="3"/>
  <c r="AA39" i="3"/>
  <c r="AB39" i="3"/>
  <c r="AD39" i="3"/>
  <c r="AE39" i="3"/>
  <c r="AF39" i="3"/>
  <c r="AG39" i="3"/>
  <c r="AH39" i="3"/>
  <c r="AI39" i="3"/>
  <c r="AJ39" i="3"/>
  <c r="AK39" i="3"/>
  <c r="K43" i="3"/>
  <c r="V43" i="3"/>
  <c r="K44" i="3"/>
  <c r="V44" i="3"/>
  <c r="K45" i="3"/>
  <c r="V45" i="3"/>
  <c r="K46" i="3"/>
  <c r="K47" i="3"/>
  <c r="R47" i="3"/>
  <c r="R48" i="3"/>
  <c r="J49" i="3"/>
  <c r="R50" i="3"/>
  <c r="Y62" i="3"/>
  <c r="Z62" i="3"/>
  <c r="Y63" i="3"/>
  <c r="Z63" i="3"/>
  <c r="Y64" i="3"/>
  <c r="Z64" i="3"/>
  <c r="Y65" i="3"/>
  <c r="Z65" i="3"/>
  <c r="Y66" i="3"/>
  <c r="Z66" i="3"/>
  <c r="AI6" i="4"/>
  <c r="AJ6" i="4"/>
  <c r="AK6" i="4"/>
  <c r="J7" i="4"/>
  <c r="K7" i="4"/>
  <c r="L7" i="4"/>
  <c r="M7" i="4"/>
  <c r="AI7" i="4"/>
  <c r="AJ7" i="4"/>
  <c r="AK7" i="4"/>
  <c r="L8" i="4"/>
  <c r="M8" i="4"/>
  <c r="AI8" i="4"/>
  <c r="AJ8" i="4"/>
  <c r="AK8" i="4"/>
  <c r="K9" i="4"/>
  <c r="M9" i="4"/>
  <c r="AI9" i="4"/>
  <c r="AJ9" i="4"/>
  <c r="AK9" i="4"/>
  <c r="S11" i="4"/>
  <c r="T11" i="4"/>
  <c r="U11" i="4"/>
  <c r="W11" i="4"/>
  <c r="X11" i="4"/>
  <c r="Z11" i="4"/>
  <c r="AA11" i="4"/>
  <c r="AB11" i="4"/>
  <c r="AD11" i="4"/>
  <c r="AE11" i="4"/>
  <c r="AF11" i="4"/>
  <c r="AG11" i="4"/>
  <c r="AH11" i="4"/>
  <c r="AI11" i="4"/>
  <c r="AJ11" i="4"/>
  <c r="AK11" i="4"/>
  <c r="I12" i="4"/>
  <c r="J12" i="4"/>
  <c r="K12" i="4"/>
  <c r="M12" i="4"/>
  <c r="S12" i="4"/>
  <c r="T12" i="4"/>
  <c r="U12" i="4"/>
  <c r="W12" i="4"/>
  <c r="X12" i="4"/>
  <c r="Z12" i="4"/>
  <c r="AA12" i="4"/>
  <c r="AB12" i="4"/>
  <c r="AD12" i="4"/>
  <c r="AE12" i="4"/>
  <c r="AF12" i="4"/>
  <c r="AG12" i="4"/>
  <c r="AH12" i="4"/>
  <c r="AI12" i="4"/>
  <c r="AJ12" i="4"/>
  <c r="AK12" i="4"/>
  <c r="S13" i="4"/>
  <c r="T13" i="4"/>
  <c r="U13" i="4"/>
  <c r="W13" i="4"/>
  <c r="X13" i="4"/>
  <c r="Z13" i="4"/>
  <c r="AA13" i="4"/>
  <c r="AB13" i="4"/>
  <c r="AD13" i="4"/>
  <c r="AE13" i="4"/>
  <c r="AF13" i="4"/>
  <c r="AG13" i="4"/>
  <c r="AH13" i="4"/>
  <c r="AI13" i="4"/>
  <c r="AJ13" i="4"/>
  <c r="AK13" i="4"/>
  <c r="I14" i="4"/>
  <c r="K14" i="4"/>
  <c r="M14" i="4"/>
  <c r="S14" i="4"/>
  <c r="T14" i="4"/>
  <c r="U14" i="4"/>
  <c r="W14" i="4"/>
  <c r="X14" i="4"/>
  <c r="Z14" i="4"/>
  <c r="AA14" i="4"/>
  <c r="AB14" i="4"/>
  <c r="AD14" i="4"/>
  <c r="AE14" i="4"/>
  <c r="AF14" i="4"/>
  <c r="AG14" i="4"/>
  <c r="AH14" i="4"/>
  <c r="AI14" i="4"/>
  <c r="AJ14" i="4"/>
  <c r="AK14" i="4"/>
  <c r="K16" i="4"/>
  <c r="M16" i="4"/>
  <c r="S16" i="4"/>
  <c r="T16" i="4"/>
  <c r="U16" i="4"/>
  <c r="W16" i="4"/>
  <c r="X16" i="4"/>
  <c r="Z16" i="4"/>
  <c r="AA16" i="4"/>
  <c r="AB16" i="4"/>
  <c r="AD16" i="4"/>
  <c r="AE16" i="4"/>
  <c r="AF16" i="4"/>
  <c r="AG16" i="4"/>
  <c r="AH16" i="4"/>
  <c r="AI16" i="4"/>
  <c r="AJ16" i="4"/>
  <c r="AK16" i="4"/>
  <c r="S17" i="4"/>
  <c r="T17" i="4"/>
  <c r="U17" i="4"/>
  <c r="W17" i="4"/>
  <c r="X17" i="4"/>
  <c r="Z17" i="4"/>
  <c r="AA17" i="4"/>
  <c r="AB17" i="4"/>
  <c r="AD17" i="4"/>
  <c r="AE17" i="4"/>
  <c r="AF17" i="4"/>
  <c r="AG17" i="4"/>
  <c r="AH17" i="4"/>
  <c r="AI17" i="4"/>
  <c r="AJ17" i="4"/>
  <c r="AK17" i="4"/>
  <c r="S18" i="4"/>
  <c r="T18" i="4"/>
  <c r="U18" i="4"/>
  <c r="W18" i="4"/>
  <c r="X18" i="4"/>
  <c r="Z18" i="4"/>
  <c r="AA18" i="4"/>
  <c r="AB18" i="4"/>
  <c r="AD18" i="4"/>
  <c r="AE18" i="4"/>
  <c r="AF18" i="4"/>
  <c r="AG18" i="4"/>
  <c r="AH18" i="4"/>
  <c r="AI18" i="4"/>
  <c r="AJ18" i="4"/>
  <c r="AK18" i="4"/>
  <c r="M19" i="4"/>
  <c r="S19" i="4"/>
  <c r="T19" i="4"/>
  <c r="U19" i="4"/>
  <c r="W19" i="4"/>
  <c r="X19" i="4"/>
  <c r="Z19" i="4"/>
  <c r="AA19" i="4"/>
  <c r="AB19" i="4"/>
  <c r="AD19" i="4"/>
  <c r="AE19" i="4"/>
  <c r="AF19" i="4"/>
  <c r="AG19" i="4"/>
  <c r="AH19" i="4"/>
  <c r="AI19" i="4"/>
  <c r="AJ19" i="4"/>
  <c r="AK19" i="4"/>
  <c r="J20" i="4"/>
  <c r="M20" i="4"/>
  <c r="J21" i="4"/>
  <c r="M21" i="4"/>
  <c r="S21" i="4"/>
  <c r="T21" i="4"/>
  <c r="U21" i="4"/>
  <c r="W21" i="4"/>
  <c r="X21" i="4"/>
  <c r="Z21" i="4"/>
  <c r="AA21" i="4"/>
  <c r="AB21" i="4"/>
  <c r="AD21" i="4"/>
  <c r="AE21" i="4"/>
  <c r="AF21" i="4"/>
  <c r="AG21" i="4"/>
  <c r="AH21" i="4"/>
  <c r="AI21" i="4"/>
  <c r="AJ21" i="4"/>
  <c r="AK21" i="4"/>
  <c r="K22" i="4"/>
  <c r="S22" i="4"/>
  <c r="T22" i="4"/>
  <c r="U22" i="4"/>
  <c r="W22" i="4"/>
  <c r="X22" i="4"/>
  <c r="Z22" i="4"/>
  <c r="AA22" i="4"/>
  <c r="AB22" i="4"/>
  <c r="AD22" i="4"/>
  <c r="AE22" i="4"/>
  <c r="AF22" i="4"/>
  <c r="AG22" i="4"/>
  <c r="AH22" i="4"/>
  <c r="AI22" i="4"/>
  <c r="AJ22" i="4"/>
  <c r="AK22" i="4"/>
  <c r="S23" i="4"/>
  <c r="T23" i="4"/>
  <c r="U23" i="4"/>
  <c r="W23" i="4"/>
  <c r="X23" i="4"/>
  <c r="Z23" i="4"/>
  <c r="AA23" i="4"/>
  <c r="AB23" i="4"/>
  <c r="AD23" i="4"/>
  <c r="AE23" i="4"/>
  <c r="AF23" i="4"/>
  <c r="AG23" i="4"/>
  <c r="AH23" i="4"/>
  <c r="AI23" i="4"/>
  <c r="AJ23" i="4"/>
  <c r="AK23" i="4"/>
  <c r="S24" i="4"/>
  <c r="T24" i="4"/>
  <c r="U24" i="4"/>
  <c r="W24" i="4"/>
  <c r="X24" i="4"/>
  <c r="Z24" i="4"/>
  <c r="AA24" i="4"/>
  <c r="AB24" i="4"/>
  <c r="AD24" i="4"/>
  <c r="AE24" i="4"/>
  <c r="AF24" i="4"/>
  <c r="AG24" i="4"/>
  <c r="AH24" i="4"/>
  <c r="AI24" i="4"/>
  <c r="AJ24" i="4"/>
  <c r="AK24" i="4"/>
  <c r="K26" i="4"/>
  <c r="L26" i="4"/>
  <c r="M26" i="4"/>
  <c r="S26" i="4"/>
  <c r="T26" i="4"/>
  <c r="U26" i="4"/>
  <c r="W26" i="4"/>
  <c r="X26" i="4"/>
  <c r="Z26" i="4"/>
  <c r="AA26" i="4"/>
  <c r="AB26" i="4"/>
  <c r="AD26" i="4"/>
  <c r="AE26" i="4"/>
  <c r="AF26" i="4"/>
  <c r="AG26" i="4"/>
  <c r="AH26" i="4"/>
  <c r="AI26" i="4"/>
  <c r="AJ26" i="4"/>
  <c r="AK26" i="4"/>
  <c r="S27" i="4"/>
  <c r="T27" i="4"/>
  <c r="U27" i="4"/>
  <c r="W27" i="4"/>
  <c r="X27" i="4"/>
  <c r="Z27" i="4"/>
  <c r="AA27" i="4"/>
  <c r="AB27" i="4"/>
  <c r="AD27" i="4"/>
  <c r="AE27" i="4"/>
  <c r="AF27" i="4"/>
  <c r="AG27" i="4"/>
  <c r="AH27" i="4"/>
  <c r="AI27" i="4"/>
  <c r="AJ27" i="4"/>
  <c r="AK27" i="4"/>
  <c r="L28" i="4"/>
  <c r="M28" i="4"/>
  <c r="S28" i="4"/>
  <c r="T28" i="4"/>
  <c r="U28" i="4"/>
  <c r="W28" i="4"/>
  <c r="X28" i="4"/>
  <c r="Z28" i="4"/>
  <c r="AA28" i="4"/>
  <c r="AB28" i="4"/>
  <c r="AD28" i="4"/>
  <c r="AE28" i="4"/>
  <c r="AF28" i="4"/>
  <c r="AG28" i="4"/>
  <c r="AH28" i="4"/>
  <c r="AI28" i="4"/>
  <c r="AJ28" i="4"/>
  <c r="AK28" i="4"/>
  <c r="S29" i="4"/>
  <c r="T29" i="4"/>
  <c r="U29" i="4"/>
  <c r="W29" i="4"/>
  <c r="X29" i="4"/>
  <c r="Z29" i="4"/>
  <c r="AA29" i="4"/>
  <c r="AB29" i="4"/>
  <c r="AD29" i="4"/>
  <c r="AE29" i="4"/>
  <c r="AF29" i="4"/>
  <c r="AG29" i="4"/>
  <c r="AH29" i="4"/>
  <c r="AI29" i="4"/>
  <c r="AJ29" i="4"/>
  <c r="AK29" i="4"/>
  <c r="S31" i="4"/>
  <c r="T31" i="4"/>
  <c r="U31" i="4"/>
  <c r="W31" i="4"/>
  <c r="X31" i="4"/>
  <c r="Z31" i="4"/>
  <c r="AA31" i="4"/>
  <c r="AB31" i="4"/>
  <c r="AD31" i="4"/>
  <c r="AE31" i="4"/>
  <c r="AF31" i="4"/>
  <c r="AG31" i="4"/>
  <c r="AH31" i="4"/>
  <c r="AI31" i="4"/>
  <c r="AJ31" i="4"/>
  <c r="AK31" i="4"/>
  <c r="S32" i="4"/>
  <c r="T32" i="4"/>
  <c r="U32" i="4"/>
  <c r="W32" i="4"/>
  <c r="X32" i="4"/>
  <c r="Z32" i="4"/>
  <c r="AA32" i="4"/>
  <c r="AB32" i="4"/>
  <c r="AD32" i="4"/>
  <c r="AE32" i="4"/>
  <c r="AF32" i="4"/>
  <c r="AG32" i="4"/>
  <c r="AH32" i="4"/>
  <c r="AI32" i="4"/>
  <c r="AJ32" i="4"/>
  <c r="AK32" i="4"/>
  <c r="J33" i="4"/>
  <c r="K33" i="4"/>
  <c r="S33" i="4"/>
  <c r="T33" i="4"/>
  <c r="U33" i="4"/>
  <c r="W33" i="4"/>
  <c r="X33" i="4"/>
  <c r="Z33" i="4"/>
  <c r="AA33" i="4"/>
  <c r="AB33" i="4"/>
  <c r="AD33" i="4"/>
  <c r="AE33" i="4"/>
  <c r="AF33" i="4"/>
  <c r="AG33" i="4"/>
  <c r="AH33" i="4"/>
  <c r="AI33" i="4"/>
  <c r="AJ33" i="4"/>
  <c r="AK33" i="4"/>
  <c r="J34" i="4"/>
  <c r="K34" i="4"/>
  <c r="S34" i="4"/>
  <c r="T34" i="4"/>
  <c r="U34" i="4"/>
  <c r="W34" i="4"/>
  <c r="X34" i="4"/>
  <c r="Z34" i="4"/>
  <c r="AA34" i="4"/>
  <c r="AB34" i="4"/>
  <c r="AD34" i="4"/>
  <c r="AE34" i="4"/>
  <c r="AF34" i="4"/>
  <c r="AG34" i="4"/>
  <c r="AH34" i="4"/>
  <c r="AI34" i="4"/>
  <c r="AJ34" i="4"/>
  <c r="AK34" i="4"/>
  <c r="J35" i="4"/>
  <c r="K35" i="4"/>
  <c r="J36" i="4"/>
  <c r="K36" i="4"/>
  <c r="S36" i="4"/>
  <c r="T36" i="4"/>
  <c r="U36" i="4"/>
  <c r="W36" i="4"/>
  <c r="X36" i="4"/>
  <c r="Z36" i="4"/>
  <c r="AA36" i="4"/>
  <c r="AB36" i="4"/>
  <c r="AD36" i="4"/>
  <c r="AE36" i="4"/>
  <c r="AF36" i="4"/>
  <c r="AG36" i="4"/>
  <c r="AH36" i="4"/>
  <c r="AI36" i="4"/>
  <c r="AJ36" i="4"/>
  <c r="AK36" i="4"/>
  <c r="J37" i="4"/>
  <c r="K37" i="4"/>
  <c r="S37" i="4"/>
  <c r="T37" i="4"/>
  <c r="U37" i="4"/>
  <c r="W37" i="4"/>
  <c r="X37" i="4"/>
  <c r="Z37" i="4"/>
  <c r="AA37" i="4"/>
  <c r="AB37" i="4"/>
  <c r="AD37" i="4"/>
  <c r="AE37" i="4"/>
  <c r="AF37" i="4"/>
  <c r="AG37" i="4"/>
  <c r="AH37" i="4"/>
  <c r="AI37" i="4"/>
  <c r="AJ37" i="4"/>
  <c r="AK37" i="4"/>
  <c r="S38" i="4"/>
  <c r="T38" i="4"/>
  <c r="U38" i="4"/>
  <c r="W38" i="4"/>
  <c r="X38" i="4"/>
  <c r="Z38" i="4"/>
  <c r="AA38" i="4"/>
  <c r="AB38" i="4"/>
  <c r="AD38" i="4"/>
  <c r="AE38" i="4"/>
  <c r="AF38" i="4"/>
  <c r="AG38" i="4"/>
  <c r="AH38" i="4"/>
  <c r="AI38" i="4"/>
  <c r="AJ38" i="4"/>
  <c r="AK38" i="4"/>
  <c r="S39" i="4"/>
  <c r="T39" i="4"/>
  <c r="U39" i="4"/>
  <c r="W39" i="4"/>
  <c r="X39" i="4"/>
  <c r="Z39" i="4"/>
  <c r="AA39" i="4"/>
  <c r="AB39" i="4"/>
  <c r="AD39" i="4"/>
  <c r="AE39" i="4"/>
  <c r="AF39" i="4"/>
  <c r="AG39" i="4"/>
  <c r="AH39" i="4"/>
  <c r="AI39" i="4"/>
  <c r="AJ39" i="4"/>
  <c r="AK39" i="4"/>
  <c r="K43" i="4"/>
  <c r="V43" i="4"/>
  <c r="K44" i="4"/>
  <c r="V44" i="4"/>
  <c r="K45" i="4"/>
  <c r="V45" i="4"/>
  <c r="K46" i="4"/>
  <c r="K47" i="4"/>
  <c r="R47" i="4"/>
  <c r="R48" i="4"/>
  <c r="J49" i="4"/>
  <c r="R50" i="4"/>
  <c r="Y62" i="4"/>
  <c r="Z62" i="4"/>
  <c r="Y63" i="4"/>
  <c r="Z63" i="4"/>
  <c r="Y64" i="4"/>
  <c r="Z64" i="4"/>
  <c r="Y65" i="4"/>
  <c r="Z65" i="4"/>
  <c r="Y66" i="4"/>
  <c r="Z66" i="4"/>
  <c r="AR2" i="2"/>
  <c r="AT2" i="2"/>
  <c r="AU2" i="2"/>
  <c r="AV2" i="2"/>
  <c r="AW2" i="2"/>
  <c r="BD2" i="2"/>
  <c r="AR3" i="2"/>
  <c r="AT3" i="2"/>
  <c r="AU3" i="2"/>
  <c r="AV3" i="2"/>
  <c r="AW3" i="2"/>
  <c r="BD3" i="2"/>
  <c r="AR10" i="2"/>
  <c r="AS10" i="2"/>
  <c r="AT10" i="2"/>
  <c r="AU10" i="2"/>
  <c r="BC10" i="2"/>
  <c r="BD10" i="2"/>
  <c r="AR11" i="2"/>
  <c r="AS11" i="2"/>
  <c r="AT11" i="2"/>
  <c r="AU11" i="2"/>
  <c r="BC11" i="2"/>
  <c r="BD11" i="2"/>
  <c r="AR12" i="2"/>
  <c r="AS12" i="2"/>
  <c r="AT12" i="2"/>
  <c r="AU12" i="2"/>
  <c r="BC12" i="2"/>
  <c r="BD12" i="2"/>
  <c r="AR13" i="2"/>
  <c r="AS13" i="2"/>
  <c r="AT13" i="2"/>
  <c r="AU13" i="2"/>
  <c r="BC13" i="2"/>
  <c r="BD13" i="2"/>
  <c r="AR14" i="2"/>
  <c r="AS14" i="2"/>
  <c r="AT14" i="2"/>
  <c r="AU14" i="2"/>
  <c r="BC14" i="2"/>
  <c r="BD14" i="2"/>
  <c r="AR15" i="2"/>
  <c r="AS15" i="2"/>
  <c r="AT15" i="2"/>
  <c r="AU15" i="2"/>
  <c r="BC15" i="2"/>
  <c r="BD15" i="2"/>
  <c r="AR16" i="2"/>
  <c r="AS16" i="2"/>
  <c r="AT16" i="2"/>
  <c r="AU16" i="2"/>
  <c r="BC16" i="2"/>
  <c r="BD16" i="2"/>
  <c r="AR17" i="2"/>
  <c r="AS17" i="2"/>
  <c r="AT17" i="2"/>
  <c r="AU17" i="2"/>
  <c r="BC17" i="2"/>
  <c r="BD17" i="2"/>
  <c r="AR18" i="2"/>
  <c r="AS18" i="2"/>
  <c r="AT18" i="2"/>
  <c r="AU18" i="2"/>
  <c r="BC18" i="2"/>
  <c r="BD18" i="2"/>
  <c r="AR19" i="2"/>
  <c r="AS19" i="2"/>
  <c r="AT19" i="2"/>
  <c r="AU19" i="2"/>
  <c r="BC19" i="2"/>
  <c r="BD19" i="2"/>
  <c r="AR20" i="2"/>
  <c r="AS20" i="2"/>
  <c r="AT20" i="2"/>
  <c r="AU20" i="2"/>
  <c r="BC20" i="2"/>
  <c r="BD20" i="2"/>
  <c r="AR21" i="2"/>
  <c r="AS21" i="2"/>
  <c r="AT21" i="2"/>
  <c r="AU21" i="2"/>
  <c r="BC21" i="2"/>
  <c r="BD21" i="2"/>
  <c r="AR22" i="2"/>
  <c r="AS22" i="2"/>
  <c r="AT22" i="2"/>
  <c r="AU22" i="2"/>
  <c r="BC22" i="2"/>
  <c r="BD22" i="2"/>
  <c r="AR23" i="2"/>
  <c r="AS23" i="2"/>
  <c r="AT23" i="2"/>
  <c r="AU23" i="2"/>
  <c r="BC23" i="2"/>
  <c r="BD23" i="2"/>
  <c r="AR24" i="2"/>
  <c r="AS24" i="2"/>
  <c r="AT24" i="2"/>
  <c r="AU24" i="2"/>
  <c r="BC24" i="2"/>
  <c r="BD24" i="2"/>
  <c r="AR25" i="2"/>
  <c r="AS25" i="2"/>
  <c r="AT25" i="2"/>
  <c r="AU25" i="2"/>
  <c r="BC25" i="2"/>
  <c r="BD25" i="2"/>
  <c r="AR26" i="2"/>
  <c r="AS26" i="2"/>
  <c r="AT26" i="2"/>
  <c r="AU26" i="2"/>
  <c r="BC26" i="2"/>
  <c r="BD26" i="2"/>
  <c r="AR27" i="2"/>
  <c r="AS27" i="2"/>
  <c r="AT27" i="2"/>
  <c r="AU27" i="2"/>
  <c r="BC27" i="2"/>
  <c r="BD27" i="2"/>
  <c r="AR28" i="2"/>
  <c r="AS28" i="2"/>
  <c r="AT28" i="2"/>
  <c r="AU28" i="2"/>
  <c r="BC28" i="2"/>
  <c r="BD28" i="2"/>
  <c r="AR29" i="2"/>
  <c r="AS29" i="2"/>
  <c r="AT29" i="2"/>
  <c r="AU29" i="2"/>
  <c r="BC29" i="2"/>
  <c r="BD29" i="2"/>
  <c r="AR30" i="2"/>
  <c r="AS30" i="2"/>
  <c r="AT30" i="2"/>
  <c r="AU30" i="2"/>
  <c r="BC30" i="2"/>
  <c r="BD30" i="2"/>
  <c r="AR31" i="2"/>
  <c r="AS31" i="2"/>
  <c r="AT31" i="2"/>
  <c r="AU31" i="2"/>
  <c r="BC31" i="2"/>
  <c r="BD31" i="2"/>
  <c r="AR32" i="2"/>
  <c r="AS32" i="2"/>
  <c r="AT32" i="2"/>
  <c r="AU32" i="2"/>
  <c r="BC32" i="2"/>
  <c r="BD32" i="2"/>
  <c r="AR33" i="2"/>
  <c r="AS33" i="2"/>
  <c r="AT33" i="2"/>
  <c r="AU33" i="2"/>
  <c r="BC33" i="2"/>
  <c r="BD33" i="2"/>
  <c r="AR34" i="2"/>
  <c r="AS34" i="2"/>
  <c r="AT34" i="2"/>
  <c r="AU34" i="2"/>
  <c r="AS35" i="2"/>
  <c r="AU35" i="2"/>
  <c r="AV35" i="2"/>
  <c r="BC35" i="2"/>
  <c r="BD35" i="2"/>
  <c r="AR38" i="2"/>
  <c r="AS38" i="2"/>
  <c r="AT38" i="2"/>
  <c r="AU38" i="2"/>
  <c r="BC38" i="2"/>
  <c r="BD38" i="2"/>
  <c r="AR39" i="2"/>
  <c r="AS39" i="2"/>
  <c r="AT39" i="2"/>
  <c r="AU39" i="2"/>
  <c r="BC39" i="2"/>
  <c r="BD39" i="2"/>
  <c r="AR40" i="2"/>
  <c r="AS40" i="2"/>
  <c r="AT40" i="2"/>
  <c r="AU40" i="2"/>
  <c r="BC40" i="2"/>
  <c r="BD40" i="2"/>
  <c r="AR41" i="2"/>
  <c r="AS41" i="2"/>
  <c r="AT41" i="2"/>
  <c r="AU41" i="2"/>
  <c r="BC41" i="2"/>
  <c r="BD41" i="2"/>
  <c r="AR42" i="2"/>
  <c r="AS42" i="2"/>
  <c r="AT42" i="2"/>
  <c r="AU42" i="2"/>
  <c r="AS43" i="2"/>
  <c r="AU43" i="2"/>
  <c r="AV43" i="2"/>
  <c r="BC43" i="2"/>
  <c r="BD43" i="2"/>
  <c r="AR56" i="2"/>
  <c r="AS56" i="2"/>
  <c r="AT56" i="2"/>
  <c r="AU56" i="2"/>
  <c r="BC56" i="2"/>
  <c r="BD56" i="2"/>
  <c r="AR57" i="2"/>
  <c r="AS57" i="2"/>
  <c r="AT57" i="2"/>
  <c r="AU57" i="2"/>
  <c r="BC57" i="2"/>
  <c r="BD57" i="2"/>
  <c r="AR58" i="2"/>
  <c r="AS58" i="2"/>
  <c r="AT58" i="2"/>
  <c r="AU58" i="2"/>
  <c r="BC58" i="2"/>
  <c r="BD58" i="2"/>
  <c r="AR59" i="2"/>
  <c r="AS59" i="2"/>
  <c r="AT59" i="2"/>
  <c r="AU59" i="2"/>
  <c r="BC59" i="2"/>
  <c r="BD59" i="2"/>
  <c r="AR60" i="2"/>
  <c r="AS60" i="2"/>
  <c r="AT60" i="2"/>
  <c r="AU60" i="2"/>
  <c r="BC60" i="2"/>
  <c r="BD60" i="2"/>
  <c r="AR61" i="2"/>
  <c r="AS61" i="2"/>
  <c r="AT61" i="2"/>
  <c r="AU61" i="2"/>
  <c r="BC61" i="2"/>
  <c r="BD61" i="2"/>
  <c r="AR62" i="2"/>
  <c r="AS62" i="2"/>
  <c r="AT62" i="2"/>
  <c r="AU62" i="2"/>
  <c r="BC62" i="2"/>
  <c r="BD62" i="2"/>
  <c r="AR63" i="2"/>
  <c r="AS63" i="2"/>
  <c r="AT63" i="2"/>
  <c r="AU63" i="2"/>
  <c r="BC63" i="2"/>
  <c r="BD63" i="2"/>
  <c r="AR64" i="2"/>
  <c r="AS64" i="2"/>
  <c r="AT64" i="2"/>
  <c r="AU64" i="2"/>
  <c r="BC64" i="2"/>
  <c r="BD64" i="2"/>
  <c r="AR65" i="2"/>
  <c r="AS65" i="2"/>
  <c r="AT65" i="2"/>
  <c r="AU65" i="2"/>
  <c r="BC65" i="2"/>
  <c r="BD65" i="2"/>
  <c r="AR66" i="2"/>
  <c r="AS66" i="2"/>
  <c r="AT66" i="2"/>
  <c r="AU66" i="2"/>
  <c r="BC66" i="2"/>
  <c r="BD66" i="2"/>
  <c r="AR67" i="2"/>
  <c r="AS67" i="2"/>
  <c r="AT67" i="2"/>
  <c r="AU67" i="2"/>
  <c r="BC67" i="2"/>
  <c r="BD67" i="2"/>
  <c r="AR68" i="2"/>
  <c r="AS68" i="2"/>
  <c r="AT68" i="2"/>
  <c r="AU68" i="2"/>
  <c r="BC68" i="2"/>
  <c r="BD68" i="2"/>
  <c r="AR69" i="2"/>
  <c r="AS69" i="2"/>
  <c r="AT69" i="2"/>
  <c r="AU69" i="2"/>
  <c r="BC69" i="2"/>
  <c r="BD69" i="2"/>
  <c r="AR70" i="2"/>
  <c r="AS70" i="2"/>
  <c r="AT70" i="2"/>
  <c r="AU70" i="2"/>
  <c r="BC70" i="2"/>
  <c r="BD70" i="2"/>
  <c r="AR71" i="2"/>
  <c r="AS71" i="2"/>
  <c r="AT71" i="2"/>
  <c r="AU71" i="2"/>
  <c r="BC71" i="2"/>
  <c r="BD71" i="2"/>
  <c r="AR72" i="2"/>
  <c r="AS72" i="2"/>
  <c r="AT72" i="2"/>
  <c r="AU72" i="2"/>
  <c r="BC72" i="2"/>
  <c r="BD72" i="2"/>
  <c r="AR73" i="2"/>
  <c r="AS73" i="2"/>
  <c r="AT73" i="2"/>
  <c r="AU73" i="2"/>
  <c r="BC73" i="2"/>
  <c r="BD73" i="2"/>
  <c r="AR74" i="2"/>
  <c r="AS74" i="2"/>
  <c r="AT74" i="2"/>
  <c r="AU74" i="2"/>
  <c r="BC74" i="2"/>
  <c r="BD74" i="2"/>
  <c r="AR75" i="2"/>
  <c r="AS75" i="2"/>
  <c r="AT75" i="2"/>
  <c r="AU75" i="2"/>
  <c r="BC75" i="2"/>
  <c r="BD75" i="2"/>
  <c r="AR76" i="2"/>
  <c r="AS76" i="2"/>
  <c r="AT76" i="2"/>
  <c r="AU76" i="2"/>
  <c r="BC76" i="2"/>
  <c r="BD76" i="2"/>
  <c r="AR77" i="2"/>
  <c r="AS77" i="2"/>
  <c r="AT77" i="2"/>
  <c r="AU77" i="2"/>
  <c r="BC77" i="2"/>
  <c r="BD77" i="2"/>
  <c r="AR78" i="2"/>
  <c r="AS78" i="2"/>
  <c r="AT78" i="2"/>
  <c r="AU78" i="2"/>
  <c r="BC78" i="2"/>
  <c r="BD78" i="2"/>
  <c r="AR79" i="2"/>
  <c r="AS79" i="2"/>
  <c r="AT79" i="2"/>
  <c r="AU79" i="2"/>
  <c r="BC79" i="2"/>
  <c r="BD79" i="2"/>
  <c r="AR80" i="2"/>
  <c r="AS80" i="2"/>
  <c r="AT80" i="2"/>
  <c r="AU80" i="2"/>
  <c r="BC80" i="2"/>
  <c r="BD80" i="2"/>
  <c r="AR81" i="2"/>
  <c r="AS81" i="2"/>
  <c r="AT81" i="2"/>
  <c r="AU81" i="2"/>
  <c r="BC81" i="2"/>
  <c r="BD81" i="2"/>
  <c r="AR82" i="2"/>
  <c r="AS82" i="2"/>
  <c r="AT82" i="2"/>
  <c r="AU82" i="2"/>
  <c r="BC82" i="2"/>
  <c r="BD82" i="2"/>
  <c r="AR83" i="2"/>
  <c r="AS83" i="2"/>
  <c r="AT83" i="2"/>
  <c r="AU83" i="2"/>
  <c r="BC83" i="2"/>
  <c r="BD83" i="2"/>
  <c r="AR84" i="2"/>
  <c r="AS84" i="2"/>
  <c r="AT84" i="2"/>
  <c r="AU84" i="2"/>
  <c r="BC84" i="2"/>
  <c r="BD84" i="2"/>
  <c r="AR85" i="2"/>
  <c r="AS85" i="2"/>
  <c r="AT85" i="2"/>
  <c r="AU85" i="2"/>
  <c r="BC85" i="2"/>
  <c r="BD85" i="2"/>
  <c r="AR86" i="2"/>
  <c r="AS86" i="2"/>
  <c r="AT86" i="2"/>
  <c r="AU86" i="2"/>
  <c r="BC86" i="2"/>
  <c r="BD86" i="2"/>
  <c r="AR87" i="2"/>
  <c r="AS87" i="2"/>
  <c r="AT87" i="2"/>
  <c r="AU87" i="2"/>
  <c r="BC87" i="2"/>
  <c r="BD87" i="2"/>
  <c r="AR88" i="2"/>
  <c r="AS88" i="2"/>
  <c r="AT88" i="2"/>
  <c r="AU88" i="2"/>
  <c r="BC88" i="2"/>
  <c r="BD88" i="2"/>
  <c r="AR89" i="2"/>
  <c r="AS89" i="2"/>
  <c r="AT89" i="2"/>
  <c r="AU89" i="2"/>
  <c r="BC89" i="2"/>
  <c r="BD89" i="2"/>
  <c r="AR90" i="2"/>
  <c r="AS90" i="2"/>
  <c r="AT90" i="2"/>
  <c r="AU90" i="2"/>
  <c r="AS91" i="2"/>
  <c r="AU91" i="2"/>
  <c r="AV91" i="2"/>
  <c r="BC91" i="2"/>
  <c r="BD91" i="2"/>
  <c r="AR109" i="2"/>
  <c r="AS109" i="2"/>
  <c r="AT109" i="2"/>
  <c r="AU109" i="2"/>
  <c r="BC109" i="2"/>
  <c r="BD109" i="2"/>
  <c r="AR110" i="2"/>
  <c r="AS110" i="2"/>
  <c r="AT110" i="2"/>
  <c r="AU110" i="2"/>
  <c r="BC110" i="2"/>
  <c r="BD110" i="2"/>
  <c r="AR111" i="2"/>
  <c r="AS111" i="2"/>
  <c r="AT111" i="2"/>
  <c r="AU111" i="2"/>
  <c r="BC111" i="2"/>
  <c r="BD111" i="2"/>
  <c r="AR112" i="2"/>
  <c r="AS112" i="2"/>
  <c r="AT112" i="2"/>
  <c r="AU112" i="2"/>
  <c r="BC112" i="2"/>
  <c r="BD112" i="2"/>
  <c r="AR113" i="2"/>
  <c r="AS113" i="2"/>
  <c r="AT113" i="2"/>
  <c r="AU113" i="2"/>
  <c r="BC113" i="2"/>
  <c r="BD113" i="2"/>
  <c r="AR114" i="2"/>
  <c r="AS114" i="2"/>
  <c r="AT114" i="2"/>
  <c r="AU114" i="2"/>
  <c r="BC114" i="2"/>
  <c r="BD114" i="2"/>
  <c r="AR115" i="2"/>
  <c r="AS115" i="2"/>
  <c r="AT115" i="2"/>
  <c r="AU115" i="2"/>
  <c r="BC115" i="2"/>
  <c r="BD115" i="2"/>
  <c r="AR116" i="2"/>
  <c r="AS116" i="2"/>
  <c r="AT116" i="2"/>
  <c r="AU116" i="2"/>
  <c r="BC116" i="2"/>
  <c r="BD116" i="2"/>
  <c r="AR117" i="2"/>
  <c r="AS117" i="2"/>
  <c r="AT117" i="2"/>
  <c r="AU117" i="2"/>
  <c r="BC117" i="2"/>
  <c r="BD117" i="2"/>
  <c r="AR118" i="2"/>
  <c r="AS118" i="2"/>
  <c r="AT118" i="2"/>
  <c r="AU118" i="2"/>
  <c r="BC118" i="2"/>
  <c r="BD118" i="2"/>
  <c r="AR119" i="2"/>
  <c r="AS119" i="2"/>
  <c r="AT119" i="2"/>
  <c r="AU119" i="2"/>
  <c r="BC119" i="2"/>
  <c r="BD119" i="2"/>
  <c r="AR120" i="2"/>
  <c r="AS120" i="2"/>
  <c r="AT120" i="2"/>
  <c r="AU120" i="2"/>
  <c r="BC120" i="2"/>
  <c r="BD120" i="2"/>
  <c r="AR121" i="2"/>
  <c r="AS121" i="2"/>
  <c r="AT121" i="2"/>
  <c r="AU121" i="2"/>
  <c r="BC121" i="2"/>
  <c r="BD121" i="2"/>
  <c r="AR122" i="2"/>
  <c r="AS122" i="2"/>
  <c r="AT122" i="2"/>
  <c r="AU122" i="2"/>
  <c r="BC122" i="2"/>
  <c r="BD122" i="2"/>
  <c r="AR123" i="2"/>
  <c r="AS123" i="2"/>
  <c r="AT123" i="2"/>
  <c r="AU123" i="2"/>
  <c r="BC123" i="2"/>
  <c r="BD123" i="2"/>
  <c r="AR124" i="2"/>
  <c r="AS124" i="2"/>
  <c r="AT124" i="2"/>
  <c r="AU124" i="2"/>
  <c r="BC124" i="2"/>
  <c r="BD124" i="2"/>
  <c r="AR125" i="2"/>
  <c r="AS125" i="2"/>
  <c r="AT125" i="2"/>
  <c r="AU125" i="2"/>
  <c r="BC125" i="2"/>
  <c r="BD125" i="2"/>
  <c r="AR126" i="2"/>
  <c r="AS126" i="2"/>
  <c r="AT126" i="2"/>
  <c r="AU126" i="2"/>
  <c r="AS127" i="2"/>
  <c r="AU127" i="2"/>
  <c r="AV127" i="2"/>
  <c r="BC127" i="2"/>
  <c r="BD127" i="2"/>
  <c r="AS158" i="2"/>
  <c r="AV158" i="2"/>
  <c r="AW158" i="2"/>
  <c r="AS159" i="2"/>
  <c r="AU159" i="2"/>
  <c r="AV159" i="2"/>
  <c r="AW159" i="2"/>
  <c r="H5" i="1"/>
  <c r="H6" i="1"/>
  <c r="D8" i="1"/>
  <c r="E8" i="1"/>
  <c r="D11" i="1"/>
  <c r="E11" i="1"/>
  <c r="D12" i="1"/>
  <c r="E12" i="1"/>
  <c r="D13" i="1"/>
  <c r="E13" i="1"/>
  <c r="D17" i="1"/>
  <c r="E17" i="1"/>
  <c r="D20" i="1"/>
  <c r="E20" i="1"/>
  <c r="D21" i="1"/>
  <c r="E21" i="1"/>
  <c r="D25" i="1"/>
  <c r="E25" i="1"/>
  <c r="D26" i="1"/>
  <c r="E26" i="1"/>
  <c r="D27" i="1"/>
  <c r="E27" i="1"/>
  <c r="D28" i="1"/>
  <c r="E28" i="1"/>
  <c r="D32" i="1"/>
  <c r="E32" i="1"/>
  <c r="D33" i="1"/>
  <c r="E33" i="1"/>
  <c r="D34" i="1"/>
  <c r="E34" i="1"/>
  <c r="D35" i="1"/>
  <c r="E35" i="1"/>
  <c r="D38" i="1"/>
  <c r="E38" i="1"/>
  <c r="D39" i="1"/>
  <c r="E39" i="1"/>
  <c r="D40" i="1"/>
  <c r="E40" i="1"/>
  <c r="D41" i="1"/>
  <c r="E41" i="1"/>
  <c r="D42" i="1"/>
  <c r="E42" i="1"/>
  <c r="D43" i="1"/>
  <c r="E43" i="1"/>
  <c r="D47" i="1"/>
  <c r="E47" i="1"/>
  <c r="D48" i="1"/>
  <c r="E48" i="1"/>
  <c r="D49" i="1"/>
  <c r="E49" i="1"/>
  <c r="D50" i="1"/>
  <c r="E50" i="1"/>
  <c r="D51" i="1"/>
  <c r="E51" i="1"/>
  <c r="D52" i="1"/>
  <c r="E52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7" i="1"/>
  <c r="E67" i="1"/>
  <c r="D68" i="1"/>
  <c r="E68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81" i="1"/>
  <c r="E81" i="1"/>
  <c r="D82" i="1"/>
  <c r="E82" i="1"/>
  <c r="D83" i="1"/>
  <c r="E83" i="1"/>
  <c r="D86" i="1"/>
  <c r="E86" i="1"/>
  <c r="D87" i="1"/>
  <c r="E87" i="1"/>
  <c r="D90" i="1"/>
  <c r="E90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7" i="1"/>
  <c r="E107" i="1"/>
  <c r="D108" i="1"/>
  <c r="E108" i="1"/>
  <c r="D109" i="1"/>
  <c r="E109" i="1"/>
  <c r="D112" i="1"/>
  <c r="E112" i="1"/>
  <c r="D113" i="1"/>
  <c r="E113" i="1"/>
  <c r="D114" i="1"/>
  <c r="E114" i="1"/>
  <c r="D115" i="1"/>
  <c r="E115" i="1"/>
  <c r="D117" i="1"/>
  <c r="E117" i="1"/>
  <c r="D120" i="1"/>
  <c r="E120" i="1"/>
  <c r="D121" i="1"/>
  <c r="E121" i="1"/>
  <c r="D122" i="1"/>
  <c r="E122" i="1"/>
  <c r="D123" i="1"/>
  <c r="E123" i="1"/>
  <c r="D126" i="1"/>
  <c r="E126" i="1"/>
  <c r="D129" i="1"/>
  <c r="E129" i="1"/>
  <c r="D131" i="1"/>
  <c r="E131" i="1"/>
  <c r="D132" i="1"/>
  <c r="E132" i="1"/>
  <c r="D136" i="1"/>
  <c r="E136" i="1"/>
  <c r="D137" i="1"/>
  <c r="E137" i="1"/>
  <c r="D138" i="1"/>
  <c r="E138" i="1"/>
  <c r="D141" i="1"/>
  <c r="E141" i="1"/>
  <c r="D142" i="1"/>
  <c r="E142" i="1"/>
  <c r="D143" i="1"/>
  <c r="E143" i="1"/>
  <c r="D145" i="1"/>
  <c r="E145" i="1"/>
  <c r="D146" i="1"/>
  <c r="E146" i="1"/>
  <c r="D147" i="1"/>
  <c r="E147" i="1"/>
  <c r="D148" i="1"/>
  <c r="E148" i="1"/>
  <c r="D151" i="1"/>
  <c r="E151" i="1"/>
  <c r="D152" i="1"/>
  <c r="E152" i="1"/>
  <c r="D153" i="1"/>
  <c r="E153" i="1"/>
  <c r="D155" i="1"/>
  <c r="E155" i="1"/>
  <c r="D156" i="1"/>
  <c r="E156" i="1"/>
  <c r="D157" i="1"/>
  <c r="E157" i="1"/>
  <c r="D159" i="1"/>
  <c r="E159" i="1"/>
  <c r="D160" i="1"/>
  <c r="E160" i="1"/>
  <c r="D161" i="1"/>
  <c r="E161" i="1"/>
  <c r="D162" i="1"/>
  <c r="E1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Lindsay Waldram</author>
  </authors>
  <commentList>
    <comment ref="AU158" authorId="0" shapeId="0" xr:uid="{DFCDAA29-3D1E-409D-8D04-C669A6D462F7}">
      <text>
        <r>
          <rPr>
            <b/>
            <sz val="9"/>
            <color indexed="81"/>
            <rFont val="Tahoma"/>
            <family val="2"/>
          </rPr>
          <t>Lindsay Waldram:</t>
        </r>
        <r>
          <rPr>
            <sz val="9"/>
            <color indexed="81"/>
            <rFont val="Tahoma"/>
            <family val="2"/>
          </rPr>
          <t xml:space="preserve">
Had to include the DF proforma adjustment manually here.  Making sure we will meet the revenue requirement</t>
        </r>
      </text>
    </comment>
  </commentList>
</comments>
</file>

<file path=xl/sharedStrings.xml><?xml version="1.0" encoding="utf-8"?>
<sst xmlns="http://schemas.openxmlformats.org/spreadsheetml/2006/main" count="847" uniqueCount="495">
  <si>
    <t>American Disposal Co., Inc. G-87</t>
  </si>
  <si>
    <t>dba Vashon Disposal</t>
  </si>
  <si>
    <t>Garbage</t>
  </si>
  <si>
    <t>Current Tariff Rate</t>
  </si>
  <si>
    <t>Proposed Increase</t>
  </si>
  <si>
    <t>Item 40, Pg 14</t>
  </si>
  <si>
    <t>Return Check</t>
  </si>
  <si>
    <t>Each</t>
  </si>
  <si>
    <t>Item 52, Pg 15</t>
  </si>
  <si>
    <t>Redelivery</t>
  </si>
  <si>
    <t>Redelivery Washing - Up to 8 Yds</t>
  </si>
  <si>
    <t>Redelivery Washing - Over 8 Yds</t>
  </si>
  <si>
    <t>Item 55, Pg 16</t>
  </si>
  <si>
    <t>Over size</t>
  </si>
  <si>
    <t>WG-R</t>
  </si>
  <si>
    <t>Item 60, Pg 16</t>
  </si>
  <si>
    <t>Overtime Charge Per Hour</t>
  </si>
  <si>
    <t>Minimum Charge</t>
  </si>
  <si>
    <t>Item 70, Pg 17</t>
  </si>
  <si>
    <t>Return Trips</t>
  </si>
  <si>
    <t>Can, unit, min-can</t>
  </si>
  <si>
    <t>Drop Box</t>
  </si>
  <si>
    <t>Container</t>
  </si>
  <si>
    <t xml:space="preserve">Recycling Carts </t>
  </si>
  <si>
    <t>Item 80, Pg 19</t>
  </si>
  <si>
    <t>Carry Outs</t>
  </si>
  <si>
    <t>Residential 5'-25'</t>
  </si>
  <si>
    <t>Residential Over 25'</t>
  </si>
  <si>
    <t>Commercial 5'-25'</t>
  </si>
  <si>
    <t>Commercial Over 25'</t>
  </si>
  <si>
    <t>Drive In</t>
  </si>
  <si>
    <t>Residential 125'-250'</t>
  </si>
  <si>
    <t>Residential Private 125'-250'</t>
  </si>
  <si>
    <t>Residential Over 250'</t>
  </si>
  <si>
    <t>Commercial 125'-250'</t>
  </si>
  <si>
    <t>Commercial Private 125'-250'</t>
  </si>
  <si>
    <t>Commercial Over 250'</t>
  </si>
  <si>
    <t>Item 90, Pg 20</t>
  </si>
  <si>
    <t>Can Carriage - Special Services</t>
  </si>
  <si>
    <t>Residential - Stairs or Steps</t>
  </si>
  <si>
    <t>Residential - Overhead Obstruction &lt;8'</t>
  </si>
  <si>
    <t>Residential - Sunken or Elevated Cans/Units</t>
  </si>
  <si>
    <t>Commercial  - Stairs or Steps</t>
  </si>
  <si>
    <t>Commercial - Overhead Obstruction &lt;8'</t>
  </si>
  <si>
    <t>Commercial - Sunken or Elevated Cans/Units</t>
  </si>
  <si>
    <t>Item 100, pg 21</t>
  </si>
  <si>
    <t>One can</t>
  </si>
  <si>
    <t>MG</t>
  </si>
  <si>
    <t>EOWG</t>
  </si>
  <si>
    <t xml:space="preserve">Mini can </t>
  </si>
  <si>
    <t>Two cans</t>
  </si>
  <si>
    <t>Three cans</t>
  </si>
  <si>
    <t>Four cans</t>
  </si>
  <si>
    <t>EOW Recycling with Garbage</t>
  </si>
  <si>
    <t>EOWR-G</t>
  </si>
  <si>
    <t>Recycling w/o Garbage</t>
  </si>
  <si>
    <t>EOWR-NG</t>
  </si>
  <si>
    <t>Item 100, pg 22</t>
  </si>
  <si>
    <t>Extra Units</t>
  </si>
  <si>
    <t>On Call</t>
  </si>
  <si>
    <t>Item 150, pg 28</t>
  </si>
  <si>
    <t>Bulky</t>
  </si>
  <si>
    <t>Loose material</t>
  </si>
  <si>
    <t>Additional</t>
  </si>
  <si>
    <t>Minimum</t>
  </si>
  <si>
    <t>Carry out Charge</t>
  </si>
  <si>
    <t>Item 160, pg 29</t>
  </si>
  <si>
    <t>Non-Packer Hourly Rate</t>
  </si>
  <si>
    <t>Truck &amp; Driver</t>
  </si>
  <si>
    <t>Each Extra Person</t>
  </si>
  <si>
    <t>Item 205, pg 31</t>
  </si>
  <si>
    <t>Roll Out - Containers</t>
  </si>
  <si>
    <t>Roll Out - Automated Carts/Toters</t>
  </si>
  <si>
    <t>Item 207, pg 32</t>
  </si>
  <si>
    <t>Overfilled</t>
  </si>
  <si>
    <t>Item 210, pg 33</t>
  </si>
  <si>
    <t>Washing Per Yard</t>
  </si>
  <si>
    <t>Washing Minimum</t>
  </si>
  <si>
    <t>Steam Cleaning Per Yard</t>
  </si>
  <si>
    <t>Steam Cleaning Minimum</t>
  </si>
  <si>
    <t>Sanitizing Per Yard</t>
  </si>
  <si>
    <t>Sanitizing Minimum</t>
  </si>
  <si>
    <t>Pickup/Redelivery &lt;8'</t>
  </si>
  <si>
    <t>Pickup/Redelivery &lt;&gt;8'</t>
  </si>
  <si>
    <t>Item 230, pg 34</t>
  </si>
  <si>
    <t>Ton</t>
  </si>
  <si>
    <t>Item 240, pg 35</t>
  </si>
  <si>
    <t>First/Additional</t>
  </si>
  <si>
    <t>1 yard</t>
  </si>
  <si>
    <t>1.5 yard</t>
  </si>
  <si>
    <t>2 yard</t>
  </si>
  <si>
    <t>Temporary Service</t>
  </si>
  <si>
    <t>Initial Delivery</t>
  </si>
  <si>
    <t>Unlocking/Unlatching</t>
  </si>
  <si>
    <t>Item 245, pg 36</t>
  </si>
  <si>
    <t>1 32 gal can (grouped)</t>
  </si>
  <si>
    <t>Special pickups, p/can</t>
  </si>
  <si>
    <t>Monthly minimum</t>
  </si>
  <si>
    <t>M</t>
  </si>
  <si>
    <t>Occasional extra</t>
  </si>
  <si>
    <t>Item 255, pg 38  3:1 compaction</t>
  </si>
  <si>
    <t>Item 255, pg 38  5:1 compaction</t>
  </si>
  <si>
    <t>Disconnect/Reconnect</t>
  </si>
  <si>
    <t>Item 260, pg 39</t>
  </si>
  <si>
    <t>Permanent Services</t>
  </si>
  <si>
    <t>Monthly Rent</t>
  </si>
  <si>
    <t>First Pickup</t>
  </si>
  <si>
    <t>Each Additional Pickup</t>
  </si>
  <si>
    <t>Termporary Service</t>
  </si>
  <si>
    <t>Each Pickup</t>
  </si>
  <si>
    <t>Mileage</t>
  </si>
  <si>
    <t>Tarping</t>
  </si>
  <si>
    <t>Tandem Axel</t>
  </si>
  <si>
    <t>Item 275, pg 42</t>
  </si>
  <si>
    <t>Each Scheduled Pickup -20 Yards</t>
  </si>
  <si>
    <t>Each Scheduled Pickup -25 Yards</t>
  </si>
  <si>
    <t>Each Scheduled Pickup -30 Yards</t>
  </si>
  <si>
    <t>Each Special Pickup -20 Yards</t>
  </si>
  <si>
    <t>Each Special Pickup -25 Yards</t>
  </si>
  <si>
    <t>Each Special Pickup -30 Yards</t>
  </si>
  <si>
    <t>Vashon</t>
  </si>
  <si>
    <t>Increase Per LG</t>
  </si>
  <si>
    <t>Plug to Balance</t>
  </si>
  <si>
    <t>Total % Change</t>
  </si>
  <si>
    <t>Price Out Increase</t>
  </si>
  <si>
    <t>LG Increase</t>
  </si>
  <si>
    <t>Difference</t>
  </si>
  <si>
    <t>Revenue Price Out by Service Level and Line of Business</t>
  </si>
  <si>
    <t>Number of Months</t>
  </si>
  <si>
    <t>See below for total revenue requirement calc</t>
  </si>
  <si>
    <t>Recycling</t>
  </si>
  <si>
    <t>Revenue</t>
  </si>
  <si>
    <t>Customer Count</t>
  </si>
  <si>
    <t>Container Counts</t>
  </si>
  <si>
    <t>Service Code</t>
  </si>
  <si>
    <t>Service Code Description</t>
  </si>
  <si>
    <t>Rates as of 09/01/2020</t>
  </si>
  <si>
    <t>Rates as of 01/01/2022</t>
  </si>
  <si>
    <t>Total</t>
  </si>
  <si>
    <t>Total Customer Count</t>
  </si>
  <si>
    <t>Average</t>
  </si>
  <si>
    <t>Cart Size</t>
  </si>
  <si>
    <t>Can Size</t>
  </si>
  <si>
    <t>Container Size</t>
  </si>
  <si>
    <t>Quantity</t>
  </si>
  <si>
    <t>Count</t>
  </si>
  <si>
    <t>Tariff Increase</t>
  </si>
  <si>
    <t>Annual Increase</t>
  </si>
  <si>
    <t>New Tariff Rate</t>
  </si>
  <si>
    <t>Proposed Annual Revenue</t>
  </si>
  <si>
    <t>RESIDENTIAL SERVICES</t>
  </si>
  <si>
    <t>Residential</t>
  </si>
  <si>
    <t>RESIDENTIAL GARBAGE</t>
  </si>
  <si>
    <t>20RW1</t>
  </si>
  <si>
    <t>1-20 GAL CAN WEEKLY</t>
  </si>
  <si>
    <t>20RW1R</t>
  </si>
  <si>
    <t>1-20 GL CART WKLY W/ RECY</t>
  </si>
  <si>
    <t>32RE1</t>
  </si>
  <si>
    <t>1-32 GAL CAN EOW</t>
  </si>
  <si>
    <t>32RM1</t>
  </si>
  <si>
    <t>1-32 GAL CAN MONTHLY</t>
  </si>
  <si>
    <t>32ROCPU</t>
  </si>
  <si>
    <t>1-32 GAL CAN-ON CALL</t>
  </si>
  <si>
    <t>32RW1</t>
  </si>
  <si>
    <t>1-32 GAL CAN WEEKLY</t>
  </si>
  <si>
    <t>32RW2</t>
  </si>
  <si>
    <t>2-32 GAL CANS WEEKLY</t>
  </si>
  <si>
    <t>32RW3</t>
  </si>
  <si>
    <t>3-32 GAL CANS WEEKLY</t>
  </si>
  <si>
    <t>32RW4</t>
  </si>
  <si>
    <t>4-32 GAL CANS WEEKLY</t>
  </si>
  <si>
    <t>CARRY-RES</t>
  </si>
  <si>
    <t>CARRY OUT -RES</t>
  </si>
  <si>
    <t>DRIVEPRVT-RES</t>
  </si>
  <si>
    <t>DRIVE IN PRIVATE RD - RES</t>
  </si>
  <si>
    <t>DRVNRE1</t>
  </si>
  <si>
    <t>DRIVE IN UP TO 125'-EOW</t>
  </si>
  <si>
    <t>DRVNRW1</t>
  </si>
  <si>
    <t>DRIVE IN UP TO 125'-WKLY</t>
  </si>
  <si>
    <t>DRVNRW2</t>
  </si>
  <si>
    <t>DRIVE IN OVER 125'-WKLY</t>
  </si>
  <si>
    <t>GWCR</t>
  </si>
  <si>
    <t>GOOD WILL CREDIT - RESI</t>
  </si>
  <si>
    <t>OBSR</t>
  </si>
  <si>
    <t>OBSTRUCTION</t>
  </si>
  <si>
    <t>OS</t>
  </si>
  <si>
    <t>OVERSIZE UNIT</t>
  </si>
  <si>
    <t>OSOW</t>
  </si>
  <si>
    <t>OVERSIZE/OVERWEIGHT</t>
  </si>
  <si>
    <t>OW</t>
  </si>
  <si>
    <t>OVERWEIGHT UNIT</t>
  </si>
  <si>
    <t>PACKR</t>
  </si>
  <si>
    <t>CARRY-OUT RESIDENTIAL</t>
  </si>
  <si>
    <t>RESTART FEE</t>
  </si>
  <si>
    <t>REXTRA</t>
  </si>
  <si>
    <t>EXTRA UNITS</t>
  </si>
  <si>
    <t>TRIPRCANS</t>
  </si>
  <si>
    <t>RETURN TRIP CHARGE - CANS</t>
  </si>
  <si>
    <t>TRIPRCARTS</t>
  </si>
  <si>
    <t>RESI TRIP CHARGE - CARTS</t>
  </si>
  <si>
    <t>TOTAL RESIDENTIAL GARBAGE</t>
  </si>
  <si>
    <t>Check</t>
  </si>
  <si>
    <t>RESIDENTIAL RECYCLING</t>
  </si>
  <si>
    <t>recyonly</t>
  </si>
  <si>
    <t>RECYCLE SERVICE ONLY</t>
  </si>
  <si>
    <t>RECYR</t>
  </si>
  <si>
    <t>RECYCLE PROGRAM</t>
  </si>
  <si>
    <t>DRVNR-RECYCLE</t>
  </si>
  <si>
    <t>DRIVE IN RECYCLE</t>
  </si>
  <si>
    <t>PACKR-RECYCLE</t>
  </si>
  <si>
    <t>RECY ROLLOUT RESI &lt;25'</t>
  </si>
  <si>
    <t>TOTAL RESIDENTIAL RECYCLING</t>
  </si>
  <si>
    <t>RESIDENTIAL YARD WASTE</t>
  </si>
  <si>
    <t>TOTAL RESIDENTIAL YARD WASTE</t>
  </si>
  <si>
    <t>SUBTOTAL RESIDENTIAL</t>
  </si>
  <si>
    <t>COMMERCIAL SERVICES</t>
  </si>
  <si>
    <t>Commercial</t>
  </si>
  <si>
    <t>COMMERCIAL GARBAGE</t>
  </si>
  <si>
    <t>32CE1</t>
  </si>
  <si>
    <t>32 GAL CAN COMM EOW</t>
  </si>
  <si>
    <t>32CW1</t>
  </si>
  <si>
    <t>32CW2</t>
  </si>
  <si>
    <t>2-32 GAL CANS WKLY</t>
  </si>
  <si>
    <t>32CW3</t>
  </si>
  <si>
    <t>3-32 GAL CANS WKLY</t>
  </si>
  <si>
    <t>32CW4</t>
  </si>
  <si>
    <t>4-32 GAL CANS WKLY</t>
  </si>
  <si>
    <t>32CW5</t>
  </si>
  <si>
    <t>5-32 GAL CANS WKLY</t>
  </si>
  <si>
    <t>R1YD1W</t>
  </si>
  <si>
    <t>1YD CONT 1xWEEKLY</t>
  </si>
  <si>
    <t>R1YDEOW</t>
  </si>
  <si>
    <t>1YD CONT EOW</t>
  </si>
  <si>
    <t>R1YDTPU</t>
  </si>
  <si>
    <t>1YD TEMP CONT</t>
  </si>
  <si>
    <t>R1.5YD1W</t>
  </si>
  <si>
    <t>1.5YD CONT 1xWEEKLY</t>
  </si>
  <si>
    <t>R1.5YD2W</t>
  </si>
  <si>
    <t>1.5YD CONT 2xWEEKLY</t>
  </si>
  <si>
    <t>R1.5YDEOW</t>
  </si>
  <si>
    <t>1.5YD CONT EOW</t>
  </si>
  <si>
    <t>R1.5YDTPU</t>
  </si>
  <si>
    <t>1.5YD TEMP CONTAINER</t>
  </si>
  <si>
    <t>R2YD1W</t>
  </si>
  <si>
    <t>2YD CONT 1xWEEKLY</t>
  </si>
  <si>
    <t>R2YD2W</t>
  </si>
  <si>
    <t>2YD CONT 2xWEEKLY</t>
  </si>
  <si>
    <t>R2YD3W</t>
  </si>
  <si>
    <t>2YD CONT 3xWEEKLY</t>
  </si>
  <si>
    <t>R2YD4W</t>
  </si>
  <si>
    <t>2YD CONT 4xWEEKLY</t>
  </si>
  <si>
    <t>R2YDEOW</t>
  </si>
  <si>
    <t>2YD CONT EOW</t>
  </si>
  <si>
    <t>R2YDTPU</t>
  </si>
  <si>
    <t>2YD TEMP CONTAINER</t>
  </si>
  <si>
    <t>F1YDEX</t>
  </si>
  <si>
    <t>1YD CONT EXTRA</t>
  </si>
  <si>
    <t>R1YDEX</t>
  </si>
  <si>
    <t>1YD CONTAINER EXTRA</t>
  </si>
  <si>
    <t>R1.5YDEX</t>
  </si>
  <si>
    <t>1.5YD CONTAINER EXTRA</t>
  </si>
  <si>
    <t>R2YDEX</t>
  </si>
  <si>
    <t>2YD CONTAINER EXTRA</t>
  </si>
  <si>
    <t>PACKC</t>
  </si>
  <si>
    <t>CARRY-OUT COMMERCIAL</t>
  </si>
  <si>
    <t>CEX</t>
  </si>
  <si>
    <t>EXTRA CANS</t>
  </si>
  <si>
    <t>CEXYD</t>
  </si>
  <si>
    <t>CMML EXTRA YARDAGE</t>
  </si>
  <si>
    <t>CLOCK</t>
  </si>
  <si>
    <t>LOCK CHARGE-CONTAINER</t>
  </si>
  <si>
    <t>CROLL</t>
  </si>
  <si>
    <t>ROLLOUT CHARGE - CMML</t>
  </si>
  <si>
    <t>CTDEL</t>
  </si>
  <si>
    <t>TEMP CONTAINER DELIVERY</t>
  </si>
  <si>
    <t>CTRIP</t>
  </si>
  <si>
    <t>RETURN TRIP CHARGE - CONT</t>
  </si>
  <si>
    <t>DRIVEDWAY-COMM</t>
  </si>
  <si>
    <t>DRIVE IN DRIVEWAY - COMM</t>
  </si>
  <si>
    <t>DRIVEPVT-COMM</t>
  </si>
  <si>
    <t>DRIVE IN PRIVATE RD - COMM</t>
  </si>
  <si>
    <t>DRVNC</t>
  </si>
  <si>
    <t>DRIVE IN - CMML</t>
  </si>
  <si>
    <t>TIMEC</t>
  </si>
  <si>
    <t>CMML TIME CHARGE</t>
  </si>
  <si>
    <t>TOTAL COMMERCIAL GARBAGE</t>
  </si>
  <si>
    <t>Multi-Family</t>
  </si>
  <si>
    <t>MULTI-FAMILY GARBAGE</t>
  </si>
  <si>
    <t>TOTAL MULTI-FAMILY GARBAGE</t>
  </si>
  <si>
    <t>MULTI-FAMILY RECYCLING</t>
  </si>
  <si>
    <t>TOTAL MULTI-FAMILY RECYCLING</t>
  </si>
  <si>
    <t>SUBTOTAL COMMERCIAL</t>
  </si>
  <si>
    <t>DROP BOX SERVICES</t>
  </si>
  <si>
    <t>Roll off</t>
  </si>
  <si>
    <t>DROP BOX HAULS/RENTAL</t>
  </si>
  <si>
    <t>ROHAUL20</t>
  </si>
  <si>
    <t>20YD ROLL OFF-HAUL</t>
  </si>
  <si>
    <t>ROHAUL20T</t>
  </si>
  <si>
    <t>20YD ROLL OFF TEMP HAUL</t>
  </si>
  <si>
    <t>ROHAUL25</t>
  </si>
  <si>
    <t>25YD ROLL OFF - HAUL</t>
  </si>
  <si>
    <t>ROHAUL25T</t>
  </si>
  <si>
    <t>25YD ROLL OFF TEMP HAUL</t>
  </si>
  <si>
    <t>ROHAUL30</t>
  </si>
  <si>
    <t>30YD ROLL OFF-HAUL</t>
  </si>
  <si>
    <t>ROHAUL30T</t>
  </si>
  <si>
    <t>30YD ROLL OFF TEMP HAUL</t>
  </si>
  <si>
    <t>RORENT20P</t>
  </si>
  <si>
    <t>20YD ROLL OFF-PERM RENT</t>
  </si>
  <si>
    <t>RORENT20T</t>
  </si>
  <si>
    <t>20YD ROLL OFF-TEMP RENT</t>
  </si>
  <si>
    <t>RORENT25P</t>
  </si>
  <si>
    <t>25YD ROLL OFF-PERM RENT</t>
  </si>
  <si>
    <t>RORENT25T</t>
  </si>
  <si>
    <t>25YD ROLL OFF-TEMP RENT</t>
  </si>
  <si>
    <t>RORENT30P</t>
  </si>
  <si>
    <t>30YD ROLL OFF-PERM RENT</t>
  </si>
  <si>
    <t>RORENT30T</t>
  </si>
  <si>
    <t>30YD ROLL OFF-TEMP RENT</t>
  </si>
  <si>
    <t>ROTA</t>
  </si>
  <si>
    <t>TANDEM AXLE</t>
  </si>
  <si>
    <t>RODEL</t>
  </si>
  <si>
    <t>ROLL OFF-DELIVERY</t>
  </si>
  <si>
    <t>ROMILE</t>
  </si>
  <si>
    <t>MILEAGE</t>
  </si>
  <si>
    <t>OT-RO</t>
  </si>
  <si>
    <t>OVERTIME PERIOD - RO</t>
  </si>
  <si>
    <t>TIME-RO</t>
  </si>
  <si>
    <t>ROLL OFF TIME CHARGE</t>
  </si>
  <si>
    <t>TOTAL DROP BOX HAULS/RENTAL</t>
  </si>
  <si>
    <t>Recycle</t>
  </si>
  <si>
    <t>PASSTHROUGH DISPOSAL</t>
  </si>
  <si>
    <t>DISP</t>
  </si>
  <si>
    <t>DISPOSAL FEE PER TON</t>
  </si>
  <si>
    <t>TOTAL PASSTHROUGH DISPOSAL</t>
  </si>
  <si>
    <t>SUBTOTAL DROP BOX</t>
  </si>
  <si>
    <t>Medical Waste</t>
  </si>
  <si>
    <t>MEDICAL WASTE</t>
  </si>
  <si>
    <t>TOTAL MEDICAL WASTE</t>
  </si>
  <si>
    <t>SUBTOTAL MEDICAL WASTE</t>
  </si>
  <si>
    <t>Accounting</t>
  </si>
  <si>
    <t>SERVICE CHARGES</t>
  </si>
  <si>
    <t>ADJ-SB</t>
  </si>
  <si>
    <t>SERVICE ADJ-SMALL BALANCE</t>
  </si>
  <si>
    <t>ADJTAX</t>
  </si>
  <si>
    <t>TAX ADJUSTMENT</t>
  </si>
  <si>
    <t>FINCHG</t>
  </si>
  <si>
    <t>LATE FEE</t>
  </si>
  <si>
    <t>NSF FEES</t>
  </si>
  <si>
    <t>RETURNED CHECK FEE</t>
  </si>
  <si>
    <t>TOTAL SERVICE CHARGES</t>
  </si>
  <si>
    <t>SUBTOTAL SERVICE CHARGES</t>
  </si>
  <si>
    <t>Revenue Requirement per LG</t>
  </si>
  <si>
    <t>Grand Total District Operations</t>
  </si>
  <si>
    <t>Public Companies</t>
  </si>
  <si>
    <t>Public Co</t>
  </si>
  <si>
    <r>
      <t xml:space="preserve">LURITO - GALLAGHER FORMULA  MODEL 2018  </t>
    </r>
    <r>
      <rPr>
        <sz val="8"/>
        <color indexed="9"/>
        <rFont val="Calibri"/>
        <family val="2"/>
      </rPr>
      <t>V5.2c</t>
    </r>
  </si>
  <si>
    <t>CALCULATION TABLES</t>
  </si>
  <si>
    <t>Revenue Senstive Taxes (RevS)</t>
  </si>
  <si>
    <t>(b) + (c)</t>
  </si>
  <si>
    <t>(d) + (e)</t>
  </si>
  <si>
    <t>Regession</t>
  </si>
  <si>
    <t>Adjusted</t>
  </si>
  <si>
    <t>Hauler</t>
  </si>
  <si>
    <t>Revenue Req</t>
  </si>
  <si>
    <t xml:space="preserve">Revenue </t>
  </si>
  <si>
    <t>INPUTS - Test Year</t>
  </si>
  <si>
    <t>(a)</t>
  </si>
  <si>
    <t>(b)</t>
  </si>
  <si>
    <t>(c)</t>
  </si>
  <si>
    <t>(d)</t>
  </si>
  <si>
    <t>(e)</t>
  </si>
  <si>
    <t>(f)</t>
  </si>
  <si>
    <t>Before Tax</t>
  </si>
  <si>
    <t>Less</t>
  </si>
  <si>
    <t>After Tax</t>
  </si>
  <si>
    <t>Flotation Costs</t>
  </si>
  <si>
    <t>Weighted Cost</t>
  </si>
  <si>
    <t>Before RevS</t>
  </si>
  <si>
    <t xml:space="preserve"> Increase Before</t>
  </si>
  <si>
    <t>Increase After</t>
  </si>
  <si>
    <t xml:space="preserve">RevS </t>
  </si>
  <si>
    <t xml:space="preserve">Total </t>
  </si>
  <si>
    <t>Operating Revenue</t>
  </si>
  <si>
    <t>Line</t>
  </si>
  <si>
    <t>Historical</t>
  </si>
  <si>
    <t>Proforma</t>
  </si>
  <si>
    <t xml:space="preserve">Add: Revenue </t>
  </si>
  <si>
    <t>Profit Ratio</t>
  </si>
  <si>
    <t>BTROI</t>
  </si>
  <si>
    <t>WCDebt</t>
  </si>
  <si>
    <t>BTROE</t>
  </si>
  <si>
    <t>ROE</t>
  </si>
  <si>
    <t>Basis Points</t>
  </si>
  <si>
    <t>Equity</t>
  </si>
  <si>
    <t>Equity BFT</t>
  </si>
  <si>
    <t>Debt</t>
  </si>
  <si>
    <t>BTROR</t>
  </si>
  <si>
    <t>Operating Ratio</t>
  </si>
  <si>
    <t>Taxes</t>
  </si>
  <si>
    <t>RevS Taxes</t>
  </si>
  <si>
    <t>Operating Expenses</t>
  </si>
  <si>
    <t>No.</t>
  </si>
  <si>
    <t>Change</t>
  </si>
  <si>
    <t>Sensitive Taxes</t>
  </si>
  <si>
    <t>Requirement</t>
  </si>
  <si>
    <t>Investment</t>
  </si>
  <si>
    <t>Capital Structure-Debt %</t>
  </si>
  <si>
    <t>Capital Structure-Debt Rate</t>
  </si>
  <si>
    <t>Operating Income</t>
  </si>
  <si>
    <t>Federal Income Tax Rate</t>
  </si>
  <si>
    <t>2nd Iteration</t>
  </si>
  <si>
    <t>B&amp;O Tax Rate</t>
  </si>
  <si>
    <t>Interest Expense</t>
  </si>
  <si>
    <t>WUTC Fee</t>
  </si>
  <si>
    <t>Income Tax Expense</t>
  </si>
  <si>
    <t>City Tax</t>
  </si>
  <si>
    <t>Bad Debts</t>
  </si>
  <si>
    <t>Net Income</t>
  </si>
  <si>
    <t>Basis Points - Flotation</t>
  </si>
  <si>
    <t>3rd Iteration</t>
  </si>
  <si>
    <t>Yes</t>
  </si>
  <si>
    <t xml:space="preserve">Operating Ratio </t>
  </si>
  <si>
    <t>Check when input is complete</t>
  </si>
  <si>
    <t>No</t>
  </si>
  <si>
    <t>Revenue Requirement</t>
  </si>
  <si>
    <t>For Intial input: Uncheck Checkbox Until Completed</t>
  </si>
  <si>
    <t>Historical Revenue</t>
  </si>
  <si>
    <t>Revenue Increase before taxes</t>
  </si>
  <si>
    <t>Rate Increase</t>
  </si>
  <si>
    <t>Rev Sensitive Taxes</t>
  </si>
  <si>
    <t>4th Iteration</t>
  </si>
  <si>
    <t>Percent Increase</t>
  </si>
  <si>
    <t>2018 Version Update Changes</t>
  </si>
  <si>
    <t>● Allows Income Tax Rate Changes,</t>
  </si>
  <si>
    <t>Captial Structure Financing Investment</t>
  </si>
  <si>
    <t>Financing Cost</t>
  </si>
  <si>
    <t>● Minimizes impact of changes in test-year revenue from</t>
  </si>
  <si>
    <t>Type</t>
  </si>
  <si>
    <t>Percent</t>
  </si>
  <si>
    <t>Amount</t>
  </si>
  <si>
    <t>Cost of Capital</t>
  </si>
  <si>
    <t>Weighted</t>
  </si>
  <si>
    <t>5th Iteration</t>
  </si>
  <si>
    <t xml:space="preserve">   resulting revenue requirment,</t>
  </si>
  <si>
    <t>● Corrects interest rate transposition in LG.</t>
  </si>
  <si>
    <t>Before</t>
  </si>
  <si>
    <t>After</t>
  </si>
  <si>
    <t>6th Iteration</t>
  </si>
  <si>
    <t>Operating Statistics</t>
  </si>
  <si>
    <t>Income Tax</t>
  </si>
  <si>
    <t>Return on Investment</t>
  </si>
  <si>
    <t>Return on Equity</t>
  </si>
  <si>
    <t>7th Iteration</t>
  </si>
  <si>
    <t>Profit Margin</t>
  </si>
  <si>
    <t>Final turnover</t>
  </si>
  <si>
    <t>Tax Rate</t>
  </si>
  <si>
    <t>Revenue Sensitive Taxes Charges</t>
  </si>
  <si>
    <t>Curve</t>
  </si>
  <si>
    <t>Rate</t>
  </si>
  <si>
    <t>Lookup Table</t>
  </si>
  <si>
    <t xml:space="preserve"> B &amp; O Tax</t>
  </si>
  <si>
    <t xml:space="preserve"> WUTC Fee</t>
  </si>
  <si>
    <t xml:space="preserve"> City Tax</t>
  </si>
  <si>
    <t>Percent Chg</t>
  </si>
  <si>
    <t xml:space="preserve"> Bad Debts</t>
  </si>
  <si>
    <t>Revenue Sensitive</t>
  </si>
  <si>
    <t>Curve turnover</t>
  </si>
  <si>
    <t>@EXP(5.72260-(.68367*@LN(T)))</t>
  </si>
  <si>
    <t>Curve No. Used</t>
  </si>
  <si>
    <t>@EXP(5.70827-(.68367*@LN(T)))</t>
  </si>
  <si>
    <t>Conversion Factor</t>
  </si>
  <si>
    <t>@EXP(5.69850-(.68367*@LN(T)))</t>
  </si>
  <si>
    <t>@EXP(5.69220-(.68367*@LN(T)))</t>
  </si>
  <si>
    <t>Base Utility from LG Sample Study</t>
  </si>
  <si>
    <t>Regression Results</t>
  </si>
  <si>
    <t>Cost</t>
  </si>
  <si>
    <t>Y intercept (1)</t>
  </si>
  <si>
    <t>Y intercept (3)</t>
  </si>
  <si>
    <t>Y intercept (2)</t>
  </si>
  <si>
    <t>Y intercept (4)</t>
  </si>
  <si>
    <t>Pfd.</t>
  </si>
  <si>
    <t>Slope</t>
  </si>
  <si>
    <t>Pre-tax</t>
  </si>
  <si>
    <t>B&amp;O Increase Percentage</t>
  </si>
  <si>
    <t>Gross Up Factor</t>
  </si>
  <si>
    <t>Gross Up B&amp;O Increase Percentage</t>
  </si>
  <si>
    <t>New 10/1/2025 Rate</t>
  </si>
  <si>
    <t>Effective 10/2025</t>
  </si>
  <si>
    <t>June 2021 - May 2022</t>
  </si>
  <si>
    <t>Grossed Up for Recycling Operating Margin</t>
  </si>
  <si>
    <t>Grossed Up for MSW Operating Margin</t>
  </si>
  <si>
    <t>B&amp;O Increase With Markup</t>
  </si>
  <si>
    <t>MSW</t>
  </si>
  <si>
    <t>Revenue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</si>
</sst>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#,##0.0000_);\(#,##0.0000\)"/>
    <numFmt numFmtId="167" formatCode="#,##0.000_);\(#,##0.000\)"/>
    <numFmt numFmtId="168" formatCode="0.000%"/>
    <numFmt numFmtId="169" formatCode="#,##0.00000_);\(#,##0.00000\)"/>
    <numFmt numFmtId="170" formatCode="0.00000"/>
    <numFmt numFmtId="171" formatCode="0.0000%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u/>
      <sz val="11"/>
      <color indexed="8"/>
      <name val="Calibri"/>
      <family val="2"/>
      <scheme val="minor"/>
    </font>
    <font>
      <b/>
      <sz val="11"/>
      <color indexed="5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SWISS"/>
    </font>
    <font>
      <sz val="12"/>
      <color indexed="12"/>
      <name val="SWISS"/>
    </font>
    <font>
      <sz val="12"/>
      <name val="Helv"/>
    </font>
    <font>
      <b/>
      <sz val="12"/>
      <name val="SWISS"/>
    </font>
    <font>
      <sz val="8"/>
      <color indexed="9"/>
      <name val="Calibri"/>
      <family val="2"/>
    </font>
    <font>
      <sz val="14"/>
      <color indexed="9"/>
      <name val="Calibri"/>
      <family val="2"/>
    </font>
    <font>
      <sz val="9"/>
      <color indexed="9"/>
      <name val="Calibri"/>
      <family val="2"/>
    </font>
    <font>
      <b/>
      <sz val="14"/>
      <name val="SWISS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i/>
      <sz val="8"/>
      <color indexed="12"/>
      <name val="Times New Roman"/>
      <family val="1"/>
    </font>
    <font>
      <sz val="12"/>
      <color indexed="39"/>
      <name val="SWISS"/>
    </font>
    <font>
      <sz val="12"/>
      <color indexed="39"/>
      <name val="Times New Roman"/>
      <family val="1"/>
    </font>
    <font>
      <sz val="10"/>
      <name val="Times New Roman"/>
      <family val="1"/>
    </font>
    <font>
      <b/>
      <sz val="12"/>
      <color indexed="39"/>
      <name val="Times New Roman"/>
      <family val="1"/>
    </font>
    <font>
      <sz val="12"/>
      <color indexed="10"/>
      <name val="SWISS"/>
    </font>
    <font>
      <sz val="12"/>
      <color indexed="8"/>
      <name val="SWISS"/>
    </font>
    <font>
      <sz val="9"/>
      <color indexed="39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color indexed="39"/>
      <name val="Times New Roman"/>
      <family val="1"/>
    </font>
    <font>
      <sz val="12"/>
      <color indexed="18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32"/>
      <name val="SWISS"/>
    </font>
    <font>
      <sz val="12"/>
      <color indexed="18"/>
      <name val="SWISS"/>
    </font>
    <font>
      <sz val="10"/>
      <name val="SWISS"/>
    </font>
    <font>
      <sz val="12"/>
      <color indexed="56"/>
      <name val="SWISS"/>
    </font>
    <font>
      <i/>
      <sz val="12"/>
      <name val="SWISS"/>
    </font>
    <font>
      <sz val="11"/>
      <name val="Times New Roman"/>
      <family val="1"/>
    </font>
    <font>
      <u/>
      <sz val="12"/>
      <name val="SWISS"/>
    </font>
    <font>
      <sz val="10"/>
      <color indexed="3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</borders>
  <cellStyleXfs count="24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3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4" fontId="4" fillId="0" borderId="0" applyFont="0" applyFill="0" applyBorder="0" applyAlignment="0" applyProtection="0"/>
    <xf numFmtId="0" fontId="26" fillId="11" borderId="0"/>
    <xf numFmtId="165" fontId="28" fillId="0" borderId="0"/>
    <xf numFmtId="0" fontId="3" fillId="2" borderId="0" applyNumberFormat="0" applyBorder="0" applyAlignment="0" applyProtection="0"/>
    <xf numFmtId="41" fontId="39" fillId="15" borderId="0">
      <alignment horizontal="left"/>
    </xf>
    <xf numFmtId="9" fontId="28" fillId="0" borderId="0" applyFont="0" applyFill="0" applyBorder="0" applyAlignment="0" applyProtection="0"/>
    <xf numFmtId="10" fontId="39" fillId="15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5" fillId="0" borderId="0" xfId="1" applyFont="1"/>
    <xf numFmtId="2" fontId="1" fillId="0" borderId="0" xfId="2" applyNumberFormat="1"/>
    <xf numFmtId="0" fontId="1" fillId="0" borderId="0" xfId="2"/>
    <xf numFmtId="0" fontId="6" fillId="0" borderId="0" xfId="3" applyFont="1"/>
    <xf numFmtId="0" fontId="7" fillId="0" borderId="0" xfId="3" applyFont="1"/>
    <xf numFmtId="0" fontId="5" fillId="0" borderId="0" xfId="3" applyFont="1"/>
    <xf numFmtId="0" fontId="8" fillId="0" borderId="0" xfId="4" applyFont="1" applyAlignment="1">
      <alignment horizontal="right"/>
    </xf>
    <xf numFmtId="0" fontId="6" fillId="0" borderId="0" xfId="3" applyFont="1" applyAlignment="1">
      <alignment horizontal="center"/>
    </xf>
    <xf numFmtId="10" fontId="8" fillId="0" borderId="0" xfId="5" applyNumberFormat="1" applyFont="1" applyFill="1" applyAlignment="1">
      <alignment horizontal="center"/>
    </xf>
    <xf numFmtId="2" fontId="5" fillId="4" borderId="0" xfId="3" applyNumberFormat="1" applyFont="1" applyFill="1" applyAlignment="1">
      <alignment horizontal="center" wrapText="1"/>
    </xf>
    <xf numFmtId="0" fontId="5" fillId="4" borderId="0" xfId="3" applyFont="1" applyFill="1" applyAlignment="1">
      <alignment horizontal="center" wrapText="1"/>
    </xf>
    <xf numFmtId="2" fontId="6" fillId="5" borderId="0" xfId="3" applyNumberFormat="1" applyFont="1" applyFill="1"/>
    <xf numFmtId="4" fontId="6" fillId="5" borderId="0" xfId="3" applyNumberFormat="1" applyFont="1" applyFill="1"/>
    <xf numFmtId="2" fontId="5" fillId="0" borderId="0" xfId="3" applyNumberFormat="1" applyFont="1" applyAlignment="1">
      <alignment horizontal="center" wrapText="1"/>
    </xf>
    <xf numFmtId="0" fontId="5" fillId="0" borderId="0" xfId="3" applyFont="1" applyAlignment="1">
      <alignment horizontal="center" wrapText="1"/>
    </xf>
    <xf numFmtId="2" fontId="6" fillId="0" borderId="0" xfId="3" applyNumberFormat="1" applyFont="1"/>
    <xf numFmtId="4" fontId="6" fillId="0" borderId="0" xfId="3" applyNumberFormat="1" applyFont="1"/>
    <xf numFmtId="10" fontId="7" fillId="0" borderId="0" xfId="6" applyNumberFormat="1" applyFont="1"/>
    <xf numFmtId="43" fontId="6" fillId="6" borderId="0" xfId="7" applyFont="1" applyFill="1"/>
    <xf numFmtId="43" fontId="7" fillId="0" borderId="0" xfId="3" applyNumberFormat="1" applyFont="1"/>
    <xf numFmtId="4" fontId="7" fillId="0" borderId="0" xfId="3" applyNumberFormat="1" applyFont="1"/>
    <xf numFmtId="0" fontId="7" fillId="0" borderId="0" xfId="2" applyFont="1"/>
    <xf numFmtId="0" fontId="11" fillId="0" borderId="0" xfId="8" applyFont="1"/>
    <xf numFmtId="0" fontId="12" fillId="0" borderId="0" xfId="8" applyFont="1"/>
    <xf numFmtId="0" fontId="1" fillId="0" borderId="0" xfId="8" applyFont="1"/>
    <xf numFmtId="43" fontId="11" fillId="0" borderId="0" xfId="9" applyFont="1" applyFill="1" applyAlignment="1">
      <alignment horizontal="right"/>
    </xf>
    <xf numFmtId="43" fontId="11" fillId="0" borderId="0" xfId="9" applyFont="1" applyFill="1" applyAlignment="1">
      <alignment horizontal="center"/>
    </xf>
    <xf numFmtId="0" fontId="14" fillId="0" borderId="0" xfId="10" applyFont="1"/>
    <xf numFmtId="0" fontId="15" fillId="0" borderId="1" xfId="10" applyFont="1" applyBorder="1" applyAlignment="1">
      <alignment horizontal="center" wrapText="1"/>
    </xf>
    <xf numFmtId="44" fontId="11" fillId="0" borderId="0" xfId="8" applyNumberFormat="1" applyFont="1"/>
    <xf numFmtId="0" fontId="2" fillId="0" borderId="0" xfId="8" applyFont="1" applyAlignment="1">
      <alignment horizontal="right"/>
    </xf>
    <xf numFmtId="0" fontId="11" fillId="7" borderId="0" xfId="8" applyFont="1" applyFill="1"/>
    <xf numFmtId="164" fontId="11" fillId="0" borderId="0" xfId="8" applyNumberFormat="1" applyFont="1"/>
    <xf numFmtId="0" fontId="15" fillId="0" borderId="0" xfId="8" applyFont="1" applyAlignment="1">
      <alignment horizontal="right"/>
    </xf>
    <xf numFmtId="10" fontId="14" fillId="8" borderId="0" xfId="10" applyNumberFormat="1" applyFont="1" applyFill="1"/>
    <xf numFmtId="10" fontId="14" fillId="0" borderId="0" xfId="11" applyNumberFormat="1" applyFont="1"/>
    <xf numFmtId="10" fontId="14" fillId="0" borderId="0" xfId="10" applyNumberFormat="1" applyFont="1"/>
    <xf numFmtId="164" fontId="14" fillId="8" borderId="0" xfId="12" applyNumberFormat="1" applyFont="1" applyFill="1"/>
    <xf numFmtId="41" fontId="14" fillId="8" borderId="0" xfId="10" applyNumberFormat="1" applyFont="1" applyFill="1"/>
    <xf numFmtId="43" fontId="14" fillId="0" borderId="0" xfId="10" applyNumberFormat="1" applyFont="1"/>
    <xf numFmtId="0" fontId="2" fillId="0" borderId="0" xfId="8" applyFont="1"/>
    <xf numFmtId="0" fontId="12" fillId="0" borderId="0" xfId="8" applyFont="1" applyAlignment="1">
      <alignment horizontal="center" wrapText="1"/>
    </xf>
    <xf numFmtId="0" fontId="12" fillId="4" borderId="0" xfId="8" applyFont="1" applyFill="1" applyAlignment="1">
      <alignment horizontal="center"/>
    </xf>
    <xf numFmtId="43" fontId="12" fillId="0" borderId="0" xfId="9" applyFont="1" applyFill="1" applyAlignment="1">
      <alignment horizontal="center"/>
    </xf>
    <xf numFmtId="0" fontId="12" fillId="0" borderId="0" xfId="8" applyFont="1" applyAlignment="1">
      <alignment horizontal="center"/>
    </xf>
    <xf numFmtId="17" fontId="12" fillId="0" borderId="0" xfId="8" applyNumberFormat="1" applyFont="1" applyAlignment="1">
      <alignment horizontal="center" wrapText="1"/>
    </xf>
    <xf numFmtId="43" fontId="12" fillId="0" borderId="0" xfId="9" applyFont="1" applyFill="1" applyAlignment="1">
      <alignment horizontal="right"/>
    </xf>
    <xf numFmtId="0" fontId="11" fillId="8" borderId="0" xfId="8" applyFont="1" applyFill="1" applyAlignment="1">
      <alignment horizontal="center" wrapText="1"/>
    </xf>
    <xf numFmtId="0" fontId="16" fillId="8" borderId="0" xfId="13" applyFont="1" applyFill="1" applyAlignment="1">
      <alignment horizontal="center" wrapText="1"/>
    </xf>
    <xf numFmtId="0" fontId="17" fillId="0" borderId="0" xfId="8" applyFont="1" applyAlignment="1">
      <alignment horizontal="left"/>
    </xf>
    <xf numFmtId="0" fontId="17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12" fillId="0" borderId="0" xfId="8" applyFont="1" applyAlignment="1">
      <alignment horizontal="left"/>
    </xf>
    <xf numFmtId="43" fontId="11" fillId="3" borderId="0" xfId="9" applyFont="1" applyFill="1"/>
    <xf numFmtId="43" fontId="11" fillId="0" borderId="0" xfId="9" applyFont="1" applyFill="1"/>
    <xf numFmtId="164" fontId="6" fillId="0" borderId="0" xfId="9" applyNumberFormat="1" applyFont="1" applyFill="1"/>
    <xf numFmtId="164" fontId="11" fillId="0" borderId="0" xfId="9" applyNumberFormat="1" applyFont="1" applyFill="1"/>
    <xf numFmtId="164" fontId="11" fillId="8" borderId="0" xfId="9" applyNumberFormat="1" applyFont="1" applyFill="1"/>
    <xf numFmtId="0" fontId="11" fillId="3" borderId="0" xfId="8" applyFont="1" applyFill="1"/>
    <xf numFmtId="43" fontId="11" fillId="0" borderId="0" xfId="8" applyNumberFormat="1" applyFont="1"/>
    <xf numFmtId="43" fontId="11" fillId="0" borderId="0" xfId="12" applyFont="1"/>
    <xf numFmtId="164" fontId="11" fillId="0" borderId="0" xfId="9" applyNumberFormat="1" applyFont="1"/>
    <xf numFmtId="43" fontId="11" fillId="0" borderId="0" xfId="9" applyFont="1"/>
    <xf numFmtId="0" fontId="12" fillId="0" borderId="0" xfId="8" applyFont="1" applyAlignment="1">
      <alignment horizontal="right"/>
    </xf>
    <xf numFmtId="164" fontId="11" fillId="0" borderId="2" xfId="9" applyNumberFormat="1" applyFont="1" applyFill="1" applyBorder="1"/>
    <xf numFmtId="164" fontId="11" fillId="0" borderId="2" xfId="9" applyNumberFormat="1" applyFont="1" applyFill="1" applyBorder="1" applyAlignment="1">
      <alignment horizontal="center"/>
    </xf>
    <xf numFmtId="43" fontId="11" fillId="0" borderId="3" xfId="9" applyFont="1" applyFill="1" applyBorder="1" applyAlignment="1">
      <alignment horizontal="center"/>
    </xf>
    <xf numFmtId="164" fontId="11" fillId="0" borderId="4" xfId="9" applyNumberFormat="1" applyFont="1" applyFill="1" applyBorder="1" applyAlignment="1">
      <alignment horizontal="center"/>
    </xf>
    <xf numFmtId="43" fontId="19" fillId="0" borderId="0" xfId="8" applyNumberFormat="1" applyFont="1"/>
    <xf numFmtId="0" fontId="20" fillId="0" borderId="5" xfId="8" applyFont="1" applyBorder="1"/>
    <xf numFmtId="43" fontId="20" fillId="0" borderId="5" xfId="8" applyNumberFormat="1" applyFont="1" applyBorder="1"/>
    <xf numFmtId="10" fontId="11" fillId="0" borderId="0" xfId="5" applyNumberFormat="1" applyFont="1"/>
    <xf numFmtId="0" fontId="19" fillId="0" borderId="0" xfId="8" applyFont="1"/>
    <xf numFmtId="0" fontId="21" fillId="0" borderId="5" xfId="8" applyFont="1" applyBorder="1"/>
    <xf numFmtId="43" fontId="21" fillId="0" borderId="5" xfId="8" applyNumberFormat="1" applyFont="1" applyBorder="1"/>
    <xf numFmtId="164" fontId="11" fillId="0" borderId="0" xfId="9" applyNumberFormat="1" applyFont="1" applyFill="1" applyBorder="1"/>
    <xf numFmtId="164" fontId="12" fillId="0" borderId="0" xfId="9" applyNumberFormat="1" applyFont="1" applyFill="1"/>
    <xf numFmtId="43" fontId="11" fillId="3" borderId="0" xfId="12" applyFont="1" applyFill="1"/>
    <xf numFmtId="43" fontId="6" fillId="0" borderId="0" xfId="9" applyFont="1" applyFill="1"/>
    <xf numFmtId="0" fontId="1" fillId="0" borderId="0" xfId="8" applyFont="1" applyAlignment="1">
      <alignment horizontal="left" indent="1"/>
    </xf>
    <xf numFmtId="43" fontId="11" fillId="0" borderId="4" xfId="9" applyFont="1" applyFill="1" applyBorder="1" applyAlignment="1">
      <alignment horizontal="center"/>
    </xf>
    <xf numFmtId="43" fontId="11" fillId="0" borderId="5" xfId="8" applyNumberFormat="1" applyFont="1" applyBorder="1"/>
    <xf numFmtId="164" fontId="12" fillId="0" borderId="0" xfId="9" applyNumberFormat="1" applyFont="1"/>
    <xf numFmtId="164" fontId="12" fillId="0" borderId="0" xfId="8" applyNumberFormat="1" applyFont="1" applyAlignment="1">
      <alignment horizontal="right"/>
    </xf>
    <xf numFmtId="164" fontId="10" fillId="0" borderId="0" xfId="8" applyNumberFormat="1"/>
    <xf numFmtId="0" fontId="11" fillId="0" borderId="6" xfId="8" applyFont="1" applyBorder="1"/>
    <xf numFmtId="0" fontId="11" fillId="0" borderId="7" xfId="8" applyFont="1" applyBorder="1"/>
    <xf numFmtId="0" fontId="12" fillId="0" borderId="7" xfId="8" applyFont="1" applyBorder="1" applyAlignment="1">
      <alignment horizontal="center" wrapText="1"/>
    </xf>
    <xf numFmtId="0" fontId="12" fillId="0" borderId="7" xfId="8" applyFont="1" applyBorder="1"/>
    <xf numFmtId="0" fontId="11" fillId="0" borderId="8" xfId="8" applyFont="1" applyBorder="1"/>
    <xf numFmtId="164" fontId="12" fillId="0" borderId="9" xfId="8" applyNumberFormat="1" applyFont="1" applyBorder="1"/>
    <xf numFmtId="0" fontId="12" fillId="0" borderId="10" xfId="8" applyFont="1" applyBorder="1"/>
    <xf numFmtId="44" fontId="22" fillId="0" borderId="9" xfId="14" applyFont="1" applyFill="1" applyBorder="1"/>
    <xf numFmtId="44" fontId="22" fillId="10" borderId="9" xfId="14" applyFont="1" applyFill="1" applyBorder="1"/>
    <xf numFmtId="41" fontId="12" fillId="0" borderId="0" xfId="8" applyNumberFormat="1" applyFont="1"/>
    <xf numFmtId="43" fontId="12" fillId="0" borderId="0" xfId="8" applyNumberFormat="1" applyFont="1"/>
    <xf numFmtId="0" fontId="12" fillId="0" borderId="11" xfId="8" applyFont="1" applyBorder="1"/>
    <xf numFmtId="0" fontId="11" fillId="0" borderId="10" xfId="8" applyFont="1" applyBorder="1"/>
    <xf numFmtId="44" fontId="23" fillId="0" borderId="9" xfId="14" applyFont="1" applyFill="1" applyBorder="1"/>
    <xf numFmtId="41" fontId="11" fillId="0" borderId="0" xfId="8" applyNumberFormat="1" applyFont="1"/>
    <xf numFmtId="0" fontId="11" fillId="0" borderId="11" xfId="8" applyFont="1" applyBorder="1"/>
    <xf numFmtId="0" fontId="11" fillId="0" borderId="12" xfId="8" applyFont="1" applyBorder="1"/>
    <xf numFmtId="0" fontId="11" fillId="0" borderId="13" xfId="8" applyFont="1" applyBorder="1"/>
    <xf numFmtId="0" fontId="11" fillId="0" borderId="14" xfId="8" applyFont="1" applyBorder="1"/>
    <xf numFmtId="0" fontId="26" fillId="12" borderId="0" xfId="15" applyFill="1"/>
    <xf numFmtId="0" fontId="27" fillId="12" borderId="0" xfId="15" applyFont="1" applyFill="1"/>
    <xf numFmtId="0" fontId="27" fillId="12" borderId="13" xfId="15" applyFont="1" applyFill="1" applyBorder="1"/>
    <xf numFmtId="0" fontId="27" fillId="0" borderId="15" xfId="15" applyFont="1" applyFill="1" applyBorder="1"/>
    <xf numFmtId="0" fontId="27" fillId="0" borderId="0" xfId="15" applyFont="1" applyFill="1" applyAlignment="1">
      <alignment horizontal="center"/>
    </xf>
    <xf numFmtId="0" fontId="27" fillId="0" borderId="0" xfId="15" applyFont="1" applyFill="1"/>
    <xf numFmtId="0" fontId="30" fillId="2" borderId="16" xfId="17" applyNumberFormat="1" applyFont="1" applyBorder="1" applyAlignment="1">
      <alignment horizontal="centerContinuous"/>
    </xf>
    <xf numFmtId="0" fontId="31" fillId="2" borderId="17" xfId="17" applyNumberFormat="1" applyFont="1" applyBorder="1" applyAlignment="1">
      <alignment horizontal="centerContinuous"/>
    </xf>
    <xf numFmtId="0" fontId="31" fillId="2" borderId="17" xfId="17" applyNumberFormat="1" applyFont="1" applyBorder="1" applyAlignment="1">
      <alignment horizontal="left"/>
    </xf>
    <xf numFmtId="0" fontId="32" fillId="2" borderId="18" xfId="17" applyNumberFormat="1" applyFont="1" applyBorder="1" applyAlignment="1">
      <alignment horizontal="centerContinuous"/>
    </xf>
    <xf numFmtId="0" fontId="26" fillId="11" borderId="0" xfId="15"/>
    <xf numFmtId="0" fontId="26" fillId="11" borderId="15" xfId="15" applyBorder="1"/>
    <xf numFmtId="0" fontId="33" fillId="11" borderId="19" xfId="15" applyFont="1" applyBorder="1" applyAlignment="1">
      <alignment horizontal="centerContinuous"/>
    </xf>
    <xf numFmtId="0" fontId="33" fillId="11" borderId="20" xfId="15" applyFont="1" applyBorder="1" applyAlignment="1">
      <alignment horizontal="centerContinuous"/>
    </xf>
    <xf numFmtId="0" fontId="26" fillId="11" borderId="20" xfId="15" applyBorder="1" applyAlignment="1">
      <alignment horizontal="centerContinuous"/>
    </xf>
    <xf numFmtId="43" fontId="26" fillId="12" borderId="0" xfId="15" applyNumberFormat="1" applyFill="1"/>
    <xf numFmtId="0" fontId="34" fillId="11" borderId="21" xfId="15" applyFont="1" applyBorder="1"/>
    <xf numFmtId="0" fontId="34" fillId="11" borderId="0" xfId="15" applyFont="1"/>
    <xf numFmtId="0" fontId="35" fillId="13" borderId="0" xfId="15" applyFont="1" applyFill="1" applyAlignment="1">
      <alignment horizontal="center"/>
    </xf>
    <xf numFmtId="0" fontId="36" fillId="13" borderId="0" xfId="15" applyFont="1" applyFill="1" applyAlignment="1">
      <alignment horizontal="center"/>
    </xf>
    <xf numFmtId="0" fontId="26" fillId="11" borderId="0" xfId="15" applyAlignment="1">
      <alignment horizontal="center"/>
    </xf>
    <xf numFmtId="0" fontId="31" fillId="2" borderId="22" xfId="17" applyNumberFormat="1" applyFont="1" applyBorder="1" applyAlignment="1">
      <alignment horizontal="left"/>
    </xf>
    <xf numFmtId="0" fontId="26" fillId="14" borderId="0" xfId="15" applyFill="1"/>
    <xf numFmtId="0" fontId="34" fillId="11" borderId="15" xfId="15" applyFont="1" applyBorder="1"/>
    <xf numFmtId="0" fontId="37" fillId="12" borderId="0" xfId="15" applyFont="1" applyFill="1"/>
    <xf numFmtId="0" fontId="38" fillId="11" borderId="23" xfId="15" applyFont="1" applyBorder="1" applyAlignment="1">
      <alignment horizontal="right"/>
    </xf>
    <xf numFmtId="41" fontId="34" fillId="0" borderId="24" xfId="18" applyFont="1" applyFill="1" applyBorder="1">
      <alignment horizontal="left"/>
    </xf>
    <xf numFmtId="41" fontId="26" fillId="12" borderId="0" xfId="15" applyNumberFormat="1" applyFill="1"/>
    <xf numFmtId="0" fontId="38" fillId="11" borderId="15" xfId="15" applyFont="1" applyBorder="1"/>
    <xf numFmtId="0" fontId="38" fillId="11" borderId="0" xfId="15" applyFont="1"/>
    <xf numFmtId="0" fontId="40" fillId="13" borderId="0" xfId="15" applyFont="1" applyFill="1" applyAlignment="1">
      <alignment horizontal="center"/>
    </xf>
    <xf numFmtId="0" fontId="40" fillId="13" borderId="0" xfId="16" applyNumberFormat="1" applyFont="1" applyFill="1" applyAlignment="1">
      <alignment horizontal="center"/>
    </xf>
    <xf numFmtId="0" fontId="39" fillId="11" borderId="0" xfId="15" applyFont="1"/>
    <xf numFmtId="0" fontId="38" fillId="11" borderId="25" xfId="15" applyFont="1" applyBorder="1"/>
    <xf numFmtId="0" fontId="35" fillId="13" borderId="1" xfId="15" applyFont="1" applyFill="1" applyBorder="1"/>
    <xf numFmtId="0" fontId="40" fillId="13" borderId="1" xfId="15" applyFont="1" applyFill="1" applyBorder="1" applyAlignment="1">
      <alignment horizontal="center"/>
    </xf>
    <xf numFmtId="0" fontId="40" fillId="13" borderId="1" xfId="15" applyFont="1" applyFill="1" applyBorder="1"/>
    <xf numFmtId="0" fontId="26" fillId="11" borderId="26" xfId="15" applyBorder="1" applyAlignment="1">
      <alignment horizontal="center"/>
    </xf>
    <xf numFmtId="2" fontId="26" fillId="11" borderId="26" xfId="15" applyNumberFormat="1" applyBorder="1" applyAlignment="1">
      <alignment horizontal="center"/>
    </xf>
    <xf numFmtId="166" fontId="26" fillId="11" borderId="27" xfId="15" applyNumberFormat="1" applyBorder="1"/>
    <xf numFmtId="10" fontId="41" fillId="11" borderId="27" xfId="15" applyNumberFormat="1" applyFont="1" applyBorder="1"/>
    <xf numFmtId="41" fontId="26" fillId="11" borderId="28" xfId="15" applyNumberFormat="1" applyBorder="1"/>
    <xf numFmtId="41" fontId="26" fillId="11" borderId="26" xfId="15" applyNumberFormat="1" applyBorder="1"/>
    <xf numFmtId="41" fontId="26" fillId="11" borderId="27" xfId="15" applyNumberFormat="1" applyBorder="1"/>
    <xf numFmtId="0" fontId="38" fillId="11" borderId="29" xfId="15" applyFont="1" applyBorder="1" applyAlignment="1">
      <alignment horizontal="center"/>
    </xf>
    <xf numFmtId="0" fontId="38" fillId="11" borderId="0" xfId="15" applyFont="1" applyAlignment="1">
      <alignment horizontal="right"/>
    </xf>
    <xf numFmtId="41" fontId="38" fillId="11" borderId="0" xfId="15" applyNumberFormat="1" applyFont="1"/>
    <xf numFmtId="0" fontId="42" fillId="11" borderId="15" xfId="15" applyFont="1" applyBorder="1" applyAlignment="1">
      <alignment horizontal="center"/>
    </xf>
    <xf numFmtId="2" fontId="26" fillId="11" borderId="15" xfId="15" applyNumberFormat="1" applyBorder="1" applyAlignment="1">
      <alignment horizontal="center"/>
    </xf>
    <xf numFmtId="166" fontId="26" fillId="11" borderId="0" xfId="15" applyNumberFormat="1"/>
    <xf numFmtId="10" fontId="41" fillId="11" borderId="0" xfId="15" applyNumberFormat="1" applyFont="1"/>
    <xf numFmtId="41" fontId="26" fillId="11" borderId="30" xfId="15" applyNumberFormat="1" applyBorder="1"/>
    <xf numFmtId="41" fontId="26" fillId="11" borderId="15" xfId="15" applyNumberFormat="1" applyBorder="1"/>
    <xf numFmtId="41" fontId="26" fillId="11" borderId="0" xfId="15" applyNumberFormat="1"/>
    <xf numFmtId="10" fontId="34" fillId="0" borderId="24" xfId="18" applyNumberFormat="1" applyFont="1" applyFill="1" applyBorder="1" applyAlignment="1">
      <alignment horizontal="right"/>
    </xf>
    <xf numFmtId="0" fontId="38" fillId="11" borderId="23" xfId="15" applyFont="1" applyBorder="1" applyAlignment="1">
      <alignment horizontal="center"/>
    </xf>
    <xf numFmtId="0" fontId="26" fillId="11" borderId="15" xfId="15" applyBorder="1" applyAlignment="1">
      <alignment horizontal="center"/>
    </xf>
    <xf numFmtId="41" fontId="38" fillId="11" borderId="2" xfId="15" applyNumberFormat="1" applyFont="1" applyBorder="1"/>
    <xf numFmtId="5" fontId="38" fillId="11" borderId="2" xfId="15" applyNumberFormat="1" applyFont="1" applyBorder="1"/>
    <xf numFmtId="0" fontId="26" fillId="11" borderId="25" xfId="15" applyBorder="1" applyAlignment="1">
      <alignment horizontal="center"/>
    </xf>
    <xf numFmtId="0" fontId="40" fillId="11" borderId="23" xfId="15" applyFont="1" applyBorder="1" applyAlignment="1">
      <alignment horizontal="right"/>
    </xf>
    <xf numFmtId="166" fontId="42" fillId="11" borderId="0" xfId="15" applyNumberFormat="1" applyFont="1"/>
    <xf numFmtId="0" fontId="38" fillId="11" borderId="31" xfId="15" applyFont="1" applyBorder="1" applyAlignment="1">
      <alignment horizontal="right"/>
    </xf>
    <xf numFmtId="41" fontId="38" fillId="11" borderId="32" xfId="15" applyNumberFormat="1" applyFont="1" applyBorder="1"/>
    <xf numFmtId="166" fontId="26" fillId="11" borderId="1" xfId="15" applyNumberFormat="1" applyBorder="1"/>
    <xf numFmtId="41" fontId="34" fillId="11" borderId="0" xfId="15" applyNumberFormat="1" applyFont="1"/>
    <xf numFmtId="10" fontId="38" fillId="11" borderId="0" xfId="15" applyNumberFormat="1" applyFont="1" applyAlignment="1">
      <alignment horizontal="right"/>
    </xf>
    <xf numFmtId="41" fontId="34" fillId="15" borderId="0" xfId="18" applyFont="1" applyAlignment="1">
      <alignment horizontal="right"/>
    </xf>
    <xf numFmtId="0" fontId="26" fillId="11" borderId="0" xfId="15" applyAlignment="1">
      <alignment horizontal="right"/>
    </xf>
    <xf numFmtId="0" fontId="38" fillId="11" borderId="33" xfId="15" applyFont="1" applyBorder="1" applyAlignment="1">
      <alignment horizontal="right"/>
    </xf>
    <xf numFmtId="0" fontId="34" fillId="12" borderId="0" xfId="15" applyFont="1" applyFill="1"/>
    <xf numFmtId="0" fontId="35" fillId="13" borderId="26" xfId="15" applyFont="1" applyFill="1" applyBorder="1" applyAlignment="1">
      <alignment horizontal="left"/>
    </xf>
    <xf numFmtId="0" fontId="26" fillId="11" borderId="27" xfId="15" applyBorder="1"/>
    <xf numFmtId="0" fontId="26" fillId="11" borderId="28" xfId="15" applyBorder="1"/>
    <xf numFmtId="0" fontId="43" fillId="11" borderId="0" xfId="15" applyFont="1" applyAlignment="1">
      <alignment horizontal="left"/>
    </xf>
    <xf numFmtId="41" fontId="38" fillId="11" borderId="30" xfId="15" applyNumberFormat="1" applyFont="1" applyBorder="1"/>
    <xf numFmtId="10" fontId="43" fillId="11" borderId="0" xfId="19" applyNumberFormat="1" applyFont="1" applyFill="1" applyBorder="1" applyAlignment="1">
      <alignment horizontal="left"/>
    </xf>
    <xf numFmtId="0" fontId="40" fillId="11" borderId="0" xfId="15" applyFont="1" applyAlignment="1">
      <alignment horizontal="right"/>
    </xf>
    <xf numFmtId="41" fontId="40" fillId="11" borderId="9" xfId="15" applyNumberFormat="1" applyFont="1" applyBorder="1"/>
    <xf numFmtId="41" fontId="40" fillId="11" borderId="34" xfId="15" applyNumberFormat="1" applyFont="1" applyBorder="1"/>
    <xf numFmtId="0" fontId="26" fillId="11" borderId="25" xfId="15" applyBorder="1"/>
    <xf numFmtId="0" fontId="26" fillId="11" borderId="1" xfId="15" applyBorder="1"/>
    <xf numFmtId="0" fontId="38" fillId="11" borderId="1" xfId="15" applyFont="1" applyBorder="1" applyAlignment="1">
      <alignment horizontal="right" vertical="center"/>
    </xf>
    <xf numFmtId="10" fontId="40" fillId="11" borderId="1" xfId="15" applyNumberFormat="1" applyFont="1" applyBorder="1" applyAlignment="1">
      <alignment horizontal="center" vertical="center"/>
    </xf>
    <xf numFmtId="0" fontId="26" fillId="11" borderId="24" xfId="15" applyBorder="1"/>
    <xf numFmtId="0" fontId="44" fillId="12" borderId="0" xfId="16" applyNumberFormat="1" applyFont="1" applyFill="1"/>
    <xf numFmtId="0" fontId="28" fillId="12" borderId="0" xfId="16" applyNumberFormat="1" applyFill="1"/>
    <xf numFmtId="0" fontId="34" fillId="12" borderId="0" xfId="16" applyNumberFormat="1" applyFont="1" applyFill="1"/>
    <xf numFmtId="0" fontId="35" fillId="13" borderId="0" xfId="15" applyFont="1" applyFill="1" applyAlignment="1">
      <alignment horizontal="left"/>
    </xf>
    <xf numFmtId="0" fontId="35" fillId="15" borderId="0" xfId="15" applyFont="1" applyFill="1" applyAlignment="1">
      <alignment horizontal="centerContinuous"/>
    </xf>
    <xf numFmtId="0" fontId="45" fillId="11" borderId="0" xfId="15" applyFont="1" applyAlignment="1">
      <alignment horizontal="right"/>
    </xf>
    <xf numFmtId="41" fontId="45" fillId="11" borderId="0" xfId="15" applyNumberFormat="1" applyFont="1" applyAlignment="1">
      <alignment horizontal="center"/>
    </xf>
    <xf numFmtId="0" fontId="45" fillId="11" borderId="0" xfId="15" applyFont="1" applyAlignment="1">
      <alignment horizontal="center"/>
    </xf>
    <xf numFmtId="37" fontId="26" fillId="11" borderId="0" xfId="15" applyNumberFormat="1"/>
    <xf numFmtId="39" fontId="26" fillId="11" borderId="0" xfId="15" applyNumberFormat="1"/>
    <xf numFmtId="10" fontId="38" fillId="11" borderId="0" xfId="15" applyNumberFormat="1" applyFont="1" applyAlignment="1">
      <alignment horizontal="center"/>
    </xf>
    <xf numFmtId="41" fontId="38" fillId="11" borderId="0" xfId="15" applyNumberFormat="1" applyFont="1" applyProtection="1">
      <protection locked="0"/>
    </xf>
    <xf numFmtId="41" fontId="38" fillId="11" borderId="1" xfId="15" applyNumberFormat="1" applyFont="1" applyBorder="1" applyProtection="1">
      <protection locked="0"/>
    </xf>
    <xf numFmtId="41" fontId="38" fillId="11" borderId="35" xfId="15" applyNumberFormat="1" applyFont="1" applyBorder="1"/>
    <xf numFmtId="0" fontId="34" fillId="11" borderId="0" xfId="15" applyFont="1" applyAlignment="1">
      <alignment horizontal="right"/>
    </xf>
    <xf numFmtId="10" fontId="38" fillId="11" borderId="35" xfId="15" applyNumberFormat="1" applyFont="1" applyBorder="1" applyAlignment="1">
      <alignment horizontal="center"/>
    </xf>
    <xf numFmtId="5" fontId="26" fillId="12" borderId="0" xfId="15" applyNumberFormat="1" applyFill="1"/>
    <xf numFmtId="0" fontId="40" fillId="11" borderId="0" xfId="15" applyFont="1" applyAlignment="1">
      <alignment horizontal="center"/>
    </xf>
    <xf numFmtId="0" fontId="46" fillId="11" borderId="0" xfId="15" applyFont="1"/>
    <xf numFmtId="0" fontId="40" fillId="11" borderId="0" xfId="15" applyFont="1"/>
    <xf numFmtId="0" fontId="46" fillId="11" borderId="0" xfId="15" applyFont="1" applyAlignment="1">
      <alignment horizontal="right"/>
    </xf>
    <xf numFmtId="10" fontId="38" fillId="11" borderId="0" xfId="15" applyNumberFormat="1" applyFont="1"/>
    <xf numFmtId="10" fontId="26" fillId="12" borderId="0" xfId="15" applyNumberFormat="1" applyFill="1"/>
    <xf numFmtId="0" fontId="38" fillId="11" borderId="0" xfId="15" quotePrefix="1" applyFont="1" applyAlignment="1">
      <alignment horizontal="left"/>
    </xf>
    <xf numFmtId="167" fontId="26" fillId="11" borderId="0" xfId="15" applyNumberFormat="1"/>
    <xf numFmtId="0" fontId="47" fillId="11" borderId="0" xfId="15" applyFont="1"/>
    <xf numFmtId="39" fontId="38" fillId="11" borderId="0" xfId="15" applyNumberFormat="1" applyFont="1"/>
    <xf numFmtId="0" fontId="26" fillId="11" borderId="23" xfId="15" applyBorder="1"/>
    <xf numFmtId="0" fontId="48" fillId="11" borderId="0" xfId="15" applyFont="1"/>
    <xf numFmtId="0" fontId="26" fillId="11" borderId="26" xfId="15" applyBorder="1" applyAlignment="1">
      <alignment horizontal="centerContinuous"/>
    </xf>
    <xf numFmtId="0" fontId="26" fillId="11" borderId="28" xfId="15" applyBorder="1" applyAlignment="1">
      <alignment horizontal="centerContinuous"/>
    </xf>
    <xf numFmtId="10" fontId="39" fillId="15" borderId="0" xfId="20"/>
    <xf numFmtId="0" fontId="40" fillId="11" borderId="1" xfId="15" applyFont="1" applyBorder="1" applyAlignment="1">
      <alignment horizontal="right"/>
    </xf>
    <xf numFmtId="0" fontId="40" fillId="11" borderId="1" xfId="15" applyFont="1" applyBorder="1" applyAlignment="1">
      <alignment horizontal="center"/>
    </xf>
    <xf numFmtId="0" fontId="26" fillId="11" borderId="15" xfId="15" applyBorder="1" applyAlignment="1">
      <alignment horizontal="centerContinuous"/>
    </xf>
    <xf numFmtId="0" fontId="26" fillId="11" borderId="30" xfId="15" applyBorder="1" applyAlignment="1">
      <alignment horizontal="centerContinuous"/>
    </xf>
    <xf numFmtId="0" fontId="26" fillId="11" borderId="30" xfId="15" applyBorder="1"/>
    <xf numFmtId="0" fontId="49" fillId="11" borderId="0" xfId="15" applyFont="1"/>
    <xf numFmtId="168" fontId="38" fillId="11" borderId="0" xfId="15" applyNumberFormat="1" applyFont="1"/>
    <xf numFmtId="164" fontId="38" fillId="11" borderId="0" xfId="15" applyNumberFormat="1" applyFont="1" applyProtection="1">
      <protection locked="0"/>
    </xf>
    <xf numFmtId="0" fontId="26" fillId="11" borderId="30" xfId="15" applyBorder="1" applyAlignment="1">
      <alignment horizontal="center"/>
    </xf>
    <xf numFmtId="0" fontId="26" fillId="11" borderId="0" xfId="15" quotePrefix="1" applyAlignment="1">
      <alignment horizontal="right"/>
    </xf>
    <xf numFmtId="10" fontId="26" fillId="11" borderId="30" xfId="15" applyNumberFormat="1" applyBorder="1"/>
    <xf numFmtId="10" fontId="26" fillId="11" borderId="0" xfId="15" applyNumberFormat="1" applyAlignment="1">
      <alignment horizontal="center"/>
    </xf>
    <xf numFmtId="10" fontId="26" fillId="11" borderId="30" xfId="19" applyNumberFormat="1" applyFont="1" applyFill="1" applyBorder="1"/>
    <xf numFmtId="0" fontId="26" fillId="11" borderId="24" xfId="15" applyBorder="1" applyAlignment="1">
      <alignment horizontal="center"/>
    </xf>
    <xf numFmtId="168" fontId="38" fillId="11" borderId="35" xfId="15" applyNumberFormat="1" applyFont="1" applyBorder="1"/>
    <xf numFmtId="0" fontId="26" fillId="11" borderId="27" xfId="15" quotePrefix="1" applyBorder="1" applyAlignment="1">
      <alignment horizontal="left"/>
    </xf>
    <xf numFmtId="168" fontId="34" fillId="11" borderId="0" xfId="15" applyNumberFormat="1" applyFont="1"/>
    <xf numFmtId="0" fontId="26" fillId="11" borderId="0" xfId="15" quotePrefix="1" applyAlignment="1">
      <alignment horizontal="left"/>
    </xf>
    <xf numFmtId="0" fontId="50" fillId="12" borderId="0" xfId="15" applyFont="1" applyFill="1"/>
    <xf numFmtId="2" fontId="50" fillId="12" borderId="0" xfId="15" applyNumberFormat="1" applyFont="1" applyFill="1"/>
    <xf numFmtId="10" fontId="26" fillId="11" borderId="25" xfId="15" applyNumberFormat="1" applyBorder="1" applyAlignment="1">
      <alignment horizontal="center"/>
    </xf>
    <xf numFmtId="0" fontId="26" fillId="11" borderId="1" xfId="15" quotePrefix="1" applyBorder="1" applyAlignment="1">
      <alignment horizontal="left"/>
    </xf>
    <xf numFmtId="0" fontId="51" fillId="11" borderId="24" xfId="15" applyFont="1" applyBorder="1"/>
    <xf numFmtId="0" fontId="51" fillId="12" borderId="0" xfId="15" applyFont="1" applyFill="1"/>
    <xf numFmtId="169" fontId="26" fillId="11" borderId="0" xfId="15" applyNumberFormat="1"/>
    <xf numFmtId="0" fontId="29" fillId="11" borderId="0" xfId="15" applyFont="1" applyAlignment="1">
      <alignment horizontal="centerContinuous"/>
    </xf>
    <xf numFmtId="0" fontId="26" fillId="11" borderId="0" xfId="15" applyAlignment="1">
      <alignment horizontal="centerContinuous"/>
    </xf>
    <xf numFmtId="0" fontId="26" fillId="12" borderId="0" xfId="15" applyFill="1" applyAlignment="1">
      <alignment horizontal="right"/>
    </xf>
    <xf numFmtId="0" fontId="26" fillId="11" borderId="26" xfId="15" applyBorder="1"/>
    <xf numFmtId="0" fontId="52" fillId="11" borderId="27" xfId="15" applyFont="1" applyBorder="1" applyAlignment="1">
      <alignment horizontal="center"/>
    </xf>
    <xf numFmtId="0" fontId="52" fillId="11" borderId="28" xfId="15" applyFont="1" applyBorder="1" applyAlignment="1">
      <alignment horizontal="center"/>
    </xf>
    <xf numFmtId="0" fontId="26" fillId="11" borderId="26" xfId="15" applyBorder="1" applyAlignment="1">
      <alignment horizontal="left"/>
    </xf>
    <xf numFmtId="170" fontId="53" fillId="11" borderId="27" xfId="15" applyNumberFormat="1" applyFont="1" applyBorder="1" applyAlignment="1">
      <alignment horizontal="center"/>
    </xf>
    <xf numFmtId="0" fontId="26" fillId="11" borderId="27" xfId="15" applyBorder="1" applyAlignment="1">
      <alignment horizontal="left"/>
    </xf>
    <xf numFmtId="170" fontId="53" fillId="11" borderId="28" xfId="15" applyNumberFormat="1" applyFont="1" applyBorder="1" applyAlignment="1">
      <alignment horizontal="center"/>
    </xf>
    <xf numFmtId="10" fontId="26" fillId="11" borderId="30" xfId="15" applyNumberFormat="1" applyBorder="1" applyAlignment="1">
      <alignment horizontal="center"/>
    </xf>
    <xf numFmtId="0" fontId="26" fillId="11" borderId="15" xfId="15" applyBorder="1" applyAlignment="1">
      <alignment horizontal="left"/>
    </xf>
    <xf numFmtId="170" fontId="53" fillId="11" borderId="0" xfId="15" applyNumberFormat="1" applyFont="1" applyAlignment="1">
      <alignment horizontal="center"/>
    </xf>
    <xf numFmtId="0" fontId="26" fillId="11" borderId="0" xfId="15" applyAlignment="1">
      <alignment horizontal="left"/>
    </xf>
    <xf numFmtId="170" fontId="53" fillId="11" borderId="30" xfId="15" applyNumberFormat="1" applyFont="1" applyBorder="1" applyAlignment="1">
      <alignment horizontal="center"/>
    </xf>
    <xf numFmtId="0" fontId="54" fillId="11" borderId="0" xfId="15" applyFont="1" applyAlignment="1">
      <alignment horizontal="centerContinuous"/>
    </xf>
    <xf numFmtId="170" fontId="26" fillId="11" borderId="30" xfId="15" applyNumberFormat="1" applyBorder="1" applyAlignment="1">
      <alignment horizontal="center"/>
    </xf>
    <xf numFmtId="0" fontId="51" fillId="12" borderId="0" xfId="15" applyFont="1" applyFill="1" applyAlignment="1">
      <alignment horizontal="fill"/>
    </xf>
    <xf numFmtId="10" fontId="26" fillId="11" borderId="1" xfId="15" applyNumberFormat="1" applyBorder="1" applyAlignment="1">
      <alignment horizontal="center"/>
    </xf>
    <xf numFmtId="10" fontId="55" fillId="15" borderId="0" xfId="20" applyFont="1"/>
    <xf numFmtId="168" fontId="55" fillId="15" borderId="30" xfId="20" applyNumberFormat="1" applyFont="1" applyBorder="1"/>
    <xf numFmtId="0" fontId="26" fillId="11" borderId="1" xfId="15" applyBorder="1" applyAlignment="1">
      <alignment horizontal="right"/>
    </xf>
    <xf numFmtId="170" fontId="53" fillId="11" borderId="1" xfId="15" applyNumberFormat="1" applyFont="1" applyBorder="1" applyAlignment="1">
      <alignment horizontal="left"/>
    </xf>
    <xf numFmtId="170" fontId="26" fillId="11" borderId="24" xfId="15" applyNumberFormat="1" applyBorder="1" applyAlignment="1">
      <alignment horizontal="center"/>
    </xf>
    <xf numFmtId="10" fontId="55" fillId="15" borderId="1" xfId="20" applyFont="1" applyBorder="1"/>
    <xf numFmtId="10" fontId="55" fillId="15" borderId="24" xfId="20" applyFont="1" applyBorder="1"/>
    <xf numFmtId="170" fontId="26" fillId="11" borderId="0" xfId="15" applyNumberFormat="1"/>
    <xf numFmtId="0" fontId="56" fillId="11" borderId="0" xfId="15" applyFont="1"/>
    <xf numFmtId="0" fontId="26" fillId="11" borderId="27" xfId="15" quotePrefix="1" applyBorder="1" applyAlignment="1">
      <alignment horizontal="right"/>
    </xf>
    <xf numFmtId="0" fontId="26" fillId="11" borderId="28" xfId="15" quotePrefix="1" applyBorder="1" applyAlignment="1">
      <alignment horizontal="right"/>
    </xf>
    <xf numFmtId="0" fontId="57" fillId="11" borderId="0" xfId="15" applyFont="1"/>
    <xf numFmtId="0" fontId="57" fillId="11" borderId="30" xfId="15" applyFont="1" applyBorder="1"/>
    <xf numFmtId="0" fontId="26" fillId="15" borderId="0" xfId="15" applyFill="1"/>
    <xf numFmtId="0" fontId="26" fillId="11" borderId="1" xfId="15" quotePrefix="1" applyBorder="1" applyAlignment="1">
      <alignment horizontal="right"/>
    </xf>
    <xf numFmtId="10" fontId="26" fillId="11" borderId="24" xfId="15" applyNumberFormat="1" applyBorder="1"/>
    <xf numFmtId="168" fontId="6" fillId="16" borderId="0" xfId="21" applyNumberFormat="1" applyFont="1" applyFill="1"/>
    <xf numFmtId="0" fontId="6" fillId="16" borderId="0" xfId="21" applyFont="1" applyFill="1"/>
    <xf numFmtId="171" fontId="6" fillId="16" borderId="0" xfId="22" applyNumberFormat="1" applyFont="1" applyFill="1" applyBorder="1"/>
    <xf numFmtId="0" fontId="0" fillId="0" borderId="0" xfId="0" applyAlignment="1">
      <alignment horizontal="center"/>
    </xf>
    <xf numFmtId="0" fontId="12" fillId="4" borderId="0" xfId="8" applyFont="1" applyFill="1" applyAlignment="1">
      <alignment horizontal="center"/>
    </xf>
    <xf numFmtId="0" fontId="12" fillId="9" borderId="0" xfId="8" applyFont="1" applyFill="1" applyAlignment="1">
      <alignment horizontal="center"/>
    </xf>
    <xf numFmtId="43" fontId="12" fillId="0" borderId="0" xfId="9" applyFont="1" applyFill="1" applyAlignment="1">
      <alignment horizontal="center"/>
    </xf>
    <xf numFmtId="0" fontId="29" fillId="12" borderId="0" xfId="16" applyNumberFormat="1" applyFont="1" applyFill="1" applyAlignment="1">
      <alignment horizontal="center"/>
    </xf>
    <xf numFmtId="0" fontId="26" fillId="11" borderId="16" xfId="15" applyBorder="1" applyAlignment="1">
      <alignment horizontal="center"/>
    </xf>
    <xf numFmtId="0" fontId="26" fillId="11" borderId="17" xfId="15" applyBorder="1" applyAlignment="1">
      <alignment horizontal="center"/>
    </xf>
    <xf numFmtId="0" fontId="26" fillId="11" borderId="18" xfId="15" applyBorder="1" applyAlignment="1">
      <alignment horizontal="center"/>
    </xf>
    <xf numFmtId="0" fontId="34" fillId="12" borderId="0" xfId="16" applyNumberFormat="1" applyFont="1" applyFill="1" applyAlignment="1">
      <alignment horizontal="center"/>
    </xf>
    <xf numFmtId="0" fontId="34" fillId="12" borderId="2" xfId="16" applyNumberFormat="1" applyFont="1" applyFill="1" applyBorder="1" applyAlignment="1">
      <alignment horizontal="center"/>
    </xf>
    <xf numFmtId="0" fontId="46" fillId="11" borderId="0" xfId="15" applyFont="1" applyAlignment="1">
      <alignment horizontal="center"/>
    </xf>
    <xf numFmtId="0" fontId="11" fillId="17" borderId="0" xfId="8" applyFont="1" applyFill="1"/>
    <xf numFmtId="0" fontId="12" fillId="17" borderId="0" xfId="8" applyFont="1" applyFill="1"/>
    <xf numFmtId="10" fontId="11" fillId="17" borderId="0" xfId="23" applyNumberFormat="1" applyFont="1" applyFill="1"/>
    <xf numFmtId="0" fontId="11" fillId="17" borderId="0" xfId="8" applyFont="1" applyFill="1" applyAlignment="1">
      <alignment wrapText="1"/>
    </xf>
    <xf numFmtId="43" fontId="11" fillId="17" borderId="0" xfId="8" applyNumberFormat="1" applyFont="1" applyFill="1"/>
  </cellXfs>
  <cellStyles count="24">
    <cellStyle name="Accent5 2 2" xfId="17" xr:uid="{2D62649D-8094-45C7-AAB3-4EF697E274B0}"/>
    <cellStyle name="Comma 11 2 2" xfId="7" xr:uid="{CB718E2C-AFD8-4434-8489-DD7314F48EAD}"/>
    <cellStyle name="Comma 12 2 3" xfId="12" xr:uid="{FE104F85-2BE3-4AA8-9138-C7230E21B845}"/>
    <cellStyle name="Comma 12 4" xfId="9" xr:uid="{A1F25C0F-A32D-42D2-BABD-359DCAA2D3E1}"/>
    <cellStyle name="Comma 2 8" xfId="18" xr:uid="{48CF5563-C212-4791-AC65-8CF7AD14E312}"/>
    <cellStyle name="Currency 10 5" xfId="14" xr:uid="{1809D84D-20BD-44E9-BF9C-674DC5F76360}"/>
    <cellStyle name="Normal" xfId="0" builtinId="0"/>
    <cellStyle name="Normal 10 2 2" xfId="2" xr:uid="{5474BBC2-6AD1-4EB8-8C5E-9F7529019E28}"/>
    <cellStyle name="Normal 12 3" xfId="8" xr:uid="{09FA916A-AAA5-4DF2-AACC-168A87B5BF87}"/>
    <cellStyle name="Normal 12 3 2" xfId="10" xr:uid="{08E9F4D0-A950-4609-8603-203C7DF5955D}"/>
    <cellStyle name="Normal 2 11 2" xfId="15" xr:uid="{08E0B6FB-5223-48BC-8522-3A476B99FCBD}"/>
    <cellStyle name="Normal 3" xfId="4" xr:uid="{2A3E8E68-F676-4D37-9695-0FD34EC5F14C}"/>
    <cellStyle name="Normal 3 4 4" xfId="16" xr:uid="{5B6C0C35-4FE6-4569-A79D-1499DE7FDA8A}"/>
    <cellStyle name="Normal_Book3" xfId="1" xr:uid="{3F766588-0ED4-4A9F-8B94-1083E123AD63}"/>
    <cellStyle name="Normal_M-A DF Calculation 3-1-2013-Final" xfId="21" xr:uid="{07A00E46-358F-42D2-BB9A-FC2B0C3CA765}"/>
    <cellStyle name="Normal_Regulated Price Out 9-6-2011 Final HL" xfId="13" xr:uid="{C9A0ADB8-29CA-4874-A523-5DCDB9B27621}"/>
    <cellStyle name="Normal_Sheet1 3" xfId="3" xr:uid="{1208595E-726D-4D61-B340-021BE92D781F}"/>
    <cellStyle name="Percent" xfId="23" builtinId="5"/>
    <cellStyle name="Percent 11" xfId="22" xr:uid="{DFC6EEB3-1EBF-45AE-BBCF-3A8F086B921F}"/>
    <cellStyle name="Percent 2" xfId="6" xr:uid="{B2320F4F-52E8-4AE6-BCA9-5CBEA13A0A6E}"/>
    <cellStyle name="Percent 2 3 2" xfId="5" xr:uid="{CA57AAD6-58FA-4666-A19A-6D4AE4097037}"/>
    <cellStyle name="Percent 2 3 7" xfId="20" xr:uid="{BA524567-9EA8-4113-973D-0A40C2F1A85C}"/>
    <cellStyle name="Percent 5 14" xfId="19" xr:uid="{E554AD0B-BF95-4450-85C2-8576571EDEB3}"/>
    <cellStyle name="Percent 5 4" xfId="11" xr:uid="{9D7430AB-DC3E-48BA-A274-1AD0336D2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400050</xdr:colOff>
      <xdr:row>17</xdr:row>
      <xdr:rowOff>66675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DF36764A-9AF7-4203-9C74-7961D39965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400050</xdr:colOff>
      <xdr:row>17</xdr:row>
      <xdr:rowOff>66675</xdr:rowOff>
    </xdr:to>
    <xdr:pic>
      <xdr:nvPicPr>
        <xdr:cNvPr id="2049" name="DataCompleted">
          <a:extLst>
            <a:ext uri="{FF2B5EF4-FFF2-40B4-BE49-F238E27FC236}">
              <a16:creationId xmlns:a16="http://schemas.microsoft.com/office/drawing/2014/main" id="{90DA2AF5-67B4-2391-0987-0ABE6AE54F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85750" cy="2857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D2B86E43-3EA9-43CB-AC49-8415F39A53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pic>
      <xdr:nvPicPr>
        <xdr:cNvPr id="3073" name="DataCompleted">
          <a:extLst>
            <a:ext uri="{FF2B5EF4-FFF2-40B4-BE49-F238E27FC236}">
              <a16:creationId xmlns:a16="http://schemas.microsoft.com/office/drawing/2014/main" id="{646CB28B-6FEC-D370-B1D1-E6B830F2D29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28600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BC60-DF1B-46AC-AA78-458373F376AF}">
  <sheetPr>
    <tabColor theme="8" tint="0.59999389629810485"/>
    <pageSetUpPr fitToPage="1"/>
  </sheetPr>
  <dimension ref="A1:L196"/>
  <sheetViews>
    <sheetView tabSelected="1" zoomScale="85" zoomScaleNormal="85" zoomScaleSheetLayoutView="80" workbookViewId="0">
      <selection activeCell="B161" sqref="B161"/>
    </sheetView>
  </sheetViews>
  <sheetFormatPr defaultColWidth="9.109375" defaultRowHeight="14.4"/>
  <cols>
    <col min="1" max="1" width="38.109375" style="3" bestFit="1" customWidth="1"/>
    <col min="2" max="2" width="8.109375" style="3" bestFit="1" customWidth="1"/>
    <col min="3" max="3" width="10.109375" style="2" customWidth="1"/>
    <col min="4" max="4" width="12" style="3" customWidth="1"/>
    <col min="5" max="5" width="11.33203125" style="3" customWidth="1"/>
    <col min="6" max="6" width="18" style="3" customWidth="1"/>
    <col min="7" max="7" width="9.109375" style="3"/>
    <col min="8" max="8" width="9.109375" style="22"/>
    <col min="9" max="16384" width="9.109375" style="3"/>
  </cols>
  <sheetData>
    <row r="1" spans="1:9">
      <c r="A1" s="1" t="s">
        <v>0</v>
      </c>
      <c r="B1" s="1"/>
      <c r="C1"/>
      <c r="D1"/>
      <c r="E1" s="4"/>
      <c r="F1" s="4"/>
      <c r="G1" s="4"/>
      <c r="H1" s="5"/>
      <c r="I1" s="4"/>
    </row>
    <row r="2" spans="1:9">
      <c r="A2" s="1" t="s">
        <v>1</v>
      </c>
      <c r="B2" s="1"/>
      <c r="C2"/>
      <c r="D2"/>
      <c r="E2" s="4"/>
      <c r="F2" s="4"/>
      <c r="G2" s="4"/>
      <c r="H2" s="282">
        <f>0.021-0.0175</f>
        <v>3.4999999999999996E-3</v>
      </c>
      <c r="I2" s="283" t="s">
        <v>484</v>
      </c>
    </row>
    <row r="3" spans="1:9">
      <c r="A3" s="6" t="s">
        <v>488</v>
      </c>
      <c r="B3" s="4"/>
      <c r="C3"/>
      <c r="D3"/>
      <c r="E3" s="4"/>
      <c r="F3" s="4"/>
      <c r="G3" s="8"/>
      <c r="H3" s="282">
        <f>1-H2</f>
        <v>0.99650000000000005</v>
      </c>
      <c r="I3" s="283" t="s">
        <v>485</v>
      </c>
    </row>
    <row r="4" spans="1:9">
      <c r="A4" s="6"/>
      <c r="B4" s="4"/>
      <c r="C4"/>
      <c r="D4"/>
      <c r="E4" s="4"/>
      <c r="F4" s="4"/>
      <c r="G4" s="8"/>
      <c r="H4" s="284">
        <f>+H2/H3</f>
        <v>3.5122930255895631E-3</v>
      </c>
      <c r="I4" s="283" t="s">
        <v>486</v>
      </c>
    </row>
    <row r="5" spans="1:9">
      <c r="A5" s="6"/>
      <c r="B5" s="4"/>
      <c r="C5" s="7"/>
      <c r="D5" s="9"/>
      <c r="E5" s="4"/>
      <c r="F5" s="4"/>
      <c r="G5" s="8"/>
      <c r="H5" s="284">
        <f ca="1">+H4/'LG BRG - Vashon MSW'!M16</f>
        <v>3.8134445918452525E-3</v>
      </c>
      <c r="I5" s="283" t="s">
        <v>491</v>
      </c>
    </row>
    <row r="6" spans="1:9" ht="43.2">
      <c r="A6" s="4"/>
      <c r="B6" s="4"/>
      <c r="C6" s="10" t="s">
        <v>3</v>
      </c>
      <c r="D6" s="11" t="s">
        <v>4</v>
      </c>
      <c r="E6" s="11" t="s">
        <v>487</v>
      </c>
      <c r="F6" s="8"/>
      <c r="G6" s="8"/>
      <c r="H6" s="284">
        <f ca="1">+H4/'LG BRG -Vashon Recycle'!M16</f>
        <v>3.8327823723487979E-3</v>
      </c>
      <c r="I6" s="283" t="s">
        <v>490</v>
      </c>
    </row>
    <row r="7" spans="1:9">
      <c r="A7" s="6" t="s">
        <v>5</v>
      </c>
      <c r="B7" s="4"/>
      <c r="C7" s="8"/>
      <c r="D7" s="5"/>
      <c r="E7" s="4"/>
      <c r="F7" s="8"/>
      <c r="G7" s="8"/>
      <c r="H7" s="5"/>
      <c r="I7" s="4"/>
    </row>
    <row r="8" spans="1:9">
      <c r="A8" s="4" t="s">
        <v>6</v>
      </c>
      <c r="B8" s="4" t="s">
        <v>7</v>
      </c>
      <c r="C8" s="12">
        <v>28.08</v>
      </c>
      <c r="D8" s="13">
        <f ca="1">+ROUND(C8*$H$5,2)</f>
        <v>0.11</v>
      </c>
      <c r="E8" s="13">
        <f ca="1">SUM(C8:D8)</f>
        <v>28.189999999999998</v>
      </c>
      <c r="F8" s="8"/>
      <c r="G8" s="8"/>
      <c r="H8" s="5"/>
      <c r="I8" s="4"/>
    </row>
    <row r="9" spans="1:9">
      <c r="A9" s="4"/>
      <c r="B9" s="4"/>
      <c r="C9" s="14"/>
      <c r="D9" s="15"/>
      <c r="E9" s="15"/>
      <c r="F9" s="8"/>
      <c r="G9" s="8"/>
      <c r="H9" s="5"/>
      <c r="I9" s="4"/>
    </row>
    <row r="10" spans="1:9">
      <c r="A10" s="6" t="s">
        <v>8</v>
      </c>
      <c r="B10" s="4"/>
      <c r="C10" s="8"/>
      <c r="D10" s="5"/>
      <c r="E10" s="4"/>
      <c r="F10" s="8"/>
      <c r="G10" s="8"/>
      <c r="H10" s="5"/>
      <c r="I10" s="4"/>
    </row>
    <row r="11" spans="1:9">
      <c r="A11" s="4" t="s">
        <v>9</v>
      </c>
      <c r="B11" s="4" t="s">
        <v>7</v>
      </c>
      <c r="C11" s="12">
        <v>17.715549237223982</v>
      </c>
      <c r="D11" s="13">
        <f t="shared" ref="D11:D13" ca="1" si="0">+ROUND(C11*$H$5,2)</f>
        <v>7.0000000000000007E-2</v>
      </c>
      <c r="E11" s="13">
        <f ca="1">SUM(C11:D11)</f>
        <v>17.785549237223982</v>
      </c>
      <c r="F11" s="8"/>
      <c r="G11" s="8"/>
      <c r="H11" s="5"/>
      <c r="I11" s="4"/>
    </row>
    <row r="12" spans="1:9">
      <c r="A12" s="4" t="s">
        <v>10</v>
      </c>
      <c r="B12" s="4" t="s">
        <v>7</v>
      </c>
      <c r="C12" s="12">
        <v>46.663986161142034</v>
      </c>
      <c r="D12" s="13">
        <f t="shared" ca="1" si="0"/>
        <v>0.18</v>
      </c>
      <c r="E12" s="13">
        <f ca="1">SUM(C12:D12)</f>
        <v>46.843986161142034</v>
      </c>
      <c r="F12" s="8"/>
      <c r="G12" s="8"/>
      <c r="H12" s="5"/>
      <c r="I12" s="4"/>
    </row>
    <row r="13" spans="1:9">
      <c r="A13" s="4" t="s">
        <v>11</v>
      </c>
      <c r="B13" s="4" t="s">
        <v>7</v>
      </c>
      <c r="C13" s="12">
        <v>58.478077986849129</v>
      </c>
      <c r="D13" s="13">
        <f t="shared" ca="1" si="0"/>
        <v>0.22</v>
      </c>
      <c r="E13" s="13">
        <f ca="1">SUM(C13:D13)</f>
        <v>58.698077986849128</v>
      </c>
      <c r="F13" s="8"/>
      <c r="G13" s="8"/>
      <c r="H13" s="5"/>
      <c r="I13" s="4"/>
    </row>
    <row r="14" spans="1:9">
      <c r="A14" s="4"/>
      <c r="B14" s="4"/>
      <c r="C14" s="4"/>
      <c r="D14" s="5"/>
      <c r="E14" s="4"/>
      <c r="F14" s="8"/>
      <c r="G14" s="8"/>
      <c r="H14" s="5"/>
      <c r="I14" s="4"/>
    </row>
    <row r="15" spans="1:9">
      <c r="A15" s="4"/>
      <c r="B15" s="4"/>
      <c r="C15" s="4"/>
      <c r="D15" s="5"/>
      <c r="E15" s="4"/>
      <c r="F15" s="8"/>
      <c r="G15" s="8"/>
      <c r="H15" s="5"/>
      <c r="I15" s="4"/>
    </row>
    <row r="16" spans="1:9">
      <c r="A16" s="6" t="s">
        <v>12</v>
      </c>
      <c r="B16" s="6"/>
      <c r="C16" s="16"/>
      <c r="D16" s="4"/>
      <c r="E16" s="4"/>
      <c r="F16" s="4"/>
      <c r="G16" s="4"/>
      <c r="H16" s="5"/>
      <c r="I16" s="4"/>
    </row>
    <row r="17" spans="1:12">
      <c r="A17" s="4" t="s">
        <v>13</v>
      </c>
      <c r="B17" s="4" t="s">
        <v>14</v>
      </c>
      <c r="C17" s="12">
        <v>3.8400000000000003</v>
      </c>
      <c r="D17" s="13">
        <f ca="1">+ROUND(C17*$H$5,2)</f>
        <v>0.01</v>
      </c>
      <c r="E17" s="13">
        <f ca="1">SUM(C17:D17)</f>
        <v>3.85</v>
      </c>
      <c r="F17" s="17"/>
      <c r="G17" s="17"/>
      <c r="H17" s="18"/>
      <c r="I17" s="4"/>
    </row>
    <row r="18" spans="1:12">
      <c r="A18" s="4"/>
      <c r="B18" s="4"/>
      <c r="C18" s="16"/>
      <c r="D18" s="4"/>
      <c r="E18" s="4"/>
      <c r="F18" s="4"/>
      <c r="G18" s="4"/>
      <c r="H18" s="5"/>
      <c r="I18" s="4"/>
    </row>
    <row r="19" spans="1:12">
      <c r="A19" s="6" t="s">
        <v>15</v>
      </c>
      <c r="B19" s="4"/>
      <c r="C19" s="16"/>
      <c r="D19" s="4"/>
      <c r="E19" s="4"/>
      <c r="F19" s="4"/>
      <c r="G19" s="4"/>
      <c r="H19" s="5"/>
      <c r="I19" s="4"/>
    </row>
    <row r="20" spans="1:12">
      <c r="A20" s="4" t="s">
        <v>16</v>
      </c>
      <c r="B20" s="4" t="s">
        <v>7</v>
      </c>
      <c r="C20" s="12">
        <v>70.884550954242584</v>
      </c>
      <c r="D20" s="13">
        <f t="shared" ref="D20:D21" ca="1" si="1">+ROUND(C20*$H$5,2)</f>
        <v>0.27</v>
      </c>
      <c r="E20" s="13">
        <f ca="1">SUM(C20:D20)</f>
        <v>71.15455095424258</v>
      </c>
      <c r="F20" s="4"/>
      <c r="G20" s="4"/>
      <c r="H20" s="5"/>
      <c r="I20" s="4"/>
    </row>
    <row r="21" spans="1:12">
      <c r="A21" s="4" t="s">
        <v>17</v>
      </c>
      <c r="B21" s="4" t="s">
        <v>7</v>
      </c>
      <c r="C21" s="12">
        <v>70.884550954242584</v>
      </c>
      <c r="D21" s="13">
        <f t="shared" ca="1" si="1"/>
        <v>0.27</v>
      </c>
      <c r="E21" s="13">
        <f ca="1">SUM(C21:D21)</f>
        <v>71.15455095424258</v>
      </c>
      <c r="F21" s="4"/>
      <c r="G21" s="4"/>
      <c r="H21" s="5"/>
      <c r="I21" s="4"/>
    </row>
    <row r="22" spans="1:12">
      <c r="A22" s="4"/>
      <c r="B22" s="4"/>
      <c r="C22" s="16"/>
      <c r="D22" s="4"/>
      <c r="E22" s="4"/>
      <c r="F22" s="4"/>
      <c r="G22" s="4"/>
      <c r="H22" s="5"/>
      <c r="I22" s="4"/>
    </row>
    <row r="23" spans="1:12">
      <c r="A23" s="6" t="s">
        <v>18</v>
      </c>
      <c r="B23" s="4"/>
      <c r="C23" s="16"/>
      <c r="D23" s="4"/>
      <c r="E23" s="4"/>
      <c r="F23" s="4"/>
      <c r="G23" s="4"/>
      <c r="H23" s="5"/>
      <c r="I23" s="4"/>
    </row>
    <row r="24" spans="1:12">
      <c r="A24" s="4" t="s">
        <v>19</v>
      </c>
      <c r="B24" s="4"/>
      <c r="F24" s="4"/>
      <c r="G24" s="4"/>
      <c r="H24" s="5"/>
      <c r="I24" s="4"/>
    </row>
    <row r="25" spans="1:12">
      <c r="A25" s="4" t="s">
        <v>20</v>
      </c>
      <c r="B25" s="4" t="s">
        <v>7</v>
      </c>
      <c r="C25" s="12">
        <v>3.140737751205009</v>
      </c>
      <c r="D25" s="13">
        <f t="shared" ref="D25:D27" ca="1" si="2">+ROUND(C25*$H$5,2)</f>
        <v>0.01</v>
      </c>
      <c r="E25" s="13">
        <f ca="1">SUM(C25:D25)</f>
        <v>3.1507377512050088</v>
      </c>
      <c r="F25" s="4"/>
      <c r="G25" s="4"/>
      <c r="H25" s="5"/>
      <c r="I25" s="4"/>
    </row>
    <row r="26" spans="1:12">
      <c r="A26" s="4" t="s">
        <v>21</v>
      </c>
      <c r="B26" s="4" t="s">
        <v>7</v>
      </c>
      <c r="C26" s="12">
        <v>67.732636200364254</v>
      </c>
      <c r="D26" s="13">
        <f t="shared" ca="1" si="2"/>
        <v>0.26</v>
      </c>
      <c r="E26" s="13">
        <f ca="1">SUM(C26:D26)</f>
        <v>67.992636200364259</v>
      </c>
      <c r="F26" s="4"/>
      <c r="G26" s="4"/>
      <c r="H26" s="5"/>
      <c r="I26" s="4"/>
      <c r="K26" s="285"/>
      <c r="L26" s="285"/>
    </row>
    <row r="27" spans="1:12">
      <c r="A27" s="4" t="s">
        <v>22</v>
      </c>
      <c r="B27" s="4" t="s">
        <v>7</v>
      </c>
      <c r="C27" s="12">
        <v>6.281475502410018</v>
      </c>
      <c r="D27" s="13">
        <f t="shared" ca="1" si="2"/>
        <v>0.02</v>
      </c>
      <c r="E27" s="13">
        <f ca="1">SUM(C27:D27)</f>
        <v>6.3014755024100175</v>
      </c>
      <c r="F27" s="4"/>
      <c r="G27" s="4"/>
      <c r="H27" s="5"/>
      <c r="I27" s="4"/>
    </row>
    <row r="28" spans="1:12">
      <c r="A28" s="4" t="s">
        <v>23</v>
      </c>
      <c r="B28" s="4" t="s">
        <v>7</v>
      </c>
      <c r="C28" s="19">
        <v>3.8504373456987251</v>
      </c>
      <c r="D28" s="19">
        <f ca="1">+ROUND(C28*$H$6,2)</f>
        <v>0.01</v>
      </c>
      <c r="E28" s="19">
        <f ca="1">SUM(C28:D28)</f>
        <v>3.8604373456987249</v>
      </c>
      <c r="F28" s="4"/>
      <c r="G28" s="4"/>
      <c r="H28" s="5"/>
      <c r="I28" s="4"/>
    </row>
    <row r="29" spans="1:12">
      <c r="A29" s="4"/>
      <c r="B29" s="4"/>
      <c r="C29" s="16"/>
      <c r="D29" s="4"/>
      <c r="E29" s="4"/>
      <c r="F29" s="4"/>
      <c r="G29" s="4"/>
      <c r="H29" s="5"/>
      <c r="I29" s="4"/>
    </row>
    <row r="30" spans="1:12">
      <c r="A30" s="6" t="s">
        <v>24</v>
      </c>
      <c r="B30" s="4"/>
      <c r="C30" s="16"/>
      <c r="D30" s="4"/>
      <c r="E30" s="4"/>
      <c r="F30" s="4"/>
      <c r="G30" s="4"/>
      <c r="H30" s="5"/>
      <c r="I30" s="4"/>
    </row>
    <row r="31" spans="1:12">
      <c r="A31" s="4" t="s">
        <v>25</v>
      </c>
      <c r="B31" s="4"/>
      <c r="F31" s="4"/>
      <c r="G31" s="4"/>
      <c r="H31" s="5"/>
      <c r="I31" s="4"/>
    </row>
    <row r="32" spans="1:12">
      <c r="A32" s="4" t="s">
        <v>26</v>
      </c>
      <c r="B32" s="4" t="s">
        <v>7</v>
      </c>
      <c r="C32" s="12">
        <v>2.7160116496185664</v>
      </c>
      <c r="D32" s="13">
        <f t="shared" ref="D32:D35" ca="1" si="3">+ROUND(C32*$H$5,2)</f>
        <v>0.01</v>
      </c>
      <c r="E32" s="13">
        <f t="shared" ref="E32:E35" ca="1" si="4">SUM(C32:D32)</f>
        <v>2.7260116496185662</v>
      </c>
      <c r="F32" s="4"/>
      <c r="G32" s="4"/>
      <c r="H32" s="5"/>
      <c r="I32" s="4"/>
    </row>
    <row r="33" spans="1:9">
      <c r="A33" s="4" t="s">
        <v>27</v>
      </c>
      <c r="B33" s="4" t="s">
        <v>7</v>
      </c>
      <c r="C33" s="12">
        <v>2.7160116496185664</v>
      </c>
      <c r="D33" s="13">
        <f t="shared" ca="1" si="3"/>
        <v>0.01</v>
      </c>
      <c r="E33" s="13">
        <f t="shared" ca="1" si="4"/>
        <v>2.7260116496185662</v>
      </c>
      <c r="F33" s="4"/>
      <c r="G33" s="4"/>
      <c r="H33" s="5"/>
      <c r="I33" s="4"/>
    </row>
    <row r="34" spans="1:9">
      <c r="A34" s="4" t="s">
        <v>28</v>
      </c>
      <c r="B34" s="4" t="s">
        <v>7</v>
      </c>
      <c r="C34" s="12">
        <v>0.19000904544656638</v>
      </c>
      <c r="D34" s="13">
        <f t="shared" ca="1" si="3"/>
        <v>0</v>
      </c>
      <c r="E34" s="13">
        <f t="shared" ca="1" si="4"/>
        <v>0.19000904544656638</v>
      </c>
      <c r="F34" s="4"/>
      <c r="G34" s="4"/>
      <c r="H34" s="5"/>
      <c r="I34" s="4"/>
    </row>
    <row r="35" spans="1:9">
      <c r="A35" s="4" t="s">
        <v>29</v>
      </c>
      <c r="B35" s="4" t="s">
        <v>7</v>
      </c>
      <c r="C35" s="12">
        <v>0.19000904544656638</v>
      </c>
      <c r="D35" s="13">
        <f t="shared" ca="1" si="3"/>
        <v>0</v>
      </c>
      <c r="E35" s="13">
        <f t="shared" ca="1" si="4"/>
        <v>0.19000904544656638</v>
      </c>
      <c r="F35" s="4"/>
      <c r="G35" s="4"/>
      <c r="H35" s="5"/>
      <c r="I35" s="4"/>
    </row>
    <row r="36" spans="1:9">
      <c r="A36" s="4"/>
      <c r="B36" s="4"/>
      <c r="C36" s="16"/>
      <c r="D36" s="4"/>
      <c r="E36" s="4"/>
      <c r="F36" s="4"/>
      <c r="G36" s="4"/>
      <c r="H36" s="5"/>
      <c r="I36" s="4"/>
    </row>
    <row r="37" spans="1:9">
      <c r="A37" s="4" t="s">
        <v>30</v>
      </c>
      <c r="B37" s="4"/>
      <c r="F37" s="4"/>
      <c r="G37" s="4"/>
      <c r="H37" s="5"/>
      <c r="I37" s="4"/>
    </row>
    <row r="38" spans="1:9">
      <c r="A38" s="4" t="s">
        <v>31</v>
      </c>
      <c r="B38" s="4" t="s">
        <v>7</v>
      </c>
      <c r="C38" s="12">
        <v>3.140737751205009</v>
      </c>
      <c r="D38" s="13">
        <f t="shared" ref="D38:D43" ca="1" si="5">+ROUND(C38*$H$5,2)</f>
        <v>0.01</v>
      </c>
      <c r="E38" s="13">
        <f t="shared" ref="E38:E43" ca="1" si="6">SUM(C38:D38)</f>
        <v>3.1507377512050088</v>
      </c>
      <c r="F38" s="4"/>
      <c r="G38" s="4"/>
      <c r="H38" s="5"/>
      <c r="I38" s="4"/>
    </row>
    <row r="39" spans="1:9">
      <c r="A39" s="4" t="s">
        <v>32</v>
      </c>
      <c r="B39" s="4" t="s">
        <v>7</v>
      </c>
      <c r="C39" s="12">
        <v>6.281475502410018</v>
      </c>
      <c r="D39" s="13">
        <f t="shared" ca="1" si="5"/>
        <v>0.02</v>
      </c>
      <c r="E39" s="13">
        <f t="shared" ca="1" si="6"/>
        <v>6.3014755024100175</v>
      </c>
      <c r="F39" s="4"/>
      <c r="G39" s="4"/>
      <c r="H39" s="5"/>
      <c r="I39" s="4"/>
    </row>
    <row r="40" spans="1:9">
      <c r="A40" s="4" t="s">
        <v>33</v>
      </c>
      <c r="B40" s="4" t="s">
        <v>7</v>
      </c>
      <c r="C40" s="12">
        <v>3.140737751205009</v>
      </c>
      <c r="D40" s="13">
        <f t="shared" ca="1" si="5"/>
        <v>0.01</v>
      </c>
      <c r="E40" s="13">
        <f t="shared" ca="1" si="6"/>
        <v>3.1507377512050088</v>
      </c>
      <c r="F40" s="4"/>
      <c r="G40" s="4"/>
      <c r="H40" s="5"/>
      <c r="I40" s="4"/>
    </row>
    <row r="41" spans="1:9">
      <c r="A41" s="4" t="s">
        <v>34</v>
      </c>
      <c r="B41" s="4" t="s">
        <v>7</v>
      </c>
      <c r="C41" s="12">
        <v>0.74885917911293809</v>
      </c>
      <c r="D41" s="13">
        <f t="shared" ca="1" si="5"/>
        <v>0</v>
      </c>
      <c r="E41" s="13">
        <f t="shared" ca="1" si="6"/>
        <v>0.74885917911293809</v>
      </c>
      <c r="F41" s="4"/>
      <c r="G41" s="4"/>
      <c r="H41" s="5"/>
      <c r="I41" s="4"/>
    </row>
    <row r="42" spans="1:9">
      <c r="A42" s="4" t="s">
        <v>35</v>
      </c>
      <c r="B42" s="4" t="s">
        <v>7</v>
      </c>
      <c r="C42" s="12">
        <v>1.5647803742658406</v>
      </c>
      <c r="D42" s="13">
        <f t="shared" ca="1" si="5"/>
        <v>0.01</v>
      </c>
      <c r="E42" s="13">
        <f t="shared" ca="1" si="6"/>
        <v>1.5747803742658406</v>
      </c>
      <c r="F42" s="4"/>
      <c r="G42" s="4"/>
      <c r="H42" s="5"/>
      <c r="I42" s="4"/>
    </row>
    <row r="43" spans="1:9">
      <c r="A43" s="4" t="s">
        <v>36</v>
      </c>
      <c r="B43" s="4" t="s">
        <v>7</v>
      </c>
      <c r="C43" s="12">
        <v>0.74885917911293809</v>
      </c>
      <c r="D43" s="13">
        <f t="shared" ca="1" si="5"/>
        <v>0</v>
      </c>
      <c r="E43" s="13">
        <f t="shared" ca="1" si="6"/>
        <v>0.74885917911293809</v>
      </c>
      <c r="F43" s="4"/>
      <c r="G43" s="4"/>
      <c r="H43" s="5"/>
      <c r="I43" s="4"/>
    </row>
    <row r="44" spans="1:9">
      <c r="A44" s="4"/>
      <c r="B44" s="4"/>
      <c r="C44" s="16"/>
      <c r="D44" s="4"/>
      <c r="E44" s="4"/>
      <c r="F44" s="4"/>
      <c r="G44" s="4"/>
      <c r="H44" s="5"/>
      <c r="I44" s="4"/>
    </row>
    <row r="45" spans="1:9">
      <c r="A45" s="6" t="s">
        <v>37</v>
      </c>
      <c r="B45" s="4"/>
      <c r="C45" s="16"/>
      <c r="D45" s="4"/>
      <c r="E45" s="4"/>
      <c r="F45" s="4"/>
      <c r="G45" s="4"/>
      <c r="H45" s="5"/>
      <c r="I45" s="4"/>
    </row>
    <row r="46" spans="1:9">
      <c r="A46" s="4" t="s">
        <v>38</v>
      </c>
      <c r="B46" s="4"/>
      <c r="F46" s="4"/>
      <c r="G46" s="4"/>
      <c r="H46" s="5"/>
      <c r="I46" s="4"/>
    </row>
    <row r="47" spans="1:9">
      <c r="A47" s="4" t="s">
        <v>39</v>
      </c>
      <c r="B47" s="4" t="s">
        <v>7</v>
      </c>
      <c r="C47" s="12">
        <v>0.24589405881320353</v>
      </c>
      <c r="D47" s="13">
        <f t="shared" ref="D47:D52" ca="1" si="7">+ROUND(C47*$H$5,2)</f>
        <v>0</v>
      </c>
      <c r="E47" s="13">
        <f t="shared" ref="E47:E52" ca="1" si="8">SUM(C47:D47)</f>
        <v>0.24589405881320353</v>
      </c>
      <c r="F47" s="4"/>
      <c r="G47" s="4"/>
      <c r="H47" s="5"/>
      <c r="I47" s="4"/>
    </row>
    <row r="48" spans="1:9">
      <c r="A48" s="4" t="s">
        <v>40</v>
      </c>
      <c r="B48" s="4" t="s">
        <v>7</v>
      </c>
      <c r="C48" s="12">
        <v>1.2518242994126727</v>
      </c>
      <c r="D48" s="13">
        <f t="shared" ca="1" si="7"/>
        <v>0</v>
      </c>
      <c r="E48" s="13">
        <f t="shared" ca="1" si="8"/>
        <v>1.2518242994126727</v>
      </c>
      <c r="F48" s="4"/>
      <c r="G48" s="4"/>
      <c r="H48" s="5"/>
      <c r="I48" s="4"/>
    </row>
    <row r="49" spans="1:9">
      <c r="A49" s="4" t="s">
        <v>41</v>
      </c>
      <c r="B49" s="4" t="s">
        <v>7</v>
      </c>
      <c r="C49" s="12">
        <v>1.2518242994126727</v>
      </c>
      <c r="D49" s="13">
        <f t="shared" ca="1" si="7"/>
        <v>0</v>
      </c>
      <c r="E49" s="13">
        <f t="shared" ca="1" si="8"/>
        <v>1.2518242994126727</v>
      </c>
      <c r="F49" s="4"/>
      <c r="G49" s="4"/>
      <c r="H49" s="5"/>
      <c r="I49" s="4"/>
    </row>
    <row r="50" spans="1:9">
      <c r="A50" s="4" t="s">
        <v>42</v>
      </c>
      <c r="B50" s="4" t="s">
        <v>7</v>
      </c>
      <c r="C50" s="12">
        <v>0.13412403207992921</v>
      </c>
      <c r="D50" s="13">
        <f t="shared" ca="1" si="7"/>
        <v>0</v>
      </c>
      <c r="E50" s="13">
        <f t="shared" ca="1" si="8"/>
        <v>0.13412403207992921</v>
      </c>
      <c r="F50" s="4"/>
      <c r="G50" s="4"/>
      <c r="H50" s="5"/>
      <c r="I50" s="4"/>
    </row>
    <row r="51" spans="1:9">
      <c r="A51" s="4" t="s">
        <v>43</v>
      </c>
      <c r="B51" s="4" t="s">
        <v>7</v>
      </c>
      <c r="C51" s="12">
        <v>0.31295607485316818</v>
      </c>
      <c r="D51" s="13">
        <f t="shared" ca="1" si="7"/>
        <v>0</v>
      </c>
      <c r="E51" s="13">
        <f t="shared" ca="1" si="8"/>
        <v>0.31295607485316818</v>
      </c>
      <c r="F51" s="4"/>
      <c r="G51" s="4"/>
      <c r="H51" s="5"/>
      <c r="I51" s="4"/>
    </row>
    <row r="52" spans="1:9">
      <c r="A52" s="4" t="s">
        <v>44</v>
      </c>
      <c r="B52" s="4" t="s">
        <v>7</v>
      </c>
      <c r="C52" s="12">
        <v>0.31295607485316818</v>
      </c>
      <c r="D52" s="13">
        <f t="shared" ca="1" si="7"/>
        <v>0</v>
      </c>
      <c r="E52" s="13">
        <f t="shared" ca="1" si="8"/>
        <v>0.31295607485316818</v>
      </c>
      <c r="F52" s="4"/>
      <c r="G52" s="4"/>
      <c r="H52" s="5"/>
      <c r="I52" s="4"/>
    </row>
    <row r="53" spans="1:9">
      <c r="A53" s="4"/>
      <c r="B53" s="4"/>
      <c r="C53" s="16"/>
      <c r="D53" s="4"/>
      <c r="E53" s="4"/>
      <c r="F53" s="4"/>
      <c r="G53" s="4"/>
      <c r="H53" s="5"/>
      <c r="I53" s="4"/>
    </row>
    <row r="54" spans="1:9">
      <c r="A54" s="6" t="s">
        <v>45</v>
      </c>
      <c r="B54" s="6"/>
      <c r="C54" s="16"/>
      <c r="D54" s="4"/>
      <c r="E54" s="4"/>
      <c r="F54" s="4"/>
      <c r="G54" s="4"/>
      <c r="H54" s="5"/>
      <c r="I54" s="4"/>
    </row>
    <row r="55" spans="1:9">
      <c r="A55" s="4" t="s">
        <v>46</v>
      </c>
      <c r="B55" s="4" t="s">
        <v>47</v>
      </c>
      <c r="C55" s="12">
        <v>7.4685737002362478</v>
      </c>
      <c r="D55" s="13">
        <f t="shared" ref="D55:D61" ca="1" si="9">+ROUND(C55*$H$5,2)</f>
        <v>0.03</v>
      </c>
      <c r="E55" s="13">
        <f t="shared" ref="E55:E63" ca="1" si="10">SUM(C55:D55)</f>
        <v>7.498573700236248</v>
      </c>
      <c r="F55" s="4"/>
      <c r="G55" s="4"/>
      <c r="H55" s="18"/>
      <c r="I55" s="4"/>
    </row>
    <row r="56" spans="1:9">
      <c r="A56" s="4" t="s">
        <v>46</v>
      </c>
      <c r="B56" s="4" t="s">
        <v>48</v>
      </c>
      <c r="C56" s="12">
        <v>18.240832181084105</v>
      </c>
      <c r="D56" s="13">
        <f t="shared" ca="1" si="9"/>
        <v>7.0000000000000007E-2</v>
      </c>
      <c r="E56" s="13">
        <f t="shared" ca="1" si="10"/>
        <v>18.310832181084105</v>
      </c>
      <c r="F56" s="4"/>
      <c r="G56" s="4"/>
      <c r="H56" s="18"/>
      <c r="I56" s="4"/>
    </row>
    <row r="57" spans="1:9">
      <c r="A57" s="4" t="s">
        <v>49</v>
      </c>
      <c r="B57" s="4" t="s">
        <v>14</v>
      </c>
      <c r="C57" s="12">
        <v>16.816051806818265</v>
      </c>
      <c r="D57" s="13">
        <f t="shared" ca="1" si="9"/>
        <v>0.06</v>
      </c>
      <c r="E57" s="13">
        <f t="shared" ca="1" si="10"/>
        <v>16.876051806818264</v>
      </c>
      <c r="F57" s="4"/>
      <c r="G57" s="17"/>
      <c r="H57" s="18"/>
      <c r="I57" s="4"/>
    </row>
    <row r="58" spans="1:9">
      <c r="A58" s="4" t="s">
        <v>46</v>
      </c>
      <c r="B58" s="4" t="s">
        <v>14</v>
      </c>
      <c r="C58" s="12">
        <v>24.331085453587963</v>
      </c>
      <c r="D58" s="13">
        <f t="shared" ca="1" si="9"/>
        <v>0.09</v>
      </c>
      <c r="E58" s="13">
        <f t="shared" ca="1" si="10"/>
        <v>24.421085453587963</v>
      </c>
      <c r="F58" s="4"/>
      <c r="G58" s="17"/>
      <c r="H58" s="18"/>
      <c r="I58" s="4"/>
    </row>
    <row r="59" spans="1:9">
      <c r="A59" s="4" t="s">
        <v>50</v>
      </c>
      <c r="B59" s="4" t="s">
        <v>14</v>
      </c>
      <c r="C59" s="12">
        <v>34.367997672449732</v>
      </c>
      <c r="D59" s="13">
        <f t="shared" ca="1" si="9"/>
        <v>0.13</v>
      </c>
      <c r="E59" s="13">
        <f t="shared" ca="1" si="10"/>
        <v>34.497997672449735</v>
      </c>
      <c r="F59" s="4"/>
      <c r="G59" s="17"/>
      <c r="H59" s="18"/>
      <c r="I59" s="4"/>
    </row>
    <row r="60" spans="1:9">
      <c r="A60" s="4" t="s">
        <v>51</v>
      </c>
      <c r="B60" s="4" t="s">
        <v>14</v>
      </c>
      <c r="C60" s="12">
        <v>47.173257455383592</v>
      </c>
      <c r="D60" s="13">
        <f t="shared" ca="1" si="9"/>
        <v>0.18</v>
      </c>
      <c r="E60" s="13">
        <f t="shared" ca="1" si="10"/>
        <v>47.353257455383591</v>
      </c>
      <c r="F60" s="4"/>
      <c r="G60" s="17"/>
      <c r="H60" s="18"/>
      <c r="I60" s="4"/>
    </row>
    <row r="61" spans="1:9">
      <c r="A61" s="4" t="s">
        <v>52</v>
      </c>
      <c r="B61" s="4" t="s">
        <v>14</v>
      </c>
      <c r="C61" s="12">
        <v>59.094959093957769</v>
      </c>
      <c r="D61" s="13">
        <f t="shared" ca="1" si="9"/>
        <v>0.23</v>
      </c>
      <c r="E61" s="13">
        <f t="shared" ca="1" si="10"/>
        <v>59.324959093957766</v>
      </c>
      <c r="F61" s="4"/>
      <c r="G61" s="17"/>
      <c r="H61" s="18"/>
      <c r="I61" s="4"/>
    </row>
    <row r="62" spans="1:9">
      <c r="A62" s="4" t="s">
        <v>53</v>
      </c>
      <c r="B62" s="4" t="s">
        <v>54</v>
      </c>
      <c r="C62" s="19">
        <v>14.095696514279002</v>
      </c>
      <c r="D62" s="19">
        <f t="shared" ref="D62:D63" ca="1" si="11">+ROUND(C62*$H$6,2)</f>
        <v>0.05</v>
      </c>
      <c r="E62" s="19">
        <f t="shared" ca="1" si="10"/>
        <v>14.145696514279003</v>
      </c>
      <c r="F62" s="4"/>
      <c r="G62" s="17"/>
      <c r="H62" s="5"/>
      <c r="I62" s="4"/>
    </row>
    <row r="63" spans="1:9">
      <c r="A63" s="4" t="s">
        <v>55</v>
      </c>
      <c r="B63" s="4" t="s">
        <v>56</v>
      </c>
      <c r="C63" s="19">
        <v>15.546866368185556</v>
      </c>
      <c r="D63" s="19">
        <f t="shared" ca="1" si="11"/>
        <v>0.06</v>
      </c>
      <c r="E63" s="19">
        <f t="shared" ca="1" si="10"/>
        <v>15.606866368185557</v>
      </c>
      <c r="F63" s="4"/>
      <c r="G63" s="17"/>
      <c r="H63" s="5"/>
      <c r="I63" s="4"/>
    </row>
    <row r="64" spans="1:9">
      <c r="A64" s="4"/>
      <c r="B64" s="4"/>
      <c r="C64" s="16"/>
      <c r="D64" s="4"/>
      <c r="E64" s="17"/>
      <c r="F64" s="4"/>
      <c r="G64" s="17"/>
      <c r="H64" s="5"/>
      <c r="I64" s="4"/>
    </row>
    <row r="65" spans="1:9">
      <c r="A65" s="4"/>
      <c r="B65" s="4"/>
      <c r="C65" s="16"/>
      <c r="D65" s="4"/>
      <c r="E65" s="17"/>
      <c r="F65" s="4"/>
      <c r="G65" s="17"/>
      <c r="H65" s="5"/>
      <c r="I65" s="4"/>
    </row>
    <row r="66" spans="1:9">
      <c r="A66" s="6" t="s">
        <v>57</v>
      </c>
      <c r="B66" s="4"/>
      <c r="C66" s="16"/>
      <c r="D66" s="4"/>
      <c r="E66" s="4"/>
      <c r="F66" s="4"/>
      <c r="G66" s="17"/>
      <c r="H66" s="5"/>
      <c r="I66" s="4"/>
    </row>
    <row r="67" spans="1:9">
      <c r="A67" s="4" t="s">
        <v>58</v>
      </c>
      <c r="B67" s="4" t="s">
        <v>7</v>
      </c>
      <c r="C67" s="12">
        <v>5.32258918695738</v>
      </c>
      <c r="D67" s="13">
        <f t="shared" ref="D67:D68" ca="1" si="12">+ROUND(C67*$H$5,2)</f>
        <v>0.02</v>
      </c>
      <c r="E67" s="13">
        <f t="shared" ref="E67:E68" ca="1" si="13">SUM(C67:D67)</f>
        <v>5.3425891869573796</v>
      </c>
      <c r="F67" s="4"/>
      <c r="G67" s="17"/>
      <c r="H67" s="18"/>
      <c r="I67" s="4"/>
    </row>
    <row r="68" spans="1:9">
      <c r="A68" s="4" t="s">
        <v>59</v>
      </c>
      <c r="B68" s="4" t="s">
        <v>7</v>
      </c>
      <c r="C68" s="12">
        <v>7.580343726969522</v>
      </c>
      <c r="D68" s="13">
        <f t="shared" ca="1" si="12"/>
        <v>0.03</v>
      </c>
      <c r="E68" s="13">
        <f t="shared" ca="1" si="13"/>
        <v>7.6103437269695222</v>
      </c>
      <c r="F68" s="4"/>
      <c r="G68" s="17"/>
      <c r="H68" s="18"/>
      <c r="I68" s="4"/>
    </row>
    <row r="69" spans="1:9">
      <c r="A69" s="4"/>
      <c r="B69" s="4"/>
      <c r="C69" s="16"/>
      <c r="D69" s="4"/>
      <c r="E69" s="4"/>
      <c r="F69" s="4"/>
      <c r="G69" s="17"/>
      <c r="H69" s="5"/>
      <c r="I69" s="4"/>
    </row>
    <row r="70" spans="1:9">
      <c r="A70" s="6" t="s">
        <v>60</v>
      </c>
      <c r="B70" s="4"/>
      <c r="C70" s="16"/>
      <c r="D70" s="4"/>
      <c r="E70" s="4"/>
      <c r="F70" s="4"/>
      <c r="G70" s="17"/>
      <c r="H70" s="5"/>
      <c r="I70" s="4"/>
    </row>
    <row r="71" spans="1:9">
      <c r="A71" s="4" t="s">
        <v>61</v>
      </c>
      <c r="B71" s="4" t="s">
        <v>7</v>
      </c>
      <c r="C71" s="12">
        <v>20.169999999999998</v>
      </c>
      <c r="D71" s="13">
        <f t="shared" ref="D71:D77" ca="1" si="14">+ROUND(C71*$H$5,2)</f>
        <v>0.08</v>
      </c>
      <c r="E71" s="13">
        <f t="shared" ref="E71:E77" ca="1" si="15">SUM(C71:D71)</f>
        <v>20.249999999999996</v>
      </c>
      <c r="F71" s="4"/>
      <c r="G71" s="17"/>
      <c r="H71" s="18"/>
      <c r="I71" s="4"/>
    </row>
    <row r="72" spans="1:9">
      <c r="A72" s="4" t="s">
        <v>62</v>
      </c>
      <c r="B72" s="4" t="s">
        <v>7</v>
      </c>
      <c r="C72" s="12">
        <v>20.169999999999998</v>
      </c>
      <c r="D72" s="13">
        <f t="shared" ca="1" si="14"/>
        <v>0.08</v>
      </c>
      <c r="E72" s="13">
        <f t="shared" ca="1" si="15"/>
        <v>20.249999999999996</v>
      </c>
      <c r="F72" s="4"/>
      <c r="G72" s="17"/>
      <c r="H72" s="18"/>
      <c r="I72" s="4"/>
    </row>
    <row r="73" spans="1:9">
      <c r="A73" s="4" t="s">
        <v>63</v>
      </c>
      <c r="B73" s="4" t="s">
        <v>7</v>
      </c>
      <c r="C73" s="12">
        <v>20.169999999999998</v>
      </c>
      <c r="D73" s="13">
        <f t="shared" ca="1" si="14"/>
        <v>0.08</v>
      </c>
      <c r="E73" s="13">
        <f t="shared" ca="1" si="15"/>
        <v>20.249999999999996</v>
      </c>
      <c r="F73" s="4"/>
      <c r="G73" s="17"/>
      <c r="H73" s="18"/>
      <c r="I73" s="4"/>
    </row>
    <row r="74" spans="1:9">
      <c r="A74" s="4" t="s">
        <v>63</v>
      </c>
      <c r="B74" s="4" t="s">
        <v>7</v>
      </c>
      <c r="C74" s="12">
        <v>20.169999999999998</v>
      </c>
      <c r="D74" s="13">
        <f t="shared" ca="1" si="14"/>
        <v>0.08</v>
      </c>
      <c r="E74" s="13">
        <f t="shared" ca="1" si="15"/>
        <v>20.249999999999996</v>
      </c>
      <c r="F74" s="4"/>
      <c r="G74" s="17"/>
      <c r="H74" s="18"/>
      <c r="I74" s="4"/>
    </row>
    <row r="75" spans="1:9">
      <c r="A75" s="4" t="s">
        <v>64</v>
      </c>
      <c r="B75" s="4" t="s">
        <v>7</v>
      </c>
      <c r="C75" s="12">
        <v>22.349999999999998</v>
      </c>
      <c r="D75" s="13">
        <f t="shared" ca="1" si="14"/>
        <v>0.09</v>
      </c>
      <c r="E75" s="13">
        <f t="shared" ca="1" si="15"/>
        <v>22.439999999999998</v>
      </c>
      <c r="F75" s="4"/>
      <c r="G75" s="17"/>
      <c r="H75" s="18"/>
      <c r="I75" s="4"/>
    </row>
    <row r="76" spans="1:9">
      <c r="A76" s="4" t="s">
        <v>64</v>
      </c>
      <c r="B76" s="4" t="s">
        <v>7</v>
      </c>
      <c r="C76" s="12">
        <v>22.349999999999998</v>
      </c>
      <c r="D76" s="13">
        <f t="shared" ca="1" si="14"/>
        <v>0.09</v>
      </c>
      <c r="E76" s="13">
        <f t="shared" ca="1" si="15"/>
        <v>22.439999999999998</v>
      </c>
      <c r="F76" s="4"/>
      <c r="G76" s="17"/>
      <c r="H76" s="18"/>
      <c r="I76" s="4"/>
    </row>
    <row r="77" spans="1:9">
      <c r="A77" s="4" t="s">
        <v>65</v>
      </c>
      <c r="B77" s="4" t="s">
        <v>7</v>
      </c>
      <c r="C77" s="12">
        <v>2.5036485988253454</v>
      </c>
      <c r="D77" s="13">
        <f t="shared" ca="1" si="14"/>
        <v>0.01</v>
      </c>
      <c r="E77" s="13">
        <f t="shared" ca="1" si="15"/>
        <v>2.5136485988253452</v>
      </c>
      <c r="F77" s="4"/>
      <c r="G77" s="17"/>
      <c r="H77" s="18"/>
      <c r="I77" s="4"/>
    </row>
    <row r="78" spans="1:9">
      <c r="A78" s="4"/>
      <c r="B78" s="4"/>
      <c r="C78" s="16"/>
      <c r="D78" s="4"/>
      <c r="E78" s="4"/>
      <c r="F78" s="4"/>
      <c r="G78" s="17"/>
      <c r="H78" s="5"/>
      <c r="I78" s="4"/>
    </row>
    <row r="79" spans="1:9">
      <c r="A79" s="6" t="s">
        <v>66</v>
      </c>
      <c r="B79" s="4"/>
      <c r="C79" s="16"/>
      <c r="D79" s="4"/>
      <c r="E79" s="4"/>
      <c r="F79" s="4"/>
      <c r="G79" s="17"/>
      <c r="H79" s="5"/>
      <c r="I79" s="4"/>
    </row>
    <row r="80" spans="1:9">
      <c r="A80" s="4" t="s">
        <v>67</v>
      </c>
      <c r="B80" s="4"/>
      <c r="C80" s="16"/>
      <c r="D80" s="4"/>
      <c r="E80" s="4"/>
      <c r="F80" s="4"/>
      <c r="G80" s="17"/>
      <c r="H80" s="5"/>
      <c r="I80" s="4"/>
    </row>
    <row r="81" spans="1:9">
      <c r="A81" s="4" t="s">
        <v>68</v>
      </c>
      <c r="B81" s="4" t="s">
        <v>7</v>
      </c>
      <c r="C81" s="12">
        <v>88.611277194139888</v>
      </c>
      <c r="D81" s="13">
        <f t="shared" ref="D81:D83" ca="1" si="16">+ROUND(C81*$H$5,2)</f>
        <v>0.34</v>
      </c>
      <c r="E81" s="13">
        <f t="shared" ref="E81:E83" ca="1" si="17">SUM(C81:D81)</f>
        <v>88.951277194139891</v>
      </c>
      <c r="F81" s="4"/>
      <c r="G81" s="17"/>
      <c r="H81" s="5"/>
      <c r="I81" s="4"/>
    </row>
    <row r="82" spans="1:9">
      <c r="A82" s="4" t="s">
        <v>69</v>
      </c>
      <c r="B82" s="4" t="s">
        <v>7</v>
      </c>
      <c r="C82" s="12">
        <v>41.354909891311507</v>
      </c>
      <c r="D82" s="13">
        <f t="shared" ca="1" si="16"/>
        <v>0.16</v>
      </c>
      <c r="E82" s="13">
        <f t="shared" ca="1" si="17"/>
        <v>41.514909891311504</v>
      </c>
      <c r="F82" s="4"/>
      <c r="G82" s="17"/>
      <c r="H82" s="5"/>
      <c r="I82" s="4"/>
    </row>
    <row r="83" spans="1:9">
      <c r="A83" s="4" t="s">
        <v>17</v>
      </c>
      <c r="B83" s="4" t="s">
        <v>7</v>
      </c>
      <c r="C83" s="12">
        <v>177.22255438827978</v>
      </c>
      <c r="D83" s="13">
        <f t="shared" ca="1" si="16"/>
        <v>0.68</v>
      </c>
      <c r="E83" s="13">
        <f t="shared" ca="1" si="17"/>
        <v>177.90255438827978</v>
      </c>
      <c r="F83" s="4"/>
      <c r="G83" s="17"/>
      <c r="H83" s="5"/>
      <c r="I83" s="4"/>
    </row>
    <row r="84" spans="1:9">
      <c r="A84" s="4"/>
      <c r="B84" s="4"/>
      <c r="C84" s="16"/>
      <c r="D84" s="17"/>
      <c r="E84" s="17"/>
      <c r="F84" s="4"/>
      <c r="G84" s="17"/>
      <c r="H84" s="5"/>
      <c r="I84" s="4"/>
    </row>
    <row r="85" spans="1:9">
      <c r="A85" s="6" t="s">
        <v>70</v>
      </c>
      <c r="B85" s="4"/>
      <c r="C85" s="16"/>
      <c r="D85" s="4"/>
      <c r="E85" s="4"/>
      <c r="F85" s="4"/>
      <c r="G85" s="17"/>
      <c r="H85" s="5"/>
      <c r="I85" s="4"/>
    </row>
    <row r="86" spans="1:9">
      <c r="A86" s="4" t="s">
        <v>71</v>
      </c>
      <c r="B86" s="4" t="s">
        <v>7</v>
      </c>
      <c r="C86" s="12">
        <v>6.281475502410018</v>
      </c>
      <c r="D86" s="13">
        <f t="shared" ref="D86:D87" ca="1" si="18">+ROUND(C86*$H$5,2)</f>
        <v>0.02</v>
      </c>
      <c r="E86" s="13">
        <f t="shared" ref="E86:E87" ca="1" si="19">SUM(C86:D86)</f>
        <v>6.3014755024100175</v>
      </c>
      <c r="F86" s="4"/>
      <c r="G86" s="17"/>
      <c r="H86" s="5"/>
      <c r="I86" s="4"/>
    </row>
    <row r="87" spans="1:9">
      <c r="A87" s="4" t="s">
        <v>72</v>
      </c>
      <c r="B87" s="4" t="s">
        <v>7</v>
      </c>
      <c r="C87" s="12">
        <v>5.9014574115168852</v>
      </c>
      <c r="D87" s="13">
        <f t="shared" ca="1" si="18"/>
        <v>0.02</v>
      </c>
      <c r="E87" s="13">
        <f t="shared" ca="1" si="19"/>
        <v>5.9214574115168848</v>
      </c>
      <c r="F87" s="4"/>
      <c r="G87" s="17"/>
      <c r="H87" s="5"/>
      <c r="I87" s="4"/>
    </row>
    <row r="88" spans="1:9">
      <c r="A88" s="4"/>
      <c r="B88" s="4"/>
      <c r="C88" s="16"/>
      <c r="D88" s="17"/>
      <c r="E88" s="17"/>
      <c r="F88" s="4"/>
      <c r="G88" s="17"/>
      <c r="H88" s="5"/>
      <c r="I88" s="4"/>
    </row>
    <row r="89" spans="1:9">
      <c r="A89" s="6" t="s">
        <v>73</v>
      </c>
      <c r="B89" s="4"/>
      <c r="C89" s="16"/>
      <c r="D89" s="4"/>
      <c r="E89" s="4"/>
      <c r="F89" s="4"/>
      <c r="G89" s="17"/>
      <c r="H89" s="5"/>
      <c r="I89" s="4"/>
    </row>
    <row r="90" spans="1:9">
      <c r="A90" s="4" t="s">
        <v>74</v>
      </c>
      <c r="B90" s="4" t="s">
        <v>7</v>
      </c>
      <c r="C90" s="12">
        <v>24.04</v>
      </c>
      <c r="D90" s="13">
        <f t="shared" ref="D90" ca="1" si="20">+ROUND(C90*$H$5,2)</f>
        <v>0.09</v>
      </c>
      <c r="E90" s="13">
        <f ca="1">SUM(C90:D90)</f>
        <v>24.13</v>
      </c>
      <c r="F90" s="4"/>
      <c r="G90" s="17"/>
      <c r="H90" s="18"/>
      <c r="I90" s="4"/>
    </row>
    <row r="91" spans="1:9">
      <c r="A91" s="4"/>
      <c r="B91" s="4"/>
      <c r="C91" s="16"/>
      <c r="D91" s="4"/>
      <c r="E91" s="4"/>
      <c r="F91" s="4"/>
      <c r="G91" s="17"/>
      <c r="H91" s="5"/>
      <c r="I91" s="4"/>
    </row>
    <row r="92" spans="1:9">
      <c r="A92" s="6" t="s">
        <v>75</v>
      </c>
      <c r="B92" s="4"/>
      <c r="C92" s="16"/>
      <c r="D92" s="4"/>
      <c r="E92" s="4"/>
      <c r="F92" s="4"/>
      <c r="G92" s="17"/>
      <c r="H92" s="5"/>
      <c r="I92" s="4"/>
    </row>
    <row r="93" spans="1:9">
      <c r="A93" s="4" t="s">
        <v>76</v>
      </c>
      <c r="B93" s="4" t="s">
        <v>7</v>
      </c>
      <c r="C93" s="12">
        <v>3.7666499009113452</v>
      </c>
      <c r="D93" s="13">
        <f t="shared" ref="D93:D100" ca="1" si="21">+ROUND(C93*$H$5,2)</f>
        <v>0.01</v>
      </c>
      <c r="E93" s="13">
        <f t="shared" ref="E93:E99" ca="1" si="22">SUM(C93:D93)</f>
        <v>3.776649900911345</v>
      </c>
      <c r="F93" s="4"/>
      <c r="G93" s="17"/>
      <c r="H93" s="5"/>
      <c r="I93" s="4"/>
    </row>
    <row r="94" spans="1:9">
      <c r="A94" s="4" t="s">
        <v>77</v>
      </c>
      <c r="B94" s="4" t="s">
        <v>7</v>
      </c>
      <c r="C94" s="12">
        <v>11.299949702734034</v>
      </c>
      <c r="D94" s="13">
        <f t="shared" ca="1" si="21"/>
        <v>0.04</v>
      </c>
      <c r="E94" s="13">
        <f t="shared" ca="1" si="22"/>
        <v>11.339949702734033</v>
      </c>
      <c r="F94" s="4"/>
      <c r="G94" s="17"/>
      <c r="H94" s="5"/>
      <c r="I94" s="4"/>
    </row>
    <row r="95" spans="1:9">
      <c r="A95" s="4" t="s">
        <v>78</v>
      </c>
      <c r="B95" s="4" t="s">
        <v>7</v>
      </c>
      <c r="C95" s="12">
        <v>4.3925620506176815</v>
      </c>
      <c r="D95" s="13">
        <f t="shared" ca="1" si="21"/>
        <v>0.02</v>
      </c>
      <c r="E95" s="13">
        <f t="shared" ca="1" si="22"/>
        <v>4.412562050617681</v>
      </c>
      <c r="F95" s="4"/>
      <c r="G95" s="17"/>
      <c r="H95" s="5"/>
      <c r="I95" s="4"/>
    </row>
    <row r="96" spans="1:9">
      <c r="A96" s="4" t="s">
        <v>79</v>
      </c>
      <c r="B96" s="4" t="s">
        <v>7</v>
      </c>
      <c r="C96" s="12">
        <v>21.962810253088406</v>
      </c>
      <c r="D96" s="13">
        <f t="shared" ca="1" si="21"/>
        <v>0.08</v>
      </c>
      <c r="E96" s="13">
        <f t="shared" ca="1" si="22"/>
        <v>22.042810253088405</v>
      </c>
      <c r="F96" s="4"/>
      <c r="G96" s="17"/>
      <c r="H96" s="5"/>
      <c r="I96" s="4"/>
    </row>
    <row r="97" spans="1:9">
      <c r="A97" s="4" t="s">
        <v>80</v>
      </c>
      <c r="B97" s="4" t="s">
        <v>7</v>
      </c>
      <c r="C97" s="12">
        <v>3.7666499009113452</v>
      </c>
      <c r="D97" s="13">
        <f t="shared" ca="1" si="21"/>
        <v>0.01</v>
      </c>
      <c r="E97" s="13">
        <f t="shared" ca="1" si="22"/>
        <v>3.776649900911345</v>
      </c>
      <c r="F97" s="4"/>
      <c r="G97" s="17"/>
      <c r="H97" s="5"/>
      <c r="I97" s="4"/>
    </row>
    <row r="98" spans="1:9">
      <c r="A98" s="4" t="s">
        <v>81</v>
      </c>
      <c r="B98" s="4" t="s">
        <v>7</v>
      </c>
      <c r="C98" s="12">
        <v>11.299949702734034</v>
      </c>
      <c r="D98" s="13">
        <f t="shared" ca="1" si="21"/>
        <v>0.04</v>
      </c>
      <c r="E98" s="13">
        <f t="shared" ca="1" si="22"/>
        <v>11.339949702734033</v>
      </c>
      <c r="F98" s="4"/>
      <c r="G98" s="17"/>
      <c r="H98" s="5"/>
      <c r="I98" s="4"/>
    </row>
    <row r="99" spans="1:9">
      <c r="A99" s="4" t="s">
        <v>82</v>
      </c>
      <c r="B99" s="4" t="s">
        <v>7</v>
      </c>
      <c r="C99" s="12">
        <v>43.936797508850141</v>
      </c>
      <c r="D99" s="13">
        <f t="shared" ca="1" si="21"/>
        <v>0.17</v>
      </c>
      <c r="E99" s="13">
        <f t="shared" ca="1" si="22"/>
        <v>44.106797508850143</v>
      </c>
      <c r="F99" s="4"/>
      <c r="G99" s="17"/>
      <c r="H99" s="5"/>
      <c r="I99" s="4"/>
    </row>
    <row r="100" spans="1:9">
      <c r="A100" s="4" t="s">
        <v>83</v>
      </c>
      <c r="B100" s="4" t="s">
        <v>7</v>
      </c>
      <c r="C100" s="12">
        <v>57.583917772982943</v>
      </c>
      <c r="D100" s="13">
        <f t="shared" ca="1" si="21"/>
        <v>0.22</v>
      </c>
      <c r="E100" s="13">
        <f ca="1">SUM(C100:D100)</f>
        <v>57.803917772982942</v>
      </c>
      <c r="F100" s="4"/>
      <c r="G100" s="17"/>
      <c r="H100" s="5"/>
      <c r="I100" s="4"/>
    </row>
    <row r="101" spans="1:9">
      <c r="A101" s="4"/>
      <c r="B101" s="4"/>
      <c r="C101" s="16"/>
      <c r="D101" s="4"/>
      <c r="E101" s="4"/>
      <c r="F101" s="4"/>
      <c r="G101" s="17"/>
      <c r="H101" s="5"/>
      <c r="I101" s="4"/>
    </row>
    <row r="102" spans="1:9">
      <c r="A102" s="6" t="s">
        <v>84</v>
      </c>
      <c r="B102" s="4"/>
      <c r="C102" s="16"/>
      <c r="D102" s="4"/>
      <c r="E102" s="4"/>
      <c r="F102" s="4"/>
      <c r="G102" s="17"/>
      <c r="H102" s="5"/>
      <c r="I102" s="4"/>
    </row>
    <row r="103" spans="1:9">
      <c r="A103" s="4" t="s">
        <v>2</v>
      </c>
      <c r="B103" s="4" t="s">
        <v>85</v>
      </c>
      <c r="C103" s="12">
        <v>200.1643391503431</v>
      </c>
      <c r="D103" s="13">
        <v>0</v>
      </c>
      <c r="E103" s="13">
        <f>SUM(C103:D103)</f>
        <v>200.1643391503431</v>
      </c>
      <c r="F103" s="4"/>
      <c r="G103" s="17"/>
      <c r="H103" s="18"/>
      <c r="I103" s="4"/>
    </row>
    <row r="104" spans="1:9">
      <c r="A104" s="4"/>
      <c r="B104" s="4"/>
      <c r="C104" s="16"/>
      <c r="D104" s="4"/>
      <c r="E104" s="4"/>
      <c r="F104" s="4"/>
      <c r="G104" s="17"/>
      <c r="H104" s="5"/>
      <c r="I104" s="4"/>
    </row>
    <row r="105" spans="1:9">
      <c r="A105" s="6" t="s">
        <v>86</v>
      </c>
      <c r="B105" s="4"/>
      <c r="C105" s="16"/>
      <c r="D105" s="4"/>
      <c r="E105" s="4"/>
      <c r="F105" s="4"/>
      <c r="G105" s="17"/>
      <c r="H105" s="5"/>
      <c r="I105" s="4"/>
    </row>
    <row r="106" spans="1:9">
      <c r="A106" s="4" t="s">
        <v>87</v>
      </c>
      <c r="B106" s="4"/>
      <c r="C106" s="16"/>
      <c r="D106" s="4"/>
      <c r="E106" s="4"/>
      <c r="F106" s="4"/>
      <c r="G106" s="17"/>
      <c r="H106" s="5"/>
      <c r="I106" s="4"/>
    </row>
    <row r="107" spans="1:9">
      <c r="A107" s="4" t="s">
        <v>88</v>
      </c>
      <c r="B107" s="4" t="s">
        <v>7</v>
      </c>
      <c r="C107" s="12">
        <v>25.505245667454155</v>
      </c>
      <c r="D107" s="13">
        <f t="shared" ref="D107:D109" ca="1" si="23">+ROUND(C107*$H$5,2)</f>
        <v>0.1</v>
      </c>
      <c r="E107" s="13">
        <f t="shared" ref="E107:E109" ca="1" si="24">SUM(C107:D107)</f>
        <v>25.605245667454156</v>
      </c>
      <c r="F107" s="4"/>
      <c r="G107" s="17"/>
      <c r="H107" s="18"/>
      <c r="I107" s="4"/>
    </row>
    <row r="108" spans="1:9">
      <c r="A108" s="4" t="s">
        <v>89</v>
      </c>
      <c r="B108" s="4" t="s">
        <v>7</v>
      </c>
      <c r="C108" s="12">
        <v>32.95791626343064</v>
      </c>
      <c r="D108" s="13">
        <f t="shared" ca="1" si="23"/>
        <v>0.13</v>
      </c>
      <c r="E108" s="13">
        <f t="shared" ca="1" si="24"/>
        <v>33.087916263430643</v>
      </c>
      <c r="F108" s="4"/>
      <c r="G108" s="17"/>
      <c r="H108" s="18"/>
      <c r="I108" s="4"/>
    </row>
    <row r="109" spans="1:9">
      <c r="A109" s="4" t="s">
        <v>90</v>
      </c>
      <c r="B109" s="4" t="s">
        <v>7</v>
      </c>
      <c r="C109" s="12">
        <v>45.273760024977875</v>
      </c>
      <c r="D109" s="13">
        <f t="shared" ca="1" si="23"/>
        <v>0.17</v>
      </c>
      <c r="E109" s="13">
        <f t="shared" ca="1" si="24"/>
        <v>45.443760024977877</v>
      </c>
      <c r="F109" s="17"/>
      <c r="G109" s="17"/>
      <c r="H109" s="18"/>
      <c r="I109" s="4"/>
    </row>
    <row r="110" spans="1:9">
      <c r="A110" s="4"/>
      <c r="B110" s="4"/>
      <c r="C110" s="16"/>
      <c r="D110" s="4"/>
      <c r="E110" s="4"/>
      <c r="F110" s="4"/>
      <c r="G110" s="17"/>
      <c r="H110" s="5"/>
      <c r="I110" s="4"/>
    </row>
    <row r="111" spans="1:9">
      <c r="A111" s="4" t="s">
        <v>91</v>
      </c>
      <c r="B111" s="4"/>
      <c r="C111" s="16"/>
      <c r="D111" s="4"/>
      <c r="E111" s="4"/>
      <c r="F111" s="4"/>
      <c r="G111" s="17"/>
      <c r="H111" s="5"/>
      <c r="I111" s="4"/>
    </row>
    <row r="112" spans="1:9">
      <c r="A112" s="4" t="s">
        <v>88</v>
      </c>
      <c r="B112" s="4" t="s">
        <v>7</v>
      </c>
      <c r="C112" s="12">
        <v>27.87477023419957</v>
      </c>
      <c r="D112" s="13">
        <f t="shared" ref="D112:D115" ca="1" si="25">+ROUND(C112*$H$5,2)</f>
        <v>0.11</v>
      </c>
      <c r="E112" s="13">
        <f t="shared" ref="E112:E115" ca="1" si="26">SUM(C112:D112)</f>
        <v>27.984770234199569</v>
      </c>
      <c r="F112" s="4"/>
      <c r="G112" s="17"/>
      <c r="H112" s="18"/>
      <c r="I112" s="4"/>
    </row>
    <row r="113" spans="1:9">
      <c r="A113" s="4" t="s">
        <v>89</v>
      </c>
      <c r="B113" s="4" t="s">
        <v>7</v>
      </c>
      <c r="C113" s="12">
        <v>35.317133762231208</v>
      </c>
      <c r="D113" s="13">
        <f t="shared" ca="1" si="25"/>
        <v>0.13</v>
      </c>
      <c r="E113" s="13">
        <f t="shared" ca="1" si="26"/>
        <v>35.447133762231211</v>
      </c>
      <c r="F113" s="4"/>
      <c r="G113" s="17"/>
      <c r="H113" s="18"/>
      <c r="I113" s="4"/>
    </row>
    <row r="114" spans="1:9">
      <c r="A114" s="4" t="s">
        <v>90</v>
      </c>
      <c r="B114" s="4" t="s">
        <v>7</v>
      </c>
      <c r="C114" s="12">
        <v>47.632107589049966</v>
      </c>
      <c r="D114" s="13">
        <f t="shared" ca="1" si="25"/>
        <v>0.18</v>
      </c>
      <c r="E114" s="13">
        <f t="shared" ca="1" si="26"/>
        <v>47.812107589049965</v>
      </c>
      <c r="F114" s="4"/>
      <c r="G114" s="17"/>
      <c r="H114" s="18"/>
      <c r="I114" s="4"/>
    </row>
    <row r="115" spans="1:9">
      <c r="A115" s="4" t="s">
        <v>92</v>
      </c>
      <c r="B115" s="4" t="s">
        <v>7</v>
      </c>
      <c r="C115" s="12">
        <v>31.385023506703433</v>
      </c>
      <c r="D115" s="13">
        <f t="shared" ca="1" si="25"/>
        <v>0.12</v>
      </c>
      <c r="E115" s="13">
        <f t="shared" ca="1" si="26"/>
        <v>31.505023506703434</v>
      </c>
      <c r="F115" s="4"/>
      <c r="G115" s="17"/>
      <c r="H115" s="18"/>
      <c r="I115" s="4"/>
    </row>
    <row r="116" spans="1:9">
      <c r="A116" s="4"/>
      <c r="B116" s="4"/>
      <c r="C116" s="16"/>
      <c r="D116" s="4"/>
      <c r="E116" s="4"/>
      <c r="F116" s="4"/>
      <c r="G116" s="17"/>
      <c r="H116" s="18"/>
      <c r="I116" s="4"/>
    </row>
    <row r="117" spans="1:9">
      <c r="A117" s="4" t="s">
        <v>93</v>
      </c>
      <c r="B117" s="4" t="s">
        <v>7</v>
      </c>
      <c r="C117" s="12">
        <v>1.2518242994126727</v>
      </c>
      <c r="D117" s="13">
        <f t="shared" ref="D117" ca="1" si="27">+ROUND(C117*$H$5,2)</f>
        <v>0</v>
      </c>
      <c r="E117" s="13">
        <f ca="1">SUM(C117:D117)</f>
        <v>1.2518242994126727</v>
      </c>
      <c r="F117" s="4"/>
      <c r="G117" s="17"/>
      <c r="H117" s="18"/>
      <c r="I117" s="4"/>
    </row>
    <row r="118" spans="1:9">
      <c r="A118" s="4"/>
      <c r="B118" s="4"/>
      <c r="C118" s="16"/>
      <c r="D118" s="4"/>
      <c r="E118" s="4"/>
      <c r="F118" s="4"/>
      <c r="G118" s="17"/>
      <c r="H118" s="5"/>
      <c r="I118" s="4"/>
    </row>
    <row r="119" spans="1:9">
      <c r="A119" s="6" t="s">
        <v>94</v>
      </c>
      <c r="B119" s="4"/>
      <c r="C119" s="16"/>
      <c r="D119" s="4"/>
      <c r="E119" s="4"/>
      <c r="F119" s="4"/>
      <c r="G119" s="17"/>
      <c r="H119" s="5"/>
      <c r="I119" s="4"/>
    </row>
    <row r="120" spans="1:9">
      <c r="A120" s="4" t="s">
        <v>95</v>
      </c>
      <c r="B120" s="4" t="s">
        <v>7</v>
      </c>
      <c r="C120" s="12">
        <v>4.6366770372510446</v>
      </c>
      <c r="D120" s="13">
        <f t="shared" ref="D120:D123" ca="1" si="28">+ROUND(C120*$H$5,2)</f>
        <v>0.02</v>
      </c>
      <c r="E120" s="13">
        <f t="shared" ref="E120:E122" ca="1" si="29">SUM(C120:D120)</f>
        <v>4.6566770372510442</v>
      </c>
      <c r="F120" s="4"/>
      <c r="G120" s="17"/>
      <c r="H120" s="18"/>
      <c r="I120" s="4"/>
    </row>
    <row r="121" spans="1:9">
      <c r="A121" s="4" t="s">
        <v>96</v>
      </c>
      <c r="B121" s="4" t="s">
        <v>7</v>
      </c>
      <c r="C121" s="12">
        <v>7.8444768044960185</v>
      </c>
      <c r="D121" s="13">
        <f t="shared" ca="1" si="28"/>
        <v>0.03</v>
      </c>
      <c r="E121" s="13">
        <f t="shared" ca="1" si="29"/>
        <v>7.8744768044960187</v>
      </c>
      <c r="F121" s="4"/>
      <c r="G121" s="17"/>
      <c r="H121" s="18"/>
      <c r="I121" s="4"/>
    </row>
    <row r="122" spans="1:9">
      <c r="A122" s="4" t="s">
        <v>97</v>
      </c>
      <c r="B122" s="4" t="s">
        <v>98</v>
      </c>
      <c r="C122" s="12">
        <v>20.098541493863411</v>
      </c>
      <c r="D122" s="13">
        <f t="shared" ca="1" si="28"/>
        <v>0.08</v>
      </c>
      <c r="E122" s="13">
        <f t="shared" ca="1" si="29"/>
        <v>20.17854149386341</v>
      </c>
      <c r="F122" s="4"/>
      <c r="G122" s="17"/>
      <c r="H122" s="18"/>
      <c r="I122" s="4"/>
    </row>
    <row r="123" spans="1:9">
      <c r="A123" s="4" t="s">
        <v>99</v>
      </c>
      <c r="B123" s="4" t="s">
        <v>7</v>
      </c>
      <c r="C123" s="12">
        <v>5.1731731655707618</v>
      </c>
      <c r="D123" s="13">
        <f t="shared" ca="1" si="28"/>
        <v>0.02</v>
      </c>
      <c r="E123" s="13">
        <f ca="1">SUM(C123:D123)</f>
        <v>5.1931731655707614</v>
      </c>
      <c r="F123" s="4"/>
      <c r="G123" s="17"/>
      <c r="H123" s="18"/>
      <c r="I123" s="4"/>
    </row>
    <row r="124" spans="1:9">
      <c r="A124" s="4"/>
      <c r="B124" s="4"/>
      <c r="C124" s="16"/>
      <c r="D124" s="17"/>
      <c r="E124" s="17"/>
      <c r="F124" s="4"/>
      <c r="G124" s="17"/>
      <c r="H124" s="5"/>
      <c r="I124" s="4"/>
    </row>
    <row r="125" spans="1:9">
      <c r="A125" s="6" t="s">
        <v>100</v>
      </c>
      <c r="B125" s="4"/>
      <c r="C125" s="16"/>
      <c r="D125" s="4"/>
      <c r="E125" s="4"/>
      <c r="F125" s="4"/>
      <c r="G125" s="17"/>
      <c r="H125" s="5"/>
      <c r="I125" s="4"/>
    </row>
    <row r="126" spans="1:9">
      <c r="A126" s="4" t="s">
        <v>90</v>
      </c>
      <c r="B126" s="4" t="s">
        <v>7</v>
      </c>
      <c r="C126" s="12">
        <v>121.47000000000001</v>
      </c>
      <c r="D126" s="13">
        <f t="shared" ref="D126" ca="1" si="30">+ROUND(C126*$H$5,2)</f>
        <v>0.46</v>
      </c>
      <c r="E126" s="13">
        <f ca="1">SUM(C126:D126)</f>
        <v>121.93</v>
      </c>
      <c r="F126" s="4"/>
      <c r="G126" s="17"/>
      <c r="H126" s="18"/>
      <c r="I126" s="4"/>
    </row>
    <row r="127" spans="1:9">
      <c r="A127" s="4"/>
      <c r="B127" s="8"/>
      <c r="C127" s="16"/>
      <c r="D127" s="17"/>
      <c r="E127" s="17"/>
      <c r="F127" s="4"/>
      <c r="G127" s="17"/>
      <c r="H127" s="20"/>
      <c r="I127" s="4"/>
    </row>
    <row r="128" spans="1:9">
      <c r="A128" s="6" t="s">
        <v>101</v>
      </c>
      <c r="B128" s="8"/>
      <c r="C128" s="16"/>
      <c r="D128" s="17"/>
      <c r="E128" s="17"/>
      <c r="F128" s="4"/>
      <c r="G128" s="17"/>
      <c r="H128" s="20"/>
      <c r="I128" s="4"/>
    </row>
    <row r="129" spans="1:9">
      <c r="A129" s="4" t="s">
        <v>90</v>
      </c>
      <c r="B129" s="4" t="s">
        <v>7</v>
      </c>
      <c r="C129" s="12">
        <v>189.91</v>
      </c>
      <c r="D129" s="13">
        <f t="shared" ref="D129" ca="1" si="31">+ROUND(C129*$H$5,2)</f>
        <v>0.72</v>
      </c>
      <c r="E129" s="13">
        <f ca="1">SUM(C129:D129)</f>
        <v>190.63</v>
      </c>
      <c r="F129" s="4"/>
      <c r="G129" s="17"/>
      <c r="H129" s="18"/>
      <c r="I129" s="4"/>
    </row>
    <row r="130" spans="1:9">
      <c r="A130" s="4"/>
      <c r="B130" s="4"/>
      <c r="C130" s="16"/>
      <c r="D130" s="4"/>
      <c r="E130" s="5"/>
      <c r="F130" s="4"/>
      <c r="G130" s="17"/>
      <c r="H130" s="5"/>
      <c r="I130" s="4"/>
    </row>
    <row r="131" spans="1:9">
      <c r="A131" s="4" t="s">
        <v>102</v>
      </c>
      <c r="B131" s="4" t="s">
        <v>7</v>
      </c>
      <c r="C131" s="12">
        <v>5.0520052083439992</v>
      </c>
      <c r="D131" s="13">
        <f t="shared" ref="D131:D132" ca="1" si="32">+ROUND(C131*$H$5,2)</f>
        <v>0.02</v>
      </c>
      <c r="E131" s="13">
        <f t="shared" ref="E131:E132" ca="1" si="33">SUM(C131:D131)</f>
        <v>5.0720052083439988</v>
      </c>
      <c r="F131" s="4"/>
      <c r="G131" s="17"/>
      <c r="H131" s="5"/>
      <c r="I131" s="4"/>
    </row>
    <row r="132" spans="1:9">
      <c r="A132" s="4" t="s">
        <v>93</v>
      </c>
      <c r="B132" s="4" t="s">
        <v>7</v>
      </c>
      <c r="C132" s="12">
        <v>1.2518242994126727</v>
      </c>
      <c r="D132" s="13">
        <f t="shared" ca="1" si="32"/>
        <v>0</v>
      </c>
      <c r="E132" s="13">
        <f t="shared" ca="1" si="33"/>
        <v>1.2518242994126727</v>
      </c>
      <c r="F132" s="4"/>
      <c r="G132" s="17"/>
      <c r="H132" s="20"/>
      <c r="I132" s="4"/>
    </row>
    <row r="133" spans="1:9">
      <c r="A133" s="4"/>
      <c r="B133" s="8"/>
      <c r="C133" s="16"/>
      <c r="D133" s="17"/>
      <c r="E133" s="21"/>
      <c r="F133" s="4"/>
      <c r="G133" s="17"/>
      <c r="H133" s="20"/>
      <c r="I133" s="4"/>
    </row>
    <row r="134" spans="1:9">
      <c r="A134" s="6" t="s">
        <v>103</v>
      </c>
      <c r="B134" s="4"/>
      <c r="C134" s="16"/>
      <c r="D134" s="4"/>
      <c r="E134" s="4"/>
      <c r="F134" s="4"/>
      <c r="G134" s="17"/>
      <c r="H134" s="20"/>
      <c r="I134" s="4"/>
    </row>
    <row r="135" spans="1:9">
      <c r="A135" s="4" t="s">
        <v>104</v>
      </c>
      <c r="B135" s="4"/>
      <c r="C135" s="16"/>
      <c r="D135" s="17"/>
      <c r="E135" s="17"/>
      <c r="F135" s="4"/>
      <c r="G135" s="17"/>
      <c r="H135" s="20"/>
      <c r="I135" s="4"/>
    </row>
    <row r="136" spans="1:9">
      <c r="A136" s="4" t="s">
        <v>105</v>
      </c>
      <c r="B136" s="4" t="s">
        <v>98</v>
      </c>
      <c r="C136" s="12">
        <v>27.014815461432409</v>
      </c>
      <c r="D136" s="13">
        <f t="shared" ref="D136:D138" ca="1" si="34">+ROUND(C136*$H$5,2)</f>
        <v>0.1</v>
      </c>
      <c r="E136" s="13">
        <f t="shared" ref="E136:E138" ca="1" si="35">SUM(C136:D136)</f>
        <v>27.114815461432411</v>
      </c>
      <c r="F136" s="4"/>
      <c r="G136" s="17"/>
      <c r="H136" s="20"/>
      <c r="I136" s="4"/>
    </row>
    <row r="137" spans="1:9">
      <c r="A137" s="4" t="s">
        <v>106</v>
      </c>
      <c r="B137" s="4" t="s">
        <v>98</v>
      </c>
      <c r="C137" s="12">
        <v>135.46527240072851</v>
      </c>
      <c r="D137" s="13">
        <f t="shared" ca="1" si="34"/>
        <v>0.52</v>
      </c>
      <c r="E137" s="13">
        <f t="shared" ca="1" si="35"/>
        <v>135.98527240072852</v>
      </c>
      <c r="F137" s="4"/>
      <c r="G137" s="17"/>
      <c r="H137" s="20"/>
      <c r="I137" s="4"/>
    </row>
    <row r="138" spans="1:9">
      <c r="A138" s="4" t="s">
        <v>107</v>
      </c>
      <c r="B138" s="4" t="s">
        <v>98</v>
      </c>
      <c r="C138" s="12">
        <v>135.46527240072851</v>
      </c>
      <c r="D138" s="13">
        <f t="shared" ca="1" si="34"/>
        <v>0.52</v>
      </c>
      <c r="E138" s="13">
        <f t="shared" ca="1" si="35"/>
        <v>135.98527240072852</v>
      </c>
      <c r="F138" s="17"/>
      <c r="G138" s="17"/>
      <c r="H138" s="20"/>
      <c r="I138" s="4"/>
    </row>
    <row r="139" spans="1:9">
      <c r="A139" s="4"/>
      <c r="B139" s="8"/>
      <c r="C139" s="16"/>
      <c r="D139" s="17"/>
      <c r="E139" s="17"/>
      <c r="F139" s="4"/>
      <c r="G139" s="17"/>
      <c r="H139" s="20"/>
      <c r="I139" s="4"/>
    </row>
    <row r="140" spans="1:9">
      <c r="A140" s="4" t="s">
        <v>108</v>
      </c>
      <c r="B140" s="4"/>
      <c r="C140" s="16"/>
      <c r="D140" s="17"/>
      <c r="E140" s="17"/>
      <c r="F140" s="4"/>
      <c r="G140" s="17"/>
      <c r="H140" s="20"/>
      <c r="I140" s="4"/>
    </row>
    <row r="141" spans="1:9">
      <c r="A141" s="4" t="s">
        <v>105</v>
      </c>
      <c r="B141" s="4" t="s">
        <v>98</v>
      </c>
      <c r="C141" s="12">
        <v>135.15231632587532</v>
      </c>
      <c r="D141" s="13">
        <f t="shared" ref="D141:D143" ca="1" si="36">+ROUND(C141*$H$5,2)</f>
        <v>0.52</v>
      </c>
      <c r="E141" s="13">
        <f t="shared" ref="E141:E143" ca="1" si="37">SUM(C141:D141)</f>
        <v>135.67231632587533</v>
      </c>
      <c r="F141" s="4"/>
      <c r="G141" s="17"/>
      <c r="H141" s="20"/>
      <c r="I141" s="4"/>
    </row>
    <row r="142" spans="1:9">
      <c r="A142" s="4" t="s">
        <v>92</v>
      </c>
      <c r="B142" s="4" t="s">
        <v>7</v>
      </c>
      <c r="C142" s="12">
        <v>91.439058870491735</v>
      </c>
      <c r="D142" s="13">
        <f t="shared" ca="1" si="36"/>
        <v>0.35</v>
      </c>
      <c r="E142" s="13">
        <f t="shared" ca="1" si="37"/>
        <v>91.789058870491729</v>
      </c>
      <c r="F142" s="4"/>
      <c r="G142" s="17"/>
      <c r="H142" s="20"/>
      <c r="I142" s="4"/>
    </row>
    <row r="143" spans="1:9">
      <c r="A143" s="4" t="s">
        <v>109</v>
      </c>
      <c r="B143" s="4" t="s">
        <v>7</v>
      </c>
      <c r="C143" s="12">
        <v>135.46527240072851</v>
      </c>
      <c r="D143" s="13">
        <f t="shared" ca="1" si="36"/>
        <v>0.52</v>
      </c>
      <c r="E143" s="13">
        <f t="shared" ca="1" si="37"/>
        <v>135.98527240072852</v>
      </c>
      <c r="F143" s="4"/>
      <c r="G143" s="17"/>
      <c r="H143" s="5"/>
      <c r="I143" s="4"/>
    </row>
    <row r="144" spans="1:9">
      <c r="F144" s="4"/>
      <c r="G144" s="17"/>
      <c r="H144" s="5"/>
      <c r="I144" s="4"/>
    </row>
    <row r="145" spans="1:9">
      <c r="A145" s="3" t="s">
        <v>110</v>
      </c>
      <c r="B145" s="3" t="s">
        <v>7</v>
      </c>
      <c r="C145" s="12">
        <v>3.3978088126915398</v>
      </c>
      <c r="D145" s="13">
        <f t="shared" ref="D145:D148" ca="1" si="38">+ROUND(C145*$H$5,2)</f>
        <v>0.01</v>
      </c>
      <c r="E145" s="13">
        <f t="shared" ref="E145:E148" ca="1" si="39">SUM(C145:D145)</f>
        <v>3.4078088126915396</v>
      </c>
      <c r="F145" s="4"/>
      <c r="G145" s="17"/>
      <c r="H145" s="20"/>
      <c r="I145" s="4"/>
    </row>
    <row r="146" spans="1:9">
      <c r="A146" s="4" t="s">
        <v>111</v>
      </c>
      <c r="B146" s="4" t="s">
        <v>7</v>
      </c>
      <c r="C146" s="12">
        <v>33.855141097508792</v>
      </c>
      <c r="D146" s="13">
        <f t="shared" ca="1" si="38"/>
        <v>0.13</v>
      </c>
      <c r="E146" s="13">
        <f t="shared" ca="1" si="39"/>
        <v>33.985141097508794</v>
      </c>
      <c r="F146" s="4"/>
      <c r="G146" s="17"/>
      <c r="H146" s="20"/>
      <c r="I146" s="4"/>
    </row>
    <row r="147" spans="1:9">
      <c r="A147" s="4" t="s">
        <v>93</v>
      </c>
      <c r="B147" s="4" t="s">
        <v>7</v>
      </c>
      <c r="C147" s="12">
        <v>1.2518242994126727</v>
      </c>
      <c r="D147" s="13">
        <f t="shared" ca="1" si="38"/>
        <v>0</v>
      </c>
      <c r="E147" s="13">
        <f t="shared" ca="1" si="39"/>
        <v>1.2518242994126727</v>
      </c>
      <c r="F147" s="4"/>
      <c r="G147" s="17"/>
      <c r="H147" s="20"/>
      <c r="I147" s="4"/>
    </row>
    <row r="148" spans="1:9">
      <c r="A148" s="4" t="s">
        <v>112</v>
      </c>
      <c r="B148" s="4" t="s">
        <v>7</v>
      </c>
      <c r="C148" s="12">
        <v>20.867463991102319</v>
      </c>
      <c r="D148" s="13">
        <f t="shared" ca="1" si="38"/>
        <v>0.08</v>
      </c>
      <c r="E148" s="13">
        <f t="shared" ca="1" si="39"/>
        <v>20.947463991102317</v>
      </c>
      <c r="F148" s="4"/>
      <c r="G148" s="17"/>
      <c r="H148" s="20"/>
      <c r="I148" s="4"/>
    </row>
    <row r="149" spans="1:9">
      <c r="A149" s="4"/>
      <c r="B149" s="4"/>
      <c r="C149" s="16"/>
      <c r="D149" s="4"/>
      <c r="E149" s="4"/>
      <c r="F149" s="4"/>
      <c r="G149" s="17"/>
      <c r="H149" s="20"/>
      <c r="I149" s="4"/>
    </row>
    <row r="150" spans="1:9">
      <c r="A150" s="6" t="s">
        <v>113</v>
      </c>
      <c r="B150" s="4"/>
      <c r="C150" s="16"/>
      <c r="D150" s="4"/>
      <c r="E150" s="4"/>
      <c r="F150" s="4"/>
      <c r="G150" s="17"/>
      <c r="H150" s="20"/>
      <c r="I150" s="4"/>
    </row>
    <row r="151" spans="1:9">
      <c r="A151" s="4" t="s">
        <v>114</v>
      </c>
      <c r="B151" s="4" t="s">
        <v>98</v>
      </c>
      <c r="C151" s="12">
        <v>162.54714987820088</v>
      </c>
      <c r="D151" s="13">
        <f t="shared" ref="D151:D153" ca="1" si="40">+ROUND(C151*$H$5,2)</f>
        <v>0.62</v>
      </c>
      <c r="E151" s="13">
        <f t="shared" ref="E151:E153" ca="1" si="41">SUM(C151:D151)</f>
        <v>163.16714987820089</v>
      </c>
      <c r="F151" s="4"/>
      <c r="G151" s="17"/>
      <c r="H151" s="20"/>
      <c r="I151" s="4"/>
    </row>
    <row r="152" spans="1:9">
      <c r="A152" s="4" t="s">
        <v>115</v>
      </c>
      <c r="B152" s="4" t="s">
        <v>98</v>
      </c>
      <c r="C152" s="12">
        <v>169.33159050091061</v>
      </c>
      <c r="D152" s="13">
        <f t="shared" ca="1" si="40"/>
        <v>0.65</v>
      </c>
      <c r="E152" s="13">
        <f t="shared" ca="1" si="41"/>
        <v>169.98159050091061</v>
      </c>
      <c r="F152" s="4"/>
      <c r="G152" s="17"/>
      <c r="H152" s="20"/>
      <c r="I152" s="4"/>
    </row>
    <row r="153" spans="1:9">
      <c r="A153" s="4" t="s">
        <v>116</v>
      </c>
      <c r="B153" s="4" t="s">
        <v>98</v>
      </c>
      <c r="C153" s="12">
        <v>176.08250011560037</v>
      </c>
      <c r="D153" s="13">
        <f t="shared" ca="1" si="40"/>
        <v>0.67</v>
      </c>
      <c r="E153" s="13">
        <f t="shared" ca="1" si="41"/>
        <v>176.75250011560036</v>
      </c>
      <c r="F153" s="4"/>
      <c r="G153" s="17"/>
      <c r="H153" s="5"/>
      <c r="I153" s="4"/>
    </row>
    <row r="154" spans="1:9">
      <c r="A154" s="6"/>
      <c r="B154" s="4"/>
      <c r="C154" s="16"/>
      <c r="D154" s="4"/>
      <c r="E154" s="4"/>
      <c r="F154" s="4"/>
      <c r="G154" s="17"/>
      <c r="H154" s="5"/>
      <c r="I154" s="4"/>
    </row>
    <row r="155" spans="1:9">
      <c r="A155" s="4" t="s">
        <v>117</v>
      </c>
      <c r="B155" s="4" t="s">
        <v>98</v>
      </c>
      <c r="C155" s="12">
        <v>162.54714987820088</v>
      </c>
      <c r="D155" s="13">
        <f t="shared" ref="D155:D157" ca="1" si="42">+ROUND(C155*$H$5,2)</f>
        <v>0.62</v>
      </c>
      <c r="E155" s="13">
        <f t="shared" ref="E155:E157" ca="1" si="43">SUM(C155:D155)</f>
        <v>163.16714987820089</v>
      </c>
      <c r="F155" s="4"/>
      <c r="G155" s="17"/>
      <c r="H155" s="21"/>
      <c r="I155" s="17"/>
    </row>
    <row r="156" spans="1:9">
      <c r="A156" s="4" t="s">
        <v>118</v>
      </c>
      <c r="B156" s="4" t="s">
        <v>98</v>
      </c>
      <c r="C156" s="12">
        <v>169.33159050091061</v>
      </c>
      <c r="D156" s="13">
        <f t="shared" ca="1" si="42"/>
        <v>0.65</v>
      </c>
      <c r="E156" s="13">
        <f t="shared" ca="1" si="43"/>
        <v>169.98159050091061</v>
      </c>
      <c r="F156" s="4"/>
      <c r="G156" s="17"/>
      <c r="H156" s="21"/>
      <c r="I156" s="17"/>
    </row>
    <row r="157" spans="1:9">
      <c r="A157" s="4" t="s">
        <v>119</v>
      </c>
      <c r="B157" s="4" t="s">
        <v>98</v>
      </c>
      <c r="C157" s="12">
        <v>176.08250011560037</v>
      </c>
      <c r="D157" s="13">
        <f t="shared" ca="1" si="42"/>
        <v>0.67</v>
      </c>
      <c r="E157" s="13">
        <f t="shared" ca="1" si="43"/>
        <v>176.75250011560036</v>
      </c>
      <c r="F157" s="4"/>
      <c r="G157" s="17"/>
      <c r="H157" s="21"/>
      <c r="I157" s="17"/>
    </row>
    <row r="158" spans="1:9">
      <c r="A158" s="4"/>
      <c r="B158" s="8"/>
      <c r="C158" s="16"/>
      <c r="D158" s="17"/>
      <c r="E158" s="4"/>
      <c r="F158" s="4"/>
      <c r="G158" s="17"/>
      <c r="H158" s="5"/>
      <c r="I158" s="4"/>
    </row>
    <row r="159" spans="1:9">
      <c r="A159" s="3" t="s">
        <v>110</v>
      </c>
      <c r="B159" s="3" t="s">
        <v>7</v>
      </c>
      <c r="C159" s="12">
        <v>3.3978088126915398</v>
      </c>
      <c r="D159" s="13">
        <f t="shared" ref="D159:D162" ca="1" si="44">+ROUND(C159*$H$5,2)</f>
        <v>0.01</v>
      </c>
      <c r="E159" s="13">
        <f t="shared" ref="E159:E162" ca="1" si="45">SUM(C159:D159)</f>
        <v>3.4078088126915396</v>
      </c>
      <c r="F159" s="4"/>
      <c r="G159" s="17"/>
      <c r="H159" s="21"/>
      <c r="I159" s="17"/>
    </row>
    <row r="160" spans="1:9">
      <c r="A160" s="4" t="s">
        <v>111</v>
      </c>
      <c r="B160" s="4" t="s">
        <v>7</v>
      </c>
      <c r="C160" s="12">
        <v>33.855141097508792</v>
      </c>
      <c r="D160" s="13">
        <f t="shared" ca="1" si="44"/>
        <v>0.13</v>
      </c>
      <c r="E160" s="13">
        <f t="shared" ca="1" si="45"/>
        <v>33.985141097508794</v>
      </c>
      <c r="F160" s="4"/>
      <c r="G160" s="17"/>
      <c r="H160" s="21"/>
      <c r="I160" s="17"/>
    </row>
    <row r="161" spans="1:9">
      <c r="A161" s="4" t="s">
        <v>93</v>
      </c>
      <c r="B161" s="4" t="s">
        <v>7</v>
      </c>
      <c r="C161" s="12">
        <v>1.2518242994126727</v>
      </c>
      <c r="D161" s="13">
        <f t="shared" ca="1" si="44"/>
        <v>0</v>
      </c>
      <c r="E161" s="13">
        <f t="shared" ca="1" si="45"/>
        <v>1.2518242994126727</v>
      </c>
      <c r="F161" s="4"/>
      <c r="G161" s="17"/>
      <c r="H161" s="21"/>
      <c r="I161" s="17"/>
    </row>
    <row r="162" spans="1:9">
      <c r="A162" s="4" t="s">
        <v>112</v>
      </c>
      <c r="B162" s="4" t="s">
        <v>7</v>
      </c>
      <c r="C162" s="12">
        <v>20.867463991102319</v>
      </c>
      <c r="D162" s="13">
        <f t="shared" ca="1" si="44"/>
        <v>0.08</v>
      </c>
      <c r="E162" s="13">
        <f t="shared" ca="1" si="45"/>
        <v>20.947463991102317</v>
      </c>
      <c r="F162" s="4"/>
      <c r="G162" s="17"/>
      <c r="H162" s="5"/>
      <c r="I162" s="4"/>
    </row>
    <row r="163" spans="1:9">
      <c r="A163" s="6"/>
      <c r="B163" s="4"/>
      <c r="C163" s="16"/>
      <c r="D163" s="4"/>
      <c r="E163" s="4"/>
      <c r="F163" s="4"/>
      <c r="G163" s="17"/>
      <c r="H163" s="5"/>
      <c r="I163" s="4"/>
    </row>
    <row r="164" spans="1:9">
      <c r="A164" s="4"/>
      <c r="B164" s="8"/>
      <c r="C164" s="16"/>
      <c r="D164" s="17"/>
      <c r="E164" s="17"/>
      <c r="F164" s="4"/>
      <c r="G164" s="17"/>
      <c r="H164" s="21"/>
      <c r="I164" s="17"/>
    </row>
    <row r="165" spans="1:9">
      <c r="A165" s="4"/>
      <c r="B165" s="8"/>
      <c r="C165" s="16"/>
      <c r="D165" s="17"/>
      <c r="E165" s="17"/>
      <c r="F165" s="4"/>
      <c r="G165" s="17"/>
      <c r="H165" s="21"/>
      <c r="I165" s="17"/>
    </row>
    <row r="166" spans="1:9">
      <c r="A166" s="4"/>
      <c r="B166" s="8"/>
      <c r="C166" s="16"/>
      <c r="D166" s="17"/>
      <c r="E166" s="17"/>
      <c r="F166" s="4"/>
      <c r="G166" s="17"/>
      <c r="H166" s="21"/>
      <c r="I166" s="17"/>
    </row>
    <row r="167" spans="1:9">
      <c r="A167" s="4"/>
      <c r="B167" s="8"/>
      <c r="C167" s="16"/>
      <c r="D167" s="17"/>
      <c r="E167" s="17"/>
      <c r="F167" s="4"/>
      <c r="G167" s="17"/>
      <c r="H167" s="21"/>
      <c r="I167" s="17"/>
    </row>
    <row r="168" spans="1:9">
      <c r="A168" s="6"/>
      <c r="B168" s="8"/>
      <c r="C168" s="16"/>
      <c r="D168" s="17"/>
      <c r="E168" s="4"/>
      <c r="F168" s="4"/>
      <c r="G168" s="17"/>
      <c r="H168" s="5"/>
      <c r="I168" s="4"/>
    </row>
    <row r="169" spans="1:9">
      <c r="A169" s="4"/>
      <c r="B169" s="8"/>
      <c r="C169" s="16"/>
      <c r="D169" s="17"/>
      <c r="E169" s="17"/>
      <c r="F169" s="4"/>
      <c r="G169" s="17"/>
      <c r="H169" s="5"/>
      <c r="I169" s="4"/>
    </row>
    <row r="170" spans="1:9">
      <c r="A170" s="4"/>
      <c r="B170" s="8"/>
      <c r="C170" s="16"/>
      <c r="D170" s="17"/>
      <c r="E170" s="17"/>
      <c r="F170" s="4"/>
      <c r="G170" s="17"/>
      <c r="H170" s="5"/>
      <c r="I170" s="4"/>
    </row>
    <row r="171" spans="1:9">
      <c r="A171" s="4"/>
      <c r="B171" s="8"/>
      <c r="C171" s="16"/>
      <c r="D171" s="17"/>
      <c r="E171" s="17"/>
      <c r="F171" s="4"/>
      <c r="G171" s="17"/>
      <c r="H171" s="5"/>
      <c r="I171" s="4"/>
    </row>
    <row r="172" spans="1:9">
      <c r="A172" s="4"/>
      <c r="B172" s="8"/>
      <c r="C172" s="16"/>
      <c r="D172" s="17"/>
      <c r="E172" s="17"/>
      <c r="F172" s="4"/>
      <c r="G172" s="17"/>
      <c r="H172" s="5"/>
      <c r="I172" s="4"/>
    </row>
    <row r="173" spans="1:9">
      <c r="A173" s="4"/>
      <c r="B173" s="4"/>
      <c r="C173" s="16"/>
      <c r="D173" s="4"/>
      <c r="E173" s="4"/>
      <c r="F173" s="4"/>
      <c r="G173" s="17"/>
      <c r="H173" s="5"/>
      <c r="I173" s="4"/>
    </row>
    <row r="174" spans="1:9">
      <c r="A174" s="6"/>
      <c r="B174" s="4"/>
      <c r="C174" s="16"/>
      <c r="D174" s="4"/>
      <c r="E174" s="4"/>
      <c r="F174" s="4"/>
      <c r="G174" s="17"/>
      <c r="H174" s="5"/>
      <c r="I174" s="4"/>
    </row>
    <row r="175" spans="1:9">
      <c r="A175" s="4"/>
      <c r="B175" s="8"/>
      <c r="C175" s="16"/>
      <c r="D175" s="17"/>
      <c r="E175" s="17"/>
      <c r="F175" s="4"/>
      <c r="G175" s="17"/>
      <c r="H175" s="5"/>
      <c r="I175" s="4"/>
    </row>
    <row r="176" spans="1:9">
      <c r="A176" s="4"/>
      <c r="B176" s="8"/>
      <c r="C176" s="16"/>
      <c r="D176" s="17"/>
      <c r="E176" s="17"/>
      <c r="F176" s="4"/>
      <c r="G176" s="17"/>
      <c r="H176" s="5"/>
      <c r="I176" s="4"/>
    </row>
    <row r="177" spans="1:9">
      <c r="A177" s="4"/>
      <c r="B177" s="8"/>
      <c r="C177" s="16"/>
      <c r="D177" s="17"/>
      <c r="E177" s="17"/>
      <c r="F177" s="4"/>
      <c r="G177" s="17"/>
      <c r="H177" s="5"/>
      <c r="I177" s="4"/>
    </row>
    <row r="178" spans="1:9">
      <c r="A178" s="4"/>
      <c r="B178" s="8"/>
      <c r="C178" s="16"/>
      <c r="D178" s="17"/>
      <c r="E178" s="17"/>
      <c r="F178" s="4"/>
      <c r="G178" s="17"/>
      <c r="H178" s="5"/>
      <c r="I178" s="4"/>
    </row>
    <row r="179" spans="1:9">
      <c r="A179" s="4"/>
      <c r="B179" s="8"/>
      <c r="C179" s="16"/>
      <c r="D179" s="17"/>
      <c r="E179" s="17"/>
      <c r="F179" s="4"/>
      <c r="G179" s="17"/>
      <c r="H179" s="5"/>
      <c r="I179" s="4"/>
    </row>
    <row r="180" spans="1:9">
      <c r="A180" s="4"/>
      <c r="B180" s="8"/>
      <c r="C180" s="16"/>
      <c r="D180" s="17"/>
      <c r="E180" s="17"/>
      <c r="F180" s="4"/>
      <c r="G180" s="17"/>
      <c r="H180" s="5"/>
      <c r="I180" s="4"/>
    </row>
    <row r="181" spans="1:9">
      <c r="A181" s="4"/>
      <c r="B181" s="8"/>
      <c r="C181" s="16"/>
      <c r="D181" s="17"/>
      <c r="E181" s="17"/>
      <c r="F181" s="4"/>
      <c r="G181" s="17"/>
      <c r="H181" s="5"/>
      <c r="I181" s="4"/>
    </row>
    <row r="182" spans="1:9">
      <c r="A182" s="4"/>
      <c r="B182" s="4"/>
      <c r="C182" s="16"/>
      <c r="D182" s="4"/>
      <c r="E182" s="17"/>
      <c r="F182" s="4"/>
      <c r="G182" s="17"/>
      <c r="H182" s="5"/>
      <c r="I182" s="4"/>
    </row>
    <row r="183" spans="1:9">
      <c r="A183" s="6"/>
      <c r="B183" s="4"/>
      <c r="C183" s="16"/>
      <c r="D183" s="4"/>
      <c r="E183" s="17"/>
      <c r="F183" s="4"/>
      <c r="G183" s="17"/>
      <c r="H183" s="5"/>
      <c r="I183" s="4"/>
    </row>
    <row r="184" spans="1:9">
      <c r="A184" s="4"/>
      <c r="B184" s="8"/>
      <c r="C184" s="16"/>
      <c r="D184" s="17"/>
      <c r="E184" s="17"/>
      <c r="F184" s="4"/>
      <c r="G184" s="17"/>
      <c r="H184" s="5"/>
      <c r="I184" s="4"/>
    </row>
    <row r="185" spans="1:9">
      <c r="A185" s="4"/>
      <c r="B185" s="8"/>
      <c r="C185" s="16"/>
      <c r="D185" s="17"/>
      <c r="E185" s="17"/>
      <c r="F185" s="4"/>
      <c r="G185" s="17"/>
      <c r="H185" s="5"/>
      <c r="I185" s="4"/>
    </row>
    <row r="186" spans="1:9">
      <c r="A186" s="4"/>
      <c r="B186" s="8"/>
      <c r="C186" s="16"/>
      <c r="D186" s="17"/>
      <c r="E186" s="17"/>
      <c r="F186" s="4"/>
      <c r="G186" s="17"/>
      <c r="H186" s="5"/>
      <c r="I186" s="4"/>
    </row>
    <row r="187" spans="1:9">
      <c r="A187" s="4"/>
      <c r="B187" s="8"/>
      <c r="C187" s="16"/>
      <c r="D187" s="17"/>
      <c r="E187" s="17"/>
      <c r="F187" s="4"/>
      <c r="G187" s="17"/>
      <c r="H187" s="5"/>
      <c r="I187" s="4"/>
    </row>
    <row r="188" spans="1:9">
      <c r="A188" s="4"/>
      <c r="B188" s="8"/>
      <c r="C188" s="16"/>
      <c r="D188" s="17"/>
      <c r="E188" s="17"/>
      <c r="F188" s="4"/>
      <c r="G188" s="17"/>
      <c r="H188" s="5"/>
      <c r="I188" s="4"/>
    </row>
    <row r="189" spans="1:9">
      <c r="A189" s="4"/>
      <c r="B189" s="4"/>
      <c r="C189" s="16"/>
      <c r="D189" s="4"/>
      <c r="E189" s="4"/>
      <c r="F189" s="4"/>
      <c r="G189" s="17"/>
      <c r="H189" s="5"/>
      <c r="I189" s="4"/>
    </row>
    <row r="190" spans="1:9">
      <c r="A190" s="4"/>
      <c r="B190" s="4"/>
      <c r="C190" s="16"/>
      <c r="D190" s="4"/>
      <c r="E190" s="4"/>
      <c r="F190" s="4"/>
      <c r="G190" s="17"/>
      <c r="H190" s="5"/>
      <c r="I190" s="4"/>
    </row>
    <row r="191" spans="1:9">
      <c r="A191" s="4"/>
      <c r="B191" s="4"/>
      <c r="C191" s="16"/>
      <c r="D191" s="4"/>
      <c r="E191" s="4"/>
      <c r="F191" s="4"/>
      <c r="G191" s="17"/>
      <c r="H191" s="5"/>
      <c r="I191" s="4"/>
    </row>
    <row r="192" spans="1:9">
      <c r="A192" s="4"/>
      <c r="B192" s="4"/>
      <c r="C192" s="16"/>
      <c r="D192" s="4"/>
      <c r="E192" s="4"/>
      <c r="F192" s="4"/>
      <c r="G192" s="17"/>
      <c r="H192" s="5"/>
      <c r="I192" s="4"/>
    </row>
    <row r="193" spans="1:9">
      <c r="A193" s="4"/>
      <c r="B193" s="4"/>
      <c r="C193" s="16"/>
      <c r="D193" s="4"/>
      <c r="E193" s="4"/>
      <c r="F193" s="4"/>
      <c r="G193" s="17"/>
      <c r="H193" s="5"/>
      <c r="I193" s="4"/>
    </row>
    <row r="194" spans="1:9">
      <c r="A194" s="4"/>
      <c r="B194" s="4"/>
      <c r="C194" s="16"/>
      <c r="D194" s="4"/>
      <c r="E194" s="4"/>
      <c r="F194" s="4"/>
      <c r="G194" s="17"/>
      <c r="H194" s="5"/>
      <c r="I194" s="4"/>
    </row>
    <row r="195" spans="1:9">
      <c r="A195" s="6"/>
      <c r="B195" s="4"/>
      <c r="C195" s="16"/>
      <c r="D195" s="4"/>
      <c r="E195" s="4"/>
      <c r="F195" s="4"/>
      <c r="G195" s="17"/>
      <c r="H195" s="5"/>
      <c r="I195" s="4"/>
    </row>
    <row r="196" spans="1:9">
      <c r="A196" s="6"/>
      <c r="B196" s="4"/>
      <c r="C196" s="16"/>
      <c r="D196" s="4"/>
      <c r="E196" s="4"/>
      <c r="F196" s="4"/>
      <c r="G196" s="17"/>
      <c r="H196" s="5"/>
      <c r="I196" s="4"/>
    </row>
  </sheetData>
  <mergeCells count="1">
    <mergeCell ref="K26:L26"/>
  </mergeCells>
  <pageMargins left="0.7" right="0.7" top="0.75" bottom="0.75" header="0.3" footer="0.3"/>
  <pageSetup scale="53" fitToHeight="2" pageOrder="overThenDown" orientation="portrait" r:id="rId1"/>
  <headerFooter>
    <oddFooter>&amp;L&amp;F - &amp;A&amp;C&amp;D&amp;R&amp;P of &amp;N</oddFooter>
  </headerFooter>
  <rowBreaks count="2" manualBreakCount="2">
    <brk id="110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6703-FD7C-4B31-9ED6-FA528AD5DB60}">
  <sheetPr>
    <tabColor theme="8" tint="0.59999389629810485"/>
    <pageSetUpPr fitToPage="1"/>
  </sheetPr>
  <dimension ref="A1:BE169"/>
  <sheetViews>
    <sheetView showGridLines="0" tabSelected="1" view="pageBreakPreview" zoomScale="60" zoomScaleNormal="100" workbookViewId="0">
      <pane xSplit="5" ySplit="5" topLeftCell="AN7" activePane="bottomRight" state="frozen"/>
      <selection activeCell="B161" sqref="B161"/>
      <selection pane="topRight" activeCell="B161" sqref="B161"/>
      <selection pane="bottomLeft" activeCell="B161" sqref="B161"/>
      <selection pane="bottomRight" activeCell="B161" sqref="B161"/>
    </sheetView>
  </sheetViews>
  <sheetFormatPr defaultColWidth="10.33203125" defaultRowHeight="14.4" outlineLevelRow="1" outlineLevelCol="1"/>
  <cols>
    <col min="1" max="1" width="26.6640625" style="23" hidden="1" customWidth="1" outlineLevel="1"/>
    <col min="2" max="2" width="29.109375" style="23" customWidth="1" collapsed="1"/>
    <col min="3" max="3" width="32.109375" style="23" bestFit="1" customWidth="1"/>
    <col min="4" max="4" width="18.5546875" style="23" customWidth="1"/>
    <col min="5" max="5" width="15.6640625" style="23" customWidth="1"/>
    <col min="6" max="6" width="14.44140625" style="23" hidden="1" customWidth="1" outlineLevel="1"/>
    <col min="7" max="7" width="12.33203125" style="23" hidden="1" customWidth="1" outlineLevel="1"/>
    <col min="8" max="8" width="11.88671875" style="23" hidden="1" customWidth="1" outlineLevel="1"/>
    <col min="9" max="9" width="12.33203125" style="23" hidden="1" customWidth="1" outlineLevel="1"/>
    <col min="10" max="10" width="11.88671875" style="23" hidden="1" customWidth="1" outlineLevel="1"/>
    <col min="11" max="11" width="12.6640625" style="23" hidden="1" customWidth="1" outlineLevel="1"/>
    <col min="12" max="12" width="12.33203125" style="23" hidden="1" customWidth="1" outlineLevel="1"/>
    <col min="13" max="14" width="12.6640625" style="23" hidden="1" customWidth="1" outlineLevel="1"/>
    <col min="15" max="15" width="12.33203125" style="23" hidden="1" customWidth="1" outlineLevel="1"/>
    <col min="16" max="17" width="12.6640625" style="23" hidden="1" customWidth="1" outlineLevel="1"/>
    <col min="18" max="18" width="12.33203125" style="23" hidden="1" customWidth="1" outlineLevel="1"/>
    <col min="19" max="19" width="15" style="23" customWidth="1" collapsed="1"/>
    <col min="20" max="20" width="5.88671875" style="25" customWidth="1"/>
    <col min="21" max="21" width="9.6640625" style="25" hidden="1" customWidth="1" outlineLevel="1"/>
    <col min="22" max="22" width="10.44140625" style="25" hidden="1" customWidth="1" outlineLevel="1"/>
    <col min="23" max="23" width="10.109375" style="25" hidden="1" customWidth="1" outlineLevel="1"/>
    <col min="24" max="24" width="9.88671875" style="25" hidden="1" customWidth="1" outlineLevel="1"/>
    <col min="25" max="25" width="9.6640625" style="25" hidden="1" customWidth="1" outlineLevel="1"/>
    <col min="26" max="26" width="10.44140625" style="25" hidden="1" customWidth="1" outlineLevel="1"/>
    <col min="27" max="27" width="10.109375" style="25" hidden="1" customWidth="1" outlineLevel="1"/>
    <col min="28" max="32" width="10.6640625" style="23" hidden="1" customWidth="1" outlineLevel="1"/>
    <col min="33" max="33" width="15.88671875" style="23" hidden="1" customWidth="1" outlineLevel="1" collapsed="1"/>
    <col min="34" max="34" width="19.6640625" style="23" bestFit="1" customWidth="1" collapsed="1"/>
    <col min="35" max="35" width="14.33203125" style="23" customWidth="1"/>
    <col min="36" max="39" width="14.33203125" style="26" hidden="1" customWidth="1" outlineLevel="1"/>
    <col min="40" max="40" width="21.88671875" style="27" customWidth="1" collapsed="1"/>
    <col min="41" max="41" width="10.33203125" style="23" customWidth="1"/>
    <col min="42" max="42" width="11.109375" style="23" bestFit="1" customWidth="1"/>
    <col min="43" max="43" width="11.109375" style="23" customWidth="1"/>
    <col min="44" max="44" width="10.33203125" style="23"/>
    <col min="45" max="45" width="17.33203125" style="23" bestFit="1" customWidth="1"/>
    <col min="46" max="46" width="10.33203125" style="23"/>
    <col min="47" max="47" width="18.44140625" style="23" bestFit="1" customWidth="1"/>
    <col min="48" max="48" width="14.5546875" style="23" customWidth="1"/>
    <col min="49" max="49" width="14.6640625" style="23" bestFit="1" customWidth="1"/>
    <col min="50" max="54" width="10.33203125" style="23"/>
    <col min="55" max="55" width="10.33203125" style="296"/>
    <col min="56" max="56" width="12.6640625" style="296" bestFit="1" customWidth="1"/>
    <col min="57" max="57" width="10.33203125" style="296"/>
    <col min="58" max="16384" width="10.33203125" style="23"/>
  </cols>
  <sheetData>
    <row r="1" spans="1:56" ht="27.6">
      <c r="B1" s="24" t="s">
        <v>120</v>
      </c>
      <c r="C1" s="24"/>
      <c r="D1" s="24"/>
      <c r="AP1" s="28"/>
      <c r="AQ1" s="28"/>
      <c r="AR1" s="29" t="s">
        <v>121</v>
      </c>
      <c r="AS1" s="29" t="s">
        <v>122</v>
      </c>
      <c r="AT1" s="29" t="s">
        <v>123</v>
      </c>
      <c r="AU1" s="29" t="s">
        <v>124</v>
      </c>
      <c r="AV1" s="29" t="s">
        <v>125</v>
      </c>
      <c r="AW1" s="29" t="s">
        <v>126</v>
      </c>
      <c r="BC1" s="296" t="s">
        <v>492</v>
      </c>
    </row>
    <row r="2" spans="1:56">
      <c r="B2" s="24" t="s">
        <v>127</v>
      </c>
      <c r="C2" s="24"/>
      <c r="D2" s="24"/>
      <c r="S2" s="30"/>
      <c r="AA2" s="31" t="s">
        <v>128</v>
      </c>
      <c r="AB2" s="32">
        <v>12</v>
      </c>
      <c r="AD2" s="33"/>
      <c r="AE2" s="33"/>
      <c r="AF2" s="33"/>
      <c r="AG2" s="33"/>
      <c r="AH2" s="33"/>
      <c r="AP2" s="34" t="s">
        <v>2</v>
      </c>
      <c r="AQ2" s="34"/>
      <c r="AR2" s="35">
        <f ca="1">+'LG BRG - Vashon MSW'!K22</f>
        <v>0.11420026733274335</v>
      </c>
      <c r="AS2" s="36">
        <v>3.5000000000000001E-3</v>
      </c>
      <c r="AT2" s="37">
        <f ca="1">+AR2+AS2</f>
        <v>0.11770026733274336</v>
      </c>
      <c r="AU2" s="38">
        <f ca="1">+AS158</f>
        <v>126748.0917100216</v>
      </c>
      <c r="AV2" s="39">
        <f ca="1">+'LG BRG - Vashon MSW'!J7</f>
        <v>121842.34470476373</v>
      </c>
      <c r="AW2" s="40">
        <f ca="1">AU2-AV2</f>
        <v>4905.7470052578719</v>
      </c>
      <c r="AX2" s="41" t="s">
        <v>129</v>
      </c>
      <c r="BC2" s="296" t="s">
        <v>493</v>
      </c>
      <c r="BD2" s="298">
        <f ca="1">+'Vashon Rate Sheet'!H5</f>
        <v>3.8134445918452525E-3</v>
      </c>
    </row>
    <row r="3" spans="1:56">
      <c r="B3" s="24" t="s">
        <v>489</v>
      </c>
      <c r="C3" s="24"/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</v>
      </c>
      <c r="O3" s="23">
        <v>2</v>
      </c>
      <c r="P3" s="23">
        <v>3</v>
      </c>
      <c r="Q3" s="23">
        <v>4</v>
      </c>
      <c r="R3" s="23">
        <v>5</v>
      </c>
      <c r="AP3" s="34" t="s">
        <v>130</v>
      </c>
      <c r="AQ3" s="34"/>
      <c r="AR3" s="35">
        <f ca="1">+'LG BRG -Vashon Recycle'!K22</f>
        <v>-3.6553430728963554E-2</v>
      </c>
      <c r="AS3" s="36">
        <v>4.0000000000000001E-3</v>
      </c>
      <c r="AT3" s="37">
        <f ca="1">+AR3+AS3</f>
        <v>-3.2553430728963551E-2</v>
      </c>
      <c r="AU3" s="38">
        <f ca="1">+AS159</f>
        <v>-8363.792468779111</v>
      </c>
      <c r="AV3" s="39">
        <f ca="1">+'LG BRG -Vashon Recycle'!J7</f>
        <v>-9095.1878782478452</v>
      </c>
      <c r="AW3" s="40">
        <f ca="1">AU3-AV3</f>
        <v>731.39540946873421</v>
      </c>
      <c r="AX3" s="41" t="s">
        <v>129</v>
      </c>
      <c r="BC3" s="296" t="s">
        <v>130</v>
      </c>
      <c r="BD3" s="298">
        <f ca="1">+'Vashon Rate Sheet'!H6</f>
        <v>3.8327823723487979E-3</v>
      </c>
    </row>
    <row r="4" spans="1:56">
      <c r="A4" s="23" t="s">
        <v>120</v>
      </c>
      <c r="C4" s="42"/>
      <c r="D4" s="42"/>
      <c r="G4" s="286" t="s">
        <v>131</v>
      </c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43"/>
      <c r="U4" s="286" t="s">
        <v>132</v>
      </c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J4" s="288" t="s">
        <v>133</v>
      </c>
      <c r="AK4" s="288"/>
      <c r="AL4" s="288"/>
      <c r="AM4" s="288"/>
      <c r="AN4" s="288"/>
    </row>
    <row r="5" spans="1:56" ht="46.5" customHeight="1">
      <c r="B5" s="45" t="s">
        <v>134</v>
      </c>
      <c r="C5" s="42" t="s">
        <v>135</v>
      </c>
      <c r="D5" s="42" t="s">
        <v>136</v>
      </c>
      <c r="E5" s="42" t="s">
        <v>137</v>
      </c>
      <c r="F5" s="42"/>
      <c r="G5" s="46">
        <v>44348</v>
      </c>
      <c r="H5" s="46">
        <v>44378</v>
      </c>
      <c r="I5" s="46">
        <v>44409</v>
      </c>
      <c r="J5" s="46">
        <v>44440</v>
      </c>
      <c r="K5" s="46">
        <v>44470</v>
      </c>
      <c r="L5" s="46">
        <v>44501</v>
      </c>
      <c r="M5" s="46">
        <v>44531</v>
      </c>
      <c r="N5" s="46">
        <v>44562</v>
      </c>
      <c r="O5" s="46">
        <v>44593</v>
      </c>
      <c r="P5" s="46">
        <v>44624</v>
      </c>
      <c r="Q5" s="46">
        <v>44655</v>
      </c>
      <c r="R5" s="46">
        <v>44686</v>
      </c>
      <c r="S5" s="46" t="s">
        <v>138</v>
      </c>
      <c r="U5" s="46">
        <f t="shared" ref="U5:AA5" si="0">+G5</f>
        <v>44348</v>
      </c>
      <c r="V5" s="46">
        <f t="shared" si="0"/>
        <v>44378</v>
      </c>
      <c r="W5" s="46">
        <f t="shared" si="0"/>
        <v>44409</v>
      </c>
      <c r="X5" s="46">
        <f t="shared" si="0"/>
        <v>44440</v>
      </c>
      <c r="Y5" s="46">
        <f t="shared" si="0"/>
        <v>44470</v>
      </c>
      <c r="Z5" s="46">
        <f t="shared" si="0"/>
        <v>44501</v>
      </c>
      <c r="AA5" s="46">
        <f t="shared" si="0"/>
        <v>44531</v>
      </c>
      <c r="AB5" s="46">
        <f>+N5</f>
        <v>44562</v>
      </c>
      <c r="AC5" s="46">
        <f>+O5</f>
        <v>44593</v>
      </c>
      <c r="AD5" s="46">
        <f>+P5</f>
        <v>44624</v>
      </c>
      <c r="AE5" s="46">
        <f>+Q5</f>
        <v>44655</v>
      </c>
      <c r="AF5" s="46">
        <f>+R5</f>
        <v>44686</v>
      </c>
      <c r="AG5" s="46" t="s">
        <v>139</v>
      </c>
      <c r="AH5" s="46" t="s">
        <v>140</v>
      </c>
      <c r="AJ5" s="47" t="s">
        <v>141</v>
      </c>
      <c r="AK5" s="47" t="s">
        <v>142</v>
      </c>
      <c r="AL5" s="47" t="s">
        <v>143</v>
      </c>
      <c r="AM5" s="47" t="s">
        <v>144</v>
      </c>
      <c r="AN5" s="44" t="s">
        <v>145</v>
      </c>
      <c r="AQ5" s="48" t="s">
        <v>3</v>
      </c>
      <c r="AR5" s="49" t="s">
        <v>146</v>
      </c>
      <c r="AS5" s="49" t="s">
        <v>147</v>
      </c>
      <c r="AT5" s="49" t="s">
        <v>148</v>
      </c>
      <c r="AU5" s="49" t="s">
        <v>149</v>
      </c>
      <c r="BC5" s="299" t="s">
        <v>494</v>
      </c>
      <c r="BD5" s="299" t="s">
        <v>149</v>
      </c>
    </row>
    <row r="7" spans="1:56" outlineLevel="1">
      <c r="B7" s="50" t="s">
        <v>150</v>
      </c>
      <c r="C7" s="51"/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56" outlineLevel="1">
      <c r="B8" s="50"/>
      <c r="C8" s="5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56" outlineLevel="1">
      <c r="A9" s="23" t="s">
        <v>151</v>
      </c>
      <c r="B9" s="53" t="s">
        <v>152</v>
      </c>
      <c r="C9" s="5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BC9" s="300"/>
      <c r="BD9" s="300"/>
    </row>
    <row r="10" spans="1:56" outlineLevel="1">
      <c r="A10" s="23" t="str">
        <f t="shared" ref="A10:A33" si="1">+$A$4&amp;$A$9&amp;B10</f>
        <v>VashonResidential20RW1</v>
      </c>
      <c r="B10" s="23" t="s">
        <v>153</v>
      </c>
      <c r="C10" s="23" t="s">
        <v>154</v>
      </c>
      <c r="D10" s="54">
        <v>13.4</v>
      </c>
      <c r="E10" s="54">
        <v>13.8</v>
      </c>
      <c r="F10" s="55"/>
      <c r="G10" s="56">
        <v>2428.75</v>
      </c>
      <c r="H10" s="56">
        <v>2432.1</v>
      </c>
      <c r="I10" s="56">
        <v>2447.1750000000002</v>
      </c>
      <c r="J10" s="56">
        <v>2479.0000000000005</v>
      </c>
      <c r="K10" s="56">
        <v>2378.5</v>
      </c>
      <c r="L10" s="56">
        <v>2475.65</v>
      </c>
      <c r="M10" s="56">
        <v>2502.3250000000003</v>
      </c>
      <c r="N10" s="57">
        <v>2496.4499999999998</v>
      </c>
      <c r="O10" s="57">
        <v>2592.6750000000002</v>
      </c>
      <c r="P10" s="57">
        <v>2647.875</v>
      </c>
      <c r="Q10" s="57">
        <v>2601.3000000000002</v>
      </c>
      <c r="R10" s="57">
        <v>2617.3650000000002</v>
      </c>
      <c r="S10" s="57">
        <v>30099.165000000001</v>
      </c>
      <c r="U10" s="58">
        <f t="shared" ref="U10:AA33" si="2">+IFERROR(G10/$D10,0)</f>
        <v>181.25</v>
      </c>
      <c r="V10" s="58">
        <f t="shared" si="2"/>
        <v>181.5</v>
      </c>
      <c r="W10" s="58">
        <f t="shared" si="2"/>
        <v>182.625</v>
      </c>
      <c r="X10" s="58">
        <f t="shared" si="2"/>
        <v>185.00000000000003</v>
      </c>
      <c r="Y10" s="58">
        <f t="shared" si="2"/>
        <v>177.5</v>
      </c>
      <c r="Z10" s="58">
        <f t="shared" si="2"/>
        <v>184.75</v>
      </c>
      <c r="AA10" s="58">
        <f t="shared" si="2"/>
        <v>186.74067164179107</v>
      </c>
      <c r="AB10" s="58">
        <f t="shared" ref="AB10:AF25" si="3">+IFERROR(N10/$E10,0)</f>
        <v>180.90217391304347</v>
      </c>
      <c r="AC10" s="58">
        <f t="shared" si="3"/>
        <v>187.875</v>
      </c>
      <c r="AD10" s="58">
        <f t="shared" si="3"/>
        <v>191.875</v>
      </c>
      <c r="AE10" s="58">
        <f t="shared" si="3"/>
        <v>188.5</v>
      </c>
      <c r="AF10" s="58">
        <f t="shared" si="3"/>
        <v>189.66413043478261</v>
      </c>
      <c r="AG10" s="58">
        <f t="shared" ref="AG10" si="4">SUM(U10:AF10)</f>
        <v>2218.1819759896171</v>
      </c>
      <c r="AH10" s="58">
        <f t="shared" ref="AH10" si="5">+SUM(U10:AF10)/$AB$2</f>
        <v>184.84849799913476</v>
      </c>
      <c r="AN10" s="27">
        <f t="shared" ref="AN10:AN34" si="6">AM10*AH10</f>
        <v>0</v>
      </c>
      <c r="AQ10" s="59">
        <v>14.24</v>
      </c>
      <c r="AR10" s="60">
        <f ca="1">+$AT$2*AQ10</f>
        <v>1.6760518068182655</v>
      </c>
      <c r="AS10" s="60">
        <f ca="1">+AH10*AR10*12</f>
        <v>3717.7879087091083</v>
      </c>
      <c r="AT10" s="60">
        <f ca="1">+AR10+AQ10</f>
        <v>15.916051806818265</v>
      </c>
      <c r="AU10" s="60">
        <f ca="1">+AS10+S10</f>
        <v>33816.952908709107</v>
      </c>
      <c r="AV10" s="61"/>
      <c r="AW10" s="61"/>
      <c r="BC10" s="300">
        <f ca="1">AU10*BD$2</f>
        <v>128.95907618240233</v>
      </c>
      <c r="BD10" s="300">
        <f ca="1">+AU10+BC10</f>
        <v>33945.911984891507</v>
      </c>
    </row>
    <row r="11" spans="1:56" outlineLevel="1">
      <c r="A11" s="23" t="str">
        <f t="shared" si="1"/>
        <v>VashonResidential20RW1R</v>
      </c>
      <c r="B11" s="23" t="s">
        <v>155</v>
      </c>
      <c r="C11" s="41" t="s">
        <v>156</v>
      </c>
      <c r="D11" s="54">
        <v>13.4</v>
      </c>
      <c r="E11" s="54">
        <v>13.8</v>
      </c>
      <c r="F11" s="55"/>
      <c r="G11" s="56">
        <v>0</v>
      </c>
      <c r="H11" s="56">
        <v>-26.8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-26.8</v>
      </c>
      <c r="U11" s="58">
        <f t="shared" si="2"/>
        <v>0</v>
      </c>
      <c r="V11" s="58">
        <f t="shared" si="2"/>
        <v>-2</v>
      </c>
      <c r="W11" s="58">
        <f t="shared" si="2"/>
        <v>0</v>
      </c>
      <c r="X11" s="58">
        <f t="shared" si="2"/>
        <v>0</v>
      </c>
      <c r="Y11" s="58">
        <f t="shared" si="2"/>
        <v>0</v>
      </c>
      <c r="Z11" s="58">
        <f t="shared" si="2"/>
        <v>0</v>
      </c>
      <c r="AA11" s="58">
        <f t="shared" si="2"/>
        <v>0</v>
      </c>
      <c r="AB11" s="58">
        <f t="shared" si="3"/>
        <v>0</v>
      </c>
      <c r="AC11" s="58">
        <f t="shared" si="3"/>
        <v>0</v>
      </c>
      <c r="AD11" s="58">
        <f t="shared" si="3"/>
        <v>0</v>
      </c>
      <c r="AE11" s="58">
        <f t="shared" si="3"/>
        <v>0</v>
      </c>
      <c r="AF11" s="58">
        <f t="shared" si="3"/>
        <v>0</v>
      </c>
      <c r="AG11" s="58">
        <f t="shared" ref="AG11:AG33" si="7">SUM(U11:AF11)</f>
        <v>-2</v>
      </c>
      <c r="AH11" s="58">
        <f t="shared" ref="AH11:AH33" si="8">+SUM(U11:AF11)/$AB$2</f>
        <v>-0.16666666666666666</v>
      </c>
      <c r="AN11" s="27">
        <f t="shared" si="6"/>
        <v>0</v>
      </c>
      <c r="AQ11" s="59">
        <v>14.24</v>
      </c>
      <c r="AR11" s="60">
        <f t="shared" ref="AR11:AR33" ca="1" si="9">+$AT$2*AQ11</f>
        <v>1.6760518068182655</v>
      </c>
      <c r="AS11" s="60">
        <f t="shared" ref="AS11:AS34" ca="1" si="10">+AH11*AR11*12</f>
        <v>-3.3521036136365305</v>
      </c>
      <c r="AT11" s="60">
        <f t="shared" ref="AT11:AT33" ca="1" si="11">+AR11+AQ11</f>
        <v>15.916051806818265</v>
      </c>
      <c r="AU11" s="60">
        <f t="shared" ref="AU11:AU34" ca="1" si="12">+AS11+S11</f>
        <v>-30.15210361363653</v>
      </c>
      <c r="AV11" s="61"/>
      <c r="AW11" s="61"/>
      <c r="BC11" s="300">
        <f t="shared" ref="BC11:BC33" ca="1" si="13">AU11*BD$2</f>
        <v>-0.11498337645817992</v>
      </c>
      <c r="BD11" s="300">
        <f t="shared" ref="BD11:BD33" ca="1" si="14">+AU11+BC11</f>
        <v>-30.267086990094711</v>
      </c>
    </row>
    <row r="12" spans="1:56" outlineLevel="1">
      <c r="A12" s="23" t="str">
        <f t="shared" si="1"/>
        <v>VashonResidential32RE1</v>
      </c>
      <c r="B12" s="23" t="s">
        <v>157</v>
      </c>
      <c r="C12" s="23" t="s">
        <v>158</v>
      </c>
      <c r="D12" s="54">
        <v>14.92</v>
      </c>
      <c r="E12" s="54">
        <v>15.26</v>
      </c>
      <c r="F12" s="55"/>
      <c r="G12" s="56">
        <v>4427.51</v>
      </c>
      <c r="H12" s="56">
        <v>4449.8899999999994</v>
      </c>
      <c r="I12" s="56">
        <v>4542.8649999999998</v>
      </c>
      <c r="J12" s="56">
        <v>4527.9449999999988</v>
      </c>
      <c r="K12" s="56">
        <v>4439.5749999999998</v>
      </c>
      <c r="L12" s="56">
        <v>4574.8450000000003</v>
      </c>
      <c r="M12" s="56">
        <v>4589.97</v>
      </c>
      <c r="N12" s="57">
        <v>4669.17</v>
      </c>
      <c r="O12" s="57">
        <v>4712.9449999999997</v>
      </c>
      <c r="P12" s="57">
        <v>4738.2249999999995</v>
      </c>
      <c r="Q12" s="57">
        <v>4719.1549999999997</v>
      </c>
      <c r="R12" s="57">
        <v>4718.3549999999996</v>
      </c>
      <c r="S12" s="57">
        <v>55110.45</v>
      </c>
      <c r="U12" s="58">
        <f t="shared" si="2"/>
        <v>296.75</v>
      </c>
      <c r="V12" s="58">
        <f t="shared" si="2"/>
        <v>298.24999999999994</v>
      </c>
      <c r="W12" s="58">
        <f t="shared" si="2"/>
        <v>304.48156836461123</v>
      </c>
      <c r="X12" s="58">
        <f t="shared" si="2"/>
        <v>303.48156836461118</v>
      </c>
      <c r="Y12" s="58">
        <f t="shared" si="2"/>
        <v>297.55864611260051</v>
      </c>
      <c r="Z12" s="58">
        <f t="shared" si="2"/>
        <v>306.625</v>
      </c>
      <c r="AA12" s="58">
        <f t="shared" si="2"/>
        <v>307.63873994638072</v>
      </c>
      <c r="AB12" s="58">
        <f t="shared" si="3"/>
        <v>305.97444298820449</v>
      </c>
      <c r="AC12" s="58">
        <f t="shared" si="3"/>
        <v>308.84305373525558</v>
      </c>
      <c r="AD12" s="58">
        <f t="shared" si="3"/>
        <v>310.49967234600257</v>
      </c>
      <c r="AE12" s="58">
        <f t="shared" si="3"/>
        <v>309.25</v>
      </c>
      <c r="AF12" s="58">
        <f t="shared" si="3"/>
        <v>309.19757536041936</v>
      </c>
      <c r="AG12" s="58">
        <f t="shared" si="7"/>
        <v>3658.5502672180855</v>
      </c>
      <c r="AH12" s="58">
        <f t="shared" si="8"/>
        <v>304.87918893484044</v>
      </c>
      <c r="AN12" s="27">
        <f t="shared" si="6"/>
        <v>0</v>
      </c>
      <c r="AQ12" s="59">
        <v>15.64</v>
      </c>
      <c r="AR12" s="60">
        <f t="shared" ca="1" si="9"/>
        <v>1.8408321810841062</v>
      </c>
      <c r="AS12" s="60">
        <f t="shared" ca="1" si="10"/>
        <v>6734.7770680089079</v>
      </c>
      <c r="AT12" s="60">
        <f t="shared" ca="1" si="11"/>
        <v>17.480832181084107</v>
      </c>
      <c r="AU12" s="60">
        <f t="shared" ca="1" si="12"/>
        <v>61845.227068008906</v>
      </c>
      <c r="AV12" s="61"/>
      <c r="AW12" s="61"/>
      <c r="BC12" s="300">
        <f t="shared" ca="1" si="13"/>
        <v>235.84334669394019</v>
      </c>
      <c r="BD12" s="300">
        <f t="shared" ca="1" si="14"/>
        <v>62081.070414702845</v>
      </c>
    </row>
    <row r="13" spans="1:56" outlineLevel="1">
      <c r="A13" s="23" t="str">
        <f t="shared" si="1"/>
        <v>VashonResidential32RM1</v>
      </c>
      <c r="B13" s="23" t="s">
        <v>159</v>
      </c>
      <c r="C13" s="23" t="s">
        <v>160</v>
      </c>
      <c r="D13" s="54">
        <v>6.03</v>
      </c>
      <c r="E13" s="54">
        <v>6.19</v>
      </c>
      <c r="F13" s="55"/>
      <c r="G13" s="56">
        <v>744.70500000000004</v>
      </c>
      <c r="H13" s="56">
        <v>756.76499999999999</v>
      </c>
      <c r="I13" s="56">
        <v>744.70499999999993</v>
      </c>
      <c r="J13" s="56">
        <v>743.19</v>
      </c>
      <c r="K13" s="56">
        <v>732.64499999999998</v>
      </c>
      <c r="L13" s="56">
        <v>744.70499999999993</v>
      </c>
      <c r="M13" s="56">
        <v>742.005</v>
      </c>
      <c r="N13" s="57">
        <v>752.17</v>
      </c>
      <c r="O13" s="57">
        <v>764.46500000000003</v>
      </c>
      <c r="P13" s="57">
        <v>789.22500000000014</v>
      </c>
      <c r="Q13" s="57">
        <v>795.41500000000008</v>
      </c>
      <c r="R13" s="57">
        <v>801.39499999999998</v>
      </c>
      <c r="S13" s="57">
        <v>9111.3900000000012</v>
      </c>
      <c r="U13" s="58">
        <f t="shared" si="2"/>
        <v>123.5</v>
      </c>
      <c r="V13" s="58">
        <f t="shared" si="2"/>
        <v>125.49999999999999</v>
      </c>
      <c r="W13" s="58">
        <f t="shared" si="2"/>
        <v>123.49999999999999</v>
      </c>
      <c r="X13" s="58">
        <f t="shared" si="2"/>
        <v>123.24875621890547</v>
      </c>
      <c r="Y13" s="58">
        <f t="shared" si="2"/>
        <v>121.49999999999999</v>
      </c>
      <c r="Z13" s="58">
        <f t="shared" si="2"/>
        <v>123.49999999999999</v>
      </c>
      <c r="AA13" s="58">
        <f t="shared" si="2"/>
        <v>123.05223880597015</v>
      </c>
      <c r="AB13" s="58">
        <f t="shared" si="3"/>
        <v>121.51373182552503</v>
      </c>
      <c r="AC13" s="58">
        <f t="shared" si="3"/>
        <v>123.5</v>
      </c>
      <c r="AD13" s="58">
        <f t="shared" si="3"/>
        <v>127.50000000000001</v>
      </c>
      <c r="AE13" s="58">
        <f t="shared" si="3"/>
        <v>128.5</v>
      </c>
      <c r="AF13" s="58">
        <f t="shared" si="3"/>
        <v>129.46607431340871</v>
      </c>
      <c r="AG13" s="58">
        <f t="shared" si="7"/>
        <v>1494.2808011638094</v>
      </c>
      <c r="AH13" s="58">
        <f t="shared" si="8"/>
        <v>124.52340009698412</v>
      </c>
      <c r="AN13" s="27">
        <f t="shared" si="6"/>
        <v>0</v>
      </c>
      <c r="AQ13" s="59">
        <v>6.36</v>
      </c>
      <c r="AR13" s="60">
        <f t="shared" ca="1" si="9"/>
        <v>0.74857370023624781</v>
      </c>
      <c r="AS13" s="60">
        <f t="shared" ca="1" si="10"/>
        <v>1118.5793085191776</v>
      </c>
      <c r="AT13" s="60">
        <f t="shared" ca="1" si="11"/>
        <v>7.1085737002362483</v>
      </c>
      <c r="AU13" s="60">
        <f t="shared" ca="1" si="12"/>
        <v>10229.969308519179</v>
      </c>
      <c r="AV13" s="61"/>
      <c r="AW13" s="61"/>
      <c r="BC13" s="300">
        <f t="shared" ca="1" si="13"/>
        <v>39.011421134315384</v>
      </c>
      <c r="BD13" s="300">
        <f t="shared" ca="1" si="14"/>
        <v>10268.980729653495</v>
      </c>
    </row>
    <row r="14" spans="1:56" outlineLevel="1">
      <c r="A14" s="23" t="str">
        <f t="shared" si="1"/>
        <v>VashonResidential32ROCPU</v>
      </c>
      <c r="B14" s="23" t="s">
        <v>161</v>
      </c>
      <c r="C14" s="23" t="s">
        <v>162</v>
      </c>
      <c r="D14" s="54">
        <v>6.13</v>
      </c>
      <c r="E14" s="54">
        <v>6.29</v>
      </c>
      <c r="F14" s="55"/>
      <c r="G14" s="56">
        <v>24.52</v>
      </c>
      <c r="H14" s="56">
        <v>0</v>
      </c>
      <c r="I14" s="56">
        <v>0</v>
      </c>
      <c r="J14" s="56">
        <v>6.13</v>
      </c>
      <c r="K14" s="56">
        <v>0</v>
      </c>
      <c r="L14" s="56">
        <v>12.26</v>
      </c>
      <c r="M14" s="56">
        <v>0</v>
      </c>
      <c r="N14" s="57">
        <v>12.26</v>
      </c>
      <c r="O14" s="57">
        <v>18.39</v>
      </c>
      <c r="P14" s="57">
        <v>6.29</v>
      </c>
      <c r="Q14" s="57">
        <v>6.13</v>
      </c>
      <c r="R14" s="57">
        <v>12.26</v>
      </c>
      <c r="S14" s="57">
        <v>98.240000000000009</v>
      </c>
      <c r="U14" s="58">
        <f t="shared" si="2"/>
        <v>4</v>
      </c>
      <c r="V14" s="58">
        <f t="shared" si="2"/>
        <v>0</v>
      </c>
      <c r="W14" s="58">
        <f t="shared" si="2"/>
        <v>0</v>
      </c>
      <c r="X14" s="58">
        <f t="shared" si="2"/>
        <v>1</v>
      </c>
      <c r="Y14" s="58">
        <f t="shared" si="2"/>
        <v>0</v>
      </c>
      <c r="Z14" s="58">
        <f t="shared" si="2"/>
        <v>2</v>
      </c>
      <c r="AA14" s="58">
        <f t="shared" si="2"/>
        <v>0</v>
      </c>
      <c r="AB14" s="58">
        <f t="shared" si="3"/>
        <v>1.9491255961844196</v>
      </c>
      <c r="AC14" s="58">
        <f t="shared" si="3"/>
        <v>2.9236883942766299</v>
      </c>
      <c r="AD14" s="58">
        <f t="shared" si="3"/>
        <v>1</v>
      </c>
      <c r="AE14" s="58">
        <f t="shared" si="3"/>
        <v>0.9745627980922098</v>
      </c>
      <c r="AF14" s="58">
        <f t="shared" si="3"/>
        <v>1.9491255961844196</v>
      </c>
      <c r="AG14" s="58">
        <f t="shared" si="7"/>
        <v>15.796502384737678</v>
      </c>
      <c r="AH14" s="58">
        <f t="shared" si="8"/>
        <v>1.3163751987281398</v>
      </c>
      <c r="AN14" s="27">
        <f t="shared" si="6"/>
        <v>0</v>
      </c>
      <c r="AQ14" s="59">
        <v>6.46</v>
      </c>
      <c r="AR14" s="60">
        <f t="shared" ca="1" si="9"/>
        <v>0.76034372696952213</v>
      </c>
      <c r="AS14" s="60">
        <f t="shared" ca="1" si="10"/>
        <v>12.010771496294389</v>
      </c>
      <c r="AT14" s="60">
        <f t="shared" ca="1" si="11"/>
        <v>7.2203437269695225</v>
      </c>
      <c r="AU14" s="60">
        <f t="shared" ca="1" si="12"/>
        <v>110.25077149629439</v>
      </c>
      <c r="AV14" s="61"/>
      <c r="AW14" s="61"/>
      <c r="BC14" s="300">
        <f t="shared" ca="1" si="13"/>
        <v>0.42043520830931058</v>
      </c>
      <c r="BD14" s="300">
        <f t="shared" ca="1" si="14"/>
        <v>110.6712067046037</v>
      </c>
    </row>
    <row r="15" spans="1:56" outlineLevel="1">
      <c r="A15" s="23" t="str">
        <f t="shared" si="1"/>
        <v>VashonResidential32RW1</v>
      </c>
      <c r="B15" s="23" t="s">
        <v>163</v>
      </c>
      <c r="C15" s="23" t="s">
        <v>164</v>
      </c>
      <c r="D15" s="54">
        <v>18.97</v>
      </c>
      <c r="E15" s="54">
        <v>19.649999999999999</v>
      </c>
      <c r="F15" s="55"/>
      <c r="G15" s="56">
        <v>28653.185000000001</v>
      </c>
      <c r="H15" s="56">
        <v>29061.535</v>
      </c>
      <c r="I15" s="56">
        <v>29264.264999999999</v>
      </c>
      <c r="J15" s="56">
        <v>29689.81</v>
      </c>
      <c r="K15" s="56">
        <v>29271.62</v>
      </c>
      <c r="L15" s="56">
        <v>29063.975000000002</v>
      </c>
      <c r="M15" s="56">
        <v>28972.62</v>
      </c>
      <c r="N15" s="57">
        <v>29274.715</v>
      </c>
      <c r="O15" s="57">
        <v>29431.345000000001</v>
      </c>
      <c r="P15" s="57">
        <v>29954.420000000002</v>
      </c>
      <c r="Q15" s="57">
        <v>29636.17</v>
      </c>
      <c r="R15" s="57">
        <v>30003.814999999999</v>
      </c>
      <c r="S15" s="57">
        <v>352277.47499999998</v>
      </c>
      <c r="U15" s="58">
        <f t="shared" si="2"/>
        <v>1510.4472851871378</v>
      </c>
      <c r="V15" s="58">
        <f t="shared" si="2"/>
        <v>1531.9733790195046</v>
      </c>
      <c r="W15" s="58">
        <f t="shared" si="2"/>
        <v>1542.6602530311018</v>
      </c>
      <c r="X15" s="58">
        <f t="shared" si="2"/>
        <v>1565.0927780706379</v>
      </c>
      <c r="Y15" s="58">
        <f t="shared" si="2"/>
        <v>1543.0479704797049</v>
      </c>
      <c r="Z15" s="58">
        <f t="shared" si="2"/>
        <v>1532.1020031628889</v>
      </c>
      <c r="AA15" s="58">
        <f t="shared" si="2"/>
        <v>1527.2862414338429</v>
      </c>
      <c r="AB15" s="58">
        <f t="shared" si="3"/>
        <v>1489.8073791348602</v>
      </c>
      <c r="AC15" s="58">
        <f t="shared" si="3"/>
        <v>1497.7783715012724</v>
      </c>
      <c r="AD15" s="58">
        <f t="shared" si="3"/>
        <v>1524.3979643765906</v>
      </c>
      <c r="AE15" s="58">
        <f t="shared" si="3"/>
        <v>1508.2020356234098</v>
      </c>
      <c r="AF15" s="58">
        <f t="shared" si="3"/>
        <v>1526.9117048346056</v>
      </c>
      <c r="AG15" s="58">
        <f t="shared" si="7"/>
        <v>18299.707365855556</v>
      </c>
      <c r="AH15" s="58">
        <f t="shared" si="8"/>
        <v>1524.9756138212963</v>
      </c>
      <c r="AN15" s="27">
        <f t="shared" si="6"/>
        <v>0</v>
      </c>
      <c r="AQ15" s="59">
        <v>20.399999999999999</v>
      </c>
      <c r="AR15" s="60">
        <f t="shared" ca="1" si="9"/>
        <v>2.4010854535879642</v>
      </c>
      <c r="AS15" s="60">
        <f t="shared" ca="1" si="10"/>
        <v>43939.161161072298</v>
      </c>
      <c r="AT15" s="60">
        <f t="shared" ca="1" si="11"/>
        <v>22.801085453587962</v>
      </c>
      <c r="AU15" s="60">
        <f t="shared" ca="1" si="12"/>
        <v>396216.6361610723</v>
      </c>
      <c r="AV15" s="61"/>
      <c r="AW15" s="61"/>
      <c r="BC15" s="300">
        <f t="shared" ca="1" si="13"/>
        <v>1510.9501883675593</v>
      </c>
      <c r="BD15" s="300">
        <f t="shared" ca="1" si="14"/>
        <v>397727.58634943987</v>
      </c>
    </row>
    <row r="16" spans="1:56" outlineLevel="1">
      <c r="A16" s="23" t="str">
        <f t="shared" si="1"/>
        <v>VashonResidential32RW2</v>
      </c>
      <c r="B16" s="23" t="s">
        <v>165</v>
      </c>
      <c r="C16" s="23" t="s">
        <v>166</v>
      </c>
      <c r="D16" s="54">
        <v>26.55</v>
      </c>
      <c r="E16" s="54">
        <v>27.57</v>
      </c>
      <c r="F16" s="55"/>
      <c r="G16" s="56">
        <v>7699.4749999999995</v>
      </c>
      <c r="H16" s="56">
        <v>7961.6399999999994</v>
      </c>
      <c r="I16" s="56">
        <v>7951.7</v>
      </c>
      <c r="J16" s="56">
        <v>8101.07</v>
      </c>
      <c r="K16" s="56">
        <v>7741.53</v>
      </c>
      <c r="L16" s="56">
        <v>7915.9149999999991</v>
      </c>
      <c r="M16" s="56">
        <v>8013.8399999999992</v>
      </c>
      <c r="N16" s="57">
        <v>8040.085</v>
      </c>
      <c r="O16" s="57">
        <v>8164.1549999999997</v>
      </c>
      <c r="P16" s="57">
        <v>8140.0349999999989</v>
      </c>
      <c r="Q16" s="57">
        <v>8222.74</v>
      </c>
      <c r="R16" s="57">
        <v>8106.19</v>
      </c>
      <c r="S16" s="57">
        <v>96058.375000000015</v>
      </c>
      <c r="U16" s="58">
        <f t="shared" si="2"/>
        <v>289.99905838041428</v>
      </c>
      <c r="V16" s="58">
        <f t="shared" si="2"/>
        <v>299.87344632768361</v>
      </c>
      <c r="W16" s="58">
        <f t="shared" si="2"/>
        <v>299.49905838041428</v>
      </c>
      <c r="X16" s="58">
        <f t="shared" si="2"/>
        <v>305.12504708097924</v>
      </c>
      <c r="Y16" s="58">
        <f t="shared" si="2"/>
        <v>291.58305084745763</v>
      </c>
      <c r="Z16" s="58">
        <f t="shared" si="2"/>
        <v>298.15122410546132</v>
      </c>
      <c r="AA16" s="58">
        <f t="shared" si="2"/>
        <v>301.83954802259882</v>
      </c>
      <c r="AB16" s="58">
        <f t="shared" si="3"/>
        <v>291.62441059122233</v>
      </c>
      <c r="AC16" s="58">
        <f t="shared" si="3"/>
        <v>296.12459194776932</v>
      </c>
      <c r="AD16" s="58">
        <f t="shared" si="3"/>
        <v>295.24972796517949</v>
      </c>
      <c r="AE16" s="58">
        <f t="shared" si="3"/>
        <v>298.24954660863256</v>
      </c>
      <c r="AF16" s="58">
        <f t="shared" si="3"/>
        <v>294.02212549873047</v>
      </c>
      <c r="AG16" s="58">
        <f t="shared" si="7"/>
        <v>3561.3408357565427</v>
      </c>
      <c r="AH16" s="58">
        <f t="shared" si="8"/>
        <v>296.77840297971187</v>
      </c>
      <c r="AN16" s="27">
        <f t="shared" si="6"/>
        <v>0</v>
      </c>
      <c r="AQ16" s="59">
        <v>28.7</v>
      </c>
      <c r="AR16" s="60">
        <f t="shared" ca="1" si="9"/>
        <v>3.3779976724497343</v>
      </c>
      <c r="AS16" s="60">
        <f t="shared" ca="1" si="10"/>
        <v>12030.201053985791</v>
      </c>
      <c r="AT16" s="60">
        <f t="shared" ca="1" si="11"/>
        <v>32.077997672449733</v>
      </c>
      <c r="AU16" s="60">
        <f t="shared" ca="1" si="12"/>
        <v>108088.5760539858</v>
      </c>
      <c r="AV16" s="61"/>
      <c r="AW16" s="61"/>
      <c r="BC16" s="300">
        <f t="shared" ca="1" si="13"/>
        <v>412.18979579332643</v>
      </c>
      <c r="BD16" s="300">
        <f t="shared" ca="1" si="14"/>
        <v>108500.76584977913</v>
      </c>
    </row>
    <row r="17" spans="1:56" outlineLevel="1">
      <c r="A17" s="23" t="str">
        <f t="shared" si="1"/>
        <v>VashonResidential32RW3</v>
      </c>
      <c r="B17" s="23" t="s">
        <v>167</v>
      </c>
      <c r="C17" s="23" t="s">
        <v>168</v>
      </c>
      <c r="D17" s="54">
        <v>35.86</v>
      </c>
      <c r="E17" s="54">
        <v>37.4</v>
      </c>
      <c r="F17" s="55"/>
      <c r="G17" s="56">
        <v>596.16999999999996</v>
      </c>
      <c r="H17" s="56">
        <v>632.03</v>
      </c>
      <c r="I17" s="56">
        <v>654.44500000000005</v>
      </c>
      <c r="J17" s="56">
        <v>690.31500000000005</v>
      </c>
      <c r="K17" s="56">
        <v>519.97</v>
      </c>
      <c r="L17" s="56">
        <v>385.5</v>
      </c>
      <c r="M17" s="56">
        <v>438.79</v>
      </c>
      <c r="N17" s="57">
        <v>440.33</v>
      </c>
      <c r="O17" s="57">
        <v>448.79999999999995</v>
      </c>
      <c r="P17" s="57">
        <v>476.84999999999997</v>
      </c>
      <c r="Q17" s="57">
        <v>467.5</v>
      </c>
      <c r="R17" s="57">
        <v>523.6</v>
      </c>
      <c r="S17" s="57">
        <v>6274.3000000000011</v>
      </c>
      <c r="U17" s="58">
        <f t="shared" si="2"/>
        <v>16.624930284439486</v>
      </c>
      <c r="V17" s="58">
        <f t="shared" si="2"/>
        <v>17.624930284439486</v>
      </c>
      <c r="W17" s="58">
        <f t="shared" si="2"/>
        <v>18.25</v>
      </c>
      <c r="X17" s="58">
        <f t="shared" si="2"/>
        <v>19.250278862242055</v>
      </c>
      <c r="Y17" s="58">
        <f t="shared" si="2"/>
        <v>14.500000000000002</v>
      </c>
      <c r="Z17" s="58">
        <f t="shared" si="2"/>
        <v>10.750139431121026</v>
      </c>
      <c r="AA17" s="58">
        <f t="shared" si="2"/>
        <v>12.236196319018406</v>
      </c>
      <c r="AB17" s="58">
        <f t="shared" si="3"/>
        <v>11.773529411764706</v>
      </c>
      <c r="AC17" s="58">
        <f t="shared" si="3"/>
        <v>12</v>
      </c>
      <c r="AD17" s="58">
        <f t="shared" si="3"/>
        <v>12.75</v>
      </c>
      <c r="AE17" s="58">
        <f t="shared" si="3"/>
        <v>12.5</v>
      </c>
      <c r="AF17" s="58">
        <f t="shared" si="3"/>
        <v>14.000000000000002</v>
      </c>
      <c r="AG17" s="58">
        <f t="shared" si="7"/>
        <v>172.26000459302517</v>
      </c>
      <c r="AH17" s="58">
        <f t="shared" si="8"/>
        <v>14.355000382752097</v>
      </c>
      <c r="AN17" s="27">
        <f t="shared" si="6"/>
        <v>0</v>
      </c>
      <c r="AQ17" s="59">
        <v>39.11</v>
      </c>
      <c r="AR17" s="60">
        <f t="shared" ca="1" si="9"/>
        <v>4.6032574553835923</v>
      </c>
      <c r="AS17" s="60">
        <f t="shared" ca="1" si="10"/>
        <v>792.95715040725486</v>
      </c>
      <c r="AT17" s="60">
        <f t="shared" ca="1" si="11"/>
        <v>43.713257455383591</v>
      </c>
      <c r="AU17" s="60">
        <f t="shared" ca="1" si="12"/>
        <v>7067.2571504072557</v>
      </c>
      <c r="AV17" s="61"/>
      <c r="AW17" s="61"/>
      <c r="BC17" s="300">
        <f t="shared" ca="1" si="13"/>
        <v>26.950593559400239</v>
      </c>
      <c r="BD17" s="300">
        <f t="shared" ca="1" si="14"/>
        <v>7094.2077439666564</v>
      </c>
    </row>
    <row r="18" spans="1:56" outlineLevel="1">
      <c r="A18" s="23" t="str">
        <f t="shared" si="1"/>
        <v>VashonResidential32RW4</v>
      </c>
      <c r="B18" s="23" t="s">
        <v>169</v>
      </c>
      <c r="C18" s="23" t="s">
        <v>170</v>
      </c>
      <c r="D18" s="54">
        <v>44.89</v>
      </c>
      <c r="E18" s="54">
        <v>46.83</v>
      </c>
      <c r="F18" s="55"/>
      <c r="G18" s="56">
        <v>224.45</v>
      </c>
      <c r="H18" s="56">
        <v>224.45</v>
      </c>
      <c r="I18" s="56">
        <v>224.45</v>
      </c>
      <c r="J18" s="56">
        <v>404.01</v>
      </c>
      <c r="K18" s="56">
        <v>134.67000000000002</v>
      </c>
      <c r="L18" s="56">
        <v>269.34000000000003</v>
      </c>
      <c r="M18" s="56">
        <v>273.22000000000003</v>
      </c>
      <c r="N18" s="57">
        <v>265.40000000000003</v>
      </c>
      <c r="O18" s="57">
        <v>234.15</v>
      </c>
      <c r="P18" s="57">
        <v>169.76</v>
      </c>
      <c r="Q18" s="57">
        <v>158.05000000000001</v>
      </c>
      <c r="R18" s="57">
        <v>140.49</v>
      </c>
      <c r="S18" s="57">
        <v>2722.4399999999996</v>
      </c>
      <c r="U18" s="58">
        <f t="shared" si="2"/>
        <v>5</v>
      </c>
      <c r="V18" s="58">
        <f t="shared" si="2"/>
        <v>5</v>
      </c>
      <c r="W18" s="58">
        <f t="shared" si="2"/>
        <v>5</v>
      </c>
      <c r="X18" s="58">
        <f t="shared" si="2"/>
        <v>9</v>
      </c>
      <c r="Y18" s="58">
        <f t="shared" si="2"/>
        <v>3.0000000000000004</v>
      </c>
      <c r="Z18" s="58">
        <f t="shared" si="2"/>
        <v>6.0000000000000009</v>
      </c>
      <c r="AA18" s="58">
        <f t="shared" si="2"/>
        <v>6.0864335041211852</v>
      </c>
      <c r="AB18" s="58">
        <f t="shared" si="3"/>
        <v>5.6673072816570587</v>
      </c>
      <c r="AC18" s="58">
        <f t="shared" si="3"/>
        <v>5</v>
      </c>
      <c r="AD18" s="58">
        <f t="shared" si="3"/>
        <v>3.6250266922912662</v>
      </c>
      <c r="AE18" s="58">
        <f t="shared" si="3"/>
        <v>3.3749733077087343</v>
      </c>
      <c r="AF18" s="58">
        <f t="shared" si="3"/>
        <v>3.0000000000000004</v>
      </c>
      <c r="AG18" s="58">
        <f t="shared" si="7"/>
        <v>59.753740785778248</v>
      </c>
      <c r="AH18" s="58">
        <f t="shared" si="8"/>
        <v>4.9794783988148543</v>
      </c>
      <c r="AN18" s="27">
        <f t="shared" si="6"/>
        <v>0</v>
      </c>
      <c r="AQ18" s="59">
        <v>48.98</v>
      </c>
      <c r="AR18" s="60">
        <f t="shared" ca="1" si="9"/>
        <v>5.7649590939577697</v>
      </c>
      <c r="AS18" s="60">
        <f t="shared" ca="1" si="10"/>
        <v>344.47787134096762</v>
      </c>
      <c r="AT18" s="60">
        <f t="shared" ca="1" si="11"/>
        <v>54.744959093957767</v>
      </c>
      <c r="AU18" s="60">
        <f t="shared" ca="1" si="12"/>
        <v>3066.9178713409674</v>
      </c>
      <c r="AV18" s="61"/>
      <c r="AW18" s="61"/>
      <c r="BC18" s="300">
        <f t="shared" ca="1" si="13"/>
        <v>11.695521370098765</v>
      </c>
      <c r="BD18" s="300">
        <f t="shared" ca="1" si="14"/>
        <v>3078.6133927110664</v>
      </c>
    </row>
    <row r="19" spans="1:56" outlineLevel="1">
      <c r="A19" s="23" t="str">
        <f t="shared" si="1"/>
        <v>VashonResidentialCARRY-RES</v>
      </c>
      <c r="B19" s="23" t="s">
        <v>171</v>
      </c>
      <c r="C19" s="23" t="s">
        <v>172</v>
      </c>
      <c r="D19" s="54">
        <v>2.4300000000000002</v>
      </c>
      <c r="E19" s="54">
        <v>2.4300000000000002</v>
      </c>
      <c r="F19" s="55"/>
      <c r="G19" s="56">
        <v>9.7200000000000006</v>
      </c>
      <c r="H19" s="56">
        <v>9.7200000000000006</v>
      </c>
      <c r="I19" s="56">
        <v>9.7200000000000006</v>
      </c>
      <c r="J19" s="56">
        <v>9.7200000000000006</v>
      </c>
      <c r="K19" s="56">
        <v>9.7200000000000006</v>
      </c>
      <c r="L19" s="56">
        <v>9.7200000000000006</v>
      </c>
      <c r="M19" s="56">
        <v>9.7200000000000006</v>
      </c>
      <c r="N19" s="57">
        <v>9.7200000000000006</v>
      </c>
      <c r="O19" s="57">
        <v>10.935</v>
      </c>
      <c r="P19" s="57">
        <v>10.935</v>
      </c>
      <c r="Q19" s="57">
        <v>12.15</v>
      </c>
      <c r="R19" s="57">
        <v>12.15</v>
      </c>
      <c r="S19" s="57">
        <v>123.93000000000002</v>
      </c>
      <c r="U19" s="62">
        <f t="shared" si="2"/>
        <v>4</v>
      </c>
      <c r="V19" s="62">
        <f t="shared" si="2"/>
        <v>4</v>
      </c>
      <c r="W19" s="62">
        <f t="shared" si="2"/>
        <v>4</v>
      </c>
      <c r="X19" s="62">
        <f t="shared" si="2"/>
        <v>4</v>
      </c>
      <c r="Y19" s="62">
        <f t="shared" si="2"/>
        <v>4</v>
      </c>
      <c r="Z19" s="62">
        <f t="shared" si="2"/>
        <v>4</v>
      </c>
      <c r="AA19" s="62">
        <f t="shared" si="2"/>
        <v>4</v>
      </c>
      <c r="AB19" s="62">
        <f t="shared" si="3"/>
        <v>4</v>
      </c>
      <c r="AC19" s="62">
        <f t="shared" si="3"/>
        <v>4.5</v>
      </c>
      <c r="AD19" s="62">
        <f t="shared" si="3"/>
        <v>4.5</v>
      </c>
      <c r="AE19" s="62">
        <f t="shared" si="3"/>
        <v>5</v>
      </c>
      <c r="AF19" s="62">
        <f t="shared" si="3"/>
        <v>5</v>
      </c>
      <c r="AG19" s="62">
        <f t="shared" si="7"/>
        <v>51</v>
      </c>
      <c r="AH19" s="62">
        <f t="shared" si="8"/>
        <v>4.25</v>
      </c>
      <c r="AN19" s="27">
        <f t="shared" si="6"/>
        <v>0</v>
      </c>
      <c r="AQ19" s="59">
        <v>2.4300000000000002</v>
      </c>
      <c r="AR19" s="60">
        <f t="shared" ca="1" si="9"/>
        <v>0.2860116496185664</v>
      </c>
      <c r="AS19" s="60">
        <f t="shared" ca="1" si="10"/>
        <v>14.586594130546885</v>
      </c>
      <c r="AT19" s="60">
        <f t="shared" ca="1" si="11"/>
        <v>2.7160116496185664</v>
      </c>
      <c r="AU19" s="60">
        <f t="shared" ca="1" si="12"/>
        <v>138.51659413054691</v>
      </c>
      <c r="AV19" s="61"/>
      <c r="AW19" s="61"/>
      <c r="BC19" s="300">
        <f t="shared" ca="1" si="13"/>
        <v>0.5282253567679579</v>
      </c>
      <c r="BD19" s="300">
        <f t="shared" ca="1" si="14"/>
        <v>139.04481948731487</v>
      </c>
    </row>
    <row r="20" spans="1:56" outlineLevel="1">
      <c r="A20" s="23" t="str">
        <f t="shared" si="1"/>
        <v>VashonResidentialDRIVEPRVT-RES</v>
      </c>
      <c r="B20" s="23" t="s">
        <v>173</v>
      </c>
      <c r="C20" s="23" t="s">
        <v>174</v>
      </c>
      <c r="D20" s="54">
        <v>5.62</v>
      </c>
      <c r="E20" s="54">
        <v>5.62</v>
      </c>
      <c r="F20" s="55"/>
      <c r="G20" s="56">
        <v>56.2</v>
      </c>
      <c r="H20" s="56">
        <v>56.2</v>
      </c>
      <c r="I20" s="56">
        <v>56.2</v>
      </c>
      <c r="J20" s="56">
        <v>56.2</v>
      </c>
      <c r="K20" s="56">
        <v>56.2</v>
      </c>
      <c r="L20" s="56">
        <v>56.2</v>
      </c>
      <c r="M20" s="56">
        <v>56.2</v>
      </c>
      <c r="N20" s="57">
        <v>54.800000000000004</v>
      </c>
      <c r="O20" s="57">
        <v>55.494999999999997</v>
      </c>
      <c r="P20" s="57">
        <v>55.494999999999997</v>
      </c>
      <c r="Q20" s="57">
        <v>44.96</v>
      </c>
      <c r="R20" s="57">
        <v>50.58</v>
      </c>
      <c r="S20" s="57">
        <v>654.73</v>
      </c>
      <c r="U20" s="62">
        <f t="shared" si="2"/>
        <v>10</v>
      </c>
      <c r="V20" s="62">
        <f t="shared" si="2"/>
        <v>10</v>
      </c>
      <c r="W20" s="62">
        <f t="shared" si="2"/>
        <v>10</v>
      </c>
      <c r="X20" s="62">
        <f t="shared" si="2"/>
        <v>10</v>
      </c>
      <c r="Y20" s="62">
        <f t="shared" si="2"/>
        <v>10</v>
      </c>
      <c r="Z20" s="62">
        <f t="shared" si="2"/>
        <v>10</v>
      </c>
      <c r="AA20" s="62">
        <f t="shared" si="2"/>
        <v>10</v>
      </c>
      <c r="AB20" s="62">
        <f t="shared" si="3"/>
        <v>9.7508896797153035</v>
      </c>
      <c r="AC20" s="62">
        <f t="shared" si="3"/>
        <v>9.8745551601423482</v>
      </c>
      <c r="AD20" s="62">
        <f t="shared" si="3"/>
        <v>9.8745551601423482</v>
      </c>
      <c r="AE20" s="62">
        <f t="shared" si="3"/>
        <v>8</v>
      </c>
      <c r="AF20" s="62">
        <f t="shared" si="3"/>
        <v>9</v>
      </c>
      <c r="AG20" s="62">
        <f t="shared" si="7"/>
        <v>116.5</v>
      </c>
      <c r="AH20" s="62">
        <f t="shared" si="8"/>
        <v>9.7083333333333339</v>
      </c>
      <c r="AN20" s="27">
        <f t="shared" si="6"/>
        <v>0</v>
      </c>
      <c r="AQ20" s="59">
        <v>5.62</v>
      </c>
      <c r="AR20" s="60">
        <f t="shared" ca="1" si="9"/>
        <v>0.66147550241001773</v>
      </c>
      <c r="AS20" s="60">
        <f t="shared" ca="1" si="10"/>
        <v>77.061896030767073</v>
      </c>
      <c r="AT20" s="60">
        <f t="shared" ca="1" si="11"/>
        <v>6.281475502410018</v>
      </c>
      <c r="AU20" s="60">
        <f t="shared" ca="1" si="12"/>
        <v>731.79189603076713</v>
      </c>
      <c r="AV20" s="61"/>
      <c r="AW20" s="61"/>
      <c r="BC20" s="300">
        <f t="shared" ca="1" si="13"/>
        <v>2.7906478482747121</v>
      </c>
      <c r="BD20" s="300">
        <f t="shared" ca="1" si="14"/>
        <v>734.58254387904185</v>
      </c>
    </row>
    <row r="21" spans="1:56" outlineLevel="1">
      <c r="A21" s="23" t="str">
        <f t="shared" si="1"/>
        <v>VashonResidentialDRVNRE1</v>
      </c>
      <c r="B21" s="23" t="s">
        <v>175</v>
      </c>
      <c r="C21" s="23" t="s">
        <v>176</v>
      </c>
      <c r="D21" s="54">
        <v>2.81</v>
      </c>
      <c r="E21" s="54">
        <v>2.81</v>
      </c>
      <c r="F21" s="55"/>
      <c r="G21" s="56">
        <v>35.125</v>
      </c>
      <c r="H21" s="56">
        <v>35.125</v>
      </c>
      <c r="I21" s="56">
        <v>30.91</v>
      </c>
      <c r="J21" s="56">
        <v>33.015000000000001</v>
      </c>
      <c r="K21" s="56">
        <v>30.205000000000002</v>
      </c>
      <c r="L21" s="56">
        <v>33.72</v>
      </c>
      <c r="M21" s="56">
        <v>30.91</v>
      </c>
      <c r="N21" s="57">
        <v>30.91</v>
      </c>
      <c r="O21" s="57">
        <v>19.32</v>
      </c>
      <c r="P21" s="57">
        <v>31.96</v>
      </c>
      <c r="Q21" s="57">
        <v>33.72</v>
      </c>
      <c r="R21" s="57">
        <v>33.72</v>
      </c>
      <c r="S21" s="57">
        <v>378.64</v>
      </c>
      <c r="U21" s="62">
        <f t="shared" si="2"/>
        <v>12.5</v>
      </c>
      <c r="V21" s="62">
        <f t="shared" si="2"/>
        <v>12.5</v>
      </c>
      <c r="W21" s="62">
        <f t="shared" si="2"/>
        <v>11</v>
      </c>
      <c r="X21" s="62">
        <f t="shared" si="2"/>
        <v>11.749110320284698</v>
      </c>
      <c r="Y21" s="62">
        <f t="shared" si="2"/>
        <v>10.749110320284698</v>
      </c>
      <c r="Z21" s="62">
        <f t="shared" si="2"/>
        <v>12</v>
      </c>
      <c r="AA21" s="62">
        <f t="shared" si="2"/>
        <v>11</v>
      </c>
      <c r="AB21" s="62">
        <f t="shared" si="3"/>
        <v>11</v>
      </c>
      <c r="AC21" s="62">
        <f t="shared" si="3"/>
        <v>6.8754448398576509</v>
      </c>
      <c r="AD21" s="62">
        <f t="shared" si="3"/>
        <v>11.373665480427047</v>
      </c>
      <c r="AE21" s="62">
        <f t="shared" si="3"/>
        <v>12</v>
      </c>
      <c r="AF21" s="62">
        <f t="shared" si="3"/>
        <v>12</v>
      </c>
      <c r="AG21" s="62">
        <f t="shared" si="7"/>
        <v>134.7473309608541</v>
      </c>
      <c r="AH21" s="62">
        <f t="shared" si="8"/>
        <v>11.228944246737841</v>
      </c>
      <c r="AN21" s="27">
        <f t="shared" si="6"/>
        <v>0</v>
      </c>
      <c r="AQ21" s="59">
        <v>2.81</v>
      </c>
      <c r="AR21" s="60">
        <f t="shared" ca="1" si="9"/>
        <v>0.33073775120500887</v>
      </c>
      <c r="AS21" s="60">
        <f t="shared" ca="1" si="10"/>
        <v>44.56602922286995</v>
      </c>
      <c r="AT21" s="60">
        <f t="shared" ca="1" si="11"/>
        <v>3.140737751205009</v>
      </c>
      <c r="AU21" s="60">
        <f t="shared" ca="1" si="12"/>
        <v>423.20602922286992</v>
      </c>
      <c r="AV21" s="61"/>
      <c r="AW21" s="61"/>
      <c r="BC21" s="300">
        <f t="shared" ca="1" si="13"/>
        <v>1.6138727433762572</v>
      </c>
      <c r="BD21" s="300">
        <f t="shared" ca="1" si="14"/>
        <v>424.81990196624616</v>
      </c>
    </row>
    <row r="22" spans="1:56" outlineLevel="1">
      <c r="A22" s="23" t="str">
        <f t="shared" si="1"/>
        <v>VashonResidentialDRVNRW1</v>
      </c>
      <c r="B22" s="23" t="s">
        <v>177</v>
      </c>
      <c r="C22" s="23" t="s">
        <v>178</v>
      </c>
      <c r="D22" s="54">
        <v>2.81</v>
      </c>
      <c r="E22" s="54">
        <v>2.81</v>
      </c>
      <c r="F22" s="55"/>
      <c r="G22" s="56">
        <v>150.33500000000001</v>
      </c>
      <c r="H22" s="56">
        <v>151.73500000000001</v>
      </c>
      <c r="I22" s="56">
        <v>147.52500000000001</v>
      </c>
      <c r="J22" s="56">
        <v>147.52500000000001</v>
      </c>
      <c r="K22" s="56">
        <v>144.01</v>
      </c>
      <c r="L22" s="56">
        <v>144.01</v>
      </c>
      <c r="M22" s="56">
        <v>142.60499999999999</v>
      </c>
      <c r="N22" s="57">
        <v>142.60499999999999</v>
      </c>
      <c r="O22" s="57">
        <v>141.905</v>
      </c>
      <c r="P22" s="57">
        <v>144.715</v>
      </c>
      <c r="Q22" s="57">
        <v>146.12</v>
      </c>
      <c r="R22" s="57">
        <v>146.12</v>
      </c>
      <c r="S22" s="57">
        <v>1749.2099999999996</v>
      </c>
      <c r="U22" s="62">
        <f t="shared" si="2"/>
        <v>53.5</v>
      </c>
      <c r="V22" s="62">
        <f t="shared" si="2"/>
        <v>53.9982206405694</v>
      </c>
      <c r="W22" s="62">
        <f t="shared" si="2"/>
        <v>52.5</v>
      </c>
      <c r="X22" s="62">
        <f t="shared" si="2"/>
        <v>52.5</v>
      </c>
      <c r="Y22" s="62">
        <f t="shared" si="2"/>
        <v>51.249110320284693</v>
      </c>
      <c r="Z22" s="62">
        <f t="shared" si="2"/>
        <v>51.249110320284693</v>
      </c>
      <c r="AA22" s="62">
        <f t="shared" si="2"/>
        <v>50.749110320284693</v>
      </c>
      <c r="AB22" s="62">
        <f t="shared" si="3"/>
        <v>50.749110320284693</v>
      </c>
      <c r="AC22" s="62">
        <f t="shared" si="3"/>
        <v>50.5</v>
      </c>
      <c r="AD22" s="62">
        <f t="shared" si="3"/>
        <v>51.5</v>
      </c>
      <c r="AE22" s="62">
        <f t="shared" si="3"/>
        <v>52</v>
      </c>
      <c r="AF22" s="62">
        <f t="shared" si="3"/>
        <v>52</v>
      </c>
      <c r="AG22" s="62">
        <f t="shared" si="7"/>
        <v>622.49466192170803</v>
      </c>
      <c r="AH22" s="62">
        <f t="shared" si="8"/>
        <v>51.874555160142336</v>
      </c>
      <c r="AN22" s="27">
        <f t="shared" si="6"/>
        <v>0</v>
      </c>
      <c r="AQ22" s="59">
        <v>2.81</v>
      </c>
      <c r="AR22" s="60">
        <f t="shared" ca="1" si="9"/>
        <v>0.33073775120500887</v>
      </c>
      <c r="AS22" s="60">
        <f t="shared" ca="1" si="10"/>
        <v>205.88248462110798</v>
      </c>
      <c r="AT22" s="60">
        <f t="shared" ca="1" si="11"/>
        <v>3.140737751205009</v>
      </c>
      <c r="AU22" s="60">
        <f t="shared" ca="1" si="12"/>
        <v>1955.0924846211076</v>
      </c>
      <c r="AV22" s="61"/>
      <c r="AW22" s="61"/>
      <c r="BC22" s="300">
        <f t="shared" ca="1" si="13"/>
        <v>7.4556368620356599</v>
      </c>
      <c r="BD22" s="300">
        <f t="shared" ca="1" si="14"/>
        <v>1962.5481214831432</v>
      </c>
    </row>
    <row r="23" spans="1:56" outlineLevel="1">
      <c r="A23" s="23" t="str">
        <f t="shared" si="1"/>
        <v>VashonResidentialDRVNRW2</v>
      </c>
      <c r="B23" s="23" t="s">
        <v>179</v>
      </c>
      <c r="C23" s="23" t="s">
        <v>180</v>
      </c>
      <c r="D23" s="54">
        <v>2.81</v>
      </c>
      <c r="E23" s="54">
        <v>2.81</v>
      </c>
      <c r="F23" s="55"/>
      <c r="G23" s="56">
        <v>14.05</v>
      </c>
      <c r="H23" s="56">
        <v>14.05</v>
      </c>
      <c r="I23" s="56">
        <v>18.259999999999998</v>
      </c>
      <c r="J23" s="56">
        <v>25.29</v>
      </c>
      <c r="K23" s="56">
        <v>25.290000000000003</v>
      </c>
      <c r="L23" s="56">
        <v>25.290000000000003</v>
      </c>
      <c r="M23" s="56">
        <v>25.290000000000003</v>
      </c>
      <c r="N23" s="57">
        <v>25.290000000000003</v>
      </c>
      <c r="O23" s="57">
        <v>25.290000000000003</v>
      </c>
      <c r="P23" s="57">
        <v>25.290000000000003</v>
      </c>
      <c r="Q23" s="57">
        <v>25.290000000000003</v>
      </c>
      <c r="R23" s="57">
        <v>25.290000000000003</v>
      </c>
      <c r="S23" s="57">
        <v>273.96999999999997</v>
      </c>
      <c r="U23" s="62">
        <f t="shared" si="2"/>
        <v>5</v>
      </c>
      <c r="V23" s="62">
        <f t="shared" si="2"/>
        <v>5</v>
      </c>
      <c r="W23" s="62">
        <f t="shared" si="2"/>
        <v>6.4982206405693939</v>
      </c>
      <c r="X23" s="62">
        <f t="shared" si="2"/>
        <v>9</v>
      </c>
      <c r="Y23" s="62">
        <f t="shared" si="2"/>
        <v>9</v>
      </c>
      <c r="Z23" s="62">
        <f t="shared" si="2"/>
        <v>9</v>
      </c>
      <c r="AA23" s="62">
        <f t="shared" si="2"/>
        <v>9</v>
      </c>
      <c r="AB23" s="62">
        <f t="shared" si="3"/>
        <v>9</v>
      </c>
      <c r="AC23" s="62">
        <f t="shared" si="3"/>
        <v>9</v>
      </c>
      <c r="AD23" s="62">
        <f t="shared" si="3"/>
        <v>9</v>
      </c>
      <c r="AE23" s="62">
        <f t="shared" si="3"/>
        <v>9</v>
      </c>
      <c r="AF23" s="62">
        <f t="shared" si="3"/>
        <v>9</v>
      </c>
      <c r="AG23" s="62">
        <f t="shared" si="7"/>
        <v>97.4982206405694</v>
      </c>
      <c r="AH23" s="62">
        <f t="shared" si="8"/>
        <v>8.1248517200474506</v>
      </c>
      <c r="AN23" s="27">
        <f t="shared" si="6"/>
        <v>0</v>
      </c>
      <c r="AQ23" s="59">
        <v>2.81</v>
      </c>
      <c r="AR23" s="60">
        <f t="shared" ca="1" si="9"/>
        <v>0.33073775120500887</v>
      </c>
      <c r="AS23" s="60">
        <f t="shared" ca="1" si="10"/>
        <v>32.246342241151709</v>
      </c>
      <c r="AT23" s="60">
        <f t="shared" ca="1" si="11"/>
        <v>3.140737751205009</v>
      </c>
      <c r="AU23" s="60">
        <f t="shared" ca="1" si="12"/>
        <v>306.21634224115166</v>
      </c>
      <c r="AV23" s="61"/>
      <c r="AW23" s="61"/>
      <c r="BC23" s="300">
        <f t="shared" ca="1" si="13"/>
        <v>1.1677390542541548</v>
      </c>
      <c r="BD23" s="300">
        <f t="shared" ca="1" si="14"/>
        <v>307.38408129540579</v>
      </c>
    </row>
    <row r="24" spans="1:56" outlineLevel="1">
      <c r="A24" s="23" t="str">
        <f t="shared" si="1"/>
        <v>VashonResidentialGWCR</v>
      </c>
      <c r="B24" s="23" t="s">
        <v>181</v>
      </c>
      <c r="C24" s="23" t="s">
        <v>182</v>
      </c>
      <c r="D24" s="63">
        <v>0</v>
      </c>
      <c r="E24" s="55">
        <v>0</v>
      </c>
      <c r="F24" s="55"/>
      <c r="G24" s="56">
        <v>0</v>
      </c>
      <c r="H24" s="56">
        <v>0</v>
      </c>
      <c r="I24" s="56">
        <v>-107.61</v>
      </c>
      <c r="J24" s="56">
        <v>0</v>
      </c>
      <c r="K24" s="56">
        <v>-15</v>
      </c>
      <c r="L24" s="56">
        <v>0</v>
      </c>
      <c r="M24" s="56">
        <v>0</v>
      </c>
      <c r="N24" s="57">
        <v>-83.79</v>
      </c>
      <c r="O24" s="57">
        <v>0</v>
      </c>
      <c r="P24" s="57">
        <v>-15</v>
      </c>
      <c r="Q24" s="57">
        <v>0</v>
      </c>
      <c r="R24" s="57">
        <v>0</v>
      </c>
      <c r="S24" s="57">
        <v>-221.4</v>
      </c>
      <c r="U24" s="62">
        <f t="shared" si="2"/>
        <v>0</v>
      </c>
      <c r="V24" s="62">
        <f t="shared" si="2"/>
        <v>0</v>
      </c>
      <c r="W24" s="62">
        <f t="shared" si="2"/>
        <v>0</v>
      </c>
      <c r="X24" s="62">
        <f t="shared" si="2"/>
        <v>0</v>
      </c>
      <c r="Y24" s="62">
        <f t="shared" si="2"/>
        <v>0</v>
      </c>
      <c r="Z24" s="62">
        <f t="shared" si="2"/>
        <v>0</v>
      </c>
      <c r="AA24" s="62">
        <f t="shared" si="2"/>
        <v>0</v>
      </c>
      <c r="AB24" s="62">
        <f t="shared" si="3"/>
        <v>0</v>
      </c>
      <c r="AC24" s="62">
        <f t="shared" si="3"/>
        <v>0</v>
      </c>
      <c r="AD24" s="62">
        <f t="shared" si="3"/>
        <v>0</v>
      </c>
      <c r="AE24" s="62">
        <f t="shared" si="3"/>
        <v>0</v>
      </c>
      <c r="AF24" s="62">
        <f t="shared" si="3"/>
        <v>0</v>
      </c>
      <c r="AG24" s="62">
        <f t="shared" si="7"/>
        <v>0</v>
      </c>
      <c r="AH24" s="62">
        <f t="shared" si="8"/>
        <v>0</v>
      </c>
      <c r="AN24" s="27">
        <f t="shared" si="6"/>
        <v>0</v>
      </c>
      <c r="AR24" s="60">
        <f t="shared" ca="1" si="9"/>
        <v>0</v>
      </c>
      <c r="AS24" s="60">
        <f t="shared" ca="1" si="10"/>
        <v>0</v>
      </c>
      <c r="AT24" s="60">
        <f t="shared" ca="1" si="11"/>
        <v>0</v>
      </c>
      <c r="AU24" s="60">
        <f t="shared" ca="1" si="12"/>
        <v>-221.4</v>
      </c>
      <c r="AV24" s="61"/>
      <c r="AW24" s="61"/>
      <c r="BC24" s="300">
        <f t="shared" ca="1" si="13"/>
        <v>-0.84429663263453891</v>
      </c>
      <c r="BD24" s="300">
        <f t="shared" ca="1" si="14"/>
        <v>-222.24429663263456</v>
      </c>
    </row>
    <row r="25" spans="1:56" outlineLevel="1">
      <c r="A25" s="23" t="str">
        <f t="shared" si="1"/>
        <v>VashonResidentialOBSR</v>
      </c>
      <c r="B25" s="23" t="s">
        <v>183</v>
      </c>
      <c r="C25" s="23" t="s">
        <v>184</v>
      </c>
      <c r="D25" s="54">
        <v>1.1200000000000001</v>
      </c>
      <c r="E25" s="54">
        <v>1.1200000000000001</v>
      </c>
      <c r="F25" s="55"/>
      <c r="G25" s="56">
        <v>5.25</v>
      </c>
      <c r="H25" s="56">
        <v>3.01</v>
      </c>
      <c r="I25" s="56">
        <v>3.01</v>
      </c>
      <c r="J25" s="56">
        <v>4.13</v>
      </c>
      <c r="K25" s="56">
        <v>4.13</v>
      </c>
      <c r="L25" s="56">
        <v>4.13</v>
      </c>
      <c r="M25" s="56">
        <v>4.4800000000000004</v>
      </c>
      <c r="N25" s="57">
        <v>4.4800000000000004</v>
      </c>
      <c r="O25" s="57">
        <v>4.4800000000000004</v>
      </c>
      <c r="P25" s="57">
        <v>4.4800000000000004</v>
      </c>
      <c r="Q25" s="57">
        <v>4.4800000000000004</v>
      </c>
      <c r="R25" s="57">
        <v>4.4800000000000004</v>
      </c>
      <c r="S25" s="57">
        <v>50.540000000000006</v>
      </c>
      <c r="U25" s="62">
        <f t="shared" si="2"/>
        <v>4.6874999999999991</v>
      </c>
      <c r="V25" s="62">
        <f t="shared" si="2"/>
        <v>2.6874999999999996</v>
      </c>
      <c r="W25" s="62">
        <f t="shared" si="2"/>
        <v>2.6874999999999996</v>
      </c>
      <c r="X25" s="62">
        <f t="shared" si="2"/>
        <v>3.6874999999999996</v>
      </c>
      <c r="Y25" s="62">
        <f t="shared" si="2"/>
        <v>3.6874999999999996</v>
      </c>
      <c r="Z25" s="62">
        <f t="shared" si="2"/>
        <v>3.6874999999999996</v>
      </c>
      <c r="AA25" s="62">
        <f t="shared" si="2"/>
        <v>4</v>
      </c>
      <c r="AB25" s="62">
        <f t="shared" si="3"/>
        <v>4</v>
      </c>
      <c r="AC25" s="62">
        <f t="shared" si="3"/>
        <v>4</v>
      </c>
      <c r="AD25" s="62">
        <f t="shared" si="3"/>
        <v>4</v>
      </c>
      <c r="AE25" s="62">
        <f t="shared" si="3"/>
        <v>4</v>
      </c>
      <c r="AF25" s="62">
        <f t="shared" si="3"/>
        <v>4</v>
      </c>
      <c r="AG25" s="62">
        <f t="shared" si="7"/>
        <v>45.125</v>
      </c>
      <c r="AH25" s="62">
        <f t="shared" si="8"/>
        <v>3.7604166666666665</v>
      </c>
      <c r="AN25" s="27">
        <f t="shared" si="6"/>
        <v>0</v>
      </c>
      <c r="AQ25" s="59">
        <v>1.1200000000000001</v>
      </c>
      <c r="AR25" s="60">
        <f t="shared" ca="1" si="9"/>
        <v>0.13182429941267257</v>
      </c>
      <c r="AS25" s="60">
        <f t="shared" ca="1" si="10"/>
        <v>5.9485715109968496</v>
      </c>
      <c r="AT25" s="60">
        <f t="shared" ca="1" si="11"/>
        <v>1.2518242994126727</v>
      </c>
      <c r="AU25" s="60">
        <f t="shared" ca="1" si="12"/>
        <v>56.488571510996856</v>
      </c>
      <c r="AV25" s="61"/>
      <c r="AW25" s="61"/>
      <c r="BC25" s="300">
        <f t="shared" ca="1" si="13"/>
        <v>0.21541603752967475</v>
      </c>
      <c r="BD25" s="300">
        <f t="shared" ca="1" si="14"/>
        <v>56.703987548526527</v>
      </c>
    </row>
    <row r="26" spans="1:56" outlineLevel="1">
      <c r="A26" s="23" t="str">
        <f t="shared" si="1"/>
        <v>VashonResidentialOS</v>
      </c>
      <c r="B26" s="23" t="s">
        <v>185</v>
      </c>
      <c r="C26" s="23" t="s">
        <v>186</v>
      </c>
      <c r="D26" s="54">
        <v>2.78</v>
      </c>
      <c r="E26" s="54">
        <v>2.94</v>
      </c>
      <c r="F26" s="55"/>
      <c r="G26" s="56">
        <v>572.68000000000006</v>
      </c>
      <c r="H26" s="56">
        <v>733.92</v>
      </c>
      <c r="I26" s="56">
        <v>656.08</v>
      </c>
      <c r="J26" s="56">
        <v>725.57999999999993</v>
      </c>
      <c r="K26" s="56">
        <v>675.54</v>
      </c>
      <c r="L26" s="56">
        <v>672.76</v>
      </c>
      <c r="M26" s="56">
        <v>592.14</v>
      </c>
      <c r="N26" s="57">
        <v>714.45999999999992</v>
      </c>
      <c r="O26" s="57">
        <v>628.28</v>
      </c>
      <c r="P26" s="57">
        <v>797.86</v>
      </c>
      <c r="Q26" s="57">
        <v>783.96</v>
      </c>
      <c r="R26" s="57">
        <v>658.86</v>
      </c>
      <c r="S26" s="57">
        <v>8212.119999999999</v>
      </c>
      <c r="U26" s="62">
        <f t="shared" si="2"/>
        <v>206.00000000000003</v>
      </c>
      <c r="V26" s="62">
        <f t="shared" si="2"/>
        <v>264</v>
      </c>
      <c r="W26" s="62">
        <f t="shared" si="2"/>
        <v>236.00000000000003</v>
      </c>
      <c r="X26" s="62">
        <f t="shared" si="2"/>
        <v>261</v>
      </c>
      <c r="Y26" s="62">
        <f t="shared" si="2"/>
        <v>243</v>
      </c>
      <c r="Z26" s="62">
        <f t="shared" si="2"/>
        <v>242</v>
      </c>
      <c r="AA26" s="62">
        <f t="shared" si="2"/>
        <v>213</v>
      </c>
      <c r="AB26" s="62">
        <f t="shared" ref="AB26:AF33" si="15">+IFERROR(N26/$E26,0)</f>
        <v>243.01360544217684</v>
      </c>
      <c r="AC26" s="62">
        <f t="shared" si="15"/>
        <v>213.70068027210883</v>
      </c>
      <c r="AD26" s="62">
        <f t="shared" si="15"/>
        <v>271.38095238095241</v>
      </c>
      <c r="AE26" s="62">
        <f t="shared" si="15"/>
        <v>266.65306122448982</v>
      </c>
      <c r="AF26" s="62">
        <f t="shared" si="15"/>
        <v>224.10204081632654</v>
      </c>
      <c r="AG26" s="62">
        <f t="shared" si="7"/>
        <v>2883.8503401360545</v>
      </c>
      <c r="AH26" s="62">
        <f t="shared" si="8"/>
        <v>240.32086167800455</v>
      </c>
      <c r="AN26" s="27">
        <f t="shared" si="6"/>
        <v>0</v>
      </c>
      <c r="AQ26" s="59">
        <v>3.11</v>
      </c>
      <c r="AR26" s="60">
        <f t="shared" ca="1" si="9"/>
        <v>0.36604783140483182</v>
      </c>
      <c r="AS26" s="60">
        <f t="shared" ca="1" si="10"/>
        <v>1055.6271631028894</v>
      </c>
      <c r="AT26" s="60">
        <f t="shared" ca="1" si="11"/>
        <v>3.4760478314048315</v>
      </c>
      <c r="AU26" s="60">
        <f t="shared" ca="1" si="12"/>
        <v>9267.7471631028893</v>
      </c>
      <c r="AV26" s="61"/>
      <c r="AW26" s="61"/>
      <c r="BC26" s="300">
        <f t="shared" ca="1" si="13"/>
        <v>35.342040297723898</v>
      </c>
      <c r="BD26" s="300">
        <f t="shared" ca="1" si="14"/>
        <v>9303.0892034006138</v>
      </c>
    </row>
    <row r="27" spans="1:56" outlineLevel="1">
      <c r="A27" s="23" t="str">
        <f t="shared" si="1"/>
        <v>VashonResidentialOSOW</v>
      </c>
      <c r="B27" s="23" t="s">
        <v>187</v>
      </c>
      <c r="C27" s="23" t="s">
        <v>188</v>
      </c>
      <c r="D27" s="54">
        <v>2.78</v>
      </c>
      <c r="E27" s="54">
        <v>2.94</v>
      </c>
      <c r="F27" s="55"/>
      <c r="G27" s="56">
        <v>0</v>
      </c>
      <c r="H27" s="56">
        <v>-25.02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7">
        <v>-5.56</v>
      </c>
      <c r="O27" s="57">
        <v>0</v>
      </c>
      <c r="P27" s="57">
        <v>0</v>
      </c>
      <c r="Q27" s="57">
        <v>0</v>
      </c>
      <c r="R27" s="57">
        <v>0</v>
      </c>
      <c r="S27" s="57">
        <v>-30.58</v>
      </c>
      <c r="U27" s="62">
        <f t="shared" si="2"/>
        <v>0</v>
      </c>
      <c r="V27" s="62">
        <f t="shared" si="2"/>
        <v>-9</v>
      </c>
      <c r="W27" s="62">
        <f t="shared" si="2"/>
        <v>0</v>
      </c>
      <c r="X27" s="62">
        <f t="shared" si="2"/>
        <v>0</v>
      </c>
      <c r="Y27" s="62">
        <f t="shared" si="2"/>
        <v>0</v>
      </c>
      <c r="Z27" s="62">
        <f t="shared" si="2"/>
        <v>0</v>
      </c>
      <c r="AA27" s="62">
        <f t="shared" si="2"/>
        <v>0</v>
      </c>
      <c r="AB27" s="62">
        <f t="shared" si="15"/>
        <v>-1.8911564625850339</v>
      </c>
      <c r="AC27" s="62">
        <f t="shared" si="15"/>
        <v>0</v>
      </c>
      <c r="AD27" s="62">
        <f t="shared" si="15"/>
        <v>0</v>
      </c>
      <c r="AE27" s="62">
        <f t="shared" si="15"/>
        <v>0</v>
      </c>
      <c r="AF27" s="62">
        <f t="shared" si="15"/>
        <v>0</v>
      </c>
      <c r="AG27" s="62">
        <f t="shared" si="7"/>
        <v>-10.891156462585034</v>
      </c>
      <c r="AH27" s="62">
        <f t="shared" si="8"/>
        <v>-0.90759637188208619</v>
      </c>
      <c r="AN27" s="27">
        <f t="shared" si="6"/>
        <v>0</v>
      </c>
      <c r="AQ27" s="59">
        <v>3.11</v>
      </c>
      <c r="AR27" s="60">
        <f t="shared" ca="1" si="9"/>
        <v>0.36604783140483182</v>
      </c>
      <c r="AS27" s="60">
        <f t="shared" ca="1" si="10"/>
        <v>-3.9866842046199711</v>
      </c>
      <c r="AT27" s="60">
        <f t="shared" ca="1" si="11"/>
        <v>3.4760478314048315</v>
      </c>
      <c r="AU27" s="60">
        <f t="shared" ca="1" si="12"/>
        <v>-34.566684204619968</v>
      </c>
      <c r="AV27" s="61"/>
      <c r="AW27" s="61"/>
      <c r="BC27" s="300">
        <f t="shared" ca="1" si="13"/>
        <v>-0.13181813493813074</v>
      </c>
      <c r="BD27" s="300">
        <f t="shared" ca="1" si="14"/>
        <v>-34.698502339558097</v>
      </c>
    </row>
    <row r="28" spans="1:56" outlineLevel="1">
      <c r="A28" s="23" t="str">
        <f t="shared" si="1"/>
        <v>VashonResidentialOW</v>
      </c>
      <c r="B28" s="23" t="s">
        <v>189</v>
      </c>
      <c r="C28" s="23" t="s">
        <v>190</v>
      </c>
      <c r="D28" s="54">
        <v>2.78</v>
      </c>
      <c r="E28" s="54">
        <v>2.94</v>
      </c>
      <c r="F28" s="55"/>
      <c r="G28" s="56">
        <v>1067.52</v>
      </c>
      <c r="H28" s="56">
        <v>1192.6199999999999</v>
      </c>
      <c r="I28" s="56">
        <v>1014.7</v>
      </c>
      <c r="J28" s="56">
        <v>950.76</v>
      </c>
      <c r="K28" s="56">
        <v>808.98</v>
      </c>
      <c r="L28" s="56">
        <v>800.64</v>
      </c>
      <c r="M28" s="56">
        <v>778.4</v>
      </c>
      <c r="N28" s="57">
        <v>1175.94</v>
      </c>
      <c r="O28" s="57">
        <v>622.72</v>
      </c>
      <c r="P28" s="57">
        <v>708.9</v>
      </c>
      <c r="Q28" s="57">
        <v>639.4</v>
      </c>
      <c r="R28" s="57">
        <v>617.16</v>
      </c>
      <c r="S28" s="57">
        <v>10377.739999999998</v>
      </c>
      <c r="U28" s="62">
        <f t="shared" si="2"/>
        <v>384</v>
      </c>
      <c r="V28" s="62">
        <f t="shared" si="2"/>
        <v>429</v>
      </c>
      <c r="W28" s="62">
        <f t="shared" si="2"/>
        <v>365.00000000000006</v>
      </c>
      <c r="X28" s="62">
        <f t="shared" si="2"/>
        <v>342</v>
      </c>
      <c r="Y28" s="62">
        <f t="shared" si="2"/>
        <v>291</v>
      </c>
      <c r="Z28" s="62">
        <f t="shared" si="2"/>
        <v>288</v>
      </c>
      <c r="AA28" s="62">
        <f t="shared" si="2"/>
        <v>280</v>
      </c>
      <c r="AB28" s="62">
        <f t="shared" si="15"/>
        <v>399.9795918367347</v>
      </c>
      <c r="AC28" s="62">
        <f t="shared" si="15"/>
        <v>211.80952380952382</v>
      </c>
      <c r="AD28" s="62">
        <f t="shared" si="15"/>
        <v>241.12244897959184</v>
      </c>
      <c r="AE28" s="62">
        <f t="shared" si="15"/>
        <v>217.48299319727892</v>
      </c>
      <c r="AF28" s="62">
        <f t="shared" si="15"/>
        <v>209.91836734693877</v>
      </c>
      <c r="AG28" s="62">
        <f t="shared" si="7"/>
        <v>3659.312925170068</v>
      </c>
      <c r="AH28" s="62">
        <f t="shared" si="8"/>
        <v>304.94274376417235</v>
      </c>
      <c r="AN28" s="27">
        <f t="shared" si="6"/>
        <v>0</v>
      </c>
      <c r="AQ28" s="59">
        <v>3.11</v>
      </c>
      <c r="AR28" s="60">
        <f t="shared" ca="1" si="9"/>
        <v>0.36604783140483182</v>
      </c>
      <c r="AS28" s="60">
        <f t="shared" ca="1" si="10"/>
        <v>1339.4835606901752</v>
      </c>
      <c r="AT28" s="60">
        <f t="shared" ca="1" si="11"/>
        <v>3.4760478314048315</v>
      </c>
      <c r="AU28" s="60">
        <f t="shared" ca="1" si="12"/>
        <v>11717.223560690174</v>
      </c>
      <c r="AV28" s="61"/>
      <c r="AW28" s="61"/>
      <c r="BC28" s="300">
        <f t="shared" ca="1" si="13"/>
        <v>44.682982818955715</v>
      </c>
      <c r="BD28" s="300">
        <f t="shared" ca="1" si="14"/>
        <v>11761.906543509131</v>
      </c>
    </row>
    <row r="29" spans="1:56" outlineLevel="1">
      <c r="A29" s="23" t="str">
        <f t="shared" si="1"/>
        <v>VashonResidentialPACKR</v>
      </c>
      <c r="B29" s="23" t="s">
        <v>191</v>
      </c>
      <c r="C29" s="23" t="s">
        <v>192</v>
      </c>
      <c r="D29" s="54">
        <v>2.4300000000000002</v>
      </c>
      <c r="E29" s="54">
        <v>2.4300000000000002</v>
      </c>
      <c r="F29" s="55"/>
      <c r="G29" s="56">
        <v>59.604999999999997</v>
      </c>
      <c r="H29" s="56">
        <v>59.604999999999997</v>
      </c>
      <c r="I29" s="56">
        <v>59.604999999999997</v>
      </c>
      <c r="J29" s="56">
        <v>66.894999999999996</v>
      </c>
      <c r="K29" s="56">
        <v>66.894999999999996</v>
      </c>
      <c r="L29" s="56">
        <v>66.894999999999996</v>
      </c>
      <c r="M29" s="56">
        <v>66.894999999999996</v>
      </c>
      <c r="N29" s="57">
        <v>74.954999999999998</v>
      </c>
      <c r="O29" s="57">
        <v>77.635000000000005</v>
      </c>
      <c r="P29" s="57">
        <v>77.635000000000005</v>
      </c>
      <c r="Q29" s="57">
        <v>73.105000000000004</v>
      </c>
      <c r="R29" s="57">
        <v>80.385000000000005</v>
      </c>
      <c r="S29" s="57">
        <v>830.1099999999999</v>
      </c>
      <c r="U29" s="62">
        <f t="shared" si="2"/>
        <v>24.528806584362137</v>
      </c>
      <c r="V29" s="62">
        <f t="shared" si="2"/>
        <v>24.528806584362137</v>
      </c>
      <c r="W29" s="62">
        <f t="shared" si="2"/>
        <v>24.528806584362137</v>
      </c>
      <c r="X29" s="62">
        <f t="shared" si="2"/>
        <v>27.528806584362137</v>
      </c>
      <c r="Y29" s="62">
        <f t="shared" si="2"/>
        <v>27.528806584362137</v>
      </c>
      <c r="Z29" s="62">
        <f t="shared" si="2"/>
        <v>27.528806584362137</v>
      </c>
      <c r="AA29" s="62">
        <f t="shared" si="2"/>
        <v>27.528806584362137</v>
      </c>
      <c r="AB29" s="62">
        <f t="shared" si="15"/>
        <v>30.845679012345677</v>
      </c>
      <c r="AC29" s="62">
        <f t="shared" si="15"/>
        <v>31.948559670781894</v>
      </c>
      <c r="AD29" s="62">
        <f t="shared" si="15"/>
        <v>31.948559670781894</v>
      </c>
      <c r="AE29" s="62">
        <f t="shared" si="15"/>
        <v>30.084362139917694</v>
      </c>
      <c r="AF29" s="62">
        <f t="shared" si="15"/>
        <v>33.080246913580247</v>
      </c>
      <c r="AG29" s="62">
        <f t="shared" si="7"/>
        <v>341.6090534979424</v>
      </c>
      <c r="AH29" s="62">
        <f t="shared" si="8"/>
        <v>28.467421124828533</v>
      </c>
      <c r="AN29" s="27">
        <f t="shared" si="6"/>
        <v>0</v>
      </c>
      <c r="AQ29" s="59">
        <v>2.4300000000000002</v>
      </c>
      <c r="AR29" s="60">
        <f t="shared" ca="1" si="9"/>
        <v>0.2860116496185664</v>
      </c>
      <c r="AS29" s="60">
        <f t="shared" ca="1" si="10"/>
        <v>97.704168915583608</v>
      </c>
      <c r="AT29" s="60">
        <f t="shared" ca="1" si="11"/>
        <v>2.7160116496185664</v>
      </c>
      <c r="AU29" s="60">
        <f t="shared" ca="1" si="12"/>
        <v>927.81416891558354</v>
      </c>
      <c r="AV29" s="61"/>
      <c r="AW29" s="61"/>
      <c r="BC29" s="300">
        <f t="shared" ca="1" si="13"/>
        <v>3.5381679246885298</v>
      </c>
      <c r="BD29" s="300">
        <f t="shared" ca="1" si="14"/>
        <v>931.35233684027207</v>
      </c>
    </row>
    <row r="30" spans="1:56" outlineLevel="1">
      <c r="A30" s="23" t="str">
        <f t="shared" si="1"/>
        <v>VashonResidentialRESTART FEE</v>
      </c>
      <c r="B30" s="23" t="s">
        <v>193</v>
      </c>
      <c r="C30" s="23" t="s">
        <v>193</v>
      </c>
      <c r="D30" s="54">
        <v>15.85</v>
      </c>
      <c r="E30" s="54">
        <v>15.85</v>
      </c>
      <c r="F30" s="55"/>
      <c r="G30" s="56">
        <v>47.55</v>
      </c>
      <c r="H30" s="56">
        <v>253.6</v>
      </c>
      <c r="I30" s="56">
        <v>31.7</v>
      </c>
      <c r="J30" s="56">
        <v>364.55</v>
      </c>
      <c r="K30" s="56">
        <v>15.85</v>
      </c>
      <c r="L30" s="56">
        <v>142.65</v>
      </c>
      <c r="M30" s="56">
        <v>0</v>
      </c>
      <c r="N30" s="57">
        <v>221.9</v>
      </c>
      <c r="O30" s="57">
        <v>95.1</v>
      </c>
      <c r="P30" s="57">
        <v>221.9</v>
      </c>
      <c r="Q30" s="57">
        <v>79.25</v>
      </c>
      <c r="R30" s="57">
        <v>221.9</v>
      </c>
      <c r="S30" s="57">
        <v>1695.95</v>
      </c>
      <c r="U30" s="62">
        <f t="shared" si="2"/>
        <v>3</v>
      </c>
      <c r="V30" s="62">
        <f t="shared" si="2"/>
        <v>16</v>
      </c>
      <c r="W30" s="62">
        <f t="shared" si="2"/>
        <v>2</v>
      </c>
      <c r="X30" s="62">
        <f t="shared" si="2"/>
        <v>23</v>
      </c>
      <c r="Y30" s="62">
        <f t="shared" si="2"/>
        <v>1</v>
      </c>
      <c r="Z30" s="62">
        <f t="shared" si="2"/>
        <v>9</v>
      </c>
      <c r="AA30" s="62">
        <f t="shared" si="2"/>
        <v>0</v>
      </c>
      <c r="AB30" s="62">
        <f t="shared" si="15"/>
        <v>14</v>
      </c>
      <c r="AC30" s="62">
        <f t="shared" si="15"/>
        <v>6</v>
      </c>
      <c r="AD30" s="62">
        <f t="shared" si="15"/>
        <v>14</v>
      </c>
      <c r="AE30" s="62">
        <f t="shared" si="15"/>
        <v>5</v>
      </c>
      <c r="AF30" s="62">
        <f t="shared" si="15"/>
        <v>14</v>
      </c>
      <c r="AG30" s="62">
        <f t="shared" si="7"/>
        <v>107</v>
      </c>
      <c r="AH30" s="62">
        <f t="shared" si="8"/>
        <v>8.9166666666666661</v>
      </c>
      <c r="AN30" s="27">
        <f t="shared" si="6"/>
        <v>0</v>
      </c>
      <c r="AQ30" s="59">
        <v>15.85</v>
      </c>
      <c r="AR30" s="60">
        <f t="shared" ca="1" si="9"/>
        <v>1.8655492372239821</v>
      </c>
      <c r="AS30" s="60">
        <f t="shared" ca="1" si="10"/>
        <v>199.6137683829661</v>
      </c>
      <c r="AT30" s="60">
        <f t="shared" ca="1" si="11"/>
        <v>17.715549237223982</v>
      </c>
      <c r="AU30" s="60">
        <f t="shared" ca="1" si="12"/>
        <v>1895.5637683829661</v>
      </c>
      <c r="AV30" s="61"/>
      <c r="AW30" s="61"/>
      <c r="BC30" s="300">
        <f t="shared" ca="1" si="13"/>
        <v>7.2286274010378291</v>
      </c>
      <c r="BD30" s="300">
        <f t="shared" ca="1" si="14"/>
        <v>1902.7923957840039</v>
      </c>
    </row>
    <row r="31" spans="1:56" outlineLevel="1">
      <c r="A31" s="23" t="str">
        <f t="shared" si="1"/>
        <v>VashonResidentialREXTRA</v>
      </c>
      <c r="B31" s="23" t="s">
        <v>194</v>
      </c>
      <c r="C31" s="23" t="s">
        <v>195</v>
      </c>
      <c r="D31" s="54">
        <v>4.1100000000000003</v>
      </c>
      <c r="E31" s="54">
        <v>4.2699999999999996</v>
      </c>
      <c r="F31" s="55"/>
      <c r="G31" s="56">
        <v>3924.8499999999995</v>
      </c>
      <c r="H31" s="56">
        <v>4583.7</v>
      </c>
      <c r="I31" s="56">
        <v>4011.36</v>
      </c>
      <c r="J31" s="56">
        <v>3835.84</v>
      </c>
      <c r="K31" s="56">
        <v>3390.72</v>
      </c>
      <c r="L31" s="56">
        <v>2807.13</v>
      </c>
      <c r="M31" s="56">
        <v>2687.94</v>
      </c>
      <c r="N31" s="57">
        <v>3337.32</v>
      </c>
      <c r="O31" s="57">
        <v>2712.6</v>
      </c>
      <c r="P31" s="57">
        <v>2807.1299999999997</v>
      </c>
      <c r="Q31" s="57">
        <v>3316.77</v>
      </c>
      <c r="R31" s="57">
        <v>3345.54</v>
      </c>
      <c r="S31" s="57">
        <v>40760.899999999994</v>
      </c>
      <c r="U31" s="62">
        <f t="shared" si="2"/>
        <v>954.9513381995132</v>
      </c>
      <c r="V31" s="62">
        <f t="shared" si="2"/>
        <v>1115.2554744525546</v>
      </c>
      <c r="W31" s="62">
        <f t="shared" si="2"/>
        <v>976</v>
      </c>
      <c r="X31" s="62">
        <f t="shared" si="2"/>
        <v>933.29440389294405</v>
      </c>
      <c r="Y31" s="62">
        <f t="shared" si="2"/>
        <v>824.99270072992692</v>
      </c>
      <c r="Z31" s="62">
        <f t="shared" si="2"/>
        <v>683</v>
      </c>
      <c r="AA31" s="62">
        <f t="shared" si="2"/>
        <v>654</v>
      </c>
      <c r="AB31" s="62">
        <f t="shared" si="15"/>
        <v>781.57377049180343</v>
      </c>
      <c r="AC31" s="62">
        <f t="shared" si="15"/>
        <v>635.26932084309135</v>
      </c>
      <c r="AD31" s="62">
        <f t="shared" si="15"/>
        <v>657.40749414519905</v>
      </c>
      <c r="AE31" s="62">
        <f t="shared" si="15"/>
        <v>776.76112412177997</v>
      </c>
      <c r="AF31" s="62">
        <f t="shared" si="15"/>
        <v>783.49882903981268</v>
      </c>
      <c r="AG31" s="62">
        <f t="shared" si="7"/>
        <v>9776.0044559166254</v>
      </c>
      <c r="AH31" s="62">
        <f t="shared" si="8"/>
        <v>814.66703799305208</v>
      </c>
      <c r="AN31" s="27">
        <f t="shared" si="6"/>
        <v>0</v>
      </c>
      <c r="AQ31" s="59">
        <v>4.4400000000000004</v>
      </c>
      <c r="AR31" s="60">
        <f t="shared" ca="1" si="9"/>
        <v>0.52258918695738055</v>
      </c>
      <c r="AS31" s="60">
        <f t="shared" ca="1" si="10"/>
        <v>5108.8342203091979</v>
      </c>
      <c r="AT31" s="60">
        <f t="shared" ca="1" si="11"/>
        <v>4.9625891869573806</v>
      </c>
      <c r="AU31" s="60">
        <f t="shared" ca="1" si="12"/>
        <v>45869.73422030919</v>
      </c>
      <c r="AV31" s="61"/>
      <c r="AW31" s="61"/>
      <c r="BC31" s="300">
        <f t="shared" ca="1" si="13"/>
        <v>174.92168989181718</v>
      </c>
      <c r="BD31" s="300">
        <f t="shared" ca="1" si="14"/>
        <v>46044.655910201007</v>
      </c>
    </row>
    <row r="32" spans="1:56" outlineLevel="1">
      <c r="A32" s="23" t="str">
        <f t="shared" si="1"/>
        <v>VashonResidentialTRIPRCANS</v>
      </c>
      <c r="B32" s="23" t="s">
        <v>196</v>
      </c>
      <c r="C32" s="23" t="s">
        <v>197</v>
      </c>
      <c r="D32" s="54">
        <v>2.81</v>
      </c>
      <c r="E32" s="54">
        <v>2.81</v>
      </c>
      <c r="F32" s="55"/>
      <c r="G32" s="56">
        <v>14.05</v>
      </c>
      <c r="H32" s="56">
        <v>14.05</v>
      </c>
      <c r="I32" s="56">
        <v>11.24</v>
      </c>
      <c r="J32" s="56">
        <v>25.290000000000003</v>
      </c>
      <c r="K32" s="56">
        <v>0</v>
      </c>
      <c r="L32" s="56">
        <v>2.81</v>
      </c>
      <c r="M32" s="56">
        <v>16.86</v>
      </c>
      <c r="N32" s="57">
        <v>2.81</v>
      </c>
      <c r="O32" s="57">
        <v>5.62</v>
      </c>
      <c r="P32" s="57">
        <v>2.81</v>
      </c>
      <c r="Q32" s="57">
        <v>14.05</v>
      </c>
      <c r="R32" s="57">
        <v>16.86</v>
      </c>
      <c r="S32" s="57">
        <v>126.45000000000002</v>
      </c>
      <c r="U32" s="62">
        <f t="shared" si="2"/>
        <v>5</v>
      </c>
      <c r="V32" s="62">
        <f t="shared" si="2"/>
        <v>5</v>
      </c>
      <c r="W32" s="62">
        <f t="shared" si="2"/>
        <v>4</v>
      </c>
      <c r="X32" s="62">
        <f t="shared" si="2"/>
        <v>9</v>
      </c>
      <c r="Y32" s="62">
        <f t="shared" si="2"/>
        <v>0</v>
      </c>
      <c r="Z32" s="62">
        <f t="shared" si="2"/>
        <v>1</v>
      </c>
      <c r="AA32" s="62">
        <f t="shared" si="2"/>
        <v>6</v>
      </c>
      <c r="AB32" s="62">
        <f t="shared" si="15"/>
        <v>1</v>
      </c>
      <c r="AC32" s="62">
        <f t="shared" si="15"/>
        <v>2</v>
      </c>
      <c r="AD32" s="62">
        <f t="shared" si="15"/>
        <v>1</v>
      </c>
      <c r="AE32" s="62">
        <f t="shared" si="15"/>
        <v>5</v>
      </c>
      <c r="AF32" s="62">
        <f t="shared" si="15"/>
        <v>6</v>
      </c>
      <c r="AG32" s="62">
        <f t="shared" si="7"/>
        <v>45</v>
      </c>
      <c r="AH32" s="62">
        <f t="shared" si="8"/>
        <v>3.75</v>
      </c>
      <c r="AN32" s="27">
        <f t="shared" si="6"/>
        <v>0</v>
      </c>
      <c r="AO32" s="24"/>
      <c r="AP32" s="55"/>
      <c r="AQ32" s="54">
        <v>2.81</v>
      </c>
      <c r="AR32" s="60">
        <f t="shared" ca="1" si="9"/>
        <v>0.33073775120500887</v>
      </c>
      <c r="AS32" s="60">
        <f t="shared" ca="1" si="10"/>
        <v>14.883198804225401</v>
      </c>
      <c r="AT32" s="60">
        <f t="shared" ca="1" si="11"/>
        <v>3.140737751205009</v>
      </c>
      <c r="AU32" s="60">
        <f t="shared" ca="1" si="12"/>
        <v>141.33319880422542</v>
      </c>
      <c r="AV32" s="61"/>
      <c r="AW32" s="61"/>
      <c r="BC32" s="300">
        <f t="shared" ca="1" si="13"/>
        <v>0.53896632262816335</v>
      </c>
      <c r="BD32" s="300">
        <f t="shared" ca="1" si="14"/>
        <v>141.87216512685359</v>
      </c>
    </row>
    <row r="33" spans="1:56" outlineLevel="1">
      <c r="A33" s="23" t="str">
        <f t="shared" si="1"/>
        <v>VashonResidentialTRIPRCARTS</v>
      </c>
      <c r="B33" s="23" t="s">
        <v>198</v>
      </c>
      <c r="C33" s="23" t="s">
        <v>199</v>
      </c>
      <c r="D33" s="54">
        <v>3.98</v>
      </c>
      <c r="E33" s="54">
        <v>3.98</v>
      </c>
      <c r="F33" s="55"/>
      <c r="G33" s="56">
        <v>3.98</v>
      </c>
      <c r="H33" s="56">
        <v>3.98</v>
      </c>
      <c r="I33" s="56">
        <v>0</v>
      </c>
      <c r="J33" s="56">
        <v>3.98</v>
      </c>
      <c r="K33" s="56">
        <v>3.98</v>
      </c>
      <c r="L33" s="56">
        <v>0</v>
      </c>
      <c r="M33" s="56">
        <v>3.98</v>
      </c>
      <c r="N33" s="57">
        <v>0</v>
      </c>
      <c r="O33" s="57">
        <v>3.98</v>
      </c>
      <c r="P33" s="57">
        <v>0</v>
      </c>
      <c r="Q33" s="57">
        <v>0</v>
      </c>
      <c r="R33" s="57">
        <v>3.98</v>
      </c>
      <c r="S33" s="57">
        <v>27.86</v>
      </c>
      <c r="U33" s="62">
        <f t="shared" si="2"/>
        <v>1</v>
      </c>
      <c r="V33" s="62">
        <f t="shared" si="2"/>
        <v>1</v>
      </c>
      <c r="W33" s="62">
        <f t="shared" si="2"/>
        <v>0</v>
      </c>
      <c r="X33" s="62">
        <f t="shared" si="2"/>
        <v>1</v>
      </c>
      <c r="Y33" s="62">
        <f t="shared" si="2"/>
        <v>1</v>
      </c>
      <c r="Z33" s="62">
        <f t="shared" si="2"/>
        <v>0</v>
      </c>
      <c r="AA33" s="62">
        <f t="shared" si="2"/>
        <v>1</v>
      </c>
      <c r="AB33" s="62">
        <f t="shared" si="15"/>
        <v>0</v>
      </c>
      <c r="AC33" s="62">
        <f t="shared" si="15"/>
        <v>1</v>
      </c>
      <c r="AD33" s="62">
        <f t="shared" si="15"/>
        <v>0</v>
      </c>
      <c r="AE33" s="62">
        <f t="shared" si="15"/>
        <v>0</v>
      </c>
      <c r="AF33" s="62">
        <f t="shared" si="15"/>
        <v>1</v>
      </c>
      <c r="AG33" s="62">
        <f t="shared" si="7"/>
        <v>7</v>
      </c>
      <c r="AH33" s="62">
        <f t="shared" si="8"/>
        <v>0.58333333333333337</v>
      </c>
      <c r="AN33" s="27">
        <f t="shared" si="6"/>
        <v>0</v>
      </c>
      <c r="AO33" s="24"/>
      <c r="AP33" s="55"/>
      <c r="AQ33" s="54">
        <v>3.98</v>
      </c>
      <c r="AR33" s="60">
        <f t="shared" ca="1" si="9"/>
        <v>0.46844706398431857</v>
      </c>
      <c r="AS33" s="60">
        <f t="shared" ca="1" si="10"/>
        <v>3.27912944789023</v>
      </c>
      <c r="AT33" s="60">
        <f t="shared" ca="1" si="11"/>
        <v>4.4484470639843181</v>
      </c>
      <c r="AU33" s="60">
        <f t="shared" ca="1" si="12"/>
        <v>31.13912944789023</v>
      </c>
      <c r="AV33" s="61"/>
      <c r="AW33" s="61"/>
      <c r="BC33" s="300">
        <f t="shared" ca="1" si="13"/>
        <v>0.11874734478782624</v>
      </c>
      <c r="BD33" s="300">
        <f t="shared" ca="1" si="14"/>
        <v>31.257876792678058</v>
      </c>
    </row>
    <row r="34" spans="1:56" ht="15" outlineLevel="1" thickBot="1">
      <c r="E34" s="55"/>
      <c r="F34" s="55"/>
      <c r="G34" s="55"/>
      <c r="H34" s="55"/>
      <c r="I34" s="55"/>
      <c r="J34" s="55"/>
      <c r="K34" s="55"/>
      <c r="L34" s="55"/>
      <c r="M34" s="55"/>
      <c r="N34" s="57"/>
      <c r="O34" s="57"/>
      <c r="P34" s="57"/>
      <c r="Q34" s="57"/>
      <c r="R34" s="57"/>
      <c r="S34" s="57"/>
      <c r="AB34" s="62"/>
      <c r="AC34" s="62"/>
      <c r="AD34" s="62"/>
      <c r="AE34" s="62"/>
      <c r="AF34" s="62"/>
      <c r="AG34" s="62"/>
      <c r="AH34" s="62"/>
      <c r="AN34" s="27">
        <f t="shared" si="6"/>
        <v>0</v>
      </c>
      <c r="AO34" s="24"/>
      <c r="AP34" s="55"/>
      <c r="AQ34" s="55"/>
      <c r="AR34" s="60">
        <f t="shared" ref="AR34" ca="1" si="16">+$AT$2*E34</f>
        <v>0</v>
      </c>
      <c r="AS34" s="60">
        <f t="shared" ca="1" si="10"/>
        <v>0</v>
      </c>
      <c r="AT34" s="60">
        <f t="shared" ref="AT34" ca="1" si="17">+AR34+E34</f>
        <v>0</v>
      </c>
      <c r="AU34" s="60">
        <f t="shared" ca="1" si="12"/>
        <v>0</v>
      </c>
    </row>
    <row r="35" spans="1:56" ht="15" outlineLevel="1" thickBot="1">
      <c r="C35" s="64" t="s">
        <v>200</v>
      </c>
      <c r="D35" s="64"/>
      <c r="E35" s="55"/>
      <c r="F35" s="55"/>
      <c r="G35" s="65">
        <f>+SUM(G10:G34)</f>
        <v>50759.68</v>
      </c>
      <c r="H35" s="65">
        <f t="shared" ref="H35:S35" si="18">+SUM(H10:H34)</f>
        <v>52577.905000000006</v>
      </c>
      <c r="I35" s="65">
        <f t="shared" si="18"/>
        <v>51772.305</v>
      </c>
      <c r="J35" s="65">
        <f t="shared" si="18"/>
        <v>52890.24500000001</v>
      </c>
      <c r="K35" s="65">
        <f t="shared" si="18"/>
        <v>50435.03</v>
      </c>
      <c r="L35" s="65">
        <f t="shared" si="18"/>
        <v>50208.144999999997</v>
      </c>
      <c r="M35" s="65">
        <f t="shared" si="18"/>
        <v>49948.19000000001</v>
      </c>
      <c r="N35" s="65">
        <f t="shared" si="18"/>
        <v>51656.42000000002</v>
      </c>
      <c r="O35" s="65">
        <f t="shared" si="18"/>
        <v>50770.285000000011</v>
      </c>
      <c r="P35" s="65">
        <f t="shared" si="18"/>
        <v>51796.79</v>
      </c>
      <c r="Q35" s="65">
        <f t="shared" si="18"/>
        <v>51779.715000000011</v>
      </c>
      <c r="R35" s="65">
        <f t="shared" si="18"/>
        <v>52140.495000000024</v>
      </c>
      <c r="S35" s="65">
        <f t="shared" si="18"/>
        <v>616735.20499999996</v>
      </c>
      <c r="U35" s="65">
        <f>SUM(U10:U18)</f>
        <v>2427.5712738519915</v>
      </c>
      <c r="V35" s="65">
        <f t="shared" ref="V35:AG35" si="19">SUM(V10:V18)</f>
        <v>2457.7217556316277</v>
      </c>
      <c r="W35" s="65">
        <f t="shared" si="19"/>
        <v>2476.0158797761273</v>
      </c>
      <c r="X35" s="65">
        <f t="shared" si="19"/>
        <v>2511.1984285973754</v>
      </c>
      <c r="Y35" s="65">
        <f t="shared" si="19"/>
        <v>2448.6896674397631</v>
      </c>
      <c r="Z35" s="65">
        <f t="shared" si="19"/>
        <v>2463.8783666994714</v>
      </c>
      <c r="AA35" s="65">
        <f t="shared" si="19"/>
        <v>2464.8800696737235</v>
      </c>
      <c r="AB35" s="65">
        <f t="shared" si="19"/>
        <v>2409.2121007424616</v>
      </c>
      <c r="AC35" s="65">
        <f t="shared" si="19"/>
        <v>2434.0447055785739</v>
      </c>
      <c r="AD35" s="65">
        <f t="shared" si="19"/>
        <v>2466.8973913800637</v>
      </c>
      <c r="AE35" s="65">
        <f t="shared" si="19"/>
        <v>2449.551118337843</v>
      </c>
      <c r="AF35" s="65">
        <f t="shared" si="19"/>
        <v>2468.210736038131</v>
      </c>
      <c r="AG35" s="65">
        <f t="shared" si="19"/>
        <v>29477.871493747152</v>
      </c>
      <c r="AH35" s="65">
        <f>SUM(AH10:AH18)</f>
        <v>2456.4892911455959</v>
      </c>
      <c r="AJ35" s="66">
        <f>+SUMIF(AJ10:AJ34,"&lt;&gt;",$AN10:$AN34)</f>
        <v>0</v>
      </c>
      <c r="AK35" s="66">
        <f t="shared" ref="AK35:AL35" si="20">+SUMIF(AK10:AK34,"&lt;&gt;",$AN10:$AN34)</f>
        <v>0</v>
      </c>
      <c r="AL35" s="66">
        <f t="shared" si="20"/>
        <v>0</v>
      </c>
      <c r="AM35" s="67"/>
      <c r="AN35" s="68">
        <f>+SUM(AN10:AN34)</f>
        <v>0</v>
      </c>
      <c r="AO35" s="23" t="s">
        <v>201</v>
      </c>
      <c r="AP35" s="69">
        <f>+SUM(AJ35:AL35)-AN35</f>
        <v>0</v>
      </c>
      <c r="AQ35" s="69"/>
      <c r="AR35" s="70"/>
      <c r="AS35" s="71">
        <f ca="1">SUM(AS10:AS34)</f>
        <v>76882.330633131918</v>
      </c>
      <c r="AT35" s="70"/>
      <c r="AU35" s="71">
        <f ca="1">SUM(AU10:AU34)</f>
        <v>693617.53563313186</v>
      </c>
      <c r="AV35" s="72">
        <f ca="1">+AS35/S35</f>
        <v>0.12466019453702488</v>
      </c>
      <c r="BC35" s="71">
        <f ca="1">SUM(BC9:BC34)</f>
        <v>2645.0720400691989</v>
      </c>
      <c r="BD35" s="71">
        <f ca="1">SUM(BD9:BD34)</f>
        <v>696262.60767320113</v>
      </c>
    </row>
    <row r="36" spans="1:56" outlineLevel="1">
      <c r="E36" s="55"/>
      <c r="F36" s="55"/>
      <c r="G36" s="55"/>
      <c r="H36" s="55"/>
      <c r="I36" s="55"/>
      <c r="J36" s="55"/>
      <c r="K36" s="55"/>
      <c r="L36" s="55"/>
      <c r="M36" s="55"/>
      <c r="N36" s="57"/>
      <c r="O36" s="57"/>
      <c r="P36" s="57"/>
      <c r="Q36" s="57"/>
      <c r="R36" s="57"/>
      <c r="S36" s="57"/>
      <c r="AB36" s="62"/>
      <c r="AC36" s="62"/>
      <c r="AD36" s="62"/>
      <c r="AE36" s="62"/>
      <c r="AF36" s="62"/>
      <c r="AG36" s="62"/>
      <c r="AH36" s="62"/>
      <c r="AI36" s="41" t="s">
        <v>130</v>
      </c>
      <c r="AJ36" s="73"/>
      <c r="AK36" s="73"/>
      <c r="AL36" s="73"/>
      <c r="AM36" s="73"/>
      <c r="AN36" s="73"/>
      <c r="AO36" s="73"/>
    </row>
    <row r="37" spans="1:56" outlineLevel="1">
      <c r="B37" s="24" t="s">
        <v>202</v>
      </c>
      <c r="E37" s="55"/>
      <c r="F37" s="55"/>
      <c r="G37" s="55"/>
      <c r="H37" s="55"/>
      <c r="I37" s="55"/>
      <c r="J37" s="55"/>
      <c r="K37" s="55"/>
      <c r="L37" s="55"/>
      <c r="M37" s="55"/>
      <c r="N37" s="57"/>
      <c r="O37" s="57"/>
      <c r="P37" s="57"/>
      <c r="Q37" s="57"/>
      <c r="R37" s="57"/>
      <c r="S37" s="57"/>
      <c r="AB37" s="62"/>
      <c r="AC37" s="62"/>
      <c r="AD37" s="62"/>
      <c r="AE37" s="62"/>
      <c r="AF37" s="62"/>
      <c r="AG37" s="62"/>
      <c r="AH37" s="62"/>
    </row>
    <row r="38" spans="1:56" outlineLevel="1">
      <c r="A38" s="23" t="str">
        <f t="shared" ref="A38:A41" si="21">+$A$4&amp;$A$9&amp;B38</f>
        <v>VashonResidentialrecyonly</v>
      </c>
      <c r="B38" s="23" t="s">
        <v>203</v>
      </c>
      <c r="C38" s="23" t="s">
        <v>204</v>
      </c>
      <c r="D38" s="54">
        <v>16.07</v>
      </c>
      <c r="E38" s="54">
        <v>16.07</v>
      </c>
      <c r="F38" s="55"/>
      <c r="G38" s="56">
        <v>233.01499999999999</v>
      </c>
      <c r="H38" s="56">
        <v>247.82499999999999</v>
      </c>
      <c r="I38" s="56">
        <v>257.12</v>
      </c>
      <c r="J38" s="56">
        <v>257.12</v>
      </c>
      <c r="K38" s="56">
        <v>257.12</v>
      </c>
      <c r="L38" s="56">
        <v>265.14999999999998</v>
      </c>
      <c r="M38" s="56">
        <v>273.19</v>
      </c>
      <c r="N38" s="57">
        <v>249.08</v>
      </c>
      <c r="O38" s="57">
        <v>257.12</v>
      </c>
      <c r="P38" s="57">
        <v>281.22000000000003</v>
      </c>
      <c r="Q38" s="57">
        <v>265.15499999999997</v>
      </c>
      <c r="R38" s="57">
        <v>273.19499999999999</v>
      </c>
      <c r="S38" s="57">
        <v>3116.31</v>
      </c>
      <c r="U38" s="58">
        <f t="shared" ref="U38:AA41" si="22">+IFERROR(G38/$D38,0)</f>
        <v>14.499999999999998</v>
      </c>
      <c r="V38" s="58">
        <f t="shared" si="22"/>
        <v>15.421593030491598</v>
      </c>
      <c r="W38" s="58">
        <f t="shared" si="22"/>
        <v>16</v>
      </c>
      <c r="X38" s="58">
        <f t="shared" si="22"/>
        <v>16</v>
      </c>
      <c r="Y38" s="58">
        <f t="shared" si="22"/>
        <v>16</v>
      </c>
      <c r="Z38" s="58">
        <f t="shared" si="22"/>
        <v>16.499688861232109</v>
      </c>
      <c r="AA38" s="58">
        <f t="shared" si="22"/>
        <v>17</v>
      </c>
      <c r="AB38" s="58">
        <f t="shared" ref="AB38:AF41" si="23">+IFERROR(N38/$E38,0)</f>
        <v>15.49968886123211</v>
      </c>
      <c r="AC38" s="58">
        <f t="shared" si="23"/>
        <v>16</v>
      </c>
      <c r="AD38" s="58">
        <f t="shared" si="23"/>
        <v>17.499688861232112</v>
      </c>
      <c r="AE38" s="58">
        <f t="shared" si="23"/>
        <v>16.499999999999996</v>
      </c>
      <c r="AF38" s="58">
        <f t="shared" si="23"/>
        <v>17.000311138767891</v>
      </c>
      <c r="AG38" s="58">
        <f t="shared" ref="AG38" si="24">SUM(U38:AF38)</f>
        <v>193.92097075295584</v>
      </c>
      <c r="AH38" s="58">
        <f t="shared" ref="AH38" si="25">+SUM(U38:AF38)/$AB$2</f>
        <v>16.160080896079652</v>
      </c>
      <c r="AJ38" s="26">
        <v>95</v>
      </c>
      <c r="AM38" s="26">
        <v>1</v>
      </c>
      <c r="AN38" s="27">
        <f t="shared" ref="AN38:AN39" si="26">AM38*AH38</f>
        <v>16.160080896079652</v>
      </c>
      <c r="AQ38" s="59">
        <v>16.07</v>
      </c>
      <c r="AR38" s="60">
        <f ca="1">+$AT$3*AQ38</f>
        <v>-0.52313363181444428</v>
      </c>
      <c r="AS38" s="60">
        <f t="shared" ref="AS38:AS42" ca="1" si="27">+AH38*AR38*12</f>
        <v>-101.44658171497642</v>
      </c>
      <c r="AT38" s="60">
        <f t="shared" ref="AT38" ca="1" si="28">+AR38+AQ38</f>
        <v>15.546866368185556</v>
      </c>
      <c r="AU38" s="60">
        <f t="shared" ref="AU38:AU42" ca="1" si="29">+AS38+S38</f>
        <v>3014.8634182850237</v>
      </c>
      <c r="BC38" s="300">
        <f ca="1">AU38*BD$3</f>
        <v>11.55531536464208</v>
      </c>
      <c r="BD38" s="300">
        <f t="shared" ref="BD38" ca="1" si="30">+AU38+BC38</f>
        <v>3026.4187336496657</v>
      </c>
    </row>
    <row r="39" spans="1:56" outlineLevel="1">
      <c r="A39" s="23" t="str">
        <f t="shared" si="21"/>
        <v>VashonResidentialRECYR</v>
      </c>
      <c r="B39" s="23" t="s">
        <v>205</v>
      </c>
      <c r="C39" s="23" t="s">
        <v>206</v>
      </c>
      <c r="D39" s="54">
        <v>14.57</v>
      </c>
      <c r="E39" s="54">
        <v>14.57</v>
      </c>
      <c r="F39" s="55"/>
      <c r="G39" s="56">
        <v>20391.505000000001</v>
      </c>
      <c r="H39" s="56">
        <v>20882.825000000004</v>
      </c>
      <c r="I39" s="56">
        <v>21128.005000000001</v>
      </c>
      <c r="J39" s="56">
        <v>21448.705000000002</v>
      </c>
      <c r="K39" s="56">
        <v>21146.179999999997</v>
      </c>
      <c r="L39" s="56">
        <v>21250.300000000003</v>
      </c>
      <c r="M39" s="56">
        <v>21029.244999999999</v>
      </c>
      <c r="N39" s="57">
        <v>21234.45</v>
      </c>
      <c r="O39" s="57">
        <v>21087.789999999997</v>
      </c>
      <c r="P39" s="57">
        <v>21299.879999999997</v>
      </c>
      <c r="Q39" s="57">
        <v>21225.599999999999</v>
      </c>
      <c r="R39" s="57">
        <v>21541.614999999998</v>
      </c>
      <c r="S39" s="57">
        <v>253666.10000000003</v>
      </c>
      <c r="U39" s="58">
        <f t="shared" si="22"/>
        <v>1399.554221002059</v>
      </c>
      <c r="V39" s="58">
        <f t="shared" si="22"/>
        <v>1433.2755662319837</v>
      </c>
      <c r="W39" s="58">
        <f t="shared" si="22"/>
        <v>1450.1032944406315</v>
      </c>
      <c r="X39" s="58">
        <f t="shared" si="22"/>
        <v>1472.114275909403</v>
      </c>
      <c r="Y39" s="58">
        <f t="shared" si="22"/>
        <v>1451.3507206588879</v>
      </c>
      <c r="Z39" s="58">
        <f t="shared" si="22"/>
        <v>1458.4969114619082</v>
      </c>
      <c r="AA39" s="58">
        <f t="shared" si="22"/>
        <v>1443.324982841455</v>
      </c>
      <c r="AB39" s="58">
        <f t="shared" si="23"/>
        <v>1457.4090597117365</v>
      </c>
      <c r="AC39" s="58">
        <f t="shared" si="23"/>
        <v>1447.3431708991075</v>
      </c>
      <c r="AD39" s="58">
        <f t="shared" si="23"/>
        <v>1461.8997940974602</v>
      </c>
      <c r="AE39" s="58">
        <f t="shared" si="23"/>
        <v>1456.8016472203155</v>
      </c>
      <c r="AF39" s="58">
        <f t="shared" si="23"/>
        <v>1478.4910775566229</v>
      </c>
      <c r="AG39" s="58">
        <f t="shared" ref="AG39:AG41" si="31">SUM(U39:AF39)</f>
        <v>17410.164722031572</v>
      </c>
      <c r="AH39" s="58">
        <f t="shared" ref="AH39:AH41" si="32">+SUM(U39:AF39)/$AB$2</f>
        <v>1450.8470601692977</v>
      </c>
      <c r="AJ39" s="26">
        <v>95</v>
      </c>
      <c r="AM39" s="26">
        <v>1</v>
      </c>
      <c r="AN39" s="27">
        <f t="shared" si="26"/>
        <v>1450.8470601692977</v>
      </c>
      <c r="AQ39" s="59">
        <v>14.57</v>
      </c>
      <c r="AR39" s="60">
        <f t="shared" ref="AR39:AR41" ca="1" si="33">+$AT$3*AQ39</f>
        <v>-0.47430348572099895</v>
      </c>
      <c r="AS39" s="60">
        <f t="shared" ca="1" si="27"/>
        <v>-8257.7018146363407</v>
      </c>
      <c r="AT39" s="60">
        <f t="shared" ref="AT39:AT42" ca="1" si="34">+AR39+E39</f>
        <v>14.095696514279002</v>
      </c>
      <c r="AU39" s="60">
        <f t="shared" ca="1" si="29"/>
        <v>245408.39818536368</v>
      </c>
      <c r="BC39" s="300">
        <f t="shared" ref="BC39:BC41" ca="1" si="35">AU39*BD$3</f>
        <v>940.5969825912166</v>
      </c>
      <c r="BD39" s="300">
        <f t="shared" ref="BD39:BD41" ca="1" si="36">+AU39+BC39</f>
        <v>246348.99516795488</v>
      </c>
    </row>
    <row r="40" spans="1:56" outlineLevel="1">
      <c r="A40" s="23" t="str">
        <f t="shared" si="21"/>
        <v>VashonResidentialDRVNR-RECYCLE</v>
      </c>
      <c r="B40" s="23" t="s">
        <v>207</v>
      </c>
      <c r="C40" s="23" t="s">
        <v>208</v>
      </c>
      <c r="D40" s="54">
        <v>2.81</v>
      </c>
      <c r="E40" s="54">
        <v>2.81</v>
      </c>
      <c r="F40" s="55"/>
      <c r="G40" s="56">
        <v>2.81</v>
      </c>
      <c r="H40" s="56">
        <v>2.81</v>
      </c>
      <c r="I40" s="56">
        <v>2.81</v>
      </c>
      <c r="J40" s="56">
        <v>2.81</v>
      </c>
      <c r="K40" s="56">
        <v>5.62</v>
      </c>
      <c r="L40" s="56">
        <v>5.62</v>
      </c>
      <c r="M40" s="56">
        <v>5.62</v>
      </c>
      <c r="N40" s="57">
        <v>5.62</v>
      </c>
      <c r="O40" s="57">
        <v>5.62</v>
      </c>
      <c r="P40" s="57">
        <v>5.62</v>
      </c>
      <c r="Q40" s="57">
        <v>5.62</v>
      </c>
      <c r="R40" s="57">
        <v>5.62</v>
      </c>
      <c r="S40" s="57">
        <v>56.199999999999989</v>
      </c>
      <c r="U40" s="62">
        <f t="shared" si="22"/>
        <v>1</v>
      </c>
      <c r="V40" s="62">
        <f t="shared" si="22"/>
        <v>1</v>
      </c>
      <c r="W40" s="62">
        <f t="shared" si="22"/>
        <v>1</v>
      </c>
      <c r="X40" s="62">
        <f t="shared" si="22"/>
        <v>1</v>
      </c>
      <c r="Y40" s="62">
        <f t="shared" si="22"/>
        <v>2</v>
      </c>
      <c r="Z40" s="62">
        <f t="shared" si="22"/>
        <v>2</v>
      </c>
      <c r="AA40" s="62">
        <f t="shared" si="22"/>
        <v>2</v>
      </c>
      <c r="AB40" s="62">
        <f t="shared" si="23"/>
        <v>2</v>
      </c>
      <c r="AC40" s="62">
        <f t="shared" si="23"/>
        <v>2</v>
      </c>
      <c r="AD40" s="62">
        <f t="shared" si="23"/>
        <v>2</v>
      </c>
      <c r="AE40" s="62">
        <f t="shared" si="23"/>
        <v>2</v>
      </c>
      <c r="AF40" s="62">
        <f t="shared" si="23"/>
        <v>2</v>
      </c>
      <c r="AG40" s="62">
        <f t="shared" si="31"/>
        <v>20</v>
      </c>
      <c r="AH40" s="62">
        <f t="shared" si="32"/>
        <v>1.6666666666666667</v>
      </c>
      <c r="AQ40" s="59">
        <v>2.81</v>
      </c>
      <c r="AR40" s="60">
        <f t="shared" ca="1" si="33"/>
        <v>-9.1475140348387579E-2</v>
      </c>
      <c r="AS40" s="60">
        <f t="shared" ca="1" si="27"/>
        <v>-1.8295028069677515</v>
      </c>
      <c r="AT40" s="60">
        <f t="shared" ca="1" si="34"/>
        <v>2.7185248596516125</v>
      </c>
      <c r="AU40" s="60">
        <f t="shared" ca="1" si="29"/>
        <v>54.370497193032236</v>
      </c>
      <c r="BC40" s="300">
        <f t="shared" ca="1" si="35"/>
        <v>0.20839028321729375</v>
      </c>
      <c r="BD40" s="300">
        <f t="shared" ca="1" si="36"/>
        <v>54.578887476249527</v>
      </c>
    </row>
    <row r="41" spans="1:56" outlineLevel="1">
      <c r="A41" s="23" t="str">
        <f t="shared" si="21"/>
        <v>VashonResidentialPACKR-RECYCLE</v>
      </c>
      <c r="B41" s="23" t="s">
        <v>209</v>
      </c>
      <c r="C41" s="23" t="s">
        <v>210</v>
      </c>
      <c r="D41" s="54">
        <v>2.4300000000000002</v>
      </c>
      <c r="E41" s="54">
        <v>2.4300000000000002</v>
      </c>
      <c r="F41" s="55"/>
      <c r="G41" s="56">
        <v>2.3650000000000002</v>
      </c>
      <c r="H41" s="56">
        <v>2.3650000000000002</v>
      </c>
      <c r="I41" s="56">
        <v>2.3650000000000002</v>
      </c>
      <c r="J41" s="56">
        <v>2.3650000000000002</v>
      </c>
      <c r="K41" s="56">
        <v>2.3650000000000002</v>
      </c>
      <c r="L41" s="56">
        <v>2.3650000000000002</v>
      </c>
      <c r="M41" s="56">
        <v>2.3650000000000002</v>
      </c>
      <c r="N41" s="57">
        <v>12.925000000000001</v>
      </c>
      <c r="O41" s="57">
        <v>12.925000000000001</v>
      </c>
      <c r="P41" s="57">
        <v>12.925000000000001</v>
      </c>
      <c r="Q41" s="57">
        <v>7.6449999999999996</v>
      </c>
      <c r="R41" s="57">
        <v>23.484999999999999</v>
      </c>
      <c r="S41" s="57">
        <v>86.46</v>
      </c>
      <c r="U41" s="62">
        <f t="shared" si="22"/>
        <v>0.97325102880658443</v>
      </c>
      <c r="V41" s="62">
        <f t="shared" si="22"/>
        <v>0.97325102880658443</v>
      </c>
      <c r="W41" s="62">
        <f t="shared" si="22"/>
        <v>0.97325102880658443</v>
      </c>
      <c r="X41" s="62">
        <f t="shared" si="22"/>
        <v>0.97325102880658443</v>
      </c>
      <c r="Y41" s="62">
        <f t="shared" si="22"/>
        <v>0.97325102880658443</v>
      </c>
      <c r="Z41" s="62">
        <f t="shared" si="22"/>
        <v>0.97325102880658443</v>
      </c>
      <c r="AA41" s="62">
        <f t="shared" si="22"/>
        <v>0.97325102880658443</v>
      </c>
      <c r="AB41" s="62">
        <f t="shared" si="23"/>
        <v>5.3189300411522638</v>
      </c>
      <c r="AC41" s="62">
        <f t="shared" si="23"/>
        <v>5.3189300411522638</v>
      </c>
      <c r="AD41" s="62">
        <f t="shared" si="23"/>
        <v>5.3189300411522638</v>
      </c>
      <c r="AE41" s="62">
        <f t="shared" si="23"/>
        <v>3.1460905349794235</v>
      </c>
      <c r="AF41" s="62">
        <f t="shared" si="23"/>
        <v>9.6646090534979407</v>
      </c>
      <c r="AG41" s="62">
        <f t="shared" si="31"/>
        <v>35.580246913580247</v>
      </c>
      <c r="AH41" s="62">
        <f t="shared" si="32"/>
        <v>2.9650205761316872</v>
      </c>
      <c r="AQ41" s="59">
        <v>2.4300000000000002</v>
      </c>
      <c r="AR41" s="60">
        <f t="shared" ca="1" si="33"/>
        <v>-7.9104836671381434E-2</v>
      </c>
      <c r="AS41" s="60">
        <f t="shared" ca="1" si="27"/>
        <v>-2.8145696208261888</v>
      </c>
      <c r="AT41" s="60">
        <f t="shared" ca="1" si="34"/>
        <v>2.3508951633286186</v>
      </c>
      <c r="AU41" s="60">
        <f t="shared" ca="1" si="29"/>
        <v>83.645430379173803</v>
      </c>
      <c r="BC41" s="300">
        <f t="shared" ca="1" si="35"/>
        <v>0.320594731084826</v>
      </c>
      <c r="BD41" s="300">
        <f t="shared" ca="1" si="36"/>
        <v>83.966025110258627</v>
      </c>
    </row>
    <row r="42" spans="1:56" ht="15" outlineLevel="1" thickBot="1">
      <c r="E42" s="55"/>
      <c r="F42" s="55"/>
      <c r="G42" s="55"/>
      <c r="H42" s="55"/>
      <c r="I42" s="55"/>
      <c r="J42" s="55"/>
      <c r="K42" s="55"/>
      <c r="L42" s="55"/>
      <c r="M42" s="55"/>
      <c r="N42" s="57"/>
      <c r="O42" s="57"/>
      <c r="P42" s="57"/>
      <c r="Q42" s="57"/>
      <c r="R42" s="57"/>
      <c r="S42" s="57"/>
      <c r="AB42" s="62"/>
      <c r="AC42" s="62"/>
      <c r="AD42" s="62"/>
      <c r="AE42" s="62"/>
      <c r="AF42" s="62"/>
      <c r="AG42" s="62"/>
      <c r="AH42" s="62"/>
      <c r="AR42" s="60">
        <f ca="1">+$AT$2*E42</f>
        <v>0</v>
      </c>
      <c r="AS42" s="60">
        <f t="shared" ca="1" si="27"/>
        <v>0</v>
      </c>
      <c r="AT42" s="60">
        <f t="shared" ca="1" si="34"/>
        <v>0</v>
      </c>
      <c r="AU42" s="60">
        <f t="shared" ca="1" si="29"/>
        <v>0</v>
      </c>
    </row>
    <row r="43" spans="1:56" ht="15" outlineLevel="1" thickBot="1">
      <c r="C43" s="64" t="s">
        <v>211</v>
      </c>
      <c r="D43" s="64"/>
      <c r="E43" s="55"/>
      <c r="F43" s="55"/>
      <c r="G43" s="65">
        <f t="shared" ref="G43:I43" si="37">+SUM(G38:G42)</f>
        <v>20629.695000000003</v>
      </c>
      <c r="H43" s="65">
        <f t="shared" si="37"/>
        <v>21135.825000000008</v>
      </c>
      <c r="I43" s="65">
        <f t="shared" si="37"/>
        <v>21390.300000000003</v>
      </c>
      <c r="J43" s="65">
        <f>+SUM(J38:J42)</f>
        <v>21711.000000000004</v>
      </c>
      <c r="K43" s="65">
        <f t="shared" ref="K43:S43" si="38">+SUM(K38:K42)</f>
        <v>21411.284999999996</v>
      </c>
      <c r="L43" s="65">
        <f t="shared" si="38"/>
        <v>21523.435000000005</v>
      </c>
      <c r="M43" s="65">
        <f t="shared" si="38"/>
        <v>21310.42</v>
      </c>
      <c r="N43" s="65">
        <f t="shared" si="38"/>
        <v>21502.075000000001</v>
      </c>
      <c r="O43" s="65">
        <f t="shared" si="38"/>
        <v>21363.454999999994</v>
      </c>
      <c r="P43" s="65">
        <f t="shared" si="38"/>
        <v>21599.644999999997</v>
      </c>
      <c r="Q43" s="65">
        <f t="shared" si="38"/>
        <v>21504.019999999997</v>
      </c>
      <c r="R43" s="65">
        <f t="shared" si="38"/>
        <v>21843.914999999997</v>
      </c>
      <c r="S43" s="65">
        <f t="shared" si="38"/>
        <v>256925.07000000004</v>
      </c>
      <c r="U43" s="65">
        <f>SUM(U38:U39)</f>
        <v>1414.054221002059</v>
      </c>
      <c r="V43" s="65">
        <f t="shared" ref="V43:AG43" si="39">SUM(V38:V39)</f>
        <v>1448.6971592624752</v>
      </c>
      <c r="W43" s="65">
        <f t="shared" si="39"/>
        <v>1466.1032944406315</v>
      </c>
      <c r="X43" s="65">
        <f t="shared" si="39"/>
        <v>1488.114275909403</v>
      </c>
      <c r="Y43" s="65">
        <f t="shared" si="39"/>
        <v>1467.3507206588879</v>
      </c>
      <c r="Z43" s="65">
        <f t="shared" si="39"/>
        <v>1474.9966003231402</v>
      </c>
      <c r="AA43" s="65">
        <f t="shared" si="39"/>
        <v>1460.324982841455</v>
      </c>
      <c r="AB43" s="65">
        <f t="shared" si="39"/>
        <v>1472.9087485729685</v>
      </c>
      <c r="AC43" s="65">
        <f t="shared" si="39"/>
        <v>1463.3431708991075</v>
      </c>
      <c r="AD43" s="65">
        <f t="shared" si="39"/>
        <v>1479.3994829586923</v>
      </c>
      <c r="AE43" s="65">
        <f t="shared" si="39"/>
        <v>1473.3016472203155</v>
      </c>
      <c r="AF43" s="65">
        <f t="shared" si="39"/>
        <v>1495.4913886953909</v>
      </c>
      <c r="AG43" s="65">
        <f t="shared" si="39"/>
        <v>17604.085692784527</v>
      </c>
      <c r="AH43" s="65">
        <f>SUM(AH38:AH39)</f>
        <v>1467.0071410653775</v>
      </c>
      <c r="AJ43" s="66">
        <f>+SUMIF(AJ37:AJ42,"&lt;&gt;",$AN37:$AN42)</f>
        <v>1467.0071410653775</v>
      </c>
      <c r="AK43" s="66">
        <f t="shared" ref="AK43:AL43" si="40">+SUMIF(AK37:AK42,"&lt;&gt;",$AN37:$AN42)</f>
        <v>0</v>
      </c>
      <c r="AL43" s="66">
        <f t="shared" si="40"/>
        <v>0</v>
      </c>
      <c r="AM43" s="67"/>
      <c r="AN43" s="68">
        <f>+SUM(AN37:AN42)</f>
        <v>1467.0071410653775</v>
      </c>
      <c r="AO43" s="23" t="s">
        <v>201</v>
      </c>
      <c r="AP43" s="69">
        <f>+SUM(AJ43:AL43)-AN43</f>
        <v>0</v>
      </c>
      <c r="AQ43" s="69"/>
      <c r="AR43" s="74"/>
      <c r="AS43" s="75">
        <f ca="1">SUM(AS38:AS42)</f>
        <v>-8363.792468779111</v>
      </c>
      <c r="AT43" s="74"/>
      <c r="AU43" s="75">
        <f ca="1">SUM(AU38:AU42)</f>
        <v>248561.27753122093</v>
      </c>
      <c r="AV43" s="72">
        <f ca="1">+AS43/S43</f>
        <v>-3.2553430728963544E-2</v>
      </c>
      <c r="BC43" s="75">
        <f t="shared" ref="BC43:BD43" ca="1" si="41">SUM(BC38:BC42)</f>
        <v>952.68128297016085</v>
      </c>
      <c r="BD43" s="75">
        <f t="shared" ca="1" si="41"/>
        <v>249513.95881419102</v>
      </c>
    </row>
    <row r="44" spans="1:56" outlineLevel="1">
      <c r="C44" s="64"/>
      <c r="D44" s="64"/>
      <c r="E44" s="55"/>
      <c r="F44" s="55"/>
      <c r="G44" s="55"/>
      <c r="H44" s="55"/>
      <c r="I44" s="55"/>
      <c r="J44" s="55"/>
      <c r="K44" s="55"/>
      <c r="L44" s="55"/>
      <c r="M44" s="55"/>
      <c r="N44" s="76"/>
      <c r="O44" s="76"/>
      <c r="P44" s="76"/>
      <c r="Q44" s="76"/>
      <c r="R44" s="76"/>
      <c r="S44" s="76"/>
      <c r="AB44" s="62"/>
      <c r="AC44" s="62"/>
      <c r="AD44" s="62"/>
      <c r="AE44" s="62"/>
      <c r="AF44" s="62"/>
      <c r="AG44" s="62"/>
      <c r="AH44" s="62"/>
      <c r="AO44" s="73"/>
    </row>
    <row r="45" spans="1:56" outlineLevel="1">
      <c r="B45" s="24" t="s">
        <v>212</v>
      </c>
      <c r="E45" s="55"/>
      <c r="F45" s="55"/>
      <c r="G45" s="55"/>
      <c r="H45" s="55"/>
      <c r="I45" s="55"/>
      <c r="J45" s="55"/>
      <c r="K45" s="55"/>
      <c r="L45" s="55"/>
      <c r="M45" s="55"/>
      <c r="N45" s="57"/>
      <c r="O45" s="57"/>
      <c r="P45" s="57"/>
      <c r="Q45" s="57"/>
      <c r="R45" s="57"/>
      <c r="S45" s="57"/>
      <c r="AB45" s="62"/>
      <c r="AC45" s="62"/>
      <c r="AD45" s="62"/>
      <c r="AE45" s="62"/>
      <c r="AF45" s="62"/>
      <c r="AG45" s="62"/>
      <c r="AH45" s="62"/>
    </row>
    <row r="46" spans="1:56" outlineLevel="1">
      <c r="E46" s="55"/>
      <c r="F46" s="55"/>
      <c r="G46" s="55"/>
      <c r="H46" s="55"/>
      <c r="I46" s="55"/>
      <c r="J46" s="55"/>
      <c r="K46" s="55"/>
      <c r="L46" s="55"/>
      <c r="M46" s="55"/>
      <c r="N46" s="57"/>
      <c r="O46" s="57"/>
      <c r="P46" s="57"/>
      <c r="Q46" s="57"/>
      <c r="R46" s="57"/>
      <c r="S46" s="57"/>
      <c r="AB46" s="62"/>
      <c r="AC46" s="62"/>
      <c r="AD46" s="62"/>
      <c r="AE46" s="62"/>
      <c r="AF46" s="62"/>
      <c r="AG46" s="62"/>
      <c r="AH46" s="62"/>
    </row>
    <row r="47" spans="1:56" outlineLevel="1">
      <c r="C47" s="64" t="s">
        <v>213</v>
      </c>
      <c r="D47" s="64"/>
      <c r="E47" s="55"/>
      <c r="F47" s="55"/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U47" s="65">
        <f t="shared" ref="U47:AH47" si="42">SUM(U46:U46)</f>
        <v>0</v>
      </c>
      <c r="V47" s="65">
        <f t="shared" si="42"/>
        <v>0</v>
      </c>
      <c r="W47" s="65">
        <f t="shared" si="42"/>
        <v>0</v>
      </c>
      <c r="X47" s="65">
        <f t="shared" si="42"/>
        <v>0</v>
      </c>
      <c r="Y47" s="65">
        <f t="shared" si="42"/>
        <v>0</v>
      </c>
      <c r="Z47" s="65">
        <f t="shared" si="42"/>
        <v>0</v>
      </c>
      <c r="AA47" s="65">
        <f t="shared" si="42"/>
        <v>0</v>
      </c>
      <c r="AB47" s="65">
        <f t="shared" si="42"/>
        <v>0</v>
      </c>
      <c r="AC47" s="65">
        <f t="shared" si="42"/>
        <v>0</v>
      </c>
      <c r="AD47" s="65">
        <f t="shared" si="42"/>
        <v>0</v>
      </c>
      <c r="AE47" s="65">
        <f t="shared" si="42"/>
        <v>0</v>
      </c>
      <c r="AF47" s="65">
        <f t="shared" si="42"/>
        <v>0</v>
      </c>
      <c r="AG47" s="65">
        <f t="shared" si="42"/>
        <v>0</v>
      </c>
      <c r="AH47" s="65">
        <f t="shared" si="42"/>
        <v>0</v>
      </c>
    </row>
    <row r="48" spans="1:56" outlineLevel="1">
      <c r="C48" s="64"/>
      <c r="D48" s="64"/>
      <c r="E48" s="55"/>
      <c r="F48" s="55"/>
      <c r="G48" s="55"/>
      <c r="H48" s="55"/>
      <c r="I48" s="55"/>
      <c r="J48" s="55"/>
      <c r="K48" s="55"/>
      <c r="L48" s="55"/>
      <c r="M48" s="55"/>
      <c r="N48" s="57"/>
      <c r="O48" s="57"/>
      <c r="P48" s="57"/>
      <c r="Q48" s="57"/>
      <c r="R48" s="57"/>
      <c r="S48" s="57"/>
      <c r="AB48" s="57"/>
      <c r="AC48" s="57"/>
      <c r="AD48" s="57"/>
      <c r="AE48" s="57"/>
      <c r="AF48" s="57"/>
      <c r="AG48" s="57"/>
      <c r="AH48" s="57"/>
    </row>
    <row r="49" spans="1:57" outlineLevel="1">
      <c r="E49" s="55"/>
      <c r="F49" s="55"/>
      <c r="G49" s="55"/>
      <c r="H49" s="55"/>
      <c r="I49" s="55"/>
      <c r="J49" s="55"/>
      <c r="K49" s="55"/>
      <c r="L49" s="55"/>
      <c r="M49" s="55"/>
      <c r="N49" s="57"/>
      <c r="O49" s="57"/>
      <c r="P49" s="57"/>
      <c r="Q49" s="57"/>
      <c r="R49" s="57"/>
      <c r="S49" s="57"/>
      <c r="AB49" s="57"/>
      <c r="AC49" s="57"/>
      <c r="AD49" s="57"/>
      <c r="AE49" s="57"/>
      <c r="AF49" s="57"/>
      <c r="AG49" s="57"/>
      <c r="AH49" s="57"/>
    </row>
    <row r="50" spans="1:57" s="24" customFormat="1">
      <c r="B50" s="24" t="s">
        <v>214</v>
      </c>
      <c r="E50" s="55"/>
      <c r="F50" s="55"/>
      <c r="G50" s="77">
        <f>+G43+G35</f>
        <v>71389.375</v>
      </c>
      <c r="H50" s="77">
        <f t="shared" ref="H50:S50" si="43">+H43+H35</f>
        <v>73713.73000000001</v>
      </c>
      <c r="I50" s="77">
        <f t="shared" si="43"/>
        <v>73162.60500000001</v>
      </c>
      <c r="J50" s="77">
        <f t="shared" si="43"/>
        <v>74601.24500000001</v>
      </c>
      <c r="K50" s="77">
        <f t="shared" si="43"/>
        <v>71846.315000000002</v>
      </c>
      <c r="L50" s="77">
        <f t="shared" si="43"/>
        <v>71731.58</v>
      </c>
      <c r="M50" s="77">
        <f t="shared" si="43"/>
        <v>71258.610000000015</v>
      </c>
      <c r="N50" s="77">
        <f t="shared" si="43"/>
        <v>73158.495000000024</v>
      </c>
      <c r="O50" s="77">
        <f t="shared" si="43"/>
        <v>72133.740000000005</v>
      </c>
      <c r="P50" s="77">
        <f t="shared" si="43"/>
        <v>73396.434999999998</v>
      </c>
      <c r="Q50" s="77">
        <f t="shared" si="43"/>
        <v>73283.735000000015</v>
      </c>
      <c r="R50" s="77">
        <f t="shared" si="43"/>
        <v>73984.410000000018</v>
      </c>
      <c r="S50" s="77">
        <f t="shared" si="43"/>
        <v>873660.27500000002</v>
      </c>
      <c r="T50" s="25"/>
      <c r="U50" s="77">
        <f t="shared" ref="U50:AG50" si="44">+U35+U43+U47</f>
        <v>3841.6254948540504</v>
      </c>
      <c r="V50" s="77">
        <f t="shared" si="44"/>
        <v>3906.4189148941032</v>
      </c>
      <c r="W50" s="77">
        <f t="shared" si="44"/>
        <v>3942.1191742167589</v>
      </c>
      <c r="X50" s="77">
        <f t="shared" si="44"/>
        <v>3999.3127045067786</v>
      </c>
      <c r="Y50" s="77">
        <f t="shared" si="44"/>
        <v>3916.040388098651</v>
      </c>
      <c r="Z50" s="77">
        <f t="shared" si="44"/>
        <v>3938.8749670226116</v>
      </c>
      <c r="AA50" s="77">
        <f t="shared" si="44"/>
        <v>3925.2050525151785</v>
      </c>
      <c r="AB50" s="77">
        <f t="shared" si="44"/>
        <v>3882.12084931543</v>
      </c>
      <c r="AC50" s="77">
        <f t="shared" si="44"/>
        <v>3897.3878764776814</v>
      </c>
      <c r="AD50" s="77">
        <f t="shared" si="44"/>
        <v>3946.296874338756</v>
      </c>
      <c r="AE50" s="77">
        <f t="shared" si="44"/>
        <v>3922.8527655581584</v>
      </c>
      <c r="AF50" s="77">
        <f t="shared" si="44"/>
        <v>3963.7021247335219</v>
      </c>
      <c r="AG50" s="77">
        <f t="shared" si="44"/>
        <v>47081.957186531683</v>
      </c>
      <c r="AH50" s="77">
        <f>+AH35+AH43+AH47</f>
        <v>3923.4964322109736</v>
      </c>
      <c r="AJ50" s="26"/>
      <c r="AK50" s="26"/>
      <c r="AL50" s="26"/>
      <c r="AM50" s="26"/>
      <c r="AN50" s="27"/>
      <c r="BC50" s="297"/>
      <c r="BD50" s="297"/>
      <c r="BE50" s="297"/>
    </row>
    <row r="51" spans="1:57" s="24" customFormat="1" outlineLevel="1">
      <c r="E51" s="55"/>
      <c r="F51" s="55"/>
      <c r="G51" s="55"/>
      <c r="H51" s="55"/>
      <c r="I51" s="55"/>
      <c r="J51" s="55"/>
      <c r="K51" s="55"/>
      <c r="L51" s="55"/>
      <c r="M51" s="55"/>
      <c r="N51" s="57"/>
      <c r="O51" s="57"/>
      <c r="P51" s="57"/>
      <c r="Q51" s="57"/>
      <c r="R51" s="57"/>
      <c r="S51" s="57"/>
      <c r="T51" s="25"/>
      <c r="U51" s="25"/>
      <c r="V51" s="25"/>
      <c r="W51" s="25"/>
      <c r="X51" s="25"/>
      <c r="Y51" s="25"/>
      <c r="Z51" s="25"/>
      <c r="AA51" s="25"/>
      <c r="AB51" s="77"/>
      <c r="AC51" s="77"/>
      <c r="AD51" s="77"/>
      <c r="AE51" s="77"/>
      <c r="AF51" s="77"/>
      <c r="AG51" s="77"/>
      <c r="AH51" s="77"/>
      <c r="AJ51" s="26"/>
      <c r="AK51" s="26"/>
      <c r="AL51" s="26"/>
      <c r="AM51" s="26"/>
      <c r="AN51" s="27"/>
      <c r="BC51" s="297"/>
      <c r="BD51" s="297"/>
      <c r="BE51" s="297"/>
    </row>
    <row r="52" spans="1:57" s="24" customFormat="1" outlineLevel="1">
      <c r="E52" s="55"/>
      <c r="F52" s="55"/>
      <c r="G52" s="55"/>
      <c r="H52" s="55"/>
      <c r="I52" s="55"/>
      <c r="J52" s="55"/>
      <c r="K52" s="55"/>
      <c r="L52" s="55"/>
      <c r="M52" s="55"/>
      <c r="N52" s="57"/>
      <c r="O52" s="57"/>
      <c r="P52" s="57"/>
      <c r="Q52" s="57"/>
      <c r="R52" s="57"/>
      <c r="S52" s="57"/>
      <c r="T52" s="25"/>
      <c r="U52" s="25"/>
      <c r="V52" s="25"/>
      <c r="W52" s="25"/>
      <c r="X52" s="25"/>
      <c r="Y52" s="25"/>
      <c r="Z52" s="25"/>
      <c r="AA52" s="25"/>
      <c r="AB52" s="77"/>
      <c r="AC52" s="77"/>
      <c r="AD52" s="77"/>
      <c r="AE52" s="77"/>
      <c r="AF52" s="77"/>
      <c r="AG52" s="77"/>
      <c r="AH52" s="77"/>
      <c r="AJ52" s="26"/>
      <c r="AK52" s="26"/>
      <c r="AL52" s="26"/>
      <c r="AM52" s="26"/>
      <c r="AN52" s="27"/>
      <c r="BC52" s="297"/>
      <c r="BD52" s="297"/>
      <c r="BE52" s="297"/>
    </row>
    <row r="53" spans="1:57" outlineLevel="1">
      <c r="B53" s="50" t="s">
        <v>215</v>
      </c>
      <c r="C53" s="51"/>
      <c r="D53" s="51"/>
      <c r="E53" s="55"/>
      <c r="F53" s="55"/>
      <c r="G53" s="55"/>
      <c r="H53" s="55"/>
      <c r="I53" s="55"/>
      <c r="J53" s="55"/>
      <c r="K53" s="55"/>
      <c r="L53" s="55"/>
      <c r="M53" s="55"/>
      <c r="N53" s="57"/>
      <c r="O53" s="57"/>
      <c r="P53" s="57"/>
      <c r="Q53" s="57"/>
      <c r="R53" s="57"/>
      <c r="S53" s="57"/>
      <c r="AB53" s="62"/>
      <c r="AC53" s="62"/>
      <c r="AD53" s="62"/>
      <c r="AE53" s="62"/>
      <c r="AF53" s="62"/>
      <c r="AG53" s="62"/>
      <c r="AH53" s="62"/>
    </row>
    <row r="54" spans="1:57" outlineLevel="1">
      <c r="B54" s="50"/>
      <c r="C54" s="51"/>
      <c r="D54" s="51"/>
      <c r="E54" s="55"/>
      <c r="F54" s="55"/>
      <c r="G54" s="55"/>
      <c r="H54" s="55"/>
      <c r="I54" s="55"/>
      <c r="J54" s="55"/>
      <c r="K54" s="55"/>
      <c r="L54" s="55"/>
      <c r="M54" s="55"/>
      <c r="N54" s="57"/>
      <c r="O54" s="57"/>
      <c r="P54" s="57"/>
      <c r="Q54" s="57"/>
      <c r="R54" s="57"/>
      <c r="S54" s="57"/>
      <c r="AB54" s="62"/>
      <c r="AC54" s="62"/>
      <c r="AD54" s="62"/>
      <c r="AE54" s="62"/>
      <c r="AF54" s="62"/>
      <c r="AG54" s="62"/>
      <c r="AH54" s="62"/>
    </row>
    <row r="55" spans="1:57" outlineLevel="1">
      <c r="A55" s="23" t="s">
        <v>216</v>
      </c>
      <c r="B55" s="53" t="s">
        <v>217</v>
      </c>
      <c r="C55" s="51"/>
      <c r="D55" s="51"/>
      <c r="E55" s="55"/>
      <c r="F55" s="55"/>
      <c r="G55" s="55"/>
      <c r="H55" s="55"/>
      <c r="I55" s="55"/>
      <c r="J55" s="55"/>
      <c r="K55" s="55"/>
      <c r="L55" s="55"/>
      <c r="M55" s="55"/>
      <c r="N55" s="57"/>
      <c r="O55" s="57"/>
      <c r="P55" s="57"/>
      <c r="Q55" s="57"/>
      <c r="R55" s="57"/>
      <c r="S55" s="57"/>
      <c r="AB55" s="62"/>
      <c r="AC55" s="62"/>
      <c r="AD55" s="62"/>
      <c r="AE55" s="62"/>
      <c r="AF55" s="62"/>
      <c r="AG55" s="62"/>
      <c r="AH55" s="62"/>
    </row>
    <row r="56" spans="1:57" outlineLevel="1">
      <c r="A56" s="23" t="str">
        <f t="shared" ref="A56:A89" si="45">+$A$4&amp;$A$55&amp;B56</f>
        <v>VashonCommercial32CE1</v>
      </c>
      <c r="B56" s="23" t="s">
        <v>218</v>
      </c>
      <c r="C56" s="23" t="s">
        <v>219</v>
      </c>
      <c r="D56" s="54">
        <v>15.59</v>
      </c>
      <c r="E56" s="54">
        <v>16.170000000000002</v>
      </c>
      <c r="F56" s="55"/>
      <c r="G56" s="56">
        <v>31.18</v>
      </c>
      <c r="H56" s="56">
        <v>31.18</v>
      </c>
      <c r="I56" s="56">
        <v>31.18</v>
      </c>
      <c r="J56" s="56">
        <v>31.18</v>
      </c>
      <c r="K56" s="56">
        <v>31.18</v>
      </c>
      <c r="L56" s="56">
        <v>15.59</v>
      </c>
      <c r="M56" s="56">
        <v>15.59</v>
      </c>
      <c r="N56" s="57">
        <v>16.170000000000002</v>
      </c>
      <c r="O56" s="57">
        <v>16.170000000000002</v>
      </c>
      <c r="P56" s="57">
        <v>16.170000000000002</v>
      </c>
      <c r="Q56" s="57">
        <v>16.170000000000002</v>
      </c>
      <c r="R56" s="57">
        <v>32.340000000000003</v>
      </c>
      <c r="S56" s="57">
        <v>284.10000000000002</v>
      </c>
      <c r="U56" s="58">
        <f t="shared" ref="U56:AA79" si="46">+IFERROR(G56/$D56,0)</f>
        <v>2</v>
      </c>
      <c r="V56" s="58">
        <f t="shared" si="46"/>
        <v>2</v>
      </c>
      <c r="W56" s="58">
        <f t="shared" si="46"/>
        <v>2</v>
      </c>
      <c r="X56" s="58">
        <f t="shared" si="46"/>
        <v>2</v>
      </c>
      <c r="Y56" s="58">
        <f t="shared" si="46"/>
        <v>2</v>
      </c>
      <c r="Z56" s="58">
        <f t="shared" si="46"/>
        <v>1</v>
      </c>
      <c r="AA56" s="58">
        <f t="shared" si="46"/>
        <v>1</v>
      </c>
      <c r="AB56" s="58">
        <f t="shared" ref="AB56:AF72" si="47">+IFERROR(N56/$E56,0)</f>
        <v>1</v>
      </c>
      <c r="AC56" s="58">
        <f t="shared" si="47"/>
        <v>1</v>
      </c>
      <c r="AD56" s="58">
        <f t="shared" si="47"/>
        <v>1</v>
      </c>
      <c r="AE56" s="58">
        <f t="shared" si="47"/>
        <v>1</v>
      </c>
      <c r="AF56" s="58">
        <f t="shared" si="47"/>
        <v>2</v>
      </c>
      <c r="AG56" s="58">
        <f t="shared" ref="AG56" si="48">SUM(U56:AF56)</f>
        <v>18</v>
      </c>
      <c r="AH56" s="58">
        <f t="shared" ref="AH56" si="49">+SUM(U56:AF56)/$AB$2</f>
        <v>1.5</v>
      </c>
      <c r="AN56" s="27">
        <f t="shared" ref="AN56:AN78" si="50">AM56*AH56</f>
        <v>0</v>
      </c>
      <c r="AQ56" s="78">
        <v>16.809999999999999</v>
      </c>
      <c r="AR56" s="60">
        <f t="shared" ref="AR56:AR90" ca="1" si="51">+$AT$2*AQ56</f>
        <v>1.9785414938634156</v>
      </c>
      <c r="AS56" s="60">
        <f t="shared" ref="AS56:AS90" ca="1" si="52">+AH56*AR56*12</f>
        <v>35.613746889541481</v>
      </c>
      <c r="AT56" s="60">
        <f t="shared" ref="AT56:AT90" ca="1" si="53">+AR56+AQ56</f>
        <v>18.788541493863413</v>
      </c>
      <c r="AU56" s="60">
        <f t="shared" ref="AU56:AU90" ca="1" si="54">+AS56+S56</f>
        <v>319.71374688954148</v>
      </c>
      <c r="BC56" s="300">
        <f t="shared" ref="BC56:BC89" ca="1" si="55">AU56*BD$2</f>
        <v>1.219210659014504</v>
      </c>
      <c r="BD56" s="300">
        <f t="shared" ref="BD56:BD89" ca="1" si="56">+AU56+BC56</f>
        <v>320.93295754855598</v>
      </c>
    </row>
    <row r="57" spans="1:57" outlineLevel="1">
      <c r="A57" s="23" t="str">
        <f t="shared" si="45"/>
        <v>VashonCommercial32CW1</v>
      </c>
      <c r="B57" s="23" t="s">
        <v>220</v>
      </c>
      <c r="C57" s="23" t="s">
        <v>164</v>
      </c>
      <c r="D57" s="54">
        <v>15.59</v>
      </c>
      <c r="E57" s="54">
        <v>16.170000000000002</v>
      </c>
      <c r="F57" s="55"/>
      <c r="G57" s="56">
        <v>74.050000000000011</v>
      </c>
      <c r="H57" s="56">
        <v>52.620000000000005</v>
      </c>
      <c r="I57" s="56">
        <v>31.18</v>
      </c>
      <c r="J57" s="56">
        <v>33.119999999999997</v>
      </c>
      <c r="K57" s="56">
        <v>31.18</v>
      </c>
      <c r="L57" s="56">
        <v>31.18</v>
      </c>
      <c r="M57" s="56">
        <v>44.814999999999998</v>
      </c>
      <c r="N57" s="57">
        <v>38.185000000000002</v>
      </c>
      <c r="O57" s="57">
        <v>32.340000000000003</v>
      </c>
      <c r="P57" s="57">
        <v>40.42</v>
      </c>
      <c r="Q57" s="57">
        <v>48.51</v>
      </c>
      <c r="R57" s="57">
        <v>48.51</v>
      </c>
      <c r="S57" s="57">
        <v>506.11000000000007</v>
      </c>
      <c r="U57" s="58">
        <f t="shared" si="46"/>
        <v>4.7498396407953827</v>
      </c>
      <c r="V57" s="58">
        <f t="shared" si="46"/>
        <v>3.3752405388069278</v>
      </c>
      <c r="W57" s="58">
        <f t="shared" si="46"/>
        <v>2</v>
      </c>
      <c r="X57" s="58">
        <f t="shared" si="46"/>
        <v>2.1244387427838358</v>
      </c>
      <c r="Y57" s="58">
        <f t="shared" si="46"/>
        <v>2</v>
      </c>
      <c r="Z57" s="58">
        <f t="shared" si="46"/>
        <v>2</v>
      </c>
      <c r="AA57" s="58">
        <f t="shared" si="46"/>
        <v>2.874599101988454</v>
      </c>
      <c r="AB57" s="58">
        <f t="shared" si="47"/>
        <v>2.3614718614718613</v>
      </c>
      <c r="AC57" s="58">
        <f t="shared" si="47"/>
        <v>2</v>
      </c>
      <c r="AD57" s="58">
        <f t="shared" si="47"/>
        <v>2.4996907854050709</v>
      </c>
      <c r="AE57" s="58">
        <f t="shared" si="47"/>
        <v>2.9999999999999996</v>
      </c>
      <c r="AF57" s="58">
        <f t="shared" si="47"/>
        <v>2.9999999999999996</v>
      </c>
      <c r="AG57" s="58">
        <f t="shared" ref="AG57:AG89" si="57">SUM(U57:AF57)</f>
        <v>31.985280671251534</v>
      </c>
      <c r="AH57" s="58">
        <f t="shared" ref="AH57:AH89" si="58">+SUM(U57:AF57)/$AB$2</f>
        <v>2.6654400559376277</v>
      </c>
      <c r="AN57" s="27">
        <f t="shared" si="50"/>
        <v>0</v>
      </c>
      <c r="AQ57" s="78">
        <v>16.809999999999999</v>
      </c>
      <c r="AR57" s="60">
        <f t="shared" ca="1" si="51"/>
        <v>1.9785414938634156</v>
      </c>
      <c r="AS57" s="60">
        <f t="shared" ca="1" si="52"/>
        <v>63.284205000938641</v>
      </c>
      <c r="AT57" s="60">
        <f t="shared" ca="1" si="53"/>
        <v>18.788541493863413</v>
      </c>
      <c r="AU57" s="60">
        <f t="shared" ca="1" si="54"/>
        <v>569.39420500093865</v>
      </c>
      <c r="BC57" s="300">
        <f t="shared" ca="1" si="55"/>
        <v>2.1713532516888567</v>
      </c>
      <c r="BD57" s="300">
        <f t="shared" ca="1" si="56"/>
        <v>571.56555825262751</v>
      </c>
    </row>
    <row r="58" spans="1:57" outlineLevel="1">
      <c r="A58" s="23" t="str">
        <f t="shared" si="45"/>
        <v>VashonCommercial32CW2</v>
      </c>
      <c r="B58" s="23" t="s">
        <v>221</v>
      </c>
      <c r="C58" s="23" t="s">
        <v>222</v>
      </c>
      <c r="D58" s="54">
        <f>3.6*4.33*2</f>
        <v>31.176000000000002</v>
      </c>
      <c r="E58" s="54">
        <f>3.73*4.33*2</f>
        <v>32.3018</v>
      </c>
      <c r="F58" s="55"/>
      <c r="G58" s="56">
        <v>124.68</v>
      </c>
      <c r="H58" s="56">
        <v>85.71</v>
      </c>
      <c r="I58" s="56">
        <v>62.34</v>
      </c>
      <c r="J58" s="56">
        <v>62.34</v>
      </c>
      <c r="K58" s="56">
        <v>62.34</v>
      </c>
      <c r="L58" s="56">
        <v>62.34</v>
      </c>
      <c r="M58" s="56">
        <v>62.34</v>
      </c>
      <c r="N58" s="57">
        <v>64.599999999999994</v>
      </c>
      <c r="O58" s="57">
        <v>64.599999999999994</v>
      </c>
      <c r="P58" s="57">
        <v>64.599999999999994</v>
      </c>
      <c r="Q58" s="57">
        <v>64.599999999999994</v>
      </c>
      <c r="R58" s="57">
        <v>64.599999999999994</v>
      </c>
      <c r="S58" s="57">
        <v>845.09000000000026</v>
      </c>
      <c r="U58" s="58">
        <f t="shared" si="46"/>
        <v>3.9992301770592764</v>
      </c>
      <c r="V58" s="58">
        <f t="shared" si="46"/>
        <v>2.749230177059276</v>
      </c>
      <c r="W58" s="58">
        <f t="shared" si="46"/>
        <v>1.9996150885296382</v>
      </c>
      <c r="X58" s="58">
        <f t="shared" si="46"/>
        <v>1.9996150885296382</v>
      </c>
      <c r="Y58" s="58">
        <f t="shared" si="46"/>
        <v>1.9996150885296382</v>
      </c>
      <c r="Z58" s="58">
        <f t="shared" si="46"/>
        <v>1.9996150885296382</v>
      </c>
      <c r="AA58" s="58">
        <f t="shared" si="46"/>
        <v>1.9996150885296382</v>
      </c>
      <c r="AB58" s="58">
        <f t="shared" si="47"/>
        <v>1.9998885511024151</v>
      </c>
      <c r="AC58" s="58">
        <f t="shared" si="47"/>
        <v>1.9998885511024151</v>
      </c>
      <c r="AD58" s="58">
        <f t="shared" si="47"/>
        <v>1.9998885511024151</v>
      </c>
      <c r="AE58" s="58">
        <f t="shared" si="47"/>
        <v>1.9998885511024151</v>
      </c>
      <c r="AF58" s="58">
        <f t="shared" si="47"/>
        <v>1.9998885511024151</v>
      </c>
      <c r="AG58" s="58">
        <f t="shared" si="57"/>
        <v>26.745978552278817</v>
      </c>
      <c r="AH58" s="58">
        <f t="shared" si="58"/>
        <v>2.2288315460232346</v>
      </c>
      <c r="AN58" s="27">
        <f t="shared" si="50"/>
        <v>0</v>
      </c>
      <c r="AQ58" s="78">
        <f>3.88*4.33*2</f>
        <v>33.6008</v>
      </c>
      <c r="AR58" s="60">
        <f t="shared" ca="1" si="51"/>
        <v>3.954823142594043</v>
      </c>
      <c r="AS58" s="60">
        <f t="shared" ca="1" si="52"/>
        <v>105.77561494987617</v>
      </c>
      <c r="AT58" s="60">
        <f t="shared" ca="1" si="53"/>
        <v>37.555623142594044</v>
      </c>
      <c r="AU58" s="60">
        <f t="shared" ca="1" si="54"/>
        <v>950.86561494987643</v>
      </c>
      <c r="BC58" s="300">
        <f t="shared" ca="1" si="55"/>
        <v>3.6260733369022167</v>
      </c>
      <c r="BD58" s="300">
        <f t="shared" ca="1" si="56"/>
        <v>954.49168828677864</v>
      </c>
    </row>
    <row r="59" spans="1:57" outlineLevel="1">
      <c r="A59" s="23" t="str">
        <f t="shared" si="45"/>
        <v>VashonCommercial32CW3</v>
      </c>
      <c r="B59" s="23" t="s">
        <v>223</v>
      </c>
      <c r="C59" s="23" t="s">
        <v>224</v>
      </c>
      <c r="D59" s="54">
        <f>3.6*4.33*3</f>
        <v>46.764000000000003</v>
      </c>
      <c r="E59" s="54">
        <f>3.73*4.33*3</f>
        <v>48.4527</v>
      </c>
      <c r="F59" s="55"/>
      <c r="G59" s="56">
        <v>140.28</v>
      </c>
      <c r="H59" s="56">
        <v>140.28</v>
      </c>
      <c r="I59" s="56">
        <v>140.28</v>
      </c>
      <c r="J59" s="56">
        <v>140.28</v>
      </c>
      <c r="K59" s="56">
        <v>140.28</v>
      </c>
      <c r="L59" s="56">
        <v>140.28</v>
      </c>
      <c r="M59" s="56">
        <v>140.28</v>
      </c>
      <c r="N59" s="57">
        <v>145.35</v>
      </c>
      <c r="O59" s="57">
        <v>145.35</v>
      </c>
      <c r="P59" s="57">
        <v>145.35</v>
      </c>
      <c r="Q59" s="57">
        <v>145.35</v>
      </c>
      <c r="R59" s="57">
        <v>145.35</v>
      </c>
      <c r="S59" s="57">
        <v>1708.7099999999996</v>
      </c>
      <c r="U59" s="58">
        <f t="shared" si="46"/>
        <v>2.9997433923530918</v>
      </c>
      <c r="V59" s="58">
        <f t="shared" si="46"/>
        <v>2.9997433923530918</v>
      </c>
      <c r="W59" s="58">
        <f t="shared" si="46"/>
        <v>2.9997433923530918</v>
      </c>
      <c r="X59" s="58">
        <f t="shared" si="46"/>
        <v>2.9997433923530918</v>
      </c>
      <c r="Y59" s="58">
        <f t="shared" si="46"/>
        <v>2.9997433923530918</v>
      </c>
      <c r="Z59" s="58">
        <f t="shared" si="46"/>
        <v>2.9997433923530918</v>
      </c>
      <c r="AA59" s="58">
        <f t="shared" si="46"/>
        <v>2.9997433923530918</v>
      </c>
      <c r="AB59" s="58">
        <f t="shared" si="47"/>
        <v>2.9998328266536229</v>
      </c>
      <c r="AC59" s="58">
        <f t="shared" si="47"/>
        <v>2.9998328266536229</v>
      </c>
      <c r="AD59" s="58">
        <f t="shared" si="47"/>
        <v>2.9998328266536229</v>
      </c>
      <c r="AE59" s="58">
        <f t="shared" si="47"/>
        <v>2.9998328266536229</v>
      </c>
      <c r="AF59" s="58">
        <f t="shared" si="47"/>
        <v>2.9998328266536229</v>
      </c>
      <c r="AG59" s="58">
        <f t="shared" si="57"/>
        <v>35.997367879739762</v>
      </c>
      <c r="AH59" s="58">
        <f t="shared" si="58"/>
        <v>2.9997806566449801</v>
      </c>
      <c r="AN59" s="27">
        <f t="shared" si="50"/>
        <v>0</v>
      </c>
      <c r="AQ59" s="78">
        <f>3.88*4.33*3</f>
        <v>50.401200000000003</v>
      </c>
      <c r="AR59" s="60">
        <f t="shared" ca="1" si="51"/>
        <v>5.9322347138910647</v>
      </c>
      <c r="AS59" s="60">
        <f t="shared" ca="1" si="52"/>
        <v>213.54483534489941</v>
      </c>
      <c r="AT59" s="60">
        <f t="shared" ca="1" si="53"/>
        <v>56.333434713891066</v>
      </c>
      <c r="AU59" s="60">
        <f t="shared" ca="1" si="54"/>
        <v>1922.254835344899</v>
      </c>
      <c r="BC59" s="300">
        <f t="shared" ca="1" si="55"/>
        <v>7.3304123059943915</v>
      </c>
      <c r="BD59" s="300">
        <f t="shared" ca="1" si="56"/>
        <v>1929.5852476508933</v>
      </c>
    </row>
    <row r="60" spans="1:57" outlineLevel="1">
      <c r="A60" s="23" t="str">
        <f t="shared" si="45"/>
        <v>VashonCommercial32CW4</v>
      </c>
      <c r="B60" s="23" t="s">
        <v>225</v>
      </c>
      <c r="C60" s="23" t="s">
        <v>226</v>
      </c>
      <c r="D60" s="54">
        <f>3.6*4.33*4</f>
        <v>62.352000000000004</v>
      </c>
      <c r="E60" s="54">
        <f>3.73*4.33*4</f>
        <v>64.6036</v>
      </c>
      <c r="F60" s="55"/>
      <c r="G60" s="56">
        <v>187.05</v>
      </c>
      <c r="H60" s="56">
        <v>187.05</v>
      </c>
      <c r="I60" s="56">
        <v>187.05</v>
      </c>
      <c r="J60" s="56">
        <v>187.05</v>
      </c>
      <c r="K60" s="56">
        <v>187.05</v>
      </c>
      <c r="L60" s="56">
        <v>155.87</v>
      </c>
      <c r="M60" s="56">
        <v>124.7</v>
      </c>
      <c r="N60" s="57">
        <v>129.19999999999999</v>
      </c>
      <c r="O60" s="57">
        <v>129.19999999999999</v>
      </c>
      <c r="P60" s="57">
        <v>129.19999999999999</v>
      </c>
      <c r="Q60" s="57">
        <v>129.19999999999999</v>
      </c>
      <c r="R60" s="57">
        <v>129.19999999999999</v>
      </c>
      <c r="S60" s="57">
        <v>1861.8200000000002</v>
      </c>
      <c r="U60" s="58">
        <f t="shared" si="46"/>
        <v>2.9999037721324093</v>
      </c>
      <c r="V60" s="58">
        <f t="shared" si="46"/>
        <v>2.9999037721324093</v>
      </c>
      <c r="W60" s="58">
        <f t="shared" si="46"/>
        <v>2.9999037721324093</v>
      </c>
      <c r="X60" s="58">
        <f t="shared" si="46"/>
        <v>2.9999037721324093</v>
      </c>
      <c r="Y60" s="58">
        <f t="shared" si="46"/>
        <v>2.9999037721324093</v>
      </c>
      <c r="Z60" s="58">
        <f t="shared" si="46"/>
        <v>2.4998396202206825</v>
      </c>
      <c r="AA60" s="58">
        <f t="shared" si="46"/>
        <v>1.999935848088273</v>
      </c>
      <c r="AB60" s="58">
        <f t="shared" si="47"/>
        <v>1.9998885511024151</v>
      </c>
      <c r="AC60" s="58">
        <f t="shared" si="47"/>
        <v>1.9998885511024151</v>
      </c>
      <c r="AD60" s="58">
        <f t="shared" si="47"/>
        <v>1.9998885511024151</v>
      </c>
      <c r="AE60" s="58">
        <f t="shared" si="47"/>
        <v>1.9998885511024151</v>
      </c>
      <c r="AF60" s="58">
        <f t="shared" si="47"/>
        <v>1.9998885511024151</v>
      </c>
      <c r="AG60" s="58">
        <f t="shared" si="57"/>
        <v>29.498737084483082</v>
      </c>
      <c r="AH60" s="58">
        <f t="shared" si="58"/>
        <v>2.45822809037359</v>
      </c>
      <c r="AN60" s="27">
        <f t="shared" si="50"/>
        <v>0</v>
      </c>
      <c r="AQ60" s="78">
        <f>3.88*4.33*4</f>
        <v>67.201599999999999</v>
      </c>
      <c r="AR60" s="60">
        <f t="shared" ca="1" si="51"/>
        <v>7.909646285188086</v>
      </c>
      <c r="AS60" s="60">
        <f t="shared" ca="1" si="52"/>
        <v>233.32457619802165</v>
      </c>
      <c r="AT60" s="60">
        <f t="shared" ca="1" si="53"/>
        <v>75.111246285188088</v>
      </c>
      <c r="AU60" s="60">
        <f t="shared" ca="1" si="54"/>
        <v>2095.1445761980217</v>
      </c>
      <c r="BC60" s="300">
        <f t="shared" ca="1" si="55"/>
        <v>7.9897177532362598</v>
      </c>
      <c r="BD60" s="300">
        <f t="shared" ca="1" si="56"/>
        <v>2103.1342939512579</v>
      </c>
    </row>
    <row r="61" spans="1:57" outlineLevel="1">
      <c r="A61" s="23" t="str">
        <f t="shared" si="45"/>
        <v>VashonCommercial32CW5</v>
      </c>
      <c r="B61" s="23" t="s">
        <v>227</v>
      </c>
      <c r="C61" s="23" t="s">
        <v>228</v>
      </c>
      <c r="D61" s="54">
        <f>3.6*4.33*5</f>
        <v>77.94</v>
      </c>
      <c r="E61" s="54">
        <f>3.73*4.33*5</f>
        <v>80.754500000000007</v>
      </c>
      <c r="F61" s="55"/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7">
        <v>80.75</v>
      </c>
      <c r="O61" s="57">
        <v>80.75</v>
      </c>
      <c r="P61" s="57">
        <v>80.75</v>
      </c>
      <c r="Q61" s="57">
        <v>80.75</v>
      </c>
      <c r="R61" s="57">
        <v>80.75</v>
      </c>
      <c r="S61" s="57">
        <v>403.75</v>
      </c>
      <c r="U61" s="58">
        <f t="shared" si="46"/>
        <v>0</v>
      </c>
      <c r="V61" s="58">
        <f t="shared" si="46"/>
        <v>0</v>
      </c>
      <c r="W61" s="58">
        <f t="shared" si="46"/>
        <v>0</v>
      </c>
      <c r="X61" s="58">
        <f t="shared" si="46"/>
        <v>0</v>
      </c>
      <c r="Y61" s="58">
        <f t="shared" si="46"/>
        <v>0</v>
      </c>
      <c r="Z61" s="58">
        <f t="shared" si="46"/>
        <v>0</v>
      </c>
      <c r="AA61" s="58">
        <f t="shared" si="46"/>
        <v>0</v>
      </c>
      <c r="AB61" s="58">
        <f t="shared" si="47"/>
        <v>0.99994427555120757</v>
      </c>
      <c r="AC61" s="58">
        <f t="shared" si="47"/>
        <v>0.99994427555120757</v>
      </c>
      <c r="AD61" s="58">
        <f t="shared" si="47"/>
        <v>0.99994427555120757</v>
      </c>
      <c r="AE61" s="58">
        <f t="shared" si="47"/>
        <v>0.99994427555120757</v>
      </c>
      <c r="AF61" s="58">
        <f t="shared" si="47"/>
        <v>0.99994427555120757</v>
      </c>
      <c r="AG61" s="58">
        <f t="shared" si="57"/>
        <v>4.9997213777560381</v>
      </c>
      <c r="AH61" s="58">
        <f t="shared" si="58"/>
        <v>0.41664344814633653</v>
      </c>
      <c r="AN61" s="27">
        <f t="shared" si="50"/>
        <v>0</v>
      </c>
      <c r="AQ61" s="78">
        <f>3.88*4.33*5</f>
        <v>84.001999999999995</v>
      </c>
      <c r="AR61" s="60">
        <f t="shared" ca="1" si="51"/>
        <v>9.8870578564851073</v>
      </c>
      <c r="AS61" s="60">
        <f t="shared" ca="1" si="52"/>
        <v>49.432534528179389</v>
      </c>
      <c r="AT61" s="60">
        <f t="shared" ca="1" si="53"/>
        <v>93.889057856485095</v>
      </c>
      <c r="AU61" s="60">
        <f t="shared" ca="1" si="54"/>
        <v>453.18253452817942</v>
      </c>
      <c r="BC61" s="300">
        <f t="shared" ca="1" si="55"/>
        <v>1.7281864854152102</v>
      </c>
      <c r="BD61" s="300">
        <f t="shared" ca="1" si="56"/>
        <v>454.91072101359464</v>
      </c>
    </row>
    <row r="62" spans="1:57" outlineLevel="1">
      <c r="A62" s="23" t="str">
        <f t="shared" si="45"/>
        <v>VashonCommercialR1YD1W</v>
      </c>
      <c r="B62" s="23" t="s">
        <v>229</v>
      </c>
      <c r="C62" s="23" t="s">
        <v>230</v>
      </c>
      <c r="D62" s="54">
        <f>19.49*4.33</f>
        <v>84.3917</v>
      </c>
      <c r="E62" s="54">
        <f>20.3*4.33</f>
        <v>87.899000000000001</v>
      </c>
      <c r="F62" s="55"/>
      <c r="G62" s="56">
        <v>4388.28</v>
      </c>
      <c r="H62" s="56">
        <v>4409.37</v>
      </c>
      <c r="I62" s="56">
        <v>4367.18</v>
      </c>
      <c r="J62" s="56">
        <v>4303.8900000000003</v>
      </c>
      <c r="K62" s="56">
        <v>4177.3</v>
      </c>
      <c r="L62" s="56">
        <v>4219.5</v>
      </c>
      <c r="M62" s="56">
        <v>4135.1099999999997</v>
      </c>
      <c r="N62" s="57">
        <v>4285.12</v>
      </c>
      <c r="O62" s="57">
        <v>4307.1000000000004</v>
      </c>
      <c r="P62" s="57">
        <v>4021.42</v>
      </c>
      <c r="Q62" s="57">
        <v>4131.3</v>
      </c>
      <c r="R62" s="57">
        <v>4219.2</v>
      </c>
      <c r="S62" s="57">
        <v>50964.77</v>
      </c>
      <c r="U62" s="58">
        <f t="shared" si="46"/>
        <v>51.998952503622981</v>
      </c>
      <c r="V62" s="58">
        <f t="shared" si="46"/>
        <v>52.248858596283753</v>
      </c>
      <c r="W62" s="58">
        <f t="shared" si="46"/>
        <v>51.748927915896942</v>
      </c>
      <c r="X62" s="58">
        <f t="shared" si="46"/>
        <v>50.998972647784086</v>
      </c>
      <c r="Y62" s="58">
        <f t="shared" si="46"/>
        <v>49.498943616493094</v>
      </c>
      <c r="Z62" s="58">
        <f t="shared" si="46"/>
        <v>49.998992791945177</v>
      </c>
      <c r="AA62" s="58">
        <f t="shared" si="46"/>
        <v>48.999012936106269</v>
      </c>
      <c r="AB62" s="58">
        <f t="shared" si="47"/>
        <v>48.750497730349601</v>
      </c>
      <c r="AC62" s="58">
        <f t="shared" si="47"/>
        <v>49.000557457991562</v>
      </c>
      <c r="AD62" s="58">
        <f t="shared" si="47"/>
        <v>45.750463600268489</v>
      </c>
      <c r="AE62" s="58">
        <f t="shared" si="47"/>
        <v>47.000534704604149</v>
      </c>
      <c r="AF62" s="58">
        <f t="shared" si="47"/>
        <v>48.000546081297848</v>
      </c>
      <c r="AG62" s="58">
        <f t="shared" si="57"/>
        <v>593.99526058264405</v>
      </c>
      <c r="AH62" s="58">
        <f t="shared" si="58"/>
        <v>49.499605048553668</v>
      </c>
      <c r="AL62" s="26">
        <v>1</v>
      </c>
      <c r="AM62" s="26">
        <v>1</v>
      </c>
      <c r="AN62" s="27">
        <f t="shared" si="50"/>
        <v>49.499605048553668</v>
      </c>
      <c r="AQ62" s="78">
        <f>21.2*4.33</f>
        <v>91.795999999999992</v>
      </c>
      <c r="AR62" s="60">
        <f t="shared" ca="1" si="51"/>
        <v>10.804413740076509</v>
      </c>
      <c r="AS62" s="60">
        <f t="shared" ca="1" si="52"/>
        <v>6417.7705549794464</v>
      </c>
      <c r="AT62" s="60">
        <f t="shared" ca="1" si="53"/>
        <v>102.6004137400765</v>
      </c>
      <c r="AU62" s="60">
        <f t="shared" ca="1" si="54"/>
        <v>57382.540554979445</v>
      </c>
      <c r="BC62" s="300">
        <f t="shared" ca="1" si="55"/>
        <v>218.82513894572725</v>
      </c>
      <c r="BD62" s="300">
        <f t="shared" ca="1" si="56"/>
        <v>57601.365693925174</v>
      </c>
    </row>
    <row r="63" spans="1:57" outlineLevel="1">
      <c r="A63" s="23" t="str">
        <f t="shared" si="45"/>
        <v>VashonCommercialR1YDEOW</v>
      </c>
      <c r="B63" s="23" t="s">
        <v>231</v>
      </c>
      <c r="C63" s="23" t="s">
        <v>232</v>
      </c>
      <c r="D63" s="54">
        <f>19.49*2.17</f>
        <v>42.293299999999995</v>
      </c>
      <c r="E63" s="54">
        <f>20.3*2.17</f>
        <v>44.051000000000002</v>
      </c>
      <c r="F63" s="55"/>
      <c r="G63" s="56">
        <v>1924.19</v>
      </c>
      <c r="H63" s="56">
        <v>1934.76</v>
      </c>
      <c r="I63" s="56">
        <v>1849.81</v>
      </c>
      <c r="J63" s="56">
        <v>1881.9</v>
      </c>
      <c r="K63" s="56">
        <v>2008.77</v>
      </c>
      <c r="L63" s="56">
        <v>2072.2049999999999</v>
      </c>
      <c r="M63" s="56">
        <v>2093.355</v>
      </c>
      <c r="N63" s="57">
        <v>2103.38</v>
      </c>
      <c r="O63" s="57">
        <v>2147.4300000000003</v>
      </c>
      <c r="P63" s="57">
        <v>2114.4</v>
      </c>
      <c r="Q63" s="57">
        <v>2268.5700000000002</v>
      </c>
      <c r="R63" s="57">
        <v>2246.5500000000002</v>
      </c>
      <c r="S63" s="57">
        <v>24645.32</v>
      </c>
      <c r="U63" s="58">
        <f t="shared" si="46"/>
        <v>45.496331570248721</v>
      </c>
      <c r="V63" s="58">
        <f t="shared" si="46"/>
        <v>45.746252952595334</v>
      </c>
      <c r="W63" s="58">
        <f t="shared" si="46"/>
        <v>43.737660575079275</v>
      </c>
      <c r="X63" s="58">
        <f t="shared" si="46"/>
        <v>44.496409596791935</v>
      </c>
      <c r="Y63" s="58">
        <f t="shared" si="46"/>
        <v>47.4961755171623</v>
      </c>
      <c r="Z63" s="58">
        <f t="shared" si="46"/>
        <v>48.996058477347482</v>
      </c>
      <c r="AA63" s="58">
        <f t="shared" si="46"/>
        <v>49.496137686111048</v>
      </c>
      <c r="AB63" s="58">
        <f t="shared" si="47"/>
        <v>47.748745771946155</v>
      </c>
      <c r="AC63" s="58">
        <f t="shared" si="47"/>
        <v>48.748723070985911</v>
      </c>
      <c r="AD63" s="58">
        <f t="shared" si="47"/>
        <v>47.998910353907974</v>
      </c>
      <c r="AE63" s="58">
        <f t="shared" si="47"/>
        <v>51.498717395745842</v>
      </c>
      <c r="AF63" s="58">
        <f t="shared" si="47"/>
        <v>50.99884225102722</v>
      </c>
      <c r="AG63" s="58">
        <f t="shared" si="57"/>
        <v>572.45896521894929</v>
      </c>
      <c r="AH63" s="58">
        <f t="shared" si="58"/>
        <v>47.704913768245774</v>
      </c>
      <c r="AL63" s="26">
        <v>1</v>
      </c>
      <c r="AM63" s="26">
        <v>1</v>
      </c>
      <c r="AN63" s="27">
        <f t="shared" si="50"/>
        <v>47.704913768245774</v>
      </c>
      <c r="AQ63" s="78">
        <f>21.2*2.17</f>
        <v>46.003999999999998</v>
      </c>
      <c r="AR63" s="60">
        <f t="shared" ca="1" si="51"/>
        <v>5.4146830983755248</v>
      </c>
      <c r="AS63" s="60">
        <f t="shared" ca="1" si="52"/>
        <v>3099.6838834845871</v>
      </c>
      <c r="AT63" s="60">
        <f t="shared" ca="1" si="53"/>
        <v>51.418683098375524</v>
      </c>
      <c r="AU63" s="60">
        <f t="shared" ca="1" si="54"/>
        <v>27745.003883484587</v>
      </c>
      <c r="BC63" s="300">
        <f t="shared" ca="1" si="55"/>
        <v>105.80403501019983</v>
      </c>
      <c r="BD63" s="300">
        <f t="shared" ca="1" si="56"/>
        <v>27850.807918494786</v>
      </c>
    </row>
    <row r="64" spans="1:57" outlineLevel="1">
      <c r="A64" s="23" t="str">
        <f t="shared" si="45"/>
        <v>VashonCommercialR1YDTPU</v>
      </c>
      <c r="B64" s="23" t="s">
        <v>233</v>
      </c>
      <c r="C64" s="23" t="s">
        <v>234</v>
      </c>
      <c r="D64" s="54">
        <v>21.61</v>
      </c>
      <c r="E64" s="54">
        <v>22.42</v>
      </c>
      <c r="F64" s="55"/>
      <c r="G64" s="56">
        <v>0</v>
      </c>
      <c r="H64" s="56">
        <v>0</v>
      </c>
      <c r="I64" s="56">
        <v>0</v>
      </c>
      <c r="J64" s="56">
        <v>43.22</v>
      </c>
      <c r="K64" s="56">
        <v>43.22</v>
      </c>
      <c r="L64" s="56">
        <v>64.83</v>
      </c>
      <c r="M64" s="56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151.26999999999998</v>
      </c>
      <c r="U64" s="58">
        <f t="shared" si="46"/>
        <v>0</v>
      </c>
      <c r="V64" s="58">
        <f t="shared" si="46"/>
        <v>0</v>
      </c>
      <c r="W64" s="58">
        <f t="shared" si="46"/>
        <v>0</v>
      </c>
      <c r="X64" s="58">
        <f t="shared" si="46"/>
        <v>2</v>
      </c>
      <c r="Y64" s="58">
        <f t="shared" si="46"/>
        <v>2</v>
      </c>
      <c r="Z64" s="58">
        <f t="shared" si="46"/>
        <v>3</v>
      </c>
      <c r="AA64" s="58">
        <f t="shared" si="46"/>
        <v>0</v>
      </c>
      <c r="AB64" s="58">
        <f t="shared" si="47"/>
        <v>0</v>
      </c>
      <c r="AC64" s="58">
        <f t="shared" si="47"/>
        <v>0</v>
      </c>
      <c r="AD64" s="58">
        <f t="shared" si="47"/>
        <v>0</v>
      </c>
      <c r="AE64" s="58">
        <f t="shared" si="47"/>
        <v>0</v>
      </c>
      <c r="AF64" s="58">
        <f t="shared" si="47"/>
        <v>0</v>
      </c>
      <c r="AG64" s="58">
        <f t="shared" si="57"/>
        <v>7</v>
      </c>
      <c r="AH64" s="58">
        <f t="shared" si="58"/>
        <v>0.58333333333333337</v>
      </c>
      <c r="AL64" s="26">
        <v>1</v>
      </c>
      <c r="AM64" s="26">
        <v>1</v>
      </c>
      <c r="AN64" s="27">
        <f t="shared" si="50"/>
        <v>0.58333333333333337</v>
      </c>
      <c r="AQ64" s="78">
        <v>23.32</v>
      </c>
      <c r="AR64" s="60">
        <f t="shared" ca="1" si="51"/>
        <v>2.7447702341995752</v>
      </c>
      <c r="AS64" s="60">
        <f t="shared" ca="1" si="52"/>
        <v>19.213391639397027</v>
      </c>
      <c r="AT64" s="60">
        <f t="shared" ca="1" si="53"/>
        <v>26.064770234199575</v>
      </c>
      <c r="AU64" s="60">
        <f t="shared" ca="1" si="54"/>
        <v>170.48339163939701</v>
      </c>
      <c r="BC64" s="300">
        <f t="shared" ca="1" si="55"/>
        <v>0.65012896784669472</v>
      </c>
      <c r="BD64" s="300">
        <f t="shared" ca="1" si="56"/>
        <v>171.1335206072437</v>
      </c>
    </row>
    <row r="65" spans="1:56" outlineLevel="1">
      <c r="A65" s="23" t="str">
        <f t="shared" si="45"/>
        <v>VashonCommercialR1.5YD1W</v>
      </c>
      <c r="B65" s="23" t="s">
        <v>235</v>
      </c>
      <c r="C65" s="23" t="s">
        <v>236</v>
      </c>
      <c r="D65" s="54">
        <f>24.74*4.33</f>
        <v>107.1242</v>
      </c>
      <c r="E65" s="54">
        <f>25.89*4.33</f>
        <v>112.1037</v>
      </c>
      <c r="F65" s="55"/>
      <c r="G65" s="56">
        <v>1687.14</v>
      </c>
      <c r="H65" s="56">
        <v>1821.04</v>
      </c>
      <c r="I65" s="56">
        <v>1821.04</v>
      </c>
      <c r="J65" s="56">
        <v>1821.04</v>
      </c>
      <c r="K65" s="56">
        <v>1713.92</v>
      </c>
      <c r="L65" s="56">
        <v>1767.48</v>
      </c>
      <c r="M65" s="56">
        <v>1580.02</v>
      </c>
      <c r="N65" s="57">
        <v>1569.4</v>
      </c>
      <c r="O65" s="57">
        <v>1597.42</v>
      </c>
      <c r="P65" s="57">
        <v>1681.49</v>
      </c>
      <c r="Q65" s="57">
        <v>1681.5</v>
      </c>
      <c r="R65" s="57">
        <v>1681.5</v>
      </c>
      <c r="S65" s="57">
        <v>20422.990000000002</v>
      </c>
      <c r="U65" s="58">
        <f t="shared" si="46"/>
        <v>15.749382492471357</v>
      </c>
      <c r="V65" s="58">
        <f t="shared" si="46"/>
        <v>16.999333483937335</v>
      </c>
      <c r="W65" s="58">
        <f t="shared" si="46"/>
        <v>16.999333483937335</v>
      </c>
      <c r="X65" s="58">
        <f t="shared" si="46"/>
        <v>16.999333483937335</v>
      </c>
      <c r="Y65" s="58">
        <f t="shared" si="46"/>
        <v>15.999372690764552</v>
      </c>
      <c r="Z65" s="58">
        <f t="shared" si="46"/>
        <v>16.499353087350944</v>
      </c>
      <c r="AA65" s="58">
        <f t="shared" si="46"/>
        <v>14.749421699298571</v>
      </c>
      <c r="AB65" s="58">
        <f t="shared" si="47"/>
        <v>13.999537927829323</v>
      </c>
      <c r="AC65" s="58">
        <f t="shared" si="47"/>
        <v>14.249485074979685</v>
      </c>
      <c r="AD65" s="58">
        <f t="shared" si="47"/>
        <v>14.999415719552522</v>
      </c>
      <c r="AE65" s="58">
        <f t="shared" si="47"/>
        <v>14.999504922674273</v>
      </c>
      <c r="AF65" s="58">
        <f t="shared" si="47"/>
        <v>14.999504922674273</v>
      </c>
      <c r="AG65" s="58">
        <f t="shared" si="57"/>
        <v>187.2429789894075</v>
      </c>
      <c r="AH65" s="58">
        <f t="shared" si="58"/>
        <v>15.603581582450625</v>
      </c>
      <c r="AL65" s="26">
        <v>1.5</v>
      </c>
      <c r="AM65" s="26">
        <v>1</v>
      </c>
      <c r="AN65" s="27">
        <f t="shared" si="50"/>
        <v>15.603581582450625</v>
      </c>
      <c r="AQ65" s="78">
        <f>27.17*4.33</f>
        <v>117.6461</v>
      </c>
      <c r="AR65" s="60">
        <f t="shared" ca="1" si="51"/>
        <v>13.846977420654659</v>
      </c>
      <c r="AS65" s="60">
        <f t="shared" ca="1" si="52"/>
        <v>2592.7493022424401</v>
      </c>
      <c r="AT65" s="60">
        <f t="shared" ca="1" si="53"/>
        <v>131.49307742065466</v>
      </c>
      <c r="AU65" s="60">
        <f t="shared" ca="1" si="54"/>
        <v>23015.73930224244</v>
      </c>
      <c r="BC65" s="300">
        <f t="shared" ca="1" si="55"/>
        <v>87.769246569456655</v>
      </c>
      <c r="BD65" s="300">
        <f t="shared" ca="1" si="56"/>
        <v>23103.508548811897</v>
      </c>
    </row>
    <row r="66" spans="1:56" outlineLevel="1">
      <c r="A66" s="23" t="str">
        <f t="shared" si="45"/>
        <v>VashonCommercialR1.5YD2W</v>
      </c>
      <c r="B66" s="23" t="s">
        <v>237</v>
      </c>
      <c r="C66" s="23" t="s">
        <v>238</v>
      </c>
      <c r="D66" s="54">
        <f>24.74*8.66</f>
        <v>214.2484</v>
      </c>
      <c r="E66" s="54">
        <f>25.89*8.66</f>
        <v>224.20740000000001</v>
      </c>
      <c r="F66" s="55"/>
      <c r="G66" s="56">
        <v>428.48</v>
      </c>
      <c r="H66" s="56">
        <v>428.48</v>
      </c>
      <c r="I66" s="56">
        <v>428.48</v>
      </c>
      <c r="J66" s="56">
        <v>428.48</v>
      </c>
      <c r="K66" s="56">
        <v>428.48</v>
      </c>
      <c r="L66" s="56">
        <v>428.48</v>
      </c>
      <c r="M66" s="56">
        <v>428.48</v>
      </c>
      <c r="N66" s="57">
        <v>448.42</v>
      </c>
      <c r="O66" s="57">
        <v>448.42</v>
      </c>
      <c r="P66" s="57">
        <v>448.42</v>
      </c>
      <c r="Q66" s="57">
        <v>448.42</v>
      </c>
      <c r="R66" s="57">
        <v>448.42</v>
      </c>
      <c r="S66" s="57">
        <v>5241.46</v>
      </c>
      <c r="U66" s="58">
        <f t="shared" si="46"/>
        <v>1.999921586345569</v>
      </c>
      <c r="V66" s="58">
        <f t="shared" si="46"/>
        <v>1.999921586345569</v>
      </c>
      <c r="W66" s="58">
        <f t="shared" si="46"/>
        <v>1.999921586345569</v>
      </c>
      <c r="X66" s="58">
        <f t="shared" si="46"/>
        <v>1.999921586345569</v>
      </c>
      <c r="Y66" s="58">
        <f t="shared" si="46"/>
        <v>1.999921586345569</v>
      </c>
      <c r="Z66" s="58">
        <f t="shared" si="46"/>
        <v>1.999921586345569</v>
      </c>
      <c r="AA66" s="58">
        <f t="shared" si="46"/>
        <v>1.999921586345569</v>
      </c>
      <c r="AB66" s="58">
        <f t="shared" si="47"/>
        <v>2.0000231928116556</v>
      </c>
      <c r="AC66" s="58">
        <f t="shared" si="47"/>
        <v>2.0000231928116556</v>
      </c>
      <c r="AD66" s="58">
        <f t="shared" si="47"/>
        <v>2.0000231928116556</v>
      </c>
      <c r="AE66" s="58">
        <f t="shared" si="47"/>
        <v>2.0000231928116556</v>
      </c>
      <c r="AF66" s="58">
        <f t="shared" si="47"/>
        <v>2.0000231928116556</v>
      </c>
      <c r="AG66" s="58">
        <f t="shared" si="57"/>
        <v>23.999567068477262</v>
      </c>
      <c r="AH66" s="58">
        <f t="shared" si="58"/>
        <v>1.9999639223731052</v>
      </c>
      <c r="AL66" s="26">
        <v>1.5</v>
      </c>
      <c r="AM66" s="26">
        <v>1</v>
      </c>
      <c r="AN66" s="27">
        <f t="shared" si="50"/>
        <v>1.9999639223731052</v>
      </c>
      <c r="AQ66" s="78">
        <f>27.17*8.66</f>
        <v>235.29220000000001</v>
      </c>
      <c r="AR66" s="60">
        <f t="shared" ca="1" si="51"/>
        <v>27.693954841309317</v>
      </c>
      <c r="AS66" s="60">
        <f t="shared" ca="1" si="52"/>
        <v>664.64292660538354</v>
      </c>
      <c r="AT66" s="60">
        <f t="shared" ca="1" si="53"/>
        <v>262.98615484130931</v>
      </c>
      <c r="AU66" s="60">
        <f t="shared" ca="1" si="54"/>
        <v>5906.1029266053838</v>
      </c>
      <c r="BC66" s="300">
        <f t="shared" ca="1" si="55"/>
        <v>22.52259626434472</v>
      </c>
      <c r="BD66" s="300">
        <f t="shared" ca="1" si="56"/>
        <v>5928.6255228697282</v>
      </c>
    </row>
    <row r="67" spans="1:56" outlineLevel="1">
      <c r="A67" s="23" t="str">
        <f t="shared" si="45"/>
        <v>VashonCommercialR1.5YDEOW</v>
      </c>
      <c r="B67" s="23" t="s">
        <v>239</v>
      </c>
      <c r="C67" s="23" t="s">
        <v>240</v>
      </c>
      <c r="D67" s="54">
        <f>24.74*2.17</f>
        <v>53.685799999999993</v>
      </c>
      <c r="E67" s="54">
        <f>25.89*2.17</f>
        <v>56.1813</v>
      </c>
      <c r="F67" s="55"/>
      <c r="G67" s="56">
        <v>214.72</v>
      </c>
      <c r="H67" s="56">
        <v>161.04</v>
      </c>
      <c r="I67" s="56">
        <v>147.62</v>
      </c>
      <c r="J67" s="56">
        <v>161.04</v>
      </c>
      <c r="K67" s="56">
        <v>161.04</v>
      </c>
      <c r="L67" s="56">
        <v>134.19999999999999</v>
      </c>
      <c r="M67" s="56">
        <v>214.72</v>
      </c>
      <c r="N67" s="57">
        <v>224.72</v>
      </c>
      <c r="O67" s="57">
        <v>168.54</v>
      </c>
      <c r="P67" s="57">
        <v>252.81</v>
      </c>
      <c r="Q67" s="57">
        <v>224.72</v>
      </c>
      <c r="R67" s="57">
        <v>224.72</v>
      </c>
      <c r="S67" s="57">
        <v>2289.8899999999994</v>
      </c>
      <c r="U67" s="58">
        <f t="shared" si="46"/>
        <v>3.9995678559321091</v>
      </c>
      <c r="V67" s="58">
        <f t="shared" si="46"/>
        <v>2.9996758919490816</v>
      </c>
      <c r="W67" s="58">
        <f t="shared" si="46"/>
        <v>2.7497029009533249</v>
      </c>
      <c r="X67" s="58">
        <f t="shared" si="46"/>
        <v>2.9996758919490816</v>
      </c>
      <c r="Y67" s="58">
        <f t="shared" si="46"/>
        <v>2.9996758919490816</v>
      </c>
      <c r="Z67" s="58">
        <f t="shared" si="46"/>
        <v>2.4997299099575678</v>
      </c>
      <c r="AA67" s="58">
        <f t="shared" si="46"/>
        <v>3.9995678559321091</v>
      </c>
      <c r="AB67" s="58">
        <f t="shared" si="47"/>
        <v>3.99990744251201</v>
      </c>
      <c r="AC67" s="58">
        <f t="shared" si="47"/>
        <v>2.9999305818840076</v>
      </c>
      <c r="AD67" s="58">
        <f t="shared" si="47"/>
        <v>4.4998958728260119</v>
      </c>
      <c r="AE67" s="58">
        <f t="shared" si="47"/>
        <v>3.99990744251201</v>
      </c>
      <c r="AF67" s="58">
        <f t="shared" si="47"/>
        <v>3.99990744251201</v>
      </c>
      <c r="AG67" s="58">
        <f t="shared" si="57"/>
        <v>41.747144980868413</v>
      </c>
      <c r="AH67" s="58">
        <f t="shared" si="58"/>
        <v>3.4789287484057012</v>
      </c>
      <c r="AL67" s="26">
        <v>1.5</v>
      </c>
      <c r="AM67" s="26">
        <v>1</v>
      </c>
      <c r="AN67" s="27">
        <f t="shared" si="50"/>
        <v>3.4789287484057012</v>
      </c>
      <c r="AQ67" s="78">
        <f>27.17*2.17</f>
        <v>58.9589</v>
      </c>
      <c r="AR67" s="60">
        <f t="shared" ca="1" si="51"/>
        <v>6.9394782916444822</v>
      </c>
      <c r="AS67" s="60">
        <f t="shared" ca="1" si="52"/>
        <v>289.70340633287128</v>
      </c>
      <c r="AT67" s="60">
        <f t="shared" ca="1" si="53"/>
        <v>65.898378291644477</v>
      </c>
      <c r="AU67" s="60">
        <f t="shared" ca="1" si="54"/>
        <v>2579.5934063328705</v>
      </c>
      <c r="BC67" s="300">
        <f t="shared" ca="1" si="55"/>
        <v>9.8371365245397584</v>
      </c>
      <c r="BD67" s="300">
        <f t="shared" ca="1" si="56"/>
        <v>2589.4305428574103</v>
      </c>
    </row>
    <row r="68" spans="1:56" outlineLevel="1">
      <c r="A68" s="23" t="str">
        <f t="shared" si="45"/>
        <v>VashonCommercialR1.5YDTPU</v>
      </c>
      <c r="B68" s="23" t="s">
        <v>241</v>
      </c>
      <c r="C68" s="23" t="s">
        <v>242</v>
      </c>
      <c r="D68" s="54">
        <v>26.85</v>
      </c>
      <c r="E68" s="54">
        <v>28</v>
      </c>
      <c r="F68" s="55"/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7">
        <v>0</v>
      </c>
      <c r="O68" s="57">
        <v>84</v>
      </c>
      <c r="P68" s="57">
        <v>28</v>
      </c>
      <c r="Q68" s="57">
        <v>0</v>
      </c>
      <c r="R68" s="57">
        <v>0</v>
      </c>
      <c r="S68" s="57">
        <v>112</v>
      </c>
      <c r="U68" s="58">
        <f t="shared" si="46"/>
        <v>0</v>
      </c>
      <c r="V68" s="58">
        <f t="shared" si="46"/>
        <v>0</v>
      </c>
      <c r="W68" s="58">
        <f t="shared" si="46"/>
        <v>0</v>
      </c>
      <c r="X68" s="58">
        <f t="shared" si="46"/>
        <v>0</v>
      </c>
      <c r="Y68" s="58">
        <f t="shared" si="46"/>
        <v>0</v>
      </c>
      <c r="Z68" s="58">
        <f t="shared" si="46"/>
        <v>0</v>
      </c>
      <c r="AA68" s="58">
        <f t="shared" si="46"/>
        <v>0</v>
      </c>
      <c r="AB68" s="58">
        <f t="shared" si="47"/>
        <v>0</v>
      </c>
      <c r="AC68" s="58">
        <f t="shared" si="47"/>
        <v>3</v>
      </c>
      <c r="AD68" s="58">
        <f t="shared" si="47"/>
        <v>1</v>
      </c>
      <c r="AE68" s="58">
        <f t="shared" si="47"/>
        <v>0</v>
      </c>
      <c r="AF68" s="58">
        <f t="shared" si="47"/>
        <v>0</v>
      </c>
      <c r="AG68" s="58">
        <f t="shared" si="57"/>
        <v>4</v>
      </c>
      <c r="AH68" s="58">
        <f t="shared" si="58"/>
        <v>0.33333333333333331</v>
      </c>
      <c r="AL68" s="26">
        <v>1.5</v>
      </c>
      <c r="AM68" s="26">
        <v>1</v>
      </c>
      <c r="AN68" s="27">
        <f t="shared" si="50"/>
        <v>0.33333333333333331</v>
      </c>
      <c r="AQ68" s="78">
        <v>29.28</v>
      </c>
      <c r="AR68" s="60">
        <f t="shared" ca="1" si="51"/>
        <v>3.4462638275027255</v>
      </c>
      <c r="AS68" s="60">
        <f t="shared" ca="1" si="52"/>
        <v>13.7850553100109</v>
      </c>
      <c r="AT68" s="60">
        <f t="shared" ca="1" si="53"/>
        <v>32.726263827502727</v>
      </c>
      <c r="AU68" s="60">
        <f t="shared" ca="1" si="54"/>
        <v>125.7850553100109</v>
      </c>
      <c r="BC68" s="300">
        <f t="shared" ca="1" si="55"/>
        <v>0.47967433890691702</v>
      </c>
      <c r="BD68" s="300">
        <f t="shared" ca="1" si="56"/>
        <v>126.26472964891782</v>
      </c>
    </row>
    <row r="69" spans="1:56" outlineLevel="1">
      <c r="A69" s="23" t="str">
        <f t="shared" si="45"/>
        <v>VashonCommercialR2YD1W</v>
      </c>
      <c r="B69" s="23" t="s">
        <v>243</v>
      </c>
      <c r="C69" s="23" t="s">
        <v>244</v>
      </c>
      <c r="D69" s="54">
        <f>34.35*4.33</f>
        <v>148.7355</v>
      </c>
      <c r="E69" s="54">
        <f>35.84*4.33</f>
        <v>155.18720000000002</v>
      </c>
      <c r="F69" s="55"/>
      <c r="G69" s="56">
        <v>7529.43</v>
      </c>
      <c r="H69" s="56">
        <v>7752.55</v>
      </c>
      <c r="I69" s="56">
        <v>7994.2349999999997</v>
      </c>
      <c r="J69" s="56">
        <v>7901.2749999999996</v>
      </c>
      <c r="K69" s="56">
        <v>7919.8649999999998</v>
      </c>
      <c r="L69" s="56">
        <v>8031.4049999999997</v>
      </c>
      <c r="M69" s="56">
        <v>7436.5</v>
      </c>
      <c r="N69" s="57">
        <v>7643.1</v>
      </c>
      <c r="O69" s="57">
        <v>7604.29</v>
      </c>
      <c r="P69" s="57">
        <v>8069.87</v>
      </c>
      <c r="Q69" s="57">
        <v>7837.09</v>
      </c>
      <c r="R69" s="57">
        <v>8147.47</v>
      </c>
      <c r="S69" s="57">
        <v>93867.079999999987</v>
      </c>
      <c r="U69" s="58">
        <f t="shared" si="46"/>
        <v>50.622951480984703</v>
      </c>
      <c r="V69" s="58">
        <f t="shared" si="46"/>
        <v>52.123064097004416</v>
      </c>
      <c r="W69" s="58">
        <f t="shared" si="46"/>
        <v>53.747995602932718</v>
      </c>
      <c r="X69" s="58">
        <f t="shared" si="46"/>
        <v>53.122993501887578</v>
      </c>
      <c r="Y69" s="58">
        <f t="shared" si="46"/>
        <v>53.247980475407687</v>
      </c>
      <c r="Z69" s="58">
        <f t="shared" si="46"/>
        <v>53.997902316528332</v>
      </c>
      <c r="AA69" s="58">
        <f t="shared" si="46"/>
        <v>49.998151080273374</v>
      </c>
      <c r="AB69" s="58">
        <f t="shared" si="47"/>
        <v>49.250840275486631</v>
      </c>
      <c r="AC69" s="58">
        <f t="shared" si="47"/>
        <v>49.0007552169251</v>
      </c>
      <c r="AD69" s="58">
        <f t="shared" si="47"/>
        <v>52.000873783404813</v>
      </c>
      <c r="AE69" s="58">
        <f t="shared" si="47"/>
        <v>50.50087893846915</v>
      </c>
      <c r="AF69" s="58">
        <f t="shared" si="47"/>
        <v>52.500915023919497</v>
      </c>
      <c r="AG69" s="58">
        <f t="shared" si="57"/>
        <v>620.11530179322381</v>
      </c>
      <c r="AH69" s="58">
        <f t="shared" si="58"/>
        <v>51.67627514943532</v>
      </c>
      <c r="AL69" s="26">
        <v>2</v>
      </c>
      <c r="AM69" s="26">
        <v>1</v>
      </c>
      <c r="AN69" s="27">
        <f t="shared" si="50"/>
        <v>51.67627514943532</v>
      </c>
      <c r="AQ69" s="78">
        <f>37.5*4.33</f>
        <v>162.375</v>
      </c>
      <c r="AR69" s="60">
        <f t="shared" ca="1" si="51"/>
        <v>19.111580908154203</v>
      </c>
      <c r="AS69" s="60">
        <f t="shared" ca="1" si="52"/>
        <v>11851.383762605659</v>
      </c>
      <c r="AT69" s="60">
        <f t="shared" ca="1" si="53"/>
        <v>181.4865809081542</v>
      </c>
      <c r="AU69" s="60">
        <f t="shared" ca="1" si="54"/>
        <v>105718.46376260565</v>
      </c>
      <c r="BC69" s="300">
        <f t="shared" ca="1" si="55"/>
        <v>403.15150389369683</v>
      </c>
      <c r="BD69" s="300">
        <f t="shared" ca="1" si="56"/>
        <v>106121.61526649934</v>
      </c>
    </row>
    <row r="70" spans="1:56" outlineLevel="1">
      <c r="A70" s="23" t="str">
        <f t="shared" si="45"/>
        <v>VashonCommercialR2YD2W</v>
      </c>
      <c r="B70" s="23" t="s">
        <v>245</v>
      </c>
      <c r="C70" s="23" t="s">
        <v>246</v>
      </c>
      <c r="D70" s="54">
        <f>34.35*8.66</f>
        <v>297.471</v>
      </c>
      <c r="E70" s="54">
        <f>35.84*8.66</f>
        <v>310.37440000000004</v>
      </c>
      <c r="F70" s="55"/>
      <c r="G70" s="56">
        <v>8031.69</v>
      </c>
      <c r="H70" s="56">
        <v>8031.69</v>
      </c>
      <c r="I70" s="56">
        <v>8031.69</v>
      </c>
      <c r="J70" s="56">
        <v>8143.24</v>
      </c>
      <c r="K70" s="56">
        <v>8329.16</v>
      </c>
      <c r="L70" s="56">
        <v>8329.16</v>
      </c>
      <c r="M70" s="56">
        <v>8143.23</v>
      </c>
      <c r="N70" s="57">
        <v>8379.99</v>
      </c>
      <c r="O70" s="57">
        <v>8379.99</v>
      </c>
      <c r="P70" s="57">
        <v>8341.19</v>
      </c>
      <c r="Q70" s="57">
        <v>8224.7999999999993</v>
      </c>
      <c r="R70" s="57">
        <v>8069.62</v>
      </c>
      <c r="S70" s="57">
        <v>98435.45</v>
      </c>
      <c r="U70" s="58">
        <f t="shared" si="46"/>
        <v>26.999909234849781</v>
      </c>
      <c r="V70" s="58">
        <f t="shared" si="46"/>
        <v>26.999909234849781</v>
      </c>
      <c r="W70" s="58">
        <f t="shared" si="46"/>
        <v>26.999909234849781</v>
      </c>
      <c r="X70" s="58">
        <f t="shared" si="46"/>
        <v>27.374903772132409</v>
      </c>
      <c r="Y70" s="58">
        <f t="shared" si="46"/>
        <v>27.999905873177553</v>
      </c>
      <c r="Z70" s="58">
        <f t="shared" si="46"/>
        <v>27.999905873177553</v>
      </c>
      <c r="AA70" s="58">
        <f t="shared" si="46"/>
        <v>27.374870155410104</v>
      </c>
      <c r="AB70" s="58">
        <f t="shared" si="47"/>
        <v>26.999617236473107</v>
      </c>
      <c r="AC70" s="58">
        <f t="shared" si="47"/>
        <v>26.999617236473107</v>
      </c>
      <c r="AD70" s="58">
        <f t="shared" si="47"/>
        <v>26.874606926344438</v>
      </c>
      <c r="AE70" s="58">
        <f t="shared" si="47"/>
        <v>26.49960821511052</v>
      </c>
      <c r="AF70" s="58">
        <f t="shared" si="47"/>
        <v>25.99963141290003</v>
      </c>
      <c r="AG70" s="58">
        <f t="shared" si="57"/>
        <v>325.1223944057482</v>
      </c>
      <c r="AH70" s="58">
        <f t="shared" si="58"/>
        <v>27.093532867145683</v>
      </c>
      <c r="AL70" s="26">
        <v>2</v>
      </c>
      <c r="AM70" s="26">
        <v>1</v>
      </c>
      <c r="AN70" s="27">
        <f t="shared" si="50"/>
        <v>27.093532867145683</v>
      </c>
      <c r="AQ70" s="78">
        <f>37.5*8.66</f>
        <v>324.75</v>
      </c>
      <c r="AR70" s="60">
        <f t="shared" ca="1" si="51"/>
        <v>38.223161816308405</v>
      </c>
      <c r="AS70" s="60">
        <f t="shared" ca="1" si="52"/>
        <v>12427.205891476555</v>
      </c>
      <c r="AT70" s="60">
        <f t="shared" ca="1" si="53"/>
        <v>362.97316181630839</v>
      </c>
      <c r="AU70" s="60">
        <f t="shared" ca="1" si="54"/>
        <v>110862.65589147655</v>
      </c>
      <c r="BC70" s="300">
        <f t="shared" ca="1" si="55"/>
        <v>422.76859554695244</v>
      </c>
      <c r="BD70" s="300">
        <f t="shared" ca="1" si="56"/>
        <v>111285.4244870235</v>
      </c>
    </row>
    <row r="71" spans="1:56" outlineLevel="1">
      <c r="A71" s="23" t="str">
        <f t="shared" si="45"/>
        <v>VashonCommercialR2YD3W</v>
      </c>
      <c r="B71" s="23" t="s">
        <v>247</v>
      </c>
      <c r="C71" s="23" t="s">
        <v>248</v>
      </c>
      <c r="D71" s="54">
        <f>34.35*12.99</f>
        <v>446.20650000000001</v>
      </c>
      <c r="E71" s="54">
        <f>35.84*12.99</f>
        <v>465.56160000000006</v>
      </c>
      <c r="F71" s="55"/>
      <c r="G71" s="56">
        <v>4015.8</v>
      </c>
      <c r="H71" s="56">
        <v>4015.8</v>
      </c>
      <c r="I71" s="56">
        <v>4015.8</v>
      </c>
      <c r="J71" s="56">
        <v>4015.8</v>
      </c>
      <c r="K71" s="56">
        <v>4015.8</v>
      </c>
      <c r="L71" s="56">
        <v>4015.8</v>
      </c>
      <c r="M71" s="56">
        <v>4015.8</v>
      </c>
      <c r="N71" s="57">
        <v>4190.04</v>
      </c>
      <c r="O71" s="57">
        <v>4190.04</v>
      </c>
      <c r="P71" s="57">
        <v>4190.04</v>
      </c>
      <c r="Q71" s="57">
        <v>4422.82</v>
      </c>
      <c r="R71" s="57">
        <v>4655.6000000000004</v>
      </c>
      <c r="S71" s="57">
        <v>49759.14</v>
      </c>
      <c r="U71" s="58">
        <f t="shared" si="46"/>
        <v>8.9998688947830203</v>
      </c>
      <c r="V71" s="58">
        <f t="shared" si="46"/>
        <v>8.9998688947830203</v>
      </c>
      <c r="W71" s="58">
        <f t="shared" si="46"/>
        <v>8.9998688947830203</v>
      </c>
      <c r="X71" s="58">
        <f t="shared" si="46"/>
        <v>8.9998688947830203</v>
      </c>
      <c r="Y71" s="58">
        <f t="shared" si="46"/>
        <v>8.9998688947830203</v>
      </c>
      <c r="Z71" s="58">
        <f t="shared" si="46"/>
        <v>8.9998688947830203</v>
      </c>
      <c r="AA71" s="58">
        <f t="shared" si="46"/>
        <v>8.9998688947830203</v>
      </c>
      <c r="AB71" s="58">
        <f t="shared" si="47"/>
        <v>8.9999690696139876</v>
      </c>
      <c r="AC71" s="58">
        <f t="shared" si="47"/>
        <v>8.9999690696139876</v>
      </c>
      <c r="AD71" s="58">
        <f t="shared" si="47"/>
        <v>8.9999690696139876</v>
      </c>
      <c r="AE71" s="58">
        <f t="shared" si="47"/>
        <v>9.4999673512592082</v>
      </c>
      <c r="AF71" s="58">
        <f t="shared" si="47"/>
        <v>9.9999656329044324</v>
      </c>
      <c r="AG71" s="58">
        <f t="shared" si="57"/>
        <v>109.49892245648672</v>
      </c>
      <c r="AH71" s="58">
        <f t="shared" si="58"/>
        <v>9.124910204707227</v>
      </c>
      <c r="AL71" s="26">
        <v>2</v>
      </c>
      <c r="AM71" s="26">
        <v>1</v>
      </c>
      <c r="AN71" s="27">
        <f t="shared" si="50"/>
        <v>9.124910204707227</v>
      </c>
      <c r="AQ71" s="78">
        <f>37.5*12.99</f>
        <v>487.125</v>
      </c>
      <c r="AR71" s="60">
        <f t="shared" ca="1" si="51"/>
        <v>57.334742724462608</v>
      </c>
      <c r="AS71" s="60">
        <f t="shared" ca="1" si="52"/>
        <v>6278.0925476485472</v>
      </c>
      <c r="AT71" s="60">
        <f t="shared" ca="1" si="53"/>
        <v>544.45974272446256</v>
      </c>
      <c r="AU71" s="60">
        <f t="shared" ca="1" si="54"/>
        <v>56037.232547648549</v>
      </c>
      <c r="BC71" s="300">
        <f t="shared" ca="1" si="55"/>
        <v>213.69488140080512</v>
      </c>
      <c r="BD71" s="300">
        <f t="shared" ca="1" si="56"/>
        <v>56250.927429049356</v>
      </c>
    </row>
    <row r="72" spans="1:56" outlineLevel="1">
      <c r="A72" s="23" t="str">
        <f t="shared" si="45"/>
        <v>VashonCommercialR2YD4W</v>
      </c>
      <c r="B72" s="23" t="s">
        <v>249</v>
      </c>
      <c r="C72" s="23" t="s">
        <v>250</v>
      </c>
      <c r="D72" s="54">
        <f>34.35*17.32</f>
        <v>594.94200000000001</v>
      </c>
      <c r="E72" s="54">
        <f>35.84*17.32</f>
        <v>620.74880000000007</v>
      </c>
      <c r="F72" s="55"/>
      <c r="G72" s="56">
        <v>594.94000000000005</v>
      </c>
      <c r="H72" s="56">
        <v>594.94000000000005</v>
      </c>
      <c r="I72" s="56">
        <v>594.94000000000005</v>
      </c>
      <c r="J72" s="56">
        <v>594.94000000000005</v>
      </c>
      <c r="K72" s="56">
        <v>594.94000000000005</v>
      </c>
      <c r="L72" s="56">
        <v>594.94000000000005</v>
      </c>
      <c r="M72" s="56">
        <v>594.94000000000005</v>
      </c>
      <c r="N72" s="57">
        <v>148.72999999999999</v>
      </c>
      <c r="O72" s="57">
        <v>0</v>
      </c>
      <c r="P72" s="57">
        <v>0</v>
      </c>
      <c r="Q72" s="57">
        <v>0</v>
      </c>
      <c r="R72" s="57">
        <v>0</v>
      </c>
      <c r="S72" s="57">
        <v>4313.3099999999995</v>
      </c>
      <c r="U72" s="58">
        <f t="shared" si="46"/>
        <v>0.99999663832776986</v>
      </c>
      <c r="V72" s="58">
        <f t="shared" si="46"/>
        <v>0.99999663832776986</v>
      </c>
      <c r="W72" s="58">
        <f t="shared" si="46"/>
        <v>0.99999663832776986</v>
      </c>
      <c r="X72" s="58">
        <f t="shared" si="46"/>
        <v>0.99999663832776986</v>
      </c>
      <c r="Y72" s="58">
        <f t="shared" si="46"/>
        <v>0.99999663832776986</v>
      </c>
      <c r="Z72" s="58">
        <f t="shared" si="46"/>
        <v>0.99999663832776986</v>
      </c>
      <c r="AA72" s="58">
        <f t="shared" si="46"/>
        <v>0.99999663832776986</v>
      </c>
      <c r="AB72" s="58">
        <f t="shared" si="47"/>
        <v>0.2395977245546024</v>
      </c>
      <c r="AC72" s="58">
        <f t="shared" si="47"/>
        <v>0</v>
      </c>
      <c r="AD72" s="58">
        <f t="shared" si="47"/>
        <v>0</v>
      </c>
      <c r="AE72" s="58">
        <f t="shared" si="47"/>
        <v>0</v>
      </c>
      <c r="AF72" s="58">
        <f t="shared" si="47"/>
        <v>0</v>
      </c>
      <c r="AG72" s="58">
        <f t="shared" si="57"/>
        <v>7.2395741928489912</v>
      </c>
      <c r="AH72" s="58">
        <f t="shared" si="58"/>
        <v>0.6032978494040826</v>
      </c>
      <c r="AL72" s="26">
        <v>2</v>
      </c>
      <c r="AM72" s="26">
        <v>1</v>
      </c>
      <c r="AN72" s="27">
        <f t="shared" si="50"/>
        <v>0.6032978494040826</v>
      </c>
      <c r="AQ72" s="78">
        <f>37.5*17.32</f>
        <v>649.5</v>
      </c>
      <c r="AR72" s="60">
        <f t="shared" ca="1" si="51"/>
        <v>76.44632363261681</v>
      </c>
      <c r="AS72" s="60">
        <f t="shared" ca="1" si="52"/>
        <v>553.43883170887466</v>
      </c>
      <c r="AT72" s="60">
        <f t="shared" ca="1" si="53"/>
        <v>725.94632363261678</v>
      </c>
      <c r="AU72" s="60">
        <f t="shared" ca="1" si="54"/>
        <v>4866.7488317088737</v>
      </c>
      <c r="BC72" s="300">
        <f t="shared" ca="1" si="55"/>
        <v>18.559077012149405</v>
      </c>
      <c r="BD72" s="300">
        <f t="shared" ca="1" si="56"/>
        <v>4885.3079087210235</v>
      </c>
    </row>
    <row r="73" spans="1:56" outlineLevel="1">
      <c r="A73" s="23" t="str">
        <f t="shared" si="45"/>
        <v>VashonCommercialR2YDEOW</v>
      </c>
      <c r="B73" s="23" t="s">
        <v>251</v>
      </c>
      <c r="C73" s="23" t="s">
        <v>252</v>
      </c>
      <c r="D73" s="54">
        <f>34.35*2.17</f>
        <v>74.539500000000004</v>
      </c>
      <c r="E73" s="54">
        <f>35.84*2.17</f>
        <v>77.772800000000004</v>
      </c>
      <c r="F73" s="55"/>
      <c r="G73" s="56">
        <v>1117.95</v>
      </c>
      <c r="H73" s="56">
        <v>1080.68</v>
      </c>
      <c r="I73" s="56">
        <v>1267.01</v>
      </c>
      <c r="J73" s="56">
        <v>1192.48</v>
      </c>
      <c r="K73" s="56">
        <v>1062.05</v>
      </c>
      <c r="L73" s="56">
        <v>1043.42</v>
      </c>
      <c r="M73" s="56">
        <v>1267.01</v>
      </c>
      <c r="N73" s="57">
        <v>1322.09</v>
      </c>
      <c r="O73" s="57">
        <v>1477.63</v>
      </c>
      <c r="P73" s="57">
        <v>1477.63</v>
      </c>
      <c r="Q73" s="57">
        <v>1399.86</v>
      </c>
      <c r="R73" s="57">
        <v>1399.86</v>
      </c>
      <c r="S73" s="57">
        <v>15107.670000000002</v>
      </c>
      <c r="U73" s="58">
        <f t="shared" si="46"/>
        <v>14.99808826192824</v>
      </c>
      <c r="V73" s="58">
        <f t="shared" si="46"/>
        <v>14.498084908001799</v>
      </c>
      <c r="W73" s="58">
        <f t="shared" si="46"/>
        <v>16.997833363518669</v>
      </c>
      <c r="X73" s="58">
        <f t="shared" si="46"/>
        <v>15.997960812723456</v>
      </c>
      <c r="Y73" s="58">
        <f t="shared" si="46"/>
        <v>14.248150309567409</v>
      </c>
      <c r="Z73" s="58">
        <f t="shared" si="46"/>
        <v>13.998215711133025</v>
      </c>
      <c r="AA73" s="58">
        <f t="shared" si="46"/>
        <v>16.997833363518669</v>
      </c>
      <c r="AB73" s="58">
        <f t="shared" ref="AB73:AF88" si="59">+IFERROR(N73/$E73,0)</f>
        <v>16.999387960829491</v>
      </c>
      <c r="AC73" s="58">
        <f t="shared" si="59"/>
        <v>18.999315956221199</v>
      </c>
      <c r="AD73" s="58">
        <f t="shared" si="59"/>
        <v>18.999315956221199</v>
      </c>
      <c r="AE73" s="58">
        <f t="shared" si="59"/>
        <v>17.999351958525345</v>
      </c>
      <c r="AF73" s="58">
        <f t="shared" si="59"/>
        <v>17.999351958525345</v>
      </c>
      <c r="AG73" s="58">
        <f t="shared" si="57"/>
        <v>198.73289052071388</v>
      </c>
      <c r="AH73" s="58">
        <f t="shared" si="58"/>
        <v>16.561074210059491</v>
      </c>
      <c r="AL73" s="26">
        <v>2</v>
      </c>
      <c r="AM73" s="26">
        <v>1</v>
      </c>
      <c r="AN73" s="27">
        <f t="shared" si="50"/>
        <v>16.561074210059491</v>
      </c>
      <c r="AQ73" s="78">
        <f>37.5*2.17</f>
        <v>81.375</v>
      </c>
      <c r="AR73" s="60">
        <f t="shared" ca="1" si="51"/>
        <v>9.5778592542019911</v>
      </c>
      <c r="AS73" s="60">
        <f t="shared" ca="1" si="52"/>
        <v>1903.4356545881305</v>
      </c>
      <c r="AT73" s="60">
        <f t="shared" ca="1" si="53"/>
        <v>90.952859254201996</v>
      </c>
      <c r="AU73" s="60">
        <f t="shared" ca="1" si="54"/>
        <v>17011.105654588133</v>
      </c>
      <c r="BC73" s="300">
        <f t="shared" ca="1" si="55"/>
        <v>64.870908859797311</v>
      </c>
      <c r="BD73" s="300">
        <f t="shared" ca="1" si="56"/>
        <v>17075.97656344793</v>
      </c>
    </row>
    <row r="74" spans="1:56" outlineLevel="1">
      <c r="A74" s="23" t="str">
        <f t="shared" si="45"/>
        <v>VashonCommercialR2YDTPU</v>
      </c>
      <c r="B74" s="23" t="s">
        <v>253</v>
      </c>
      <c r="C74" s="23" t="s">
        <v>254</v>
      </c>
      <c r="D74" s="54">
        <v>36.46</v>
      </c>
      <c r="E74" s="54">
        <v>37.950000000000003</v>
      </c>
      <c r="F74" s="55"/>
      <c r="G74" s="56">
        <v>0</v>
      </c>
      <c r="H74" s="56">
        <v>0</v>
      </c>
      <c r="I74" s="56">
        <v>0</v>
      </c>
      <c r="J74" s="56">
        <v>72.92</v>
      </c>
      <c r="K74" s="56">
        <v>0</v>
      </c>
      <c r="L74" s="56">
        <v>109.38</v>
      </c>
      <c r="M74" s="56">
        <v>0</v>
      </c>
      <c r="N74" s="57">
        <v>0</v>
      </c>
      <c r="O74" s="57">
        <v>189.75</v>
      </c>
      <c r="P74" s="57">
        <v>151.80000000000001</v>
      </c>
      <c r="Q74" s="57">
        <v>151.80000000000001</v>
      </c>
      <c r="R74" s="57">
        <v>265.64999999999998</v>
      </c>
      <c r="S74" s="57">
        <v>941.30000000000007</v>
      </c>
      <c r="U74" s="58">
        <f t="shared" si="46"/>
        <v>0</v>
      </c>
      <c r="V74" s="58">
        <f t="shared" si="46"/>
        <v>0</v>
      </c>
      <c r="W74" s="58">
        <f t="shared" si="46"/>
        <v>0</v>
      </c>
      <c r="X74" s="58">
        <f t="shared" si="46"/>
        <v>2</v>
      </c>
      <c r="Y74" s="58">
        <f t="shared" si="46"/>
        <v>0</v>
      </c>
      <c r="Z74" s="58">
        <f t="shared" si="46"/>
        <v>3</v>
      </c>
      <c r="AA74" s="58">
        <f t="shared" si="46"/>
        <v>0</v>
      </c>
      <c r="AB74" s="58">
        <f t="shared" si="59"/>
        <v>0</v>
      </c>
      <c r="AC74" s="58">
        <f t="shared" si="59"/>
        <v>5</v>
      </c>
      <c r="AD74" s="58">
        <f t="shared" si="59"/>
        <v>4</v>
      </c>
      <c r="AE74" s="58">
        <f t="shared" si="59"/>
        <v>4</v>
      </c>
      <c r="AF74" s="58">
        <f t="shared" si="59"/>
        <v>6.9999999999999991</v>
      </c>
      <c r="AG74" s="58">
        <f t="shared" si="57"/>
        <v>25</v>
      </c>
      <c r="AH74" s="58">
        <f t="shared" si="58"/>
        <v>2.0833333333333335</v>
      </c>
      <c r="AL74" s="26">
        <v>2</v>
      </c>
      <c r="AM74" s="26">
        <v>1</v>
      </c>
      <c r="AN74" s="27">
        <f t="shared" si="50"/>
        <v>2.0833333333333335</v>
      </c>
      <c r="AQ74" s="78">
        <v>39.61</v>
      </c>
      <c r="AR74" s="60">
        <f t="shared" ca="1" si="51"/>
        <v>4.6621075890499641</v>
      </c>
      <c r="AS74" s="60">
        <f t="shared" ca="1" si="52"/>
        <v>116.55268972624911</v>
      </c>
      <c r="AT74" s="60">
        <f t="shared" ca="1" si="53"/>
        <v>44.272107589049966</v>
      </c>
      <c r="AU74" s="60">
        <f t="shared" ca="1" si="54"/>
        <v>1057.8526897262491</v>
      </c>
      <c r="BC74" s="300">
        <f t="shared" ca="1" si="55"/>
        <v>4.0340626186055184</v>
      </c>
      <c r="BD74" s="300">
        <f t="shared" ca="1" si="56"/>
        <v>1061.8867523448546</v>
      </c>
    </row>
    <row r="75" spans="1:56" outlineLevel="1">
      <c r="A75" s="23" t="str">
        <f t="shared" si="45"/>
        <v>VashonCommercialF1YDEX</v>
      </c>
      <c r="B75" s="23" t="s">
        <v>255</v>
      </c>
      <c r="C75" s="23" t="s">
        <v>256</v>
      </c>
      <c r="D75" s="54">
        <v>19.489999999999998</v>
      </c>
      <c r="E75" s="54">
        <v>20.3</v>
      </c>
      <c r="F75" s="55"/>
      <c r="G75" s="56">
        <v>0</v>
      </c>
      <c r="H75" s="56">
        <v>0</v>
      </c>
      <c r="I75" s="56">
        <v>0</v>
      </c>
      <c r="J75" s="56">
        <v>19.440000000000001</v>
      </c>
      <c r="K75" s="56">
        <v>0</v>
      </c>
      <c r="L75" s="56">
        <v>0</v>
      </c>
      <c r="M75" s="56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19.440000000000001</v>
      </c>
      <c r="U75" s="62">
        <f t="shared" si="46"/>
        <v>0</v>
      </c>
      <c r="V75" s="62">
        <f t="shared" si="46"/>
        <v>0</v>
      </c>
      <c r="W75" s="62">
        <f t="shared" si="46"/>
        <v>0</v>
      </c>
      <c r="X75" s="62">
        <f t="shared" si="46"/>
        <v>0.99743458183683953</v>
      </c>
      <c r="Y75" s="62">
        <f t="shared" si="46"/>
        <v>0</v>
      </c>
      <c r="Z75" s="62">
        <f t="shared" si="46"/>
        <v>0</v>
      </c>
      <c r="AA75" s="62">
        <f t="shared" si="46"/>
        <v>0</v>
      </c>
      <c r="AB75" s="62">
        <f t="shared" si="59"/>
        <v>0</v>
      </c>
      <c r="AC75" s="62">
        <f t="shared" si="59"/>
        <v>0</v>
      </c>
      <c r="AD75" s="62">
        <f t="shared" si="59"/>
        <v>0</v>
      </c>
      <c r="AE75" s="62">
        <f t="shared" si="59"/>
        <v>0</v>
      </c>
      <c r="AF75" s="62">
        <f t="shared" si="59"/>
        <v>0</v>
      </c>
      <c r="AG75" s="62">
        <f t="shared" si="57"/>
        <v>0.99743458183683953</v>
      </c>
      <c r="AH75" s="62">
        <f t="shared" si="58"/>
        <v>8.3119548486403294E-2</v>
      </c>
      <c r="AL75" s="26">
        <v>1</v>
      </c>
      <c r="AM75" s="26">
        <v>1</v>
      </c>
      <c r="AN75" s="27">
        <f t="shared" si="50"/>
        <v>8.3119548486403294E-2</v>
      </c>
      <c r="AQ75" s="78">
        <v>21.2</v>
      </c>
      <c r="AR75" s="60">
        <f t="shared" ca="1" si="51"/>
        <v>2.4952456674541592</v>
      </c>
      <c r="AS75" s="60">
        <f t="shared" ca="1" si="52"/>
        <v>2.4888443188973248</v>
      </c>
      <c r="AT75" s="60">
        <f t="shared" ca="1" si="53"/>
        <v>23.695245667454159</v>
      </c>
      <c r="AU75" s="60">
        <f t="shared" ca="1" si="54"/>
        <v>21.928844318897326</v>
      </c>
      <c r="BC75" s="300">
        <f t="shared" ca="1" si="55"/>
        <v>8.3624432773315494E-2</v>
      </c>
      <c r="BD75" s="300">
        <f t="shared" ca="1" si="56"/>
        <v>22.012468751670642</v>
      </c>
    </row>
    <row r="76" spans="1:56" outlineLevel="1">
      <c r="A76" s="23" t="str">
        <f t="shared" si="45"/>
        <v>VashonCommercialR1YDEX</v>
      </c>
      <c r="B76" s="23" t="s">
        <v>257</v>
      </c>
      <c r="C76" s="23" t="s">
        <v>258</v>
      </c>
      <c r="D76" s="54">
        <v>19.489999999999998</v>
      </c>
      <c r="E76" s="54">
        <v>20.3</v>
      </c>
      <c r="F76" s="55"/>
      <c r="G76" s="56">
        <v>0</v>
      </c>
      <c r="H76" s="56">
        <v>0</v>
      </c>
      <c r="I76" s="56">
        <v>0</v>
      </c>
      <c r="J76" s="56">
        <v>19.489999999999998</v>
      </c>
      <c r="K76" s="56">
        <v>19.489999999999998</v>
      </c>
      <c r="L76" s="56">
        <v>19.489999999999998</v>
      </c>
      <c r="M76" s="56">
        <v>0</v>
      </c>
      <c r="N76" s="57">
        <v>20.3</v>
      </c>
      <c r="O76" s="57">
        <v>40.6</v>
      </c>
      <c r="P76" s="57">
        <v>0</v>
      </c>
      <c r="Q76" s="57">
        <v>40.6</v>
      </c>
      <c r="R76" s="57">
        <v>40.6</v>
      </c>
      <c r="S76" s="57">
        <v>200.57</v>
      </c>
      <c r="U76" s="62">
        <f t="shared" si="46"/>
        <v>0</v>
      </c>
      <c r="V76" s="62">
        <f t="shared" si="46"/>
        <v>0</v>
      </c>
      <c r="W76" s="62">
        <f t="shared" si="46"/>
        <v>0</v>
      </c>
      <c r="X76" s="62">
        <f t="shared" si="46"/>
        <v>1</v>
      </c>
      <c r="Y76" s="62">
        <f t="shared" si="46"/>
        <v>1</v>
      </c>
      <c r="Z76" s="62">
        <f t="shared" si="46"/>
        <v>1</v>
      </c>
      <c r="AA76" s="62">
        <f t="shared" si="46"/>
        <v>0</v>
      </c>
      <c r="AB76" s="62">
        <f t="shared" si="59"/>
        <v>1</v>
      </c>
      <c r="AC76" s="62">
        <f t="shared" si="59"/>
        <v>2</v>
      </c>
      <c r="AD76" s="62">
        <f t="shared" si="59"/>
        <v>0</v>
      </c>
      <c r="AE76" s="62">
        <f t="shared" si="59"/>
        <v>2</v>
      </c>
      <c r="AF76" s="62">
        <f t="shared" si="59"/>
        <v>2</v>
      </c>
      <c r="AG76" s="62">
        <f t="shared" si="57"/>
        <v>10</v>
      </c>
      <c r="AH76" s="62">
        <f t="shared" si="58"/>
        <v>0.83333333333333337</v>
      </c>
      <c r="AL76" s="26">
        <v>1</v>
      </c>
      <c r="AM76" s="26">
        <v>1</v>
      </c>
      <c r="AN76" s="27">
        <f t="shared" si="50"/>
        <v>0.83333333333333337</v>
      </c>
      <c r="AQ76" s="78">
        <v>21.2</v>
      </c>
      <c r="AR76" s="60">
        <f t="shared" ca="1" si="51"/>
        <v>2.4952456674541592</v>
      </c>
      <c r="AS76" s="60">
        <f t="shared" ca="1" si="52"/>
        <v>24.952456674541594</v>
      </c>
      <c r="AT76" s="60">
        <f t="shared" ca="1" si="53"/>
        <v>23.695245667454159</v>
      </c>
      <c r="AU76" s="60">
        <f t="shared" ca="1" si="54"/>
        <v>225.52245667454159</v>
      </c>
      <c r="BC76" s="300">
        <f t="shared" ca="1" si="55"/>
        <v>0.86001739274518585</v>
      </c>
      <c r="BD76" s="300">
        <f t="shared" ca="1" si="56"/>
        <v>226.38247406728678</v>
      </c>
    </row>
    <row r="77" spans="1:56" outlineLevel="1">
      <c r="A77" s="23" t="str">
        <f t="shared" si="45"/>
        <v>VashonCommercialR1.5YDEX</v>
      </c>
      <c r="B77" s="23" t="s">
        <v>259</v>
      </c>
      <c r="C77" s="23" t="s">
        <v>260</v>
      </c>
      <c r="D77" s="54">
        <v>24.74</v>
      </c>
      <c r="E77" s="54">
        <v>25.89</v>
      </c>
      <c r="F77" s="55"/>
      <c r="G77" s="56">
        <v>0</v>
      </c>
      <c r="H77" s="56">
        <v>0</v>
      </c>
      <c r="I77" s="56">
        <v>0</v>
      </c>
      <c r="J77" s="56">
        <v>24.74</v>
      </c>
      <c r="K77" s="56">
        <v>0</v>
      </c>
      <c r="L77" s="56">
        <v>0</v>
      </c>
      <c r="M77" s="56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24.74</v>
      </c>
      <c r="U77" s="62">
        <f t="shared" si="46"/>
        <v>0</v>
      </c>
      <c r="V77" s="62">
        <f t="shared" si="46"/>
        <v>0</v>
      </c>
      <c r="W77" s="62">
        <f t="shared" si="46"/>
        <v>0</v>
      </c>
      <c r="X77" s="62">
        <f t="shared" si="46"/>
        <v>1</v>
      </c>
      <c r="Y77" s="62">
        <f t="shared" si="46"/>
        <v>0</v>
      </c>
      <c r="Z77" s="62">
        <f t="shared" si="46"/>
        <v>0</v>
      </c>
      <c r="AA77" s="62">
        <f t="shared" si="46"/>
        <v>0</v>
      </c>
      <c r="AB77" s="62">
        <f t="shared" si="59"/>
        <v>0</v>
      </c>
      <c r="AC77" s="62">
        <f t="shared" si="59"/>
        <v>0</v>
      </c>
      <c r="AD77" s="62">
        <f t="shared" si="59"/>
        <v>0</v>
      </c>
      <c r="AE77" s="62">
        <f t="shared" si="59"/>
        <v>0</v>
      </c>
      <c r="AF77" s="62">
        <f t="shared" si="59"/>
        <v>0</v>
      </c>
      <c r="AG77" s="62">
        <f t="shared" si="57"/>
        <v>1</v>
      </c>
      <c r="AH77" s="62">
        <f t="shared" si="58"/>
        <v>8.3333333333333329E-2</v>
      </c>
      <c r="AL77" s="26">
        <v>1</v>
      </c>
      <c r="AM77" s="26">
        <v>1</v>
      </c>
      <c r="AN77" s="27">
        <f t="shared" si="50"/>
        <v>8.3333333333333329E-2</v>
      </c>
      <c r="AQ77" s="78">
        <v>27.17</v>
      </c>
      <c r="AR77" s="60">
        <f t="shared" ca="1" si="51"/>
        <v>3.1979162634306371</v>
      </c>
      <c r="AS77" s="60">
        <f t="shared" ca="1" si="52"/>
        <v>3.1979162634306371</v>
      </c>
      <c r="AT77" s="60">
        <f t="shared" ca="1" si="53"/>
        <v>30.36791626343064</v>
      </c>
      <c r="AU77" s="60">
        <f t="shared" ca="1" si="54"/>
        <v>27.937916263430637</v>
      </c>
      <c r="BC77" s="300">
        <f t="shared" ca="1" si="55"/>
        <v>0.10653969568220509</v>
      </c>
      <c r="BD77" s="300">
        <f t="shared" ca="1" si="56"/>
        <v>28.044455959112842</v>
      </c>
    </row>
    <row r="78" spans="1:56" outlineLevel="1">
      <c r="A78" s="23" t="str">
        <f t="shared" si="45"/>
        <v>VashonCommercialR2YDEX</v>
      </c>
      <c r="B78" s="23" t="s">
        <v>261</v>
      </c>
      <c r="C78" s="23" t="s">
        <v>262</v>
      </c>
      <c r="D78" s="54">
        <v>34.35</v>
      </c>
      <c r="E78" s="54">
        <v>35.840000000000003</v>
      </c>
      <c r="F78" s="55"/>
      <c r="G78" s="56">
        <v>0</v>
      </c>
      <c r="H78" s="56">
        <v>0</v>
      </c>
      <c r="I78" s="56">
        <v>0</v>
      </c>
      <c r="J78" s="56">
        <v>0</v>
      </c>
      <c r="K78" s="56">
        <v>68.7</v>
      </c>
      <c r="L78" s="56">
        <v>68.7</v>
      </c>
      <c r="M78" s="56">
        <v>0</v>
      </c>
      <c r="N78" s="57">
        <v>0</v>
      </c>
      <c r="O78" s="57">
        <v>71.680000000000007</v>
      </c>
      <c r="P78" s="57">
        <v>0</v>
      </c>
      <c r="Q78" s="57">
        <v>0</v>
      </c>
      <c r="R78" s="57">
        <v>35.840000000000003</v>
      </c>
      <c r="S78" s="57">
        <v>244.92000000000002</v>
      </c>
      <c r="U78" s="62">
        <f t="shared" si="46"/>
        <v>0</v>
      </c>
      <c r="V78" s="62">
        <f t="shared" si="46"/>
        <v>0</v>
      </c>
      <c r="W78" s="62">
        <f t="shared" si="46"/>
        <v>0</v>
      </c>
      <c r="X78" s="62">
        <f t="shared" si="46"/>
        <v>0</v>
      </c>
      <c r="Y78" s="62">
        <f t="shared" si="46"/>
        <v>2</v>
      </c>
      <c r="Z78" s="62">
        <f t="shared" si="46"/>
        <v>2</v>
      </c>
      <c r="AA78" s="62">
        <f t="shared" si="46"/>
        <v>0</v>
      </c>
      <c r="AB78" s="62">
        <f t="shared" si="59"/>
        <v>0</v>
      </c>
      <c r="AC78" s="62">
        <f t="shared" si="59"/>
        <v>2</v>
      </c>
      <c r="AD78" s="62">
        <f t="shared" si="59"/>
        <v>0</v>
      </c>
      <c r="AE78" s="62">
        <f t="shared" si="59"/>
        <v>0</v>
      </c>
      <c r="AF78" s="62">
        <f t="shared" si="59"/>
        <v>1</v>
      </c>
      <c r="AG78" s="62">
        <f t="shared" si="57"/>
        <v>7</v>
      </c>
      <c r="AH78" s="62">
        <f t="shared" si="58"/>
        <v>0.58333333333333337</v>
      </c>
      <c r="AL78" s="26">
        <v>2</v>
      </c>
      <c r="AM78" s="26">
        <v>1</v>
      </c>
      <c r="AN78" s="27">
        <f t="shared" si="50"/>
        <v>0.58333333333333337</v>
      </c>
      <c r="AQ78" s="78">
        <v>37.5</v>
      </c>
      <c r="AR78" s="60">
        <f t="shared" ca="1" si="51"/>
        <v>4.4137600249778757</v>
      </c>
      <c r="AS78" s="60">
        <f t="shared" ca="1" si="52"/>
        <v>30.89632017484513</v>
      </c>
      <c r="AT78" s="60">
        <f t="shared" ca="1" si="53"/>
        <v>41.913760024977876</v>
      </c>
      <c r="AU78" s="60">
        <f t="shared" ca="1" si="54"/>
        <v>275.81632017484515</v>
      </c>
      <c r="BC78" s="300">
        <f t="shared" ca="1" si="55"/>
        <v>1.0518102545134218</v>
      </c>
      <c r="BD78" s="300">
        <f t="shared" ca="1" si="56"/>
        <v>276.86813042935859</v>
      </c>
    </row>
    <row r="79" spans="1:56" outlineLevel="1">
      <c r="A79" s="23" t="str">
        <f t="shared" si="45"/>
        <v>VashonCommercialPACKC</v>
      </c>
      <c r="B79" s="23" t="s">
        <v>263</v>
      </c>
      <c r="C79" s="23" t="s">
        <v>264</v>
      </c>
      <c r="D79" s="54">
        <f>0.17*4.33</f>
        <v>0.73610000000000009</v>
      </c>
      <c r="E79" s="54">
        <f>0.17*4.33</f>
        <v>0.73610000000000009</v>
      </c>
      <c r="F79" s="55"/>
      <c r="G79" s="79">
        <v>3.47</v>
      </c>
      <c r="H79" s="56">
        <v>2.77</v>
      </c>
      <c r="I79" s="79">
        <v>2.08</v>
      </c>
      <c r="J79" s="56">
        <v>2.08</v>
      </c>
      <c r="K79" s="56">
        <v>2.08</v>
      </c>
      <c r="L79" s="56">
        <v>2.08</v>
      </c>
      <c r="M79" s="56">
        <v>2.08</v>
      </c>
      <c r="N79" s="57">
        <v>2.08</v>
      </c>
      <c r="O79" s="57">
        <v>2.08</v>
      </c>
      <c r="P79" s="57">
        <v>3.61</v>
      </c>
      <c r="Q79" s="57">
        <v>3.61</v>
      </c>
      <c r="R79" s="57">
        <v>3.61</v>
      </c>
      <c r="S79" s="57">
        <v>31.629999999999995</v>
      </c>
      <c r="U79" s="62">
        <f t="shared" si="46"/>
        <v>4.7140334193723676</v>
      </c>
      <c r="V79" s="62">
        <f t="shared" si="46"/>
        <v>3.7630756690667027</v>
      </c>
      <c r="W79" s="62">
        <f t="shared" si="46"/>
        <v>2.8257030294796901</v>
      </c>
      <c r="X79" s="62">
        <f t="shared" si="46"/>
        <v>2.8257030294796901</v>
      </c>
      <c r="Y79" s="62">
        <f t="shared" si="46"/>
        <v>2.8257030294796901</v>
      </c>
      <c r="Z79" s="62">
        <f t="shared" si="46"/>
        <v>2.8257030294796901</v>
      </c>
      <c r="AA79" s="62">
        <f t="shared" si="46"/>
        <v>2.8257030294796901</v>
      </c>
      <c r="AB79" s="62">
        <f t="shared" si="59"/>
        <v>2.8257030294796901</v>
      </c>
      <c r="AC79" s="62">
        <f t="shared" si="59"/>
        <v>2.8257030294796901</v>
      </c>
      <c r="AD79" s="62">
        <f t="shared" si="59"/>
        <v>4.9042249694334998</v>
      </c>
      <c r="AE79" s="62">
        <f t="shared" si="59"/>
        <v>4.9042249694334998</v>
      </c>
      <c r="AF79" s="62">
        <f t="shared" si="59"/>
        <v>4.9042249694334998</v>
      </c>
      <c r="AG79" s="62">
        <f t="shared" si="57"/>
        <v>42.969705203097405</v>
      </c>
      <c r="AH79" s="62">
        <f t="shared" si="58"/>
        <v>3.5808087669247839</v>
      </c>
      <c r="AQ79" s="78">
        <f>0.17*4.33</f>
        <v>0.73610000000000009</v>
      </c>
      <c r="AR79" s="60">
        <f t="shared" ca="1" si="51"/>
        <v>8.6639166783632399E-2</v>
      </c>
      <c r="AS79" s="60">
        <f t="shared" ca="1" si="52"/>
        <v>3.7228594557346733</v>
      </c>
      <c r="AT79" s="60">
        <f t="shared" ca="1" si="53"/>
        <v>0.82273916678363246</v>
      </c>
      <c r="AU79" s="60">
        <f t="shared" ca="1" si="54"/>
        <v>35.352859455734666</v>
      </c>
      <c r="BC79" s="300">
        <f t="shared" ca="1" si="55"/>
        <v>0.13481617069773666</v>
      </c>
      <c r="BD79" s="300">
        <f t="shared" ca="1" si="56"/>
        <v>35.487675626432406</v>
      </c>
    </row>
    <row r="80" spans="1:56" outlineLevel="1">
      <c r="A80" s="23" t="str">
        <f t="shared" si="45"/>
        <v>VashonCommercialCEX</v>
      </c>
      <c r="B80" s="23" t="s">
        <v>265</v>
      </c>
      <c r="C80" s="23" t="s">
        <v>266</v>
      </c>
      <c r="D80" s="54">
        <v>4.08</v>
      </c>
      <c r="E80" s="54">
        <v>4.21</v>
      </c>
      <c r="F80" s="55"/>
      <c r="G80" s="56">
        <v>636.48</v>
      </c>
      <c r="H80" s="56">
        <v>669.12</v>
      </c>
      <c r="I80" s="56">
        <v>856.80000000000007</v>
      </c>
      <c r="J80" s="56">
        <v>501.84</v>
      </c>
      <c r="K80" s="56">
        <v>412.08</v>
      </c>
      <c r="L80" s="56">
        <v>346.8</v>
      </c>
      <c r="M80" s="56">
        <v>212.16</v>
      </c>
      <c r="N80" s="57">
        <v>227.34</v>
      </c>
      <c r="O80" s="57">
        <v>383.11</v>
      </c>
      <c r="P80" s="57">
        <v>269.44</v>
      </c>
      <c r="Q80" s="57">
        <v>404.16</v>
      </c>
      <c r="R80" s="57">
        <v>623.08000000000004</v>
      </c>
      <c r="S80" s="57">
        <v>5542.41</v>
      </c>
      <c r="U80" s="62">
        <f t="shared" ref="U80:AA89" si="60">+IFERROR(G80/$D80,0)</f>
        <v>156</v>
      </c>
      <c r="V80" s="62">
        <f t="shared" si="60"/>
        <v>164</v>
      </c>
      <c r="W80" s="62">
        <f t="shared" si="60"/>
        <v>210</v>
      </c>
      <c r="X80" s="62">
        <f t="shared" si="60"/>
        <v>122.99999999999999</v>
      </c>
      <c r="Y80" s="62">
        <f t="shared" si="60"/>
        <v>101</v>
      </c>
      <c r="Z80" s="62">
        <f t="shared" si="60"/>
        <v>85</v>
      </c>
      <c r="AA80" s="62">
        <f t="shared" si="60"/>
        <v>52</v>
      </c>
      <c r="AB80" s="62">
        <f t="shared" si="59"/>
        <v>54</v>
      </c>
      <c r="AC80" s="62">
        <f t="shared" si="59"/>
        <v>91</v>
      </c>
      <c r="AD80" s="62">
        <f t="shared" si="59"/>
        <v>64</v>
      </c>
      <c r="AE80" s="62">
        <f t="shared" si="59"/>
        <v>96</v>
      </c>
      <c r="AF80" s="62">
        <f t="shared" si="59"/>
        <v>148</v>
      </c>
      <c r="AG80" s="62">
        <f t="shared" si="57"/>
        <v>1344</v>
      </c>
      <c r="AH80" s="62">
        <f t="shared" si="58"/>
        <v>112</v>
      </c>
      <c r="AQ80" s="78">
        <v>4.3600000000000003</v>
      </c>
      <c r="AR80" s="60">
        <f t="shared" ca="1" si="51"/>
        <v>0.51317316557076109</v>
      </c>
      <c r="AS80" s="60">
        <f t="shared" ca="1" si="52"/>
        <v>689.70473452710291</v>
      </c>
      <c r="AT80" s="60">
        <f t="shared" ca="1" si="53"/>
        <v>4.8731731655707611</v>
      </c>
      <c r="AU80" s="60">
        <f t="shared" ca="1" si="54"/>
        <v>6232.1147345271029</v>
      </c>
      <c r="BC80" s="300">
        <f t="shared" ca="1" si="55"/>
        <v>23.765824230141494</v>
      </c>
      <c r="BD80" s="300">
        <f t="shared" ca="1" si="56"/>
        <v>6255.8805587572442</v>
      </c>
    </row>
    <row r="81" spans="1:56" outlineLevel="1">
      <c r="A81" s="23" t="str">
        <f t="shared" si="45"/>
        <v>VashonCommercialCEXYD</v>
      </c>
      <c r="B81" s="23" t="s">
        <v>267</v>
      </c>
      <c r="C81" s="23" t="s">
        <v>268</v>
      </c>
      <c r="D81" s="54">
        <v>15.67</v>
      </c>
      <c r="E81" s="54">
        <v>16.25</v>
      </c>
      <c r="F81" s="55"/>
      <c r="G81" s="56">
        <v>0</v>
      </c>
      <c r="H81" s="56">
        <v>15.67</v>
      </c>
      <c r="I81" s="56">
        <v>0</v>
      </c>
      <c r="J81" s="56">
        <v>0</v>
      </c>
      <c r="K81" s="56">
        <v>0</v>
      </c>
      <c r="L81" s="56">
        <v>0</v>
      </c>
      <c r="M81" s="56">
        <v>15.67</v>
      </c>
      <c r="N81" s="57">
        <v>0</v>
      </c>
      <c r="O81" s="57">
        <v>0</v>
      </c>
      <c r="P81" s="57">
        <v>0</v>
      </c>
      <c r="Q81" s="57">
        <v>16.25</v>
      </c>
      <c r="R81" s="57">
        <v>0</v>
      </c>
      <c r="S81" s="57">
        <v>47.59</v>
      </c>
      <c r="U81" s="62">
        <f t="shared" si="60"/>
        <v>0</v>
      </c>
      <c r="V81" s="62">
        <f t="shared" si="60"/>
        <v>1</v>
      </c>
      <c r="W81" s="62">
        <f t="shared" si="60"/>
        <v>0</v>
      </c>
      <c r="X81" s="62">
        <f t="shared" si="60"/>
        <v>0</v>
      </c>
      <c r="Y81" s="62">
        <f t="shared" si="60"/>
        <v>0</v>
      </c>
      <c r="Z81" s="62">
        <f t="shared" si="60"/>
        <v>0</v>
      </c>
      <c r="AA81" s="62">
        <f t="shared" si="60"/>
        <v>1</v>
      </c>
      <c r="AB81" s="62">
        <f t="shared" si="59"/>
        <v>0</v>
      </c>
      <c r="AC81" s="62">
        <f t="shared" si="59"/>
        <v>0</v>
      </c>
      <c r="AD81" s="62">
        <f t="shared" si="59"/>
        <v>0</v>
      </c>
      <c r="AE81" s="62">
        <f t="shared" si="59"/>
        <v>1</v>
      </c>
      <c r="AF81" s="62">
        <f t="shared" si="59"/>
        <v>0</v>
      </c>
      <c r="AG81" s="62">
        <f t="shared" si="57"/>
        <v>3</v>
      </c>
      <c r="AH81" s="62">
        <f t="shared" si="58"/>
        <v>0.25</v>
      </c>
      <c r="AQ81" s="78">
        <v>16.89</v>
      </c>
      <c r="AR81" s="60">
        <f t="shared" ca="1" si="51"/>
        <v>1.9879575152500353</v>
      </c>
      <c r="AS81" s="60">
        <f t="shared" ca="1" si="52"/>
        <v>5.9638725457501058</v>
      </c>
      <c r="AT81" s="60">
        <f t="shared" ca="1" si="53"/>
        <v>18.877957515250035</v>
      </c>
      <c r="AU81" s="60">
        <f t="shared" ca="1" si="54"/>
        <v>53.55387254575011</v>
      </c>
      <c r="BC81" s="300">
        <f t="shared" ca="1" si="55"/>
        <v>0.2042247256319607</v>
      </c>
      <c r="BD81" s="300">
        <f t="shared" ca="1" si="56"/>
        <v>53.75809727138207</v>
      </c>
    </row>
    <row r="82" spans="1:56" outlineLevel="1">
      <c r="A82" s="23" t="str">
        <f t="shared" si="45"/>
        <v>VashonCommercialCLOCK</v>
      </c>
      <c r="B82" s="23" t="s">
        <v>269</v>
      </c>
      <c r="C82" s="23" t="s">
        <v>270</v>
      </c>
      <c r="D82" s="54">
        <f>1.12*4.33</f>
        <v>4.8496000000000006</v>
      </c>
      <c r="E82" s="54">
        <f>1.12*4.33</f>
        <v>4.8496000000000006</v>
      </c>
      <c r="F82" s="55"/>
      <c r="G82" s="56">
        <v>91.97</v>
      </c>
      <c r="H82" s="56">
        <v>94.39</v>
      </c>
      <c r="I82" s="56">
        <v>94.39</v>
      </c>
      <c r="J82" s="56">
        <v>89.55</v>
      </c>
      <c r="K82" s="56">
        <v>89.55</v>
      </c>
      <c r="L82" s="56">
        <v>94.39</v>
      </c>
      <c r="M82" s="56">
        <v>94.39</v>
      </c>
      <c r="N82" s="57">
        <v>94.39</v>
      </c>
      <c r="O82" s="57">
        <v>94.39</v>
      </c>
      <c r="P82" s="57">
        <v>99.23</v>
      </c>
      <c r="Q82" s="57">
        <v>99.23</v>
      </c>
      <c r="R82" s="57">
        <v>96.8</v>
      </c>
      <c r="S82" s="57">
        <v>1132.6699999999998</v>
      </c>
      <c r="U82" s="62">
        <f t="shared" si="60"/>
        <v>18.964450676344438</v>
      </c>
      <c r="V82" s="62">
        <f t="shared" si="60"/>
        <v>19.463460903992079</v>
      </c>
      <c r="W82" s="62">
        <f t="shared" si="60"/>
        <v>19.463460903992079</v>
      </c>
      <c r="X82" s="62">
        <f t="shared" si="60"/>
        <v>18.465440448696796</v>
      </c>
      <c r="Y82" s="62">
        <f t="shared" si="60"/>
        <v>18.465440448696796</v>
      </c>
      <c r="Z82" s="62">
        <f t="shared" si="60"/>
        <v>19.463460903992079</v>
      </c>
      <c r="AA82" s="62">
        <f t="shared" si="60"/>
        <v>19.463460903992079</v>
      </c>
      <c r="AB82" s="62">
        <f t="shared" si="59"/>
        <v>19.463460903992079</v>
      </c>
      <c r="AC82" s="62">
        <f t="shared" si="59"/>
        <v>19.463460903992079</v>
      </c>
      <c r="AD82" s="62">
        <f t="shared" si="59"/>
        <v>20.461481359287362</v>
      </c>
      <c r="AE82" s="62">
        <f t="shared" si="59"/>
        <v>20.461481359287362</v>
      </c>
      <c r="AF82" s="62">
        <f t="shared" si="59"/>
        <v>19.96040910590564</v>
      </c>
      <c r="AG82" s="62">
        <f t="shared" si="57"/>
        <v>233.55946882217086</v>
      </c>
      <c r="AH82" s="62">
        <f t="shared" si="58"/>
        <v>19.463289068514239</v>
      </c>
      <c r="AQ82" s="78">
        <f>1.12*4.33</f>
        <v>4.8496000000000006</v>
      </c>
      <c r="AR82" s="60">
        <f t="shared" ca="1" si="51"/>
        <v>0.57079921645687226</v>
      </c>
      <c r="AS82" s="60">
        <f t="shared" ca="1" si="52"/>
        <v>133.31556179977844</v>
      </c>
      <c r="AT82" s="60">
        <f t="shared" ca="1" si="53"/>
        <v>5.4203992164568726</v>
      </c>
      <c r="AU82" s="60">
        <f t="shared" ca="1" si="54"/>
        <v>1265.9855617997782</v>
      </c>
      <c r="BC82" s="300">
        <f t="shared" ca="1" si="55"/>
        <v>4.8277657939995384</v>
      </c>
      <c r="BD82" s="300">
        <f t="shared" ca="1" si="56"/>
        <v>1270.8133275937778</v>
      </c>
    </row>
    <row r="83" spans="1:56" outlineLevel="1">
      <c r="A83" s="23" t="str">
        <f t="shared" si="45"/>
        <v>VashonCommercialCROLL</v>
      </c>
      <c r="B83" s="23" t="s">
        <v>271</v>
      </c>
      <c r="C83" s="23" t="s">
        <v>272</v>
      </c>
      <c r="D83" s="54">
        <f>5.62*4.33</f>
        <v>24.334600000000002</v>
      </c>
      <c r="E83" s="54">
        <f>5.62*4.33</f>
        <v>24.334600000000002</v>
      </c>
      <c r="F83" s="55"/>
      <c r="G83" s="56">
        <v>24.33</v>
      </c>
      <c r="H83" s="56">
        <v>24.33</v>
      </c>
      <c r="I83" s="56">
        <v>24.33</v>
      </c>
      <c r="J83" s="56">
        <v>24.33</v>
      </c>
      <c r="K83" s="56">
        <v>24.33</v>
      </c>
      <c r="L83" s="56">
        <v>24.33</v>
      </c>
      <c r="M83" s="56">
        <v>24.33</v>
      </c>
      <c r="N83" s="57">
        <v>24.33</v>
      </c>
      <c r="O83" s="57">
        <v>24.33</v>
      </c>
      <c r="P83" s="57">
        <v>24.33</v>
      </c>
      <c r="Q83" s="57">
        <v>24.33</v>
      </c>
      <c r="R83" s="57">
        <v>24.33</v>
      </c>
      <c r="S83" s="57">
        <v>291.95999999999992</v>
      </c>
      <c r="U83" s="62">
        <f t="shared" si="60"/>
        <v>0.99981096874409259</v>
      </c>
      <c r="V83" s="62">
        <f t="shared" si="60"/>
        <v>0.99981096874409259</v>
      </c>
      <c r="W83" s="62">
        <f t="shared" si="60"/>
        <v>0.99981096874409259</v>
      </c>
      <c r="X83" s="62">
        <f t="shared" si="60"/>
        <v>0.99981096874409259</v>
      </c>
      <c r="Y83" s="62">
        <f t="shared" si="60"/>
        <v>0.99981096874409259</v>
      </c>
      <c r="Z83" s="62">
        <f t="shared" si="60"/>
        <v>0.99981096874409259</v>
      </c>
      <c r="AA83" s="62">
        <f t="shared" si="60"/>
        <v>0.99981096874409259</v>
      </c>
      <c r="AB83" s="62">
        <f t="shared" si="59"/>
        <v>0.99981096874409259</v>
      </c>
      <c r="AC83" s="62">
        <f t="shared" si="59"/>
        <v>0.99981096874409259</v>
      </c>
      <c r="AD83" s="62">
        <f t="shared" si="59"/>
        <v>0.99981096874409259</v>
      </c>
      <c r="AE83" s="62">
        <f t="shared" si="59"/>
        <v>0.99981096874409259</v>
      </c>
      <c r="AF83" s="62">
        <f t="shared" si="59"/>
        <v>0.99981096874409259</v>
      </c>
      <c r="AG83" s="62">
        <f t="shared" si="57"/>
        <v>11.997731624929115</v>
      </c>
      <c r="AH83" s="62">
        <f t="shared" si="58"/>
        <v>0.99981096874409292</v>
      </c>
      <c r="AQ83" s="78">
        <f>5.62*4.33</f>
        <v>24.334600000000002</v>
      </c>
      <c r="AR83" s="60">
        <f t="shared" ca="1" si="51"/>
        <v>2.8641889254353767</v>
      </c>
      <c r="AS83" s="60">
        <f t="shared" ca="1" si="52"/>
        <v>34.363770050467757</v>
      </c>
      <c r="AT83" s="60">
        <f t="shared" ca="1" si="53"/>
        <v>27.19878892543538</v>
      </c>
      <c r="AU83" s="60">
        <f t="shared" ca="1" si="54"/>
        <v>326.32377005046766</v>
      </c>
      <c r="BC83" s="300">
        <f t="shared" ca="1" si="55"/>
        <v>1.2444176160895097</v>
      </c>
      <c r="BD83" s="300">
        <f t="shared" ca="1" si="56"/>
        <v>327.56818766655715</v>
      </c>
    </row>
    <row r="84" spans="1:56" outlineLevel="1">
      <c r="A84" s="23" t="str">
        <f t="shared" si="45"/>
        <v>VashonCommercialCTDEL</v>
      </c>
      <c r="B84" s="23" t="s">
        <v>273</v>
      </c>
      <c r="C84" s="23" t="s">
        <v>274</v>
      </c>
      <c r="D84" s="54">
        <v>28.08</v>
      </c>
      <c r="E84" s="54">
        <v>28.08</v>
      </c>
      <c r="F84" s="55"/>
      <c r="G84" s="56">
        <v>0</v>
      </c>
      <c r="H84" s="56">
        <v>0</v>
      </c>
      <c r="I84" s="56">
        <v>0</v>
      </c>
      <c r="J84" s="56">
        <v>56.16</v>
      </c>
      <c r="K84" s="56">
        <v>0</v>
      </c>
      <c r="L84" s="56">
        <v>56.16</v>
      </c>
      <c r="M84" s="56">
        <v>28.08</v>
      </c>
      <c r="N84" s="57">
        <v>0</v>
      </c>
      <c r="O84" s="57">
        <v>0</v>
      </c>
      <c r="P84" s="57">
        <v>0</v>
      </c>
      <c r="Q84" s="57">
        <v>0</v>
      </c>
      <c r="R84" s="57">
        <v>28.08</v>
      </c>
      <c r="S84" s="57">
        <v>168.47999999999996</v>
      </c>
      <c r="U84" s="62">
        <f t="shared" si="60"/>
        <v>0</v>
      </c>
      <c r="V84" s="62">
        <f t="shared" si="60"/>
        <v>0</v>
      </c>
      <c r="W84" s="62">
        <f t="shared" si="60"/>
        <v>0</v>
      </c>
      <c r="X84" s="62">
        <f t="shared" si="60"/>
        <v>2</v>
      </c>
      <c r="Y84" s="62">
        <f t="shared" si="60"/>
        <v>0</v>
      </c>
      <c r="Z84" s="62">
        <f t="shared" si="60"/>
        <v>2</v>
      </c>
      <c r="AA84" s="62">
        <f t="shared" si="60"/>
        <v>1</v>
      </c>
      <c r="AB84" s="62">
        <f t="shared" si="59"/>
        <v>0</v>
      </c>
      <c r="AC84" s="62">
        <f t="shared" si="59"/>
        <v>0</v>
      </c>
      <c r="AD84" s="62">
        <f t="shared" si="59"/>
        <v>0</v>
      </c>
      <c r="AE84" s="62">
        <f t="shared" si="59"/>
        <v>0</v>
      </c>
      <c r="AF84" s="62">
        <f t="shared" si="59"/>
        <v>1</v>
      </c>
      <c r="AG84" s="62">
        <f t="shared" si="57"/>
        <v>6</v>
      </c>
      <c r="AH84" s="62">
        <f t="shared" si="58"/>
        <v>0.5</v>
      </c>
      <c r="AQ84" s="78">
        <v>28.08</v>
      </c>
      <c r="AR84" s="60">
        <f t="shared" ca="1" si="51"/>
        <v>3.3050235067034333</v>
      </c>
      <c r="AS84" s="60">
        <f t="shared" ca="1" si="52"/>
        <v>19.8301410402206</v>
      </c>
      <c r="AT84" s="60">
        <f t="shared" ca="1" si="53"/>
        <v>31.385023506703433</v>
      </c>
      <c r="AU84" s="60">
        <f t="shared" ca="1" si="54"/>
        <v>188.31014104022057</v>
      </c>
      <c r="BC84" s="300">
        <f t="shared" ca="1" si="55"/>
        <v>0.71811028893944584</v>
      </c>
      <c r="BD84" s="300">
        <f t="shared" ca="1" si="56"/>
        <v>189.02825132916001</v>
      </c>
    </row>
    <row r="85" spans="1:56" outlineLevel="1">
      <c r="A85" s="23" t="str">
        <f t="shared" si="45"/>
        <v>VashonCommercialCTRIP</v>
      </c>
      <c r="B85" s="23" t="s">
        <v>275</v>
      </c>
      <c r="C85" s="23" t="s">
        <v>276</v>
      </c>
      <c r="D85" s="54">
        <v>5.62</v>
      </c>
      <c r="E85" s="54">
        <v>5.62</v>
      </c>
      <c r="F85" s="55"/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5.62</v>
      </c>
      <c r="M85" s="56">
        <v>0</v>
      </c>
      <c r="N85" s="57">
        <v>5.62</v>
      </c>
      <c r="O85" s="57">
        <v>5.62</v>
      </c>
      <c r="P85" s="57">
        <v>11.24</v>
      </c>
      <c r="Q85" s="57">
        <v>11.24</v>
      </c>
      <c r="R85" s="57">
        <v>0</v>
      </c>
      <c r="S85" s="57">
        <v>39.340000000000003</v>
      </c>
      <c r="U85" s="62">
        <f t="shared" si="60"/>
        <v>0</v>
      </c>
      <c r="V85" s="62">
        <f t="shared" si="60"/>
        <v>0</v>
      </c>
      <c r="W85" s="62">
        <f t="shared" si="60"/>
        <v>0</v>
      </c>
      <c r="X85" s="62">
        <f t="shared" si="60"/>
        <v>0</v>
      </c>
      <c r="Y85" s="62">
        <f t="shared" si="60"/>
        <v>0</v>
      </c>
      <c r="Z85" s="62">
        <f t="shared" si="60"/>
        <v>1</v>
      </c>
      <c r="AA85" s="62">
        <f t="shared" si="60"/>
        <v>0</v>
      </c>
      <c r="AB85" s="62">
        <f t="shared" si="59"/>
        <v>1</v>
      </c>
      <c r="AC85" s="62">
        <f t="shared" si="59"/>
        <v>1</v>
      </c>
      <c r="AD85" s="62">
        <f t="shared" si="59"/>
        <v>2</v>
      </c>
      <c r="AE85" s="62">
        <f t="shared" si="59"/>
        <v>2</v>
      </c>
      <c r="AF85" s="62">
        <f t="shared" si="59"/>
        <v>0</v>
      </c>
      <c r="AG85" s="62">
        <f t="shared" si="57"/>
        <v>7</v>
      </c>
      <c r="AH85" s="62">
        <f t="shared" si="58"/>
        <v>0.58333333333333337</v>
      </c>
      <c r="AQ85" s="78">
        <v>5.62</v>
      </c>
      <c r="AR85" s="60">
        <f t="shared" ca="1" si="51"/>
        <v>0.66147550241001773</v>
      </c>
      <c r="AS85" s="60">
        <f t="shared" ca="1" si="52"/>
        <v>4.630328516870124</v>
      </c>
      <c r="AT85" s="60">
        <f t="shared" ca="1" si="53"/>
        <v>6.281475502410018</v>
      </c>
      <c r="AU85" s="60">
        <f t="shared" ca="1" si="54"/>
        <v>43.970328516870126</v>
      </c>
      <c r="BC85" s="300">
        <f t="shared" ca="1" si="55"/>
        <v>0.16767841148431747</v>
      </c>
      <c r="BD85" s="300">
        <f t="shared" ca="1" si="56"/>
        <v>44.138006928354443</v>
      </c>
    </row>
    <row r="86" spans="1:56" outlineLevel="1">
      <c r="A86" s="23" t="str">
        <f t="shared" si="45"/>
        <v>VashonCommercialDRIVEDWAY-COMM</v>
      </c>
      <c r="B86" s="23" t="s">
        <v>277</v>
      </c>
      <c r="C86" s="23" t="s">
        <v>278</v>
      </c>
      <c r="D86" s="54">
        <v>2.9</v>
      </c>
      <c r="E86" s="54">
        <f>0.67*4.33</f>
        <v>2.9011</v>
      </c>
      <c r="F86" s="55"/>
      <c r="G86" s="56">
        <v>4.29</v>
      </c>
      <c r="H86" s="56">
        <v>4.29</v>
      </c>
      <c r="I86" s="56">
        <v>4.29</v>
      </c>
      <c r="J86" s="56">
        <v>4.29</v>
      </c>
      <c r="K86" s="56">
        <v>4.29</v>
      </c>
      <c r="L86" s="56">
        <v>2.9</v>
      </c>
      <c r="M86" s="56">
        <v>2.9</v>
      </c>
      <c r="N86" s="57">
        <v>2.9</v>
      </c>
      <c r="O86" s="57">
        <v>2.9</v>
      </c>
      <c r="P86" s="57">
        <v>2.9</v>
      </c>
      <c r="Q86" s="57">
        <v>2.9</v>
      </c>
      <c r="R86" s="57">
        <v>5.8</v>
      </c>
      <c r="S86" s="57">
        <v>44.649999999999991</v>
      </c>
      <c r="U86" s="62">
        <f t="shared" si="60"/>
        <v>1.4793103448275862</v>
      </c>
      <c r="V86" s="62">
        <f t="shared" si="60"/>
        <v>1.4793103448275862</v>
      </c>
      <c r="W86" s="62">
        <f t="shared" si="60"/>
        <v>1.4793103448275862</v>
      </c>
      <c r="X86" s="62">
        <f t="shared" si="60"/>
        <v>1.4793103448275862</v>
      </c>
      <c r="Y86" s="62">
        <f t="shared" si="60"/>
        <v>1.4793103448275862</v>
      </c>
      <c r="Z86" s="62">
        <f t="shared" si="60"/>
        <v>1</v>
      </c>
      <c r="AA86" s="62">
        <f t="shared" si="60"/>
        <v>1</v>
      </c>
      <c r="AB86" s="62">
        <f t="shared" si="59"/>
        <v>0.99962083347695696</v>
      </c>
      <c r="AC86" s="62">
        <f t="shared" si="59"/>
        <v>0.99962083347695696</v>
      </c>
      <c r="AD86" s="62">
        <f t="shared" si="59"/>
        <v>0.99962083347695696</v>
      </c>
      <c r="AE86" s="62">
        <f t="shared" si="59"/>
        <v>0.99962083347695696</v>
      </c>
      <c r="AF86" s="62">
        <f t="shared" si="59"/>
        <v>1.9992416669539139</v>
      </c>
      <c r="AG86" s="62">
        <f t="shared" si="57"/>
        <v>15.394276724999672</v>
      </c>
      <c r="AH86" s="62">
        <f t="shared" si="58"/>
        <v>1.2828563937499726</v>
      </c>
      <c r="AQ86" s="78">
        <v>2.9</v>
      </c>
      <c r="AR86" s="60">
        <f t="shared" ca="1" si="51"/>
        <v>0.34133077526495575</v>
      </c>
      <c r="AS86" s="60">
        <f t="shared" ca="1" si="52"/>
        <v>5.2545404091874017</v>
      </c>
      <c r="AT86" s="60">
        <f t="shared" ca="1" si="53"/>
        <v>3.2413307752649558</v>
      </c>
      <c r="AU86" s="60">
        <f t="shared" ca="1" si="54"/>
        <v>49.904540409187391</v>
      </c>
      <c r="BC86" s="300">
        <f t="shared" ca="1" si="55"/>
        <v>0.19030819973193852</v>
      </c>
      <c r="BD86" s="300">
        <f t="shared" ca="1" si="56"/>
        <v>50.094848608919328</v>
      </c>
    </row>
    <row r="87" spans="1:56" outlineLevel="1">
      <c r="A87" s="23" t="str">
        <f t="shared" si="45"/>
        <v>VashonCommercialDRIVEPVT-COMM</v>
      </c>
      <c r="B87" s="23" t="s">
        <v>279</v>
      </c>
      <c r="C87" s="23" t="s">
        <v>280</v>
      </c>
      <c r="D87" s="54">
        <v>6.06</v>
      </c>
      <c r="E87" s="54">
        <f>1.4*4.33</f>
        <v>6.0619999999999994</v>
      </c>
      <c r="F87" s="55"/>
      <c r="G87" s="56">
        <v>6.06</v>
      </c>
      <c r="H87" s="56">
        <v>6.06</v>
      </c>
      <c r="I87" s="56">
        <v>6.06</v>
      </c>
      <c r="J87" s="56">
        <v>6.06</v>
      </c>
      <c r="K87" s="56">
        <v>6.06</v>
      </c>
      <c r="L87" s="56">
        <v>6.06</v>
      </c>
      <c r="M87" s="56">
        <v>6.06</v>
      </c>
      <c r="N87" s="57">
        <v>6.06</v>
      </c>
      <c r="O87" s="57">
        <v>6.06</v>
      </c>
      <c r="P87" s="57">
        <v>6.06</v>
      </c>
      <c r="Q87" s="57">
        <v>6.06</v>
      </c>
      <c r="R87" s="57">
        <v>6.06</v>
      </c>
      <c r="S87" s="57">
        <v>72.720000000000013</v>
      </c>
      <c r="U87" s="62">
        <f t="shared" si="60"/>
        <v>1</v>
      </c>
      <c r="V87" s="62">
        <f t="shared" si="60"/>
        <v>1</v>
      </c>
      <c r="W87" s="62">
        <f t="shared" si="60"/>
        <v>1</v>
      </c>
      <c r="X87" s="62">
        <f t="shared" si="60"/>
        <v>1</v>
      </c>
      <c r="Y87" s="62">
        <f t="shared" si="60"/>
        <v>1</v>
      </c>
      <c r="Z87" s="62">
        <f t="shared" si="60"/>
        <v>1</v>
      </c>
      <c r="AA87" s="62">
        <f t="shared" si="60"/>
        <v>1</v>
      </c>
      <c r="AB87" s="62">
        <f t="shared" si="59"/>
        <v>0.99967007588254708</v>
      </c>
      <c r="AC87" s="62">
        <f t="shared" si="59"/>
        <v>0.99967007588254708</v>
      </c>
      <c r="AD87" s="62">
        <f t="shared" si="59"/>
        <v>0.99967007588254708</v>
      </c>
      <c r="AE87" s="62">
        <f t="shared" si="59"/>
        <v>0.99967007588254708</v>
      </c>
      <c r="AF87" s="62">
        <f t="shared" si="59"/>
        <v>0.99967007588254708</v>
      </c>
      <c r="AG87" s="62">
        <f t="shared" si="57"/>
        <v>11.998350379412734</v>
      </c>
      <c r="AH87" s="62">
        <f t="shared" si="58"/>
        <v>0.99986253161772787</v>
      </c>
      <c r="AQ87" s="78">
        <v>6.06</v>
      </c>
      <c r="AR87" s="60">
        <f t="shared" ca="1" si="51"/>
        <v>0.71326362003642474</v>
      </c>
      <c r="AS87" s="60">
        <f t="shared" ca="1" si="52"/>
        <v>8.5579868260853367</v>
      </c>
      <c r="AT87" s="60">
        <f t="shared" ca="1" si="53"/>
        <v>6.773263620036424</v>
      </c>
      <c r="AU87" s="60">
        <f t="shared" ca="1" si="54"/>
        <v>81.277986826085353</v>
      </c>
      <c r="BC87" s="300">
        <f t="shared" ca="1" si="55"/>
        <v>0.30994909929800485</v>
      </c>
      <c r="BD87" s="300">
        <f t="shared" ca="1" si="56"/>
        <v>81.587935925383363</v>
      </c>
    </row>
    <row r="88" spans="1:56" outlineLevel="1">
      <c r="A88" s="23" t="str">
        <f t="shared" si="45"/>
        <v>VashonCommercialDRVNC</v>
      </c>
      <c r="B88" s="23" t="s">
        <v>281</v>
      </c>
      <c r="C88" s="23" t="s">
        <v>282</v>
      </c>
      <c r="D88" s="54">
        <f>0.67*4.33</f>
        <v>2.9011</v>
      </c>
      <c r="E88" s="54">
        <f>0.67*4.33</f>
        <v>2.9011</v>
      </c>
      <c r="F88" s="55"/>
      <c r="G88" s="79">
        <v>0</v>
      </c>
      <c r="H88" s="79">
        <v>0</v>
      </c>
      <c r="I88" s="79">
        <v>0</v>
      </c>
      <c r="J88" s="79">
        <v>0</v>
      </c>
      <c r="K88" s="79">
        <v>0</v>
      </c>
      <c r="L88" s="79">
        <v>0</v>
      </c>
      <c r="M88" s="79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U88" s="62">
        <f t="shared" si="60"/>
        <v>0</v>
      </c>
      <c r="V88" s="62">
        <f t="shared" si="60"/>
        <v>0</v>
      </c>
      <c r="W88" s="62">
        <f t="shared" si="60"/>
        <v>0</v>
      </c>
      <c r="X88" s="62">
        <f t="shared" si="60"/>
        <v>0</v>
      </c>
      <c r="Y88" s="62">
        <f t="shared" si="60"/>
        <v>0</v>
      </c>
      <c r="Z88" s="62">
        <f t="shared" si="60"/>
        <v>0</v>
      </c>
      <c r="AA88" s="62">
        <f t="shared" si="60"/>
        <v>0</v>
      </c>
      <c r="AB88" s="62">
        <f t="shared" si="59"/>
        <v>0</v>
      </c>
      <c r="AC88" s="62">
        <f t="shared" si="59"/>
        <v>0</v>
      </c>
      <c r="AD88" s="62">
        <f t="shared" si="59"/>
        <v>0</v>
      </c>
      <c r="AE88" s="62">
        <f t="shared" si="59"/>
        <v>0</v>
      </c>
      <c r="AF88" s="62">
        <f t="shared" si="59"/>
        <v>0</v>
      </c>
      <c r="AG88" s="62">
        <f t="shared" si="57"/>
        <v>0</v>
      </c>
      <c r="AH88" s="62">
        <f t="shared" si="58"/>
        <v>0</v>
      </c>
      <c r="AN88" s="27">
        <f t="shared" ref="AN88:AN90" si="61">AM88*AH88</f>
        <v>0</v>
      </c>
      <c r="AO88" s="24"/>
      <c r="AP88" s="55"/>
      <c r="AQ88" s="78">
        <v>2.9</v>
      </c>
      <c r="AR88" s="60">
        <f t="shared" ca="1" si="51"/>
        <v>0.34133077526495575</v>
      </c>
      <c r="AS88" s="60">
        <f t="shared" ca="1" si="52"/>
        <v>0</v>
      </c>
      <c r="AT88" s="60">
        <f t="shared" ca="1" si="53"/>
        <v>3.2413307752649558</v>
      </c>
      <c r="AU88" s="60">
        <f t="shared" ca="1" si="54"/>
        <v>0</v>
      </c>
      <c r="BC88" s="300">
        <f t="shared" ca="1" si="55"/>
        <v>0</v>
      </c>
      <c r="BD88" s="300">
        <f t="shared" ca="1" si="56"/>
        <v>0</v>
      </c>
    </row>
    <row r="89" spans="1:56" outlineLevel="1">
      <c r="A89" s="23" t="str">
        <f t="shared" si="45"/>
        <v>VashonCommercialTIMEC</v>
      </c>
      <c r="B89" s="23" t="s">
        <v>283</v>
      </c>
      <c r="C89" s="23" t="s">
        <v>284</v>
      </c>
      <c r="D89" s="54">
        <v>79.28</v>
      </c>
      <c r="E89" s="54">
        <v>79.28</v>
      </c>
      <c r="F89" s="55"/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U89" s="62">
        <f t="shared" si="60"/>
        <v>0</v>
      </c>
      <c r="V89" s="62">
        <f t="shared" si="60"/>
        <v>0</v>
      </c>
      <c r="W89" s="62">
        <f t="shared" si="60"/>
        <v>0</v>
      </c>
      <c r="X89" s="62">
        <f t="shared" si="60"/>
        <v>0</v>
      </c>
      <c r="Y89" s="62">
        <f t="shared" si="60"/>
        <v>0</v>
      </c>
      <c r="Z89" s="62">
        <f t="shared" si="60"/>
        <v>0</v>
      </c>
      <c r="AA89" s="62">
        <f t="shared" si="60"/>
        <v>0</v>
      </c>
      <c r="AB89" s="62">
        <f t="shared" ref="AB89:AF89" si="62">+IFERROR(N89/$E89,0)</f>
        <v>0</v>
      </c>
      <c r="AC89" s="62">
        <f t="shared" si="62"/>
        <v>0</v>
      </c>
      <c r="AD89" s="62">
        <f t="shared" si="62"/>
        <v>0</v>
      </c>
      <c r="AE89" s="62">
        <f t="shared" si="62"/>
        <v>0</v>
      </c>
      <c r="AF89" s="62">
        <f t="shared" si="62"/>
        <v>0</v>
      </c>
      <c r="AG89" s="62">
        <f t="shared" si="57"/>
        <v>0</v>
      </c>
      <c r="AH89" s="62">
        <f t="shared" si="58"/>
        <v>0</v>
      </c>
      <c r="AN89" s="27">
        <f t="shared" si="61"/>
        <v>0</v>
      </c>
      <c r="AO89" s="24"/>
      <c r="AP89" s="55"/>
      <c r="AQ89" s="78">
        <v>79.28</v>
      </c>
      <c r="AR89" s="60">
        <f t="shared" ca="1" si="51"/>
        <v>9.3312771941398935</v>
      </c>
      <c r="AS89" s="60">
        <f t="shared" ca="1" si="52"/>
        <v>0</v>
      </c>
      <c r="AT89" s="60">
        <f t="shared" ca="1" si="53"/>
        <v>88.611277194139888</v>
      </c>
      <c r="AU89" s="60">
        <f t="shared" ca="1" si="54"/>
        <v>0</v>
      </c>
      <c r="BC89" s="300">
        <f t="shared" ca="1" si="55"/>
        <v>0</v>
      </c>
      <c r="BD89" s="300">
        <f t="shared" ca="1" si="56"/>
        <v>0</v>
      </c>
    </row>
    <row r="90" spans="1:56" ht="15" outlineLevel="1" thickBot="1">
      <c r="B90" s="80"/>
      <c r="E90" s="55"/>
      <c r="F90" s="55"/>
      <c r="G90" s="55"/>
      <c r="H90" s="55"/>
      <c r="I90" s="55"/>
      <c r="J90" s="55"/>
      <c r="K90" s="55"/>
      <c r="L90" s="55"/>
      <c r="M90" s="55"/>
      <c r="N90" s="57"/>
      <c r="O90" s="57"/>
      <c r="P90" s="57"/>
      <c r="Q90" s="57"/>
      <c r="R90" s="57"/>
      <c r="S90" s="57"/>
      <c r="AB90" s="62"/>
      <c r="AC90" s="62"/>
      <c r="AD90" s="62"/>
      <c r="AE90" s="62"/>
      <c r="AF90" s="62"/>
      <c r="AG90" s="62"/>
      <c r="AH90" s="62"/>
      <c r="AN90" s="27">
        <f t="shared" si="61"/>
        <v>0</v>
      </c>
      <c r="AO90" s="24"/>
      <c r="AP90" s="55"/>
      <c r="AQ90" s="55"/>
      <c r="AR90" s="60">
        <f t="shared" ca="1" si="51"/>
        <v>0</v>
      </c>
      <c r="AS90" s="60">
        <f t="shared" ca="1" si="52"/>
        <v>0</v>
      </c>
      <c r="AT90" s="60">
        <f t="shared" ca="1" si="53"/>
        <v>0</v>
      </c>
      <c r="AU90" s="60">
        <f t="shared" ca="1" si="54"/>
        <v>0</v>
      </c>
    </row>
    <row r="91" spans="1:56" ht="15" outlineLevel="1" thickBot="1">
      <c r="C91" s="64" t="s">
        <v>285</v>
      </c>
      <c r="D91" s="64"/>
      <c r="E91" s="55"/>
      <c r="F91" s="55"/>
      <c r="G91" s="65">
        <f>+SUM(G56:G90)</f>
        <v>31256.46</v>
      </c>
      <c r="H91" s="65">
        <f t="shared" ref="H91:S91" si="63">+SUM(H56:H90)</f>
        <v>31543.82</v>
      </c>
      <c r="I91" s="65">
        <f t="shared" si="63"/>
        <v>31957.785</v>
      </c>
      <c r="J91" s="65">
        <f t="shared" si="63"/>
        <v>31762.175000000003</v>
      </c>
      <c r="K91" s="65">
        <f t="shared" si="63"/>
        <v>31533.155000000006</v>
      </c>
      <c r="L91" s="65">
        <f t="shared" si="63"/>
        <v>31842.590000000007</v>
      </c>
      <c r="M91" s="65">
        <f t="shared" si="63"/>
        <v>30682.560000000001</v>
      </c>
      <c r="N91" s="65">
        <f t="shared" si="63"/>
        <v>31172.265000000007</v>
      </c>
      <c r="O91" s="65">
        <f t="shared" si="63"/>
        <v>31693.790000000005</v>
      </c>
      <c r="P91" s="65">
        <f t="shared" si="63"/>
        <v>31670.370000000003</v>
      </c>
      <c r="Q91" s="65">
        <f t="shared" si="63"/>
        <v>31883.840000000004</v>
      </c>
      <c r="R91" s="65">
        <f t="shared" si="63"/>
        <v>32723.540000000008</v>
      </c>
      <c r="S91" s="65">
        <f t="shared" si="63"/>
        <v>379722.35</v>
      </c>
      <c r="U91" s="65">
        <f>+SUM(U56:U74)</f>
        <v>238.61368750183442</v>
      </c>
      <c r="V91" s="65">
        <f t="shared" ref="V91:AG91" si="64">+SUM(V56:V74)</f>
        <v>237.73908416442956</v>
      </c>
      <c r="W91" s="65">
        <f t="shared" si="64"/>
        <v>236.98041244963954</v>
      </c>
      <c r="X91" s="65">
        <f t="shared" si="64"/>
        <v>240.11373782246122</v>
      </c>
      <c r="Y91" s="65">
        <f t="shared" si="64"/>
        <v>237.48925374699323</v>
      </c>
      <c r="Z91" s="65">
        <f t="shared" si="64"/>
        <v>242.48914338799983</v>
      </c>
      <c r="AA91" s="65">
        <f t="shared" si="64"/>
        <v>234.48867532706592</v>
      </c>
      <c r="AB91" s="65">
        <f t="shared" si="64"/>
        <v>230.34915039828812</v>
      </c>
      <c r="AC91" s="65">
        <f t="shared" si="64"/>
        <v>239.99793106229589</v>
      </c>
      <c r="AD91" s="65">
        <f t="shared" si="64"/>
        <v>238.62271946476585</v>
      </c>
      <c r="AE91" s="65">
        <f t="shared" si="64"/>
        <v>239.99804832612185</v>
      </c>
      <c r="AF91" s="65">
        <f t="shared" si="64"/>
        <v>246.49824212298202</v>
      </c>
      <c r="AG91" s="65">
        <f t="shared" si="64"/>
        <v>2863.380085774877</v>
      </c>
      <c r="AH91" s="65">
        <f>+SUM(AH56:AH74)</f>
        <v>238.61500714790648</v>
      </c>
      <c r="AI91" s="23" t="s">
        <v>22</v>
      </c>
      <c r="AJ91" s="66">
        <f>+SUMIF(AJ55:AJ90,"&lt;&gt;",$AN55:$AN90)</f>
        <v>0</v>
      </c>
      <c r="AK91" s="66">
        <f t="shared" ref="AK91:AL91" si="65">+SUMIF(AK55:AK90,"&lt;&gt;",$AN55:$AN90)</f>
        <v>0</v>
      </c>
      <c r="AL91" s="66">
        <f t="shared" si="65"/>
        <v>227.9292028992671</v>
      </c>
      <c r="AM91" s="67"/>
      <c r="AN91" s="81">
        <f>+SUM(AN62:AN78)</f>
        <v>227.9292028992671</v>
      </c>
      <c r="AO91" s="73" t="s">
        <v>201</v>
      </c>
      <c r="AP91" s="69">
        <f>+SUM(AJ91:AL91)-AN91</f>
        <v>0</v>
      </c>
      <c r="AQ91" s="69"/>
      <c r="AR91" s="70"/>
      <c r="AS91" s="71">
        <f ca="1">SUM(AS56:AS90)</f>
        <v>47895.512743862528</v>
      </c>
      <c r="AT91" s="70"/>
      <c r="AU91" s="71">
        <f ca="1">SUM(AU56:AU90)</f>
        <v>427617.86274386256</v>
      </c>
      <c r="AV91" s="72">
        <f ca="1">+AS91/S91</f>
        <v>0.12613298307003137</v>
      </c>
      <c r="BC91" s="71">
        <f t="shared" ref="BC91:BD91" ca="1" si="66">SUM(BC56:BC90)</f>
        <v>1630.6970260570081</v>
      </c>
      <c r="BD91" s="71">
        <f t="shared" ca="1" si="66"/>
        <v>429248.55976991949</v>
      </c>
    </row>
    <row r="92" spans="1:56" outlineLevel="1">
      <c r="C92" s="64"/>
      <c r="D92" s="64"/>
      <c r="E92" s="55"/>
      <c r="F92" s="55"/>
      <c r="G92" s="55"/>
      <c r="H92" s="55"/>
      <c r="I92" s="55"/>
      <c r="J92" s="55"/>
      <c r="K92" s="55"/>
      <c r="L92" s="55"/>
      <c r="M92" s="55"/>
      <c r="N92" s="57"/>
      <c r="O92" s="57"/>
      <c r="P92" s="57"/>
      <c r="Q92" s="57"/>
      <c r="R92" s="57"/>
      <c r="S92" s="57"/>
      <c r="AB92" s="62"/>
      <c r="AC92" s="62"/>
      <c r="AD92" s="62"/>
      <c r="AE92" s="62"/>
      <c r="AF92" s="62"/>
      <c r="AG92" s="62"/>
      <c r="AH92" s="62"/>
    </row>
    <row r="93" spans="1:56" outlineLevel="1">
      <c r="C93" s="64"/>
      <c r="D93" s="64"/>
      <c r="E93" s="55"/>
      <c r="F93" s="55"/>
      <c r="G93" s="55"/>
      <c r="H93" s="55"/>
      <c r="I93" s="55"/>
      <c r="J93" s="55"/>
      <c r="K93" s="55"/>
      <c r="L93" s="55"/>
      <c r="M93" s="55"/>
      <c r="N93" s="76"/>
      <c r="O93" s="76"/>
      <c r="P93" s="76"/>
      <c r="Q93" s="76"/>
      <c r="R93" s="76"/>
      <c r="S93" s="76"/>
      <c r="AB93" s="62"/>
      <c r="AC93" s="62"/>
      <c r="AD93" s="62"/>
      <c r="AE93" s="62"/>
      <c r="AF93" s="62"/>
      <c r="AG93" s="62"/>
      <c r="AH93" s="62"/>
    </row>
    <row r="94" spans="1:56" outlineLevel="1">
      <c r="A94" s="23" t="s">
        <v>286</v>
      </c>
      <c r="B94" s="24" t="s">
        <v>287</v>
      </c>
      <c r="C94" s="64"/>
      <c r="D94" s="64"/>
      <c r="E94" s="55"/>
      <c r="F94" s="55"/>
      <c r="G94" s="55"/>
      <c r="H94" s="55"/>
      <c r="I94" s="55"/>
      <c r="J94" s="55"/>
      <c r="K94" s="55"/>
      <c r="L94" s="55"/>
      <c r="M94" s="55"/>
      <c r="N94" s="57"/>
      <c r="O94" s="57"/>
      <c r="P94" s="57"/>
      <c r="Q94" s="57"/>
      <c r="R94" s="57"/>
      <c r="S94" s="57"/>
      <c r="AB94" s="62"/>
      <c r="AC94" s="62"/>
      <c r="AD94" s="62"/>
      <c r="AE94" s="62"/>
      <c r="AF94" s="62"/>
      <c r="AG94" s="62"/>
      <c r="AH94" s="62"/>
    </row>
    <row r="95" spans="1:56" outlineLevel="1">
      <c r="E95" s="55"/>
      <c r="F95" s="55"/>
      <c r="G95" s="55"/>
      <c r="H95" s="55"/>
      <c r="I95" s="55"/>
      <c r="J95" s="55"/>
      <c r="K95" s="55"/>
      <c r="L95" s="55"/>
      <c r="M95" s="55"/>
      <c r="N95" s="33"/>
      <c r="O95" s="33"/>
      <c r="P95" s="33"/>
      <c r="Q95" s="33"/>
      <c r="R95" s="33"/>
      <c r="S95" s="33"/>
      <c r="T95" s="23"/>
      <c r="U95" s="23"/>
      <c r="V95" s="23"/>
      <c r="W95" s="23"/>
      <c r="X95" s="23"/>
      <c r="Y95" s="23"/>
      <c r="Z95" s="23"/>
      <c r="AA95" s="23"/>
      <c r="AB95" s="62"/>
      <c r="AC95" s="62"/>
      <c r="AD95" s="62"/>
      <c r="AE95" s="62"/>
      <c r="AF95" s="62"/>
      <c r="AG95" s="62"/>
      <c r="AH95" s="62"/>
    </row>
    <row r="96" spans="1:56" ht="15" outlineLevel="1" thickBot="1">
      <c r="C96" s="64" t="s">
        <v>288</v>
      </c>
      <c r="D96" s="64"/>
      <c r="E96" s="55"/>
      <c r="F96" s="55"/>
      <c r="G96" s="65">
        <f t="shared" ref="G96:S96" si="67">SUM(G95:G95)</f>
        <v>0</v>
      </c>
      <c r="H96" s="65">
        <f t="shared" si="67"/>
        <v>0</v>
      </c>
      <c r="I96" s="65">
        <f t="shared" si="67"/>
        <v>0</v>
      </c>
      <c r="J96" s="65">
        <f t="shared" si="67"/>
        <v>0</v>
      </c>
      <c r="K96" s="65">
        <f t="shared" si="67"/>
        <v>0</v>
      </c>
      <c r="L96" s="65">
        <f t="shared" si="67"/>
        <v>0</v>
      </c>
      <c r="M96" s="65">
        <f t="shared" si="67"/>
        <v>0</v>
      </c>
      <c r="N96" s="65">
        <f t="shared" si="67"/>
        <v>0</v>
      </c>
      <c r="O96" s="65">
        <f t="shared" si="67"/>
        <v>0</v>
      </c>
      <c r="P96" s="65">
        <f t="shared" si="67"/>
        <v>0</v>
      </c>
      <c r="Q96" s="65">
        <f t="shared" si="67"/>
        <v>0</v>
      </c>
      <c r="R96" s="65">
        <f t="shared" si="67"/>
        <v>0</v>
      </c>
      <c r="S96" s="65">
        <f t="shared" si="67"/>
        <v>0</v>
      </c>
      <c r="U96" s="65">
        <f t="shared" ref="U96:AH96" si="68">SUM(U95:U95)</f>
        <v>0</v>
      </c>
      <c r="V96" s="65">
        <f t="shared" si="68"/>
        <v>0</v>
      </c>
      <c r="W96" s="65">
        <f t="shared" si="68"/>
        <v>0</v>
      </c>
      <c r="X96" s="65">
        <f t="shared" si="68"/>
        <v>0</v>
      </c>
      <c r="Y96" s="65">
        <f t="shared" si="68"/>
        <v>0</v>
      </c>
      <c r="Z96" s="65">
        <f t="shared" si="68"/>
        <v>0</v>
      </c>
      <c r="AA96" s="65">
        <f t="shared" si="68"/>
        <v>0</v>
      </c>
      <c r="AB96" s="65">
        <f t="shared" si="68"/>
        <v>0</v>
      </c>
      <c r="AC96" s="65">
        <f t="shared" si="68"/>
        <v>0</v>
      </c>
      <c r="AD96" s="65">
        <f t="shared" si="68"/>
        <v>0</v>
      </c>
      <c r="AE96" s="65">
        <f t="shared" si="68"/>
        <v>0</v>
      </c>
      <c r="AF96" s="65">
        <f t="shared" si="68"/>
        <v>0</v>
      </c>
      <c r="AG96" s="65">
        <f t="shared" si="68"/>
        <v>0</v>
      </c>
      <c r="AH96" s="65">
        <f t="shared" si="68"/>
        <v>0</v>
      </c>
      <c r="AR96" s="82"/>
      <c r="AS96" s="82"/>
      <c r="AT96" s="82"/>
      <c r="AU96" s="82">
        <f>+AS96+S96</f>
        <v>0</v>
      </c>
    </row>
    <row r="97" spans="1:57" outlineLevel="1">
      <c r="C97" s="64"/>
      <c r="D97" s="64"/>
      <c r="E97" s="55"/>
      <c r="F97" s="55"/>
      <c r="G97" s="55"/>
      <c r="H97" s="55"/>
      <c r="I97" s="55"/>
      <c r="J97" s="55"/>
      <c r="K97" s="55"/>
      <c r="L97" s="55"/>
      <c r="M97" s="55"/>
      <c r="N97" s="57"/>
      <c r="O97" s="57"/>
      <c r="P97" s="57"/>
      <c r="Q97" s="57"/>
      <c r="R97" s="57"/>
      <c r="S97" s="57"/>
      <c r="AB97" s="62"/>
      <c r="AC97" s="62"/>
      <c r="AD97" s="62"/>
      <c r="AE97" s="62"/>
      <c r="AF97" s="62"/>
      <c r="AG97" s="62"/>
      <c r="AH97" s="62"/>
    </row>
    <row r="98" spans="1:57" outlineLevel="1">
      <c r="B98" s="24" t="s">
        <v>289</v>
      </c>
      <c r="C98" s="64"/>
      <c r="D98" s="64"/>
      <c r="E98" s="55"/>
      <c r="F98" s="55"/>
      <c r="G98" s="55"/>
      <c r="H98" s="55"/>
      <c r="I98" s="55"/>
      <c r="J98" s="55"/>
      <c r="K98" s="55"/>
      <c r="L98" s="55"/>
      <c r="M98" s="55"/>
      <c r="N98" s="57"/>
      <c r="O98" s="57"/>
      <c r="P98" s="57"/>
      <c r="Q98" s="57"/>
      <c r="R98" s="57"/>
      <c r="S98" s="57"/>
      <c r="AB98" s="62"/>
      <c r="AC98" s="62"/>
      <c r="AD98" s="62"/>
      <c r="AE98" s="62"/>
      <c r="AF98" s="62"/>
      <c r="AG98" s="62"/>
      <c r="AH98" s="62"/>
    </row>
    <row r="99" spans="1:57" outlineLevel="1">
      <c r="C99" s="64"/>
      <c r="D99" s="64"/>
      <c r="E99" s="55"/>
      <c r="F99" s="55"/>
      <c r="G99" s="55"/>
      <c r="H99" s="55"/>
      <c r="I99" s="55"/>
      <c r="J99" s="55"/>
      <c r="K99" s="55"/>
      <c r="L99" s="55"/>
      <c r="M99" s="55"/>
      <c r="N99" s="57"/>
      <c r="O99" s="57"/>
      <c r="P99" s="57"/>
      <c r="Q99" s="57"/>
      <c r="R99" s="57"/>
      <c r="S99" s="57"/>
      <c r="AB99" s="62"/>
      <c r="AC99" s="62"/>
      <c r="AD99" s="62"/>
      <c r="AE99" s="62"/>
      <c r="AF99" s="62"/>
      <c r="AG99" s="62"/>
      <c r="AH99" s="62"/>
    </row>
    <row r="100" spans="1:57" ht="15" outlineLevel="1" thickBot="1">
      <c r="C100" s="64" t="s">
        <v>290</v>
      </c>
      <c r="D100" s="64"/>
      <c r="E100" s="55"/>
      <c r="F100" s="55"/>
      <c r="G100" s="65">
        <f t="shared" ref="G100:S100" si="69">SUM(G99:G99)</f>
        <v>0</v>
      </c>
      <c r="H100" s="65">
        <f t="shared" si="69"/>
        <v>0</v>
      </c>
      <c r="I100" s="65">
        <f t="shared" si="69"/>
        <v>0</v>
      </c>
      <c r="J100" s="65">
        <f t="shared" si="69"/>
        <v>0</v>
      </c>
      <c r="K100" s="65">
        <f t="shared" si="69"/>
        <v>0</v>
      </c>
      <c r="L100" s="65">
        <f t="shared" si="69"/>
        <v>0</v>
      </c>
      <c r="M100" s="65">
        <f t="shared" si="69"/>
        <v>0</v>
      </c>
      <c r="N100" s="65">
        <f t="shared" si="69"/>
        <v>0</v>
      </c>
      <c r="O100" s="65">
        <f t="shared" si="69"/>
        <v>0</v>
      </c>
      <c r="P100" s="65">
        <f t="shared" si="69"/>
        <v>0</v>
      </c>
      <c r="Q100" s="65">
        <f t="shared" si="69"/>
        <v>0</v>
      </c>
      <c r="R100" s="65">
        <f t="shared" si="69"/>
        <v>0</v>
      </c>
      <c r="S100" s="65">
        <f t="shared" si="69"/>
        <v>0</v>
      </c>
      <c r="U100" s="65">
        <f t="shared" ref="U100:AH100" si="70">SUM(U99:U99)</f>
        <v>0</v>
      </c>
      <c r="V100" s="65">
        <f t="shared" si="70"/>
        <v>0</v>
      </c>
      <c r="W100" s="65">
        <f t="shared" si="70"/>
        <v>0</v>
      </c>
      <c r="X100" s="65">
        <f t="shared" si="70"/>
        <v>0</v>
      </c>
      <c r="Y100" s="65">
        <f t="shared" si="70"/>
        <v>0</v>
      </c>
      <c r="Z100" s="65">
        <f t="shared" si="70"/>
        <v>0</v>
      </c>
      <c r="AA100" s="65">
        <f t="shared" si="70"/>
        <v>0</v>
      </c>
      <c r="AB100" s="65">
        <f t="shared" si="70"/>
        <v>0</v>
      </c>
      <c r="AC100" s="65">
        <f t="shared" si="70"/>
        <v>0</v>
      </c>
      <c r="AD100" s="65">
        <f t="shared" si="70"/>
        <v>0</v>
      </c>
      <c r="AE100" s="65">
        <f t="shared" si="70"/>
        <v>0</v>
      </c>
      <c r="AF100" s="65">
        <f t="shared" si="70"/>
        <v>0</v>
      </c>
      <c r="AG100" s="65">
        <f t="shared" si="70"/>
        <v>0</v>
      </c>
      <c r="AH100" s="65">
        <f t="shared" si="70"/>
        <v>0</v>
      </c>
      <c r="AR100" s="82"/>
      <c r="AS100" s="82"/>
      <c r="AT100" s="82"/>
      <c r="AU100" s="82">
        <f>+AS100+S100</f>
        <v>0</v>
      </c>
    </row>
    <row r="101" spans="1:57" outlineLevel="1">
      <c r="C101" s="64"/>
      <c r="D101" s="64"/>
      <c r="E101" s="55"/>
      <c r="F101" s="55"/>
      <c r="G101" s="55"/>
      <c r="H101" s="55"/>
      <c r="I101" s="55"/>
      <c r="J101" s="55"/>
      <c r="K101" s="55"/>
      <c r="L101" s="55"/>
      <c r="M101" s="55"/>
      <c r="N101" s="57"/>
      <c r="O101" s="57"/>
      <c r="P101" s="57"/>
      <c r="Q101" s="57"/>
      <c r="R101" s="57"/>
      <c r="S101" s="57"/>
      <c r="AB101" s="57"/>
      <c r="AC101" s="57"/>
      <c r="AD101" s="57"/>
      <c r="AE101" s="57"/>
      <c r="AF101" s="57"/>
      <c r="AG101" s="57"/>
      <c r="AH101" s="57"/>
    </row>
    <row r="102" spans="1:57" outlineLevel="1">
      <c r="E102" s="55"/>
      <c r="F102" s="55"/>
      <c r="G102" s="55"/>
      <c r="H102" s="55"/>
      <c r="I102" s="55"/>
      <c r="J102" s="55"/>
      <c r="K102" s="55"/>
      <c r="L102" s="55"/>
      <c r="M102" s="55"/>
      <c r="N102" s="57"/>
      <c r="O102" s="57"/>
      <c r="P102" s="57"/>
      <c r="Q102" s="57"/>
      <c r="R102" s="57"/>
      <c r="S102" s="57"/>
      <c r="AB102" s="57"/>
      <c r="AC102" s="57"/>
      <c r="AD102" s="57"/>
      <c r="AE102" s="57"/>
      <c r="AF102" s="57"/>
      <c r="AG102" s="57"/>
      <c r="AH102" s="57"/>
    </row>
    <row r="103" spans="1:57" s="24" customFormat="1">
      <c r="B103" s="24" t="s">
        <v>291</v>
      </c>
      <c r="E103" s="55"/>
      <c r="F103" s="55"/>
      <c r="G103" s="77">
        <f t="shared" ref="G103:S103" si="71">+G91+G96+G100</f>
        <v>31256.46</v>
      </c>
      <c r="H103" s="77">
        <f t="shared" si="71"/>
        <v>31543.82</v>
      </c>
      <c r="I103" s="77">
        <f t="shared" si="71"/>
        <v>31957.785</v>
      </c>
      <c r="J103" s="77">
        <f t="shared" si="71"/>
        <v>31762.175000000003</v>
      </c>
      <c r="K103" s="77">
        <f t="shared" si="71"/>
        <v>31533.155000000006</v>
      </c>
      <c r="L103" s="77">
        <f t="shared" si="71"/>
        <v>31842.590000000007</v>
      </c>
      <c r="M103" s="77">
        <f t="shared" si="71"/>
        <v>30682.560000000001</v>
      </c>
      <c r="N103" s="77">
        <f t="shared" si="71"/>
        <v>31172.265000000007</v>
      </c>
      <c r="O103" s="77">
        <f t="shared" si="71"/>
        <v>31693.790000000005</v>
      </c>
      <c r="P103" s="77">
        <f t="shared" si="71"/>
        <v>31670.370000000003</v>
      </c>
      <c r="Q103" s="77">
        <f t="shared" si="71"/>
        <v>31883.840000000004</v>
      </c>
      <c r="R103" s="77">
        <f t="shared" si="71"/>
        <v>32723.540000000008</v>
      </c>
      <c r="S103" s="77">
        <f t="shared" si="71"/>
        <v>379722.35</v>
      </c>
      <c r="T103" s="25"/>
      <c r="U103" s="77">
        <f>+U91+U96+U100</f>
        <v>238.61368750183442</v>
      </c>
      <c r="V103" s="77">
        <f t="shared" ref="V103:AH103" si="72">+V91+V96+V100</f>
        <v>237.73908416442956</v>
      </c>
      <c r="W103" s="77">
        <f t="shared" si="72"/>
        <v>236.98041244963954</v>
      </c>
      <c r="X103" s="77">
        <f t="shared" si="72"/>
        <v>240.11373782246122</v>
      </c>
      <c r="Y103" s="77">
        <f t="shared" si="72"/>
        <v>237.48925374699323</v>
      </c>
      <c r="Z103" s="77">
        <f t="shared" si="72"/>
        <v>242.48914338799983</v>
      </c>
      <c r="AA103" s="77">
        <f t="shared" si="72"/>
        <v>234.48867532706592</v>
      </c>
      <c r="AB103" s="77">
        <f t="shared" si="72"/>
        <v>230.34915039828812</v>
      </c>
      <c r="AC103" s="77">
        <f t="shared" si="72"/>
        <v>239.99793106229589</v>
      </c>
      <c r="AD103" s="77">
        <f t="shared" si="72"/>
        <v>238.62271946476585</v>
      </c>
      <c r="AE103" s="77">
        <f t="shared" si="72"/>
        <v>239.99804832612185</v>
      </c>
      <c r="AF103" s="77">
        <f t="shared" si="72"/>
        <v>246.49824212298202</v>
      </c>
      <c r="AG103" s="77">
        <f t="shared" si="72"/>
        <v>2863.380085774877</v>
      </c>
      <c r="AH103" s="77">
        <f t="shared" si="72"/>
        <v>238.61500714790648</v>
      </c>
      <c r="AJ103" s="26"/>
      <c r="AK103" s="26"/>
      <c r="AL103" s="26"/>
      <c r="AM103" s="26"/>
      <c r="AN103" s="27"/>
      <c r="AR103" s="23"/>
      <c r="AS103" s="23"/>
      <c r="AT103" s="23"/>
      <c r="AU103" s="23"/>
      <c r="BC103" s="297"/>
      <c r="BD103" s="297"/>
      <c r="BE103" s="297"/>
    </row>
    <row r="104" spans="1:57" s="24" customFormat="1" outlineLevel="1">
      <c r="E104" s="55"/>
      <c r="F104" s="55"/>
      <c r="G104" s="55"/>
      <c r="H104" s="55"/>
      <c r="I104" s="55"/>
      <c r="J104" s="55"/>
      <c r="K104" s="55"/>
      <c r="L104" s="55"/>
      <c r="M104" s="55"/>
      <c r="N104" s="57"/>
      <c r="O104" s="57"/>
      <c r="P104" s="57"/>
      <c r="Q104" s="57"/>
      <c r="R104" s="57"/>
      <c r="S104" s="57"/>
      <c r="T104" s="25"/>
      <c r="U104" s="25"/>
      <c r="V104" s="25"/>
      <c r="W104" s="25"/>
      <c r="X104" s="25"/>
      <c r="Y104" s="25"/>
      <c r="Z104" s="25"/>
      <c r="AA104" s="25"/>
      <c r="AB104" s="83"/>
      <c r="AC104" s="83"/>
      <c r="AD104" s="83"/>
      <c r="AE104" s="83"/>
      <c r="AF104" s="83"/>
      <c r="AG104" s="83"/>
      <c r="AH104" s="83"/>
      <c r="AJ104" s="26"/>
      <c r="AK104" s="26"/>
      <c r="AL104" s="26"/>
      <c r="AM104" s="26"/>
      <c r="AN104" s="27"/>
      <c r="BC104" s="297"/>
      <c r="BD104" s="297"/>
      <c r="BE104" s="297"/>
    </row>
    <row r="105" spans="1:57" outlineLevel="1">
      <c r="E105" s="55"/>
      <c r="F105" s="55"/>
      <c r="G105" s="55"/>
      <c r="H105" s="55"/>
      <c r="I105" s="55"/>
      <c r="J105" s="55"/>
      <c r="K105" s="55"/>
      <c r="L105" s="55"/>
      <c r="M105" s="55"/>
      <c r="N105" s="57"/>
      <c r="O105" s="57"/>
      <c r="P105" s="57"/>
      <c r="Q105" s="57"/>
      <c r="R105" s="57"/>
      <c r="S105" s="57"/>
      <c r="AB105" s="62"/>
      <c r="AC105" s="62"/>
      <c r="AD105" s="62"/>
      <c r="AE105" s="62"/>
      <c r="AF105" s="62"/>
      <c r="AG105" s="62"/>
      <c r="AH105" s="62"/>
    </row>
    <row r="106" spans="1:57" outlineLevel="1">
      <c r="B106" s="50" t="s">
        <v>292</v>
      </c>
      <c r="C106" s="51"/>
      <c r="D106" s="51"/>
      <c r="E106" s="55"/>
      <c r="F106" s="55"/>
      <c r="G106" s="55"/>
      <c r="H106" s="55"/>
      <c r="I106" s="55"/>
      <c r="J106" s="55"/>
      <c r="K106" s="55"/>
      <c r="L106" s="55"/>
      <c r="M106" s="55"/>
      <c r="N106" s="57"/>
      <c r="O106" s="57"/>
      <c r="P106" s="57"/>
      <c r="Q106" s="57"/>
      <c r="R106" s="57"/>
      <c r="S106" s="57"/>
      <c r="AB106" s="62"/>
      <c r="AC106" s="62"/>
      <c r="AD106" s="62"/>
      <c r="AE106" s="62"/>
      <c r="AF106" s="62"/>
      <c r="AG106" s="62"/>
      <c r="AH106" s="62"/>
    </row>
    <row r="107" spans="1:57" outlineLevel="1">
      <c r="B107" s="51"/>
      <c r="C107" s="51"/>
      <c r="D107" s="51"/>
      <c r="E107" s="55"/>
      <c r="F107" s="55"/>
      <c r="G107" s="55"/>
      <c r="H107" s="55"/>
      <c r="I107" s="55"/>
      <c r="J107" s="55"/>
      <c r="K107" s="55"/>
      <c r="L107" s="55"/>
      <c r="M107" s="55"/>
      <c r="N107" s="57"/>
      <c r="O107" s="57"/>
      <c r="P107" s="57"/>
      <c r="Q107" s="57"/>
      <c r="R107" s="57"/>
      <c r="S107" s="57"/>
      <c r="AB107" s="62"/>
      <c r="AC107" s="62"/>
      <c r="AD107" s="62"/>
      <c r="AE107" s="62"/>
      <c r="AF107" s="62"/>
      <c r="AG107" s="62"/>
      <c r="AH107" s="62"/>
    </row>
    <row r="108" spans="1:57" outlineLevel="1">
      <c r="A108" s="23" t="s">
        <v>293</v>
      </c>
      <c r="B108" s="24" t="s">
        <v>294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7"/>
      <c r="O108" s="57"/>
      <c r="P108" s="57"/>
      <c r="Q108" s="57"/>
      <c r="R108" s="57"/>
      <c r="S108" s="57"/>
      <c r="AB108" s="62"/>
      <c r="AC108" s="62"/>
      <c r="AD108" s="62"/>
      <c r="AE108" s="62"/>
      <c r="AF108" s="62"/>
      <c r="AG108" s="62"/>
      <c r="AH108" s="62"/>
    </row>
    <row r="109" spans="1:57" outlineLevel="1">
      <c r="A109" s="23" t="str">
        <f t="shared" ref="A109:A125" si="73">+$A$4&amp;$A$108&amp;B109</f>
        <v>VashonRoll offROHAUL20</v>
      </c>
      <c r="B109" s="23" t="s">
        <v>295</v>
      </c>
      <c r="C109" s="23" t="s">
        <v>296</v>
      </c>
      <c r="D109" s="54">
        <v>121.2</v>
      </c>
      <c r="E109" s="54">
        <v>121.2</v>
      </c>
      <c r="F109" s="55"/>
      <c r="G109" s="79">
        <v>0</v>
      </c>
      <c r="H109" s="79">
        <v>0</v>
      </c>
      <c r="I109" s="79">
        <v>0</v>
      </c>
      <c r="J109" s="79">
        <v>0</v>
      </c>
      <c r="K109" s="79">
        <v>0</v>
      </c>
      <c r="L109" s="79">
        <v>0</v>
      </c>
      <c r="M109" s="79">
        <v>0</v>
      </c>
      <c r="N109" s="57">
        <v>0</v>
      </c>
      <c r="O109" s="57">
        <v>0</v>
      </c>
      <c r="P109" s="57">
        <v>0</v>
      </c>
      <c r="Q109" s="57">
        <v>121.2</v>
      </c>
      <c r="R109" s="57">
        <v>121.2</v>
      </c>
      <c r="S109" s="57">
        <v>242.4</v>
      </c>
      <c r="U109" s="62">
        <f t="shared" ref="U109:AA124" si="74">+IFERROR(G109/$D109,0)</f>
        <v>0</v>
      </c>
      <c r="V109" s="62">
        <f t="shared" si="74"/>
        <v>0</v>
      </c>
      <c r="W109" s="62">
        <f t="shared" si="74"/>
        <v>0</v>
      </c>
      <c r="X109" s="62">
        <f t="shared" si="74"/>
        <v>0</v>
      </c>
      <c r="Y109" s="62">
        <f t="shared" si="74"/>
        <v>0</v>
      </c>
      <c r="Z109" s="62">
        <f t="shared" si="74"/>
        <v>0</v>
      </c>
      <c r="AA109" s="62">
        <f t="shared" si="74"/>
        <v>0</v>
      </c>
      <c r="AB109" s="62">
        <f t="shared" ref="AB109:AF124" si="75">+IFERROR(N109/$E109,0)</f>
        <v>0</v>
      </c>
      <c r="AC109" s="62">
        <f t="shared" si="75"/>
        <v>0</v>
      </c>
      <c r="AD109" s="62">
        <f t="shared" si="75"/>
        <v>0</v>
      </c>
      <c r="AE109" s="62">
        <f t="shared" si="75"/>
        <v>1</v>
      </c>
      <c r="AF109" s="62">
        <f t="shared" si="75"/>
        <v>1</v>
      </c>
      <c r="AG109" s="62">
        <f t="shared" ref="AG109" si="76">SUM(U109:AF109)</f>
        <v>2</v>
      </c>
      <c r="AH109" s="62">
        <f t="shared" ref="AH109" si="77">+SUM(U109:AF109)/$AB$2</f>
        <v>0.16666666666666666</v>
      </c>
      <c r="AQ109" s="78">
        <v>121.2</v>
      </c>
      <c r="AR109" s="60">
        <f t="shared" ref="AR109:AR125" ca="1" si="78">+$AT$2*AQ109</f>
        <v>14.265272400728495</v>
      </c>
      <c r="AS109" s="60">
        <f t="shared" ref="AS109:AS126" ca="1" si="79">+AH109*AR109*12</f>
        <v>28.530544801456987</v>
      </c>
      <c r="AT109" s="60">
        <f t="shared" ref="AT109:AT125" ca="1" si="80">+AR109+AQ109</f>
        <v>135.46527240072851</v>
      </c>
      <c r="AU109" s="60">
        <f t="shared" ref="AU109:AU126" ca="1" si="81">+AS109+S109</f>
        <v>270.93054480145702</v>
      </c>
      <c r="BC109" s="300">
        <f t="shared" ref="BC109:BC125" ca="1" si="82">AU109*BD$2</f>
        <v>1.0331786208388041</v>
      </c>
      <c r="BD109" s="300">
        <f t="shared" ref="BD109:BD125" ca="1" si="83">+AU109+BC109</f>
        <v>271.9637234222958</v>
      </c>
    </row>
    <row r="110" spans="1:57" outlineLevel="1">
      <c r="A110" s="23" t="str">
        <f t="shared" si="73"/>
        <v>VashonRoll offROHAUL20T</v>
      </c>
      <c r="B110" s="23" t="s">
        <v>297</v>
      </c>
      <c r="C110" s="23" t="s">
        <v>298</v>
      </c>
      <c r="D110" s="54">
        <v>121.2</v>
      </c>
      <c r="E110" s="54">
        <v>121.2</v>
      </c>
      <c r="F110" s="55"/>
      <c r="G110" s="56">
        <v>484.8</v>
      </c>
      <c r="H110" s="56">
        <v>121.2</v>
      </c>
      <c r="I110" s="56">
        <v>242.4</v>
      </c>
      <c r="J110" s="56">
        <v>121.2</v>
      </c>
      <c r="K110" s="56">
        <v>121.2</v>
      </c>
      <c r="L110" s="56">
        <v>121.2</v>
      </c>
      <c r="M110" s="56">
        <v>0</v>
      </c>
      <c r="N110" s="57">
        <v>242.4</v>
      </c>
      <c r="O110" s="57">
        <v>0</v>
      </c>
      <c r="P110" s="57">
        <v>0</v>
      </c>
      <c r="Q110" s="57">
        <v>0</v>
      </c>
      <c r="R110" s="57">
        <v>121.2</v>
      </c>
      <c r="S110" s="57">
        <v>1575.6000000000001</v>
      </c>
      <c r="U110" s="62">
        <f t="shared" si="74"/>
        <v>4</v>
      </c>
      <c r="V110" s="62">
        <f t="shared" si="74"/>
        <v>1</v>
      </c>
      <c r="W110" s="62">
        <f t="shared" si="74"/>
        <v>2</v>
      </c>
      <c r="X110" s="62">
        <f t="shared" si="74"/>
        <v>1</v>
      </c>
      <c r="Y110" s="62">
        <f t="shared" si="74"/>
        <v>1</v>
      </c>
      <c r="Z110" s="62">
        <f t="shared" si="74"/>
        <v>1</v>
      </c>
      <c r="AA110" s="62">
        <f t="shared" si="74"/>
        <v>0</v>
      </c>
      <c r="AB110" s="62">
        <f t="shared" si="75"/>
        <v>2</v>
      </c>
      <c r="AC110" s="62">
        <f t="shared" si="75"/>
        <v>0</v>
      </c>
      <c r="AD110" s="62">
        <f t="shared" si="75"/>
        <v>0</v>
      </c>
      <c r="AE110" s="62">
        <f t="shared" si="75"/>
        <v>0</v>
      </c>
      <c r="AF110" s="62">
        <f t="shared" si="75"/>
        <v>1</v>
      </c>
      <c r="AG110" s="62">
        <f t="shared" ref="AG110:AG125" si="84">SUM(U110:AF110)</f>
        <v>13</v>
      </c>
      <c r="AH110" s="62">
        <f t="shared" ref="AH110:AH125" si="85">+SUM(U110:AF110)/$AB$2</f>
        <v>1.0833333333333333</v>
      </c>
      <c r="AQ110" s="78">
        <v>121.2</v>
      </c>
      <c r="AR110" s="60">
        <f t="shared" ca="1" si="78"/>
        <v>14.265272400728495</v>
      </c>
      <c r="AS110" s="60">
        <f t="shared" ca="1" si="79"/>
        <v>185.44854120947042</v>
      </c>
      <c r="AT110" s="60">
        <f t="shared" ca="1" si="80"/>
        <v>135.46527240072851</v>
      </c>
      <c r="AU110" s="60">
        <f t="shared" ca="1" si="81"/>
        <v>1761.0485412094706</v>
      </c>
      <c r="BC110" s="300">
        <f t="shared" ca="1" si="82"/>
        <v>6.7156610354522268</v>
      </c>
      <c r="BD110" s="300">
        <f t="shared" ca="1" si="83"/>
        <v>1767.7642022449229</v>
      </c>
    </row>
    <row r="111" spans="1:57" outlineLevel="1">
      <c r="A111" s="23" t="str">
        <f t="shared" si="73"/>
        <v>VashonRoll offROHAUL25</v>
      </c>
      <c r="B111" s="23" t="s">
        <v>299</v>
      </c>
      <c r="C111" s="23" t="s">
        <v>300</v>
      </c>
      <c r="D111" s="54">
        <v>121.2</v>
      </c>
      <c r="E111" s="54">
        <v>121.2</v>
      </c>
      <c r="F111" s="55"/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121.2</v>
      </c>
      <c r="N111" s="57">
        <v>0</v>
      </c>
      <c r="O111" s="57">
        <v>0</v>
      </c>
      <c r="P111" s="57">
        <v>0</v>
      </c>
      <c r="Q111" s="57">
        <v>0</v>
      </c>
      <c r="R111" s="57">
        <v>0</v>
      </c>
      <c r="S111" s="57">
        <v>121.2</v>
      </c>
      <c r="U111" s="62">
        <f t="shared" si="74"/>
        <v>0</v>
      </c>
      <c r="V111" s="62">
        <f t="shared" si="74"/>
        <v>0</v>
      </c>
      <c r="W111" s="62">
        <f t="shared" si="74"/>
        <v>0</v>
      </c>
      <c r="X111" s="62">
        <f t="shared" si="74"/>
        <v>0</v>
      </c>
      <c r="Y111" s="62">
        <f t="shared" si="74"/>
        <v>0</v>
      </c>
      <c r="Z111" s="62">
        <f t="shared" si="74"/>
        <v>0</v>
      </c>
      <c r="AA111" s="62">
        <f t="shared" si="74"/>
        <v>1</v>
      </c>
      <c r="AB111" s="62">
        <f t="shared" si="75"/>
        <v>0</v>
      </c>
      <c r="AC111" s="62">
        <f t="shared" si="75"/>
        <v>0</v>
      </c>
      <c r="AD111" s="62">
        <f t="shared" si="75"/>
        <v>0</v>
      </c>
      <c r="AE111" s="62">
        <f t="shared" si="75"/>
        <v>0</v>
      </c>
      <c r="AF111" s="62">
        <f t="shared" si="75"/>
        <v>0</v>
      </c>
      <c r="AG111" s="62">
        <f t="shared" si="84"/>
        <v>1</v>
      </c>
      <c r="AH111" s="62">
        <f t="shared" si="85"/>
        <v>8.3333333333333329E-2</v>
      </c>
      <c r="AQ111" s="78">
        <v>121.2</v>
      </c>
      <c r="AR111" s="60">
        <f t="shared" ca="1" si="78"/>
        <v>14.265272400728495</v>
      </c>
      <c r="AS111" s="60">
        <f t="shared" ca="1" si="79"/>
        <v>14.265272400728493</v>
      </c>
      <c r="AT111" s="60">
        <f t="shared" ca="1" si="80"/>
        <v>135.46527240072851</v>
      </c>
      <c r="AU111" s="60">
        <f t="shared" ca="1" si="81"/>
        <v>135.46527240072851</v>
      </c>
      <c r="BC111" s="300">
        <f t="shared" ca="1" si="82"/>
        <v>0.51658931041940204</v>
      </c>
      <c r="BD111" s="300">
        <f t="shared" ca="1" si="83"/>
        <v>135.9818617111479</v>
      </c>
    </row>
    <row r="112" spans="1:57" outlineLevel="1">
      <c r="A112" s="23" t="str">
        <f t="shared" si="73"/>
        <v>VashonRoll offROHAUL25T</v>
      </c>
      <c r="B112" s="23" t="s">
        <v>301</v>
      </c>
      <c r="C112" s="23" t="s">
        <v>302</v>
      </c>
      <c r="D112" s="54">
        <v>121.2</v>
      </c>
      <c r="E112" s="54">
        <v>121.2</v>
      </c>
      <c r="F112" s="55"/>
      <c r="G112" s="56">
        <v>0</v>
      </c>
      <c r="H112" s="56">
        <v>242.4</v>
      </c>
      <c r="I112" s="56">
        <v>0</v>
      </c>
      <c r="J112" s="56">
        <v>121.2</v>
      </c>
      <c r="K112" s="56">
        <v>242.4</v>
      </c>
      <c r="L112" s="56">
        <v>0</v>
      </c>
      <c r="M112" s="56">
        <v>121.2</v>
      </c>
      <c r="N112" s="57">
        <v>0</v>
      </c>
      <c r="O112" s="57">
        <v>0</v>
      </c>
      <c r="P112" s="57">
        <v>363.6</v>
      </c>
      <c r="Q112" s="57">
        <v>242.4</v>
      </c>
      <c r="R112" s="57">
        <v>121.2</v>
      </c>
      <c r="S112" s="57">
        <v>1454.4000000000003</v>
      </c>
      <c r="U112" s="62">
        <f t="shared" si="74"/>
        <v>0</v>
      </c>
      <c r="V112" s="62">
        <f t="shared" si="74"/>
        <v>2</v>
      </c>
      <c r="W112" s="62">
        <f t="shared" si="74"/>
        <v>0</v>
      </c>
      <c r="X112" s="62">
        <f t="shared" si="74"/>
        <v>1</v>
      </c>
      <c r="Y112" s="62">
        <f t="shared" si="74"/>
        <v>2</v>
      </c>
      <c r="Z112" s="62">
        <f t="shared" si="74"/>
        <v>0</v>
      </c>
      <c r="AA112" s="62">
        <f t="shared" si="74"/>
        <v>1</v>
      </c>
      <c r="AB112" s="62">
        <f t="shared" si="75"/>
        <v>0</v>
      </c>
      <c r="AC112" s="62">
        <f t="shared" si="75"/>
        <v>0</v>
      </c>
      <c r="AD112" s="62">
        <f t="shared" si="75"/>
        <v>3</v>
      </c>
      <c r="AE112" s="62">
        <f t="shared" si="75"/>
        <v>2</v>
      </c>
      <c r="AF112" s="62">
        <f t="shared" si="75"/>
        <v>1</v>
      </c>
      <c r="AG112" s="62">
        <f t="shared" si="84"/>
        <v>12</v>
      </c>
      <c r="AH112" s="62">
        <f t="shared" si="85"/>
        <v>1</v>
      </c>
      <c r="AQ112" s="78">
        <v>121.2</v>
      </c>
      <c r="AR112" s="60">
        <f t="shared" ca="1" si="78"/>
        <v>14.265272400728495</v>
      </c>
      <c r="AS112" s="60">
        <f t="shared" ca="1" si="79"/>
        <v>171.18326880874196</v>
      </c>
      <c r="AT112" s="60">
        <f t="shared" ca="1" si="80"/>
        <v>135.46527240072851</v>
      </c>
      <c r="AU112" s="60">
        <f t="shared" ca="1" si="81"/>
        <v>1625.5832688087423</v>
      </c>
      <c r="BC112" s="300">
        <f t="shared" ca="1" si="82"/>
        <v>6.1990717250328258</v>
      </c>
      <c r="BD112" s="300">
        <f t="shared" ca="1" si="83"/>
        <v>1631.7823405337751</v>
      </c>
    </row>
    <row r="113" spans="1:56" outlineLevel="1">
      <c r="A113" s="23" t="str">
        <f t="shared" si="73"/>
        <v>VashonRoll offROHAUL30</v>
      </c>
      <c r="B113" s="23" t="s">
        <v>303</v>
      </c>
      <c r="C113" s="23" t="s">
        <v>304</v>
      </c>
      <c r="D113" s="54">
        <v>121.2</v>
      </c>
      <c r="E113" s="54">
        <v>121.2</v>
      </c>
      <c r="F113" s="55"/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121.2</v>
      </c>
      <c r="M113" s="56">
        <v>0</v>
      </c>
      <c r="N113" s="57">
        <v>121.2</v>
      </c>
      <c r="O113" s="57">
        <v>0</v>
      </c>
      <c r="P113" s="57">
        <v>242.4</v>
      </c>
      <c r="Q113" s="57">
        <v>363.6</v>
      </c>
      <c r="R113" s="57">
        <v>121.2</v>
      </c>
      <c r="S113" s="57">
        <v>969.60000000000014</v>
      </c>
      <c r="U113" s="62">
        <f t="shared" si="74"/>
        <v>0</v>
      </c>
      <c r="V113" s="62">
        <f t="shared" si="74"/>
        <v>0</v>
      </c>
      <c r="W113" s="62">
        <f t="shared" si="74"/>
        <v>0</v>
      </c>
      <c r="X113" s="62">
        <f t="shared" si="74"/>
        <v>0</v>
      </c>
      <c r="Y113" s="62">
        <f t="shared" si="74"/>
        <v>0</v>
      </c>
      <c r="Z113" s="62">
        <f t="shared" si="74"/>
        <v>1</v>
      </c>
      <c r="AA113" s="62">
        <f t="shared" si="74"/>
        <v>0</v>
      </c>
      <c r="AB113" s="62">
        <f t="shared" si="75"/>
        <v>1</v>
      </c>
      <c r="AC113" s="62">
        <f t="shared" si="75"/>
        <v>0</v>
      </c>
      <c r="AD113" s="62">
        <f t="shared" si="75"/>
        <v>2</v>
      </c>
      <c r="AE113" s="62">
        <f t="shared" si="75"/>
        <v>3</v>
      </c>
      <c r="AF113" s="62">
        <f t="shared" si="75"/>
        <v>1</v>
      </c>
      <c r="AG113" s="62">
        <f t="shared" si="84"/>
        <v>8</v>
      </c>
      <c r="AH113" s="62">
        <f t="shared" si="85"/>
        <v>0.66666666666666663</v>
      </c>
      <c r="AQ113" s="78">
        <v>121.2</v>
      </c>
      <c r="AR113" s="60">
        <f t="shared" ca="1" si="78"/>
        <v>14.265272400728495</v>
      </c>
      <c r="AS113" s="60">
        <f t="shared" ca="1" si="79"/>
        <v>114.12217920582795</v>
      </c>
      <c r="AT113" s="60">
        <f t="shared" ca="1" si="80"/>
        <v>135.46527240072851</v>
      </c>
      <c r="AU113" s="60">
        <f t="shared" ca="1" si="81"/>
        <v>1083.7221792058281</v>
      </c>
      <c r="BC113" s="300">
        <f t="shared" ca="1" si="82"/>
        <v>4.1327144833552163</v>
      </c>
      <c r="BD113" s="300">
        <f t="shared" ca="1" si="83"/>
        <v>1087.8548936891832</v>
      </c>
    </row>
    <row r="114" spans="1:56" outlineLevel="1">
      <c r="A114" s="23" t="str">
        <f t="shared" si="73"/>
        <v>VashonRoll offROHAUL30T</v>
      </c>
      <c r="B114" s="23" t="s">
        <v>305</v>
      </c>
      <c r="C114" s="23" t="s">
        <v>306</v>
      </c>
      <c r="D114" s="54">
        <v>121.2</v>
      </c>
      <c r="E114" s="54">
        <v>121.2</v>
      </c>
      <c r="F114" s="55"/>
      <c r="G114" s="56">
        <v>484.8</v>
      </c>
      <c r="H114" s="56">
        <v>1212</v>
      </c>
      <c r="I114" s="56">
        <v>363.6</v>
      </c>
      <c r="J114" s="56">
        <v>606</v>
      </c>
      <c r="K114" s="56">
        <v>242.4</v>
      </c>
      <c r="L114" s="56">
        <v>0</v>
      </c>
      <c r="M114" s="56">
        <v>0</v>
      </c>
      <c r="N114" s="57">
        <v>121.2</v>
      </c>
      <c r="O114" s="57">
        <v>0</v>
      </c>
      <c r="P114" s="57">
        <v>242.4</v>
      </c>
      <c r="Q114" s="57">
        <v>484.8</v>
      </c>
      <c r="R114" s="57">
        <v>242.4</v>
      </c>
      <c r="S114" s="57">
        <v>3999.6000000000004</v>
      </c>
      <c r="U114" s="62">
        <f t="shared" si="74"/>
        <v>4</v>
      </c>
      <c r="V114" s="62">
        <f t="shared" si="74"/>
        <v>10</v>
      </c>
      <c r="W114" s="62">
        <f t="shared" si="74"/>
        <v>3</v>
      </c>
      <c r="X114" s="62">
        <f t="shared" si="74"/>
        <v>5</v>
      </c>
      <c r="Y114" s="62">
        <f t="shared" si="74"/>
        <v>2</v>
      </c>
      <c r="Z114" s="62">
        <f t="shared" si="74"/>
        <v>0</v>
      </c>
      <c r="AA114" s="62">
        <f t="shared" si="74"/>
        <v>0</v>
      </c>
      <c r="AB114" s="62">
        <f t="shared" si="75"/>
        <v>1</v>
      </c>
      <c r="AC114" s="62">
        <f t="shared" si="75"/>
        <v>0</v>
      </c>
      <c r="AD114" s="62">
        <f t="shared" si="75"/>
        <v>2</v>
      </c>
      <c r="AE114" s="62">
        <f t="shared" si="75"/>
        <v>4</v>
      </c>
      <c r="AF114" s="62">
        <f t="shared" si="75"/>
        <v>2</v>
      </c>
      <c r="AG114" s="62">
        <f t="shared" si="84"/>
        <v>33</v>
      </c>
      <c r="AH114" s="62">
        <f t="shared" si="85"/>
        <v>2.75</v>
      </c>
      <c r="AQ114" s="78">
        <v>121.2</v>
      </c>
      <c r="AR114" s="60">
        <f t="shared" ca="1" si="78"/>
        <v>14.265272400728495</v>
      </c>
      <c r="AS114" s="60">
        <f t="shared" ca="1" si="79"/>
        <v>470.75398922404031</v>
      </c>
      <c r="AT114" s="60">
        <f t="shared" ca="1" si="80"/>
        <v>135.46527240072851</v>
      </c>
      <c r="AU114" s="60">
        <f t="shared" ca="1" si="81"/>
        <v>4470.3539892240406</v>
      </c>
      <c r="BC114" s="300">
        <f t="shared" ca="1" si="82"/>
        <v>17.047447243840267</v>
      </c>
      <c r="BD114" s="300">
        <f t="shared" ca="1" si="83"/>
        <v>4487.4014364678806</v>
      </c>
    </row>
    <row r="115" spans="1:56" outlineLevel="1">
      <c r="A115" s="23" t="str">
        <f t="shared" si="73"/>
        <v>VashonRoll offRORENT20P</v>
      </c>
      <c r="B115" s="23" t="s">
        <v>307</v>
      </c>
      <c r="C115" s="23" t="s">
        <v>308</v>
      </c>
      <c r="D115" s="54">
        <v>24.17</v>
      </c>
      <c r="E115" s="54">
        <v>24.17</v>
      </c>
      <c r="F115" s="55"/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7">
        <v>0</v>
      </c>
      <c r="O115" s="57">
        <v>0</v>
      </c>
      <c r="P115" s="57">
        <v>48.34</v>
      </c>
      <c r="Q115" s="57">
        <v>48.34</v>
      </c>
      <c r="R115" s="57">
        <v>44.31</v>
      </c>
      <c r="S115" s="57">
        <v>140.99</v>
      </c>
      <c r="U115" s="58">
        <f t="shared" si="74"/>
        <v>0</v>
      </c>
      <c r="V115" s="58">
        <f t="shared" si="74"/>
        <v>0</v>
      </c>
      <c r="W115" s="58">
        <f t="shared" si="74"/>
        <v>0</v>
      </c>
      <c r="X115" s="58">
        <f t="shared" si="74"/>
        <v>0</v>
      </c>
      <c r="Y115" s="58">
        <f t="shared" si="74"/>
        <v>0</v>
      </c>
      <c r="Z115" s="58">
        <f t="shared" si="74"/>
        <v>0</v>
      </c>
      <c r="AA115" s="58">
        <f t="shared" si="74"/>
        <v>0</v>
      </c>
      <c r="AB115" s="58">
        <f t="shared" si="75"/>
        <v>0</v>
      </c>
      <c r="AC115" s="58">
        <f t="shared" si="75"/>
        <v>0</v>
      </c>
      <c r="AD115" s="58">
        <f t="shared" si="75"/>
        <v>2</v>
      </c>
      <c r="AE115" s="58">
        <f t="shared" si="75"/>
        <v>2</v>
      </c>
      <c r="AF115" s="58">
        <f t="shared" si="75"/>
        <v>1.8332643773272652</v>
      </c>
      <c r="AG115" s="58">
        <f t="shared" si="84"/>
        <v>5.8332643773272652</v>
      </c>
      <c r="AH115" s="58">
        <f t="shared" si="85"/>
        <v>0.48610536477727212</v>
      </c>
      <c r="AL115" s="26">
        <v>20</v>
      </c>
      <c r="AM115" s="26">
        <v>1</v>
      </c>
      <c r="AN115" s="27">
        <f t="shared" ref="AN115:AN120" si="86">AH115*AM115</f>
        <v>0.48610536477727212</v>
      </c>
      <c r="AQ115" s="78">
        <v>24.17</v>
      </c>
      <c r="AR115" s="60">
        <f t="shared" ca="1" si="78"/>
        <v>2.844815461432407</v>
      </c>
      <c r="AS115" s="60">
        <f t="shared" ca="1" si="79"/>
        <v>16.594560691243487</v>
      </c>
      <c r="AT115" s="60">
        <f t="shared" ca="1" si="80"/>
        <v>27.014815461432409</v>
      </c>
      <c r="AU115" s="60">
        <f t="shared" ca="1" si="81"/>
        <v>157.5845606912435</v>
      </c>
      <c r="BC115" s="300">
        <f t="shared" ca="1" si="82"/>
        <v>0.60093999072633253</v>
      </c>
      <c r="BD115" s="300">
        <f t="shared" ca="1" si="83"/>
        <v>158.18550068196984</v>
      </c>
    </row>
    <row r="116" spans="1:56" outlineLevel="1">
      <c r="A116" s="23" t="str">
        <f t="shared" si="73"/>
        <v>VashonRoll offRORENT20T</v>
      </c>
      <c r="B116" s="23" t="s">
        <v>309</v>
      </c>
      <c r="C116" s="23" t="s">
        <v>310</v>
      </c>
      <c r="D116" s="54">
        <v>120.92</v>
      </c>
      <c r="E116" s="54">
        <v>120.92</v>
      </c>
      <c r="F116" s="55"/>
      <c r="G116" s="56">
        <v>157.19</v>
      </c>
      <c r="H116" s="56">
        <v>12.09</v>
      </c>
      <c r="I116" s="56">
        <v>112.85</v>
      </c>
      <c r="J116" s="56">
        <v>36.270000000000003</v>
      </c>
      <c r="K116" s="56">
        <v>0</v>
      </c>
      <c r="L116" s="56">
        <v>84.64</v>
      </c>
      <c r="M116" s="56">
        <v>241.84</v>
      </c>
      <c r="N116" s="57">
        <v>274.08</v>
      </c>
      <c r="O116" s="57">
        <v>241.84</v>
      </c>
      <c r="P116" s="57">
        <v>0</v>
      </c>
      <c r="Q116" s="57">
        <v>8.06</v>
      </c>
      <c r="R116" s="57">
        <v>16.12</v>
      </c>
      <c r="S116" s="57">
        <v>1184.9799999999998</v>
      </c>
      <c r="U116" s="58">
        <f t="shared" si="74"/>
        <v>1.2999503804168044</v>
      </c>
      <c r="V116" s="58">
        <f t="shared" si="74"/>
        <v>9.9983460138934832E-2</v>
      </c>
      <c r="W116" s="58">
        <f t="shared" si="74"/>
        <v>0.93326166060205085</v>
      </c>
      <c r="X116" s="58">
        <f t="shared" si="74"/>
        <v>0.2999503804168045</v>
      </c>
      <c r="Y116" s="58">
        <f t="shared" si="74"/>
        <v>0</v>
      </c>
      <c r="Z116" s="58">
        <f t="shared" si="74"/>
        <v>0.69996692027786966</v>
      </c>
      <c r="AA116" s="58">
        <f t="shared" si="74"/>
        <v>2</v>
      </c>
      <c r="AB116" s="58">
        <f t="shared" si="75"/>
        <v>2.2666225603704926</v>
      </c>
      <c r="AC116" s="58">
        <f t="shared" si="75"/>
        <v>2</v>
      </c>
      <c r="AD116" s="58">
        <f t="shared" si="75"/>
        <v>0</v>
      </c>
      <c r="AE116" s="58">
        <f t="shared" si="75"/>
        <v>6.6655640092623231E-2</v>
      </c>
      <c r="AF116" s="58">
        <f t="shared" si="75"/>
        <v>0.13331128018524646</v>
      </c>
      <c r="AG116" s="58">
        <f t="shared" si="84"/>
        <v>9.799702282500828</v>
      </c>
      <c r="AH116" s="58">
        <f t="shared" si="85"/>
        <v>0.81664185687506896</v>
      </c>
      <c r="AL116" s="26">
        <v>20</v>
      </c>
      <c r="AM116" s="26">
        <v>1</v>
      </c>
      <c r="AN116" s="27">
        <f t="shared" si="86"/>
        <v>0.81664185687506896</v>
      </c>
      <c r="AQ116" s="78">
        <v>120.92</v>
      </c>
      <c r="AR116" s="60">
        <f t="shared" ca="1" si="78"/>
        <v>14.232316325875328</v>
      </c>
      <c r="AS116" s="60">
        <f t="shared" ca="1" si="79"/>
        <v>139.47246278395426</v>
      </c>
      <c r="AT116" s="60">
        <f t="shared" ca="1" si="80"/>
        <v>135.15231632587532</v>
      </c>
      <c r="AU116" s="60">
        <f t="shared" ca="1" si="81"/>
        <v>1324.4524627839542</v>
      </c>
      <c r="BC116" s="300">
        <f t="shared" ca="1" si="82"/>
        <v>5.0507260813595956</v>
      </c>
      <c r="BD116" s="300">
        <f t="shared" ca="1" si="83"/>
        <v>1329.5031888653139</v>
      </c>
    </row>
    <row r="117" spans="1:56" outlineLevel="1">
      <c r="A117" s="23" t="str">
        <f t="shared" si="73"/>
        <v>VashonRoll offRORENT25P</v>
      </c>
      <c r="B117" s="23" t="s">
        <v>311</v>
      </c>
      <c r="C117" s="23" t="s">
        <v>312</v>
      </c>
      <c r="D117" s="54">
        <v>24.17</v>
      </c>
      <c r="E117" s="54">
        <v>24.17</v>
      </c>
      <c r="F117" s="55"/>
      <c r="G117" s="56">
        <v>0</v>
      </c>
      <c r="H117" s="56">
        <v>0</v>
      </c>
      <c r="I117" s="56">
        <v>0</v>
      </c>
      <c r="J117" s="56">
        <v>0</v>
      </c>
      <c r="K117" s="56">
        <v>24.17</v>
      </c>
      <c r="L117" s="56">
        <v>24.17</v>
      </c>
      <c r="M117" s="56">
        <v>24.17</v>
      </c>
      <c r="N117" s="57">
        <v>24.17</v>
      </c>
      <c r="O117" s="57">
        <v>24.17</v>
      </c>
      <c r="P117" s="57">
        <v>24.17</v>
      </c>
      <c r="Q117" s="57">
        <v>24.17</v>
      </c>
      <c r="R117" s="57">
        <v>24.17</v>
      </c>
      <c r="S117" s="57">
        <v>193.36</v>
      </c>
      <c r="U117" s="58">
        <f t="shared" si="74"/>
        <v>0</v>
      </c>
      <c r="V117" s="58">
        <f t="shared" si="74"/>
        <v>0</v>
      </c>
      <c r="W117" s="58">
        <f t="shared" si="74"/>
        <v>0</v>
      </c>
      <c r="X117" s="58">
        <f t="shared" si="74"/>
        <v>0</v>
      </c>
      <c r="Y117" s="58">
        <f t="shared" si="74"/>
        <v>1</v>
      </c>
      <c r="Z117" s="58">
        <f t="shared" si="74"/>
        <v>1</v>
      </c>
      <c r="AA117" s="58">
        <f t="shared" si="74"/>
        <v>1</v>
      </c>
      <c r="AB117" s="58">
        <f t="shared" si="75"/>
        <v>1</v>
      </c>
      <c r="AC117" s="58">
        <f t="shared" si="75"/>
        <v>1</v>
      </c>
      <c r="AD117" s="58">
        <f t="shared" si="75"/>
        <v>1</v>
      </c>
      <c r="AE117" s="58">
        <f t="shared" si="75"/>
        <v>1</v>
      </c>
      <c r="AF117" s="58">
        <f t="shared" si="75"/>
        <v>1</v>
      </c>
      <c r="AG117" s="58">
        <f t="shared" si="84"/>
        <v>8</v>
      </c>
      <c r="AH117" s="58">
        <f t="shared" si="85"/>
        <v>0.66666666666666663</v>
      </c>
      <c r="AL117" s="26">
        <v>25</v>
      </c>
      <c r="AM117" s="26">
        <v>1</v>
      </c>
      <c r="AN117" s="27">
        <f t="shared" si="86"/>
        <v>0.66666666666666663</v>
      </c>
      <c r="AQ117" s="78">
        <v>24.17</v>
      </c>
      <c r="AR117" s="60">
        <f t="shared" ca="1" si="78"/>
        <v>2.844815461432407</v>
      </c>
      <c r="AS117" s="60">
        <f t="shared" ca="1" si="79"/>
        <v>22.758523691459253</v>
      </c>
      <c r="AT117" s="60">
        <f t="shared" ca="1" si="80"/>
        <v>27.014815461432409</v>
      </c>
      <c r="AU117" s="60">
        <f t="shared" ca="1" si="81"/>
        <v>216.11852369145927</v>
      </c>
      <c r="BC117" s="300">
        <f t="shared" ca="1" si="82"/>
        <v>0.82415601536877547</v>
      </c>
      <c r="BD117" s="300">
        <f t="shared" ca="1" si="83"/>
        <v>216.94267970682805</v>
      </c>
    </row>
    <row r="118" spans="1:56" outlineLevel="1">
      <c r="A118" s="23" t="str">
        <f t="shared" si="73"/>
        <v>VashonRoll offRORENT25T</v>
      </c>
      <c r="B118" s="23" t="s">
        <v>313</v>
      </c>
      <c r="C118" s="23" t="s">
        <v>314</v>
      </c>
      <c r="D118" s="54">
        <v>120.92</v>
      </c>
      <c r="E118" s="54">
        <v>120.92</v>
      </c>
      <c r="F118" s="55"/>
      <c r="G118" s="56">
        <v>213.62</v>
      </c>
      <c r="H118" s="56">
        <v>257.95999999999998</v>
      </c>
      <c r="I118" s="56">
        <v>-443.36999999999995</v>
      </c>
      <c r="J118" s="56">
        <v>205.55</v>
      </c>
      <c r="K118" s="56">
        <v>120.92</v>
      </c>
      <c r="L118" s="56">
        <v>120.92</v>
      </c>
      <c r="M118" s="56">
        <v>4.03</v>
      </c>
      <c r="N118" s="57">
        <v>0</v>
      </c>
      <c r="O118" s="57">
        <v>99.89</v>
      </c>
      <c r="P118" s="57">
        <v>149.12</v>
      </c>
      <c r="Q118" s="57">
        <v>181.38</v>
      </c>
      <c r="R118" s="57">
        <v>209.59</v>
      </c>
      <c r="S118" s="57">
        <v>1119.6100000000001</v>
      </c>
      <c r="U118" s="58">
        <f t="shared" si="74"/>
        <v>1.7666225603704928</v>
      </c>
      <c r="V118" s="58">
        <f t="shared" si="74"/>
        <v>2.1333112801852461</v>
      </c>
      <c r="W118" s="58">
        <f t="shared" si="74"/>
        <v>-3.6666391002315577</v>
      </c>
      <c r="X118" s="58">
        <f t="shared" si="74"/>
        <v>1.699884220972544</v>
      </c>
      <c r="Y118" s="58">
        <f t="shared" si="74"/>
        <v>1</v>
      </c>
      <c r="Z118" s="58">
        <f t="shared" si="74"/>
        <v>1</v>
      </c>
      <c r="AA118" s="58">
        <f t="shared" si="74"/>
        <v>3.3327820046311615E-2</v>
      </c>
      <c r="AB118" s="58">
        <f t="shared" si="75"/>
        <v>0</v>
      </c>
      <c r="AC118" s="58">
        <f t="shared" si="75"/>
        <v>0.82608336089976842</v>
      </c>
      <c r="AD118" s="58">
        <f t="shared" si="75"/>
        <v>1.2332120410188554</v>
      </c>
      <c r="AE118" s="58">
        <f t="shared" si="75"/>
        <v>1.5</v>
      </c>
      <c r="AF118" s="58">
        <f t="shared" si="75"/>
        <v>1.7332947403241812</v>
      </c>
      <c r="AG118" s="58">
        <f t="shared" si="84"/>
        <v>9.259096923585842</v>
      </c>
      <c r="AH118" s="58">
        <f t="shared" si="85"/>
        <v>0.77159141029882017</v>
      </c>
      <c r="AL118" s="26">
        <v>25</v>
      </c>
      <c r="AM118" s="26">
        <v>1</v>
      </c>
      <c r="AN118" s="27">
        <f t="shared" si="86"/>
        <v>0.77159141029882017</v>
      </c>
      <c r="AQ118" s="78">
        <v>120.92</v>
      </c>
      <c r="AR118" s="60">
        <f t="shared" ca="1" si="78"/>
        <v>14.232316325875328</v>
      </c>
      <c r="AS118" s="60">
        <f t="shared" ca="1" si="79"/>
        <v>131.77839630841279</v>
      </c>
      <c r="AT118" s="60">
        <f t="shared" ca="1" si="80"/>
        <v>135.15231632587532</v>
      </c>
      <c r="AU118" s="60">
        <f t="shared" ca="1" si="81"/>
        <v>1251.3883963084129</v>
      </c>
      <c r="BC118" s="300">
        <f t="shared" ca="1" si="82"/>
        <v>4.7721003122002204</v>
      </c>
      <c r="BD118" s="300">
        <f t="shared" ca="1" si="83"/>
        <v>1256.160496620613</v>
      </c>
    </row>
    <row r="119" spans="1:56" outlineLevel="1">
      <c r="A119" s="23" t="str">
        <f t="shared" si="73"/>
        <v>VashonRoll offRORENT30P</v>
      </c>
      <c r="B119" s="23" t="s">
        <v>315</v>
      </c>
      <c r="C119" s="23" t="s">
        <v>316</v>
      </c>
      <c r="D119" s="54">
        <v>24.17</v>
      </c>
      <c r="E119" s="54">
        <v>24.17</v>
      </c>
      <c r="F119" s="55"/>
      <c r="G119" s="56">
        <v>0</v>
      </c>
      <c r="H119" s="56">
        <v>0</v>
      </c>
      <c r="I119" s="56">
        <v>0</v>
      </c>
      <c r="J119" s="56">
        <v>0</v>
      </c>
      <c r="K119" s="56">
        <v>24.17</v>
      </c>
      <c r="L119" s="56">
        <v>48.34</v>
      </c>
      <c r="M119" s="56">
        <v>48.34</v>
      </c>
      <c r="N119" s="57">
        <v>52.36</v>
      </c>
      <c r="O119" s="57">
        <v>39.14</v>
      </c>
      <c r="P119" s="57">
        <v>24.17</v>
      </c>
      <c r="Q119" s="57">
        <v>15.3</v>
      </c>
      <c r="R119" s="57">
        <v>0</v>
      </c>
      <c r="S119" s="57">
        <v>251.82000000000005</v>
      </c>
      <c r="U119" s="58">
        <f t="shared" si="74"/>
        <v>0</v>
      </c>
      <c r="V119" s="58">
        <f t="shared" si="74"/>
        <v>0</v>
      </c>
      <c r="W119" s="58">
        <f t="shared" si="74"/>
        <v>0</v>
      </c>
      <c r="X119" s="58">
        <f t="shared" si="74"/>
        <v>0</v>
      </c>
      <c r="Y119" s="58">
        <f t="shared" si="74"/>
        <v>1</v>
      </c>
      <c r="Z119" s="58">
        <f t="shared" si="74"/>
        <v>2</v>
      </c>
      <c r="AA119" s="58">
        <f t="shared" si="74"/>
        <v>2</v>
      </c>
      <c r="AB119" s="58">
        <f t="shared" si="75"/>
        <v>2.1663218866363256</v>
      </c>
      <c r="AC119" s="58">
        <f t="shared" si="75"/>
        <v>1.6193628465039305</v>
      </c>
      <c r="AD119" s="58">
        <f t="shared" si="75"/>
        <v>1</v>
      </c>
      <c r="AE119" s="58">
        <f t="shared" si="75"/>
        <v>0.63301613570541992</v>
      </c>
      <c r="AF119" s="58">
        <f t="shared" si="75"/>
        <v>0</v>
      </c>
      <c r="AG119" s="58">
        <f t="shared" si="84"/>
        <v>10.418700868845676</v>
      </c>
      <c r="AH119" s="58">
        <f t="shared" si="85"/>
        <v>0.86822507240380631</v>
      </c>
      <c r="AL119" s="26">
        <v>30</v>
      </c>
      <c r="AM119" s="26">
        <v>1</v>
      </c>
      <c r="AN119" s="27">
        <f t="shared" si="86"/>
        <v>0.86822507240380631</v>
      </c>
      <c r="AQ119" s="78">
        <v>24.17</v>
      </c>
      <c r="AR119" s="60">
        <f t="shared" ca="1" si="78"/>
        <v>2.844815461432407</v>
      </c>
      <c r="AS119" s="60">
        <f t="shared" ca="1" si="79"/>
        <v>29.639281319731431</v>
      </c>
      <c r="AT119" s="60">
        <f t="shared" ca="1" si="80"/>
        <v>27.014815461432409</v>
      </c>
      <c r="AU119" s="60">
        <f t="shared" ca="1" si="81"/>
        <v>281.45928131973147</v>
      </c>
      <c r="BC119" s="300">
        <f t="shared" ca="1" si="82"/>
        <v>1.0733293741733816</v>
      </c>
      <c r="BD119" s="300">
        <f t="shared" ca="1" si="83"/>
        <v>282.53261069390487</v>
      </c>
    </row>
    <row r="120" spans="1:56" outlineLevel="1">
      <c r="A120" s="23" t="str">
        <f t="shared" si="73"/>
        <v>VashonRoll offRORENT30T</v>
      </c>
      <c r="B120" s="23" t="s">
        <v>317</v>
      </c>
      <c r="C120" s="23" t="s">
        <v>318</v>
      </c>
      <c r="D120" s="54">
        <v>120.92</v>
      </c>
      <c r="E120" s="54">
        <v>120.92</v>
      </c>
      <c r="F120" s="55"/>
      <c r="G120" s="56">
        <v>326.47000000000003</v>
      </c>
      <c r="H120" s="56">
        <v>499.8</v>
      </c>
      <c r="I120" s="56">
        <v>382.9</v>
      </c>
      <c r="J120" s="56">
        <v>403.06</v>
      </c>
      <c r="K120" s="56">
        <v>266.02</v>
      </c>
      <c r="L120" s="56">
        <v>-44.34</v>
      </c>
      <c r="M120" s="56">
        <v>120.92</v>
      </c>
      <c r="N120" s="57">
        <v>44.33</v>
      </c>
      <c r="O120" s="57">
        <v>44.33</v>
      </c>
      <c r="P120" s="57">
        <v>120.92</v>
      </c>
      <c r="Q120" s="57">
        <v>96.72</v>
      </c>
      <c r="R120" s="57">
        <v>48.36</v>
      </c>
      <c r="S120" s="57">
        <v>2309.4899999999998</v>
      </c>
      <c r="U120" s="58">
        <f t="shared" si="74"/>
        <v>2.6998842209725442</v>
      </c>
      <c r="V120" s="58">
        <f t="shared" si="74"/>
        <v>4.1333112801852465</v>
      </c>
      <c r="W120" s="58">
        <f t="shared" si="74"/>
        <v>3.1665564009262321</v>
      </c>
      <c r="X120" s="58">
        <f t="shared" si="74"/>
        <v>3.3332782004631163</v>
      </c>
      <c r="Y120" s="58">
        <f t="shared" si="74"/>
        <v>2.1999669202778693</v>
      </c>
      <c r="Z120" s="58">
        <f t="shared" si="74"/>
        <v>-0.36668871981475359</v>
      </c>
      <c r="AA120" s="58">
        <f t="shared" si="74"/>
        <v>1</v>
      </c>
      <c r="AB120" s="58">
        <f t="shared" si="75"/>
        <v>0.3666060205094277</v>
      </c>
      <c r="AC120" s="58">
        <f t="shared" si="75"/>
        <v>0.3666060205094277</v>
      </c>
      <c r="AD120" s="58">
        <f t="shared" si="75"/>
        <v>1</v>
      </c>
      <c r="AE120" s="58">
        <f t="shared" si="75"/>
        <v>0.79986768111147866</v>
      </c>
      <c r="AF120" s="58">
        <f t="shared" si="75"/>
        <v>0.39993384055573933</v>
      </c>
      <c r="AG120" s="58">
        <f t="shared" si="84"/>
        <v>19.099321865696325</v>
      </c>
      <c r="AH120" s="58">
        <f t="shared" si="85"/>
        <v>1.5916101554746938</v>
      </c>
      <c r="AL120" s="26">
        <v>30</v>
      </c>
      <c r="AM120" s="26">
        <v>1</v>
      </c>
      <c r="AN120" s="27">
        <f t="shared" si="86"/>
        <v>1.5916101554746938</v>
      </c>
      <c r="AQ120" s="78">
        <v>120.92</v>
      </c>
      <c r="AR120" s="60">
        <f t="shared" ca="1" si="78"/>
        <v>14.232316325875328</v>
      </c>
      <c r="AS120" s="60">
        <f t="shared" ca="1" si="79"/>
        <v>271.82759040229746</v>
      </c>
      <c r="AT120" s="60">
        <f t="shared" ca="1" si="80"/>
        <v>135.15231632587532</v>
      </c>
      <c r="AU120" s="60">
        <f t="shared" ca="1" si="81"/>
        <v>2581.3175904022974</v>
      </c>
      <c r="BC120" s="300">
        <f t="shared" ca="1" si="82"/>
        <v>9.8437116049546596</v>
      </c>
      <c r="BD120" s="300">
        <f t="shared" ca="1" si="83"/>
        <v>2591.1613020072518</v>
      </c>
    </row>
    <row r="121" spans="1:56" outlineLevel="1">
      <c r="A121" s="23" t="str">
        <f t="shared" si="73"/>
        <v>VashonRoll offROTA</v>
      </c>
      <c r="B121" s="23" t="s">
        <v>319</v>
      </c>
      <c r="C121" s="23" t="s">
        <v>320</v>
      </c>
      <c r="D121" s="54">
        <v>18.670000000000002</v>
      </c>
      <c r="E121" s="54">
        <v>18.670000000000002</v>
      </c>
      <c r="F121" s="55"/>
      <c r="G121" s="56">
        <v>38.26</v>
      </c>
      <c r="H121" s="56">
        <v>76.52</v>
      </c>
      <c r="I121" s="56">
        <v>38.26</v>
      </c>
      <c r="J121" s="56">
        <v>19.13</v>
      </c>
      <c r="K121" s="56">
        <v>0</v>
      </c>
      <c r="L121" s="56">
        <v>0</v>
      </c>
      <c r="M121" s="56">
        <v>19.13</v>
      </c>
      <c r="N121" s="57">
        <v>0</v>
      </c>
      <c r="O121" s="57">
        <v>0</v>
      </c>
      <c r="P121" s="57">
        <v>0</v>
      </c>
      <c r="Q121" s="57">
        <v>0</v>
      </c>
      <c r="R121" s="57">
        <v>0</v>
      </c>
      <c r="S121" s="57">
        <v>191.29999999999998</v>
      </c>
      <c r="U121" s="62">
        <f t="shared" si="74"/>
        <v>2.0492769148366361</v>
      </c>
      <c r="V121" s="62">
        <f t="shared" si="74"/>
        <v>4.0985538296732722</v>
      </c>
      <c r="W121" s="62">
        <f t="shared" si="74"/>
        <v>2.0492769148366361</v>
      </c>
      <c r="X121" s="62">
        <f t="shared" si="74"/>
        <v>1.024638457418318</v>
      </c>
      <c r="Y121" s="62">
        <f t="shared" si="74"/>
        <v>0</v>
      </c>
      <c r="Z121" s="62">
        <f t="shared" si="74"/>
        <v>0</v>
      </c>
      <c r="AA121" s="62">
        <f t="shared" si="74"/>
        <v>1.024638457418318</v>
      </c>
      <c r="AB121" s="62">
        <f t="shared" si="75"/>
        <v>0</v>
      </c>
      <c r="AC121" s="62">
        <f t="shared" si="75"/>
        <v>0</v>
      </c>
      <c r="AD121" s="62">
        <f t="shared" si="75"/>
        <v>0</v>
      </c>
      <c r="AE121" s="62">
        <f t="shared" si="75"/>
        <v>0</v>
      </c>
      <c r="AF121" s="62">
        <f t="shared" si="75"/>
        <v>0</v>
      </c>
      <c r="AG121" s="62">
        <f t="shared" si="84"/>
        <v>10.24638457418318</v>
      </c>
      <c r="AH121" s="62">
        <f t="shared" si="85"/>
        <v>0.85386538118193167</v>
      </c>
      <c r="AQ121" s="78">
        <v>18.670000000000002</v>
      </c>
      <c r="AR121" s="60">
        <f t="shared" ca="1" si="78"/>
        <v>2.1974639911023188</v>
      </c>
      <c r="AS121" s="60">
        <f t="shared" ca="1" si="79"/>
        <v>22.516061140753806</v>
      </c>
      <c r="AT121" s="60">
        <f t="shared" ca="1" si="80"/>
        <v>20.867463991102319</v>
      </c>
      <c r="AU121" s="60">
        <f t="shared" ca="1" si="81"/>
        <v>213.81606114075379</v>
      </c>
      <c r="BC121" s="300">
        <f t="shared" ca="1" si="82"/>
        <v>0.81537570200686138</v>
      </c>
      <c r="BD121" s="300">
        <f t="shared" ca="1" si="83"/>
        <v>214.63143684276065</v>
      </c>
    </row>
    <row r="122" spans="1:56" outlineLevel="1">
      <c r="A122" s="23" t="str">
        <f t="shared" si="73"/>
        <v>VashonRoll offRODEL</v>
      </c>
      <c r="B122" s="23" t="s">
        <v>321</v>
      </c>
      <c r="C122" s="23" t="s">
        <v>322</v>
      </c>
      <c r="D122" s="54">
        <v>81.81</v>
      </c>
      <c r="E122" s="54">
        <v>81.81</v>
      </c>
      <c r="F122" s="55"/>
      <c r="G122" s="56">
        <v>245.43</v>
      </c>
      <c r="H122" s="56">
        <v>409.05</v>
      </c>
      <c r="I122" s="56">
        <v>163.62</v>
      </c>
      <c r="J122" s="56">
        <v>490.86</v>
      </c>
      <c r="K122" s="56">
        <v>81.81</v>
      </c>
      <c r="L122" s="56">
        <v>163.62</v>
      </c>
      <c r="M122" s="56">
        <v>81.81</v>
      </c>
      <c r="N122" s="57">
        <v>81.81</v>
      </c>
      <c r="O122" s="57">
        <v>163.62</v>
      </c>
      <c r="P122" s="57">
        <v>245.43</v>
      </c>
      <c r="Q122" s="57">
        <v>245.43</v>
      </c>
      <c r="R122" s="57">
        <v>327.24</v>
      </c>
      <c r="S122" s="57">
        <v>2699.7299999999996</v>
      </c>
      <c r="U122" s="62">
        <f t="shared" si="74"/>
        <v>3</v>
      </c>
      <c r="V122" s="62">
        <f t="shared" si="74"/>
        <v>5</v>
      </c>
      <c r="W122" s="62">
        <f t="shared" si="74"/>
        <v>2</v>
      </c>
      <c r="X122" s="62">
        <f t="shared" si="74"/>
        <v>6</v>
      </c>
      <c r="Y122" s="62">
        <f t="shared" si="74"/>
        <v>1</v>
      </c>
      <c r="Z122" s="62">
        <f t="shared" si="74"/>
        <v>2</v>
      </c>
      <c r="AA122" s="62">
        <f t="shared" si="74"/>
        <v>1</v>
      </c>
      <c r="AB122" s="62">
        <f t="shared" si="75"/>
        <v>1</v>
      </c>
      <c r="AC122" s="62">
        <f t="shared" si="75"/>
        <v>2</v>
      </c>
      <c r="AD122" s="62">
        <f t="shared" si="75"/>
        <v>3</v>
      </c>
      <c r="AE122" s="62">
        <f t="shared" si="75"/>
        <v>3</v>
      </c>
      <c r="AF122" s="62">
        <f t="shared" si="75"/>
        <v>4</v>
      </c>
      <c r="AG122" s="62">
        <f t="shared" si="84"/>
        <v>33</v>
      </c>
      <c r="AH122" s="62">
        <f t="shared" si="85"/>
        <v>2.75</v>
      </c>
      <c r="AQ122" s="78">
        <v>81.81</v>
      </c>
      <c r="AR122" s="60">
        <f t="shared" ca="1" si="78"/>
        <v>9.6290588704917344</v>
      </c>
      <c r="AS122" s="60">
        <f t="shared" ca="1" si="79"/>
        <v>317.75894272622725</v>
      </c>
      <c r="AT122" s="60">
        <f t="shared" ca="1" si="80"/>
        <v>91.439058870491735</v>
      </c>
      <c r="AU122" s="60">
        <f t="shared" ca="1" si="81"/>
        <v>3017.4889427262269</v>
      </c>
      <c r="BC122" s="300">
        <f t="shared" ca="1" si="82"/>
        <v>11.507026889592179</v>
      </c>
      <c r="BD122" s="300">
        <f t="shared" ca="1" si="83"/>
        <v>3028.9959696158189</v>
      </c>
    </row>
    <row r="123" spans="1:56" outlineLevel="1">
      <c r="A123" s="23" t="str">
        <f t="shared" si="73"/>
        <v>VashonRoll offROMILE</v>
      </c>
      <c r="B123" s="23" t="s">
        <v>323</v>
      </c>
      <c r="C123" s="23" t="s">
        <v>324</v>
      </c>
      <c r="D123" s="54">
        <v>3.04</v>
      </c>
      <c r="E123" s="54">
        <v>3.04</v>
      </c>
      <c r="F123" s="55"/>
      <c r="G123" s="56">
        <v>12.16</v>
      </c>
      <c r="H123" s="56">
        <v>36.479999999999997</v>
      </c>
      <c r="I123" s="56">
        <v>6.08</v>
      </c>
      <c r="J123" s="56">
        <v>18.239999999999998</v>
      </c>
      <c r="K123" s="56">
        <v>33.44</v>
      </c>
      <c r="L123" s="56">
        <v>6.08</v>
      </c>
      <c r="M123" s="56">
        <v>24.32</v>
      </c>
      <c r="N123" s="57">
        <v>12.16</v>
      </c>
      <c r="O123" s="57">
        <v>0</v>
      </c>
      <c r="P123" s="57">
        <v>3.04</v>
      </c>
      <c r="Q123" s="57">
        <v>9.1199999999999992</v>
      </c>
      <c r="R123" s="57">
        <v>21.28</v>
      </c>
      <c r="S123" s="57">
        <v>182.39999999999998</v>
      </c>
      <c r="U123" s="62">
        <f t="shared" si="74"/>
        <v>4</v>
      </c>
      <c r="V123" s="62">
        <f t="shared" si="74"/>
        <v>11.999999999999998</v>
      </c>
      <c r="W123" s="62">
        <f t="shared" si="74"/>
        <v>2</v>
      </c>
      <c r="X123" s="62">
        <f t="shared" si="74"/>
        <v>5.9999999999999991</v>
      </c>
      <c r="Y123" s="62">
        <f t="shared" si="74"/>
        <v>11</v>
      </c>
      <c r="Z123" s="62">
        <f t="shared" si="74"/>
        <v>2</v>
      </c>
      <c r="AA123" s="62">
        <f t="shared" si="74"/>
        <v>8</v>
      </c>
      <c r="AB123" s="62">
        <f t="shared" si="75"/>
        <v>4</v>
      </c>
      <c r="AC123" s="62">
        <f t="shared" si="75"/>
        <v>0</v>
      </c>
      <c r="AD123" s="62">
        <f t="shared" si="75"/>
        <v>1</v>
      </c>
      <c r="AE123" s="62">
        <f t="shared" si="75"/>
        <v>2.9999999999999996</v>
      </c>
      <c r="AF123" s="62">
        <f t="shared" si="75"/>
        <v>7</v>
      </c>
      <c r="AG123" s="62">
        <f t="shared" si="84"/>
        <v>60</v>
      </c>
      <c r="AH123" s="62">
        <f t="shared" si="85"/>
        <v>5</v>
      </c>
      <c r="AQ123" s="78">
        <v>3.04</v>
      </c>
      <c r="AR123" s="60">
        <f t="shared" ca="1" si="78"/>
        <v>0.3578088126915398</v>
      </c>
      <c r="AS123" s="60">
        <f t="shared" ca="1" si="79"/>
        <v>21.468528761492387</v>
      </c>
      <c r="AT123" s="60">
        <f t="shared" ca="1" si="80"/>
        <v>3.3978088126915398</v>
      </c>
      <c r="AU123" s="60">
        <f t="shared" ca="1" si="81"/>
        <v>203.86852876149237</v>
      </c>
      <c r="BC123" s="300">
        <f t="shared" ca="1" si="82"/>
        <v>0.77744133845296137</v>
      </c>
      <c r="BD123" s="300">
        <f t="shared" ca="1" si="83"/>
        <v>204.64597009994534</v>
      </c>
    </row>
    <row r="124" spans="1:56" outlineLevel="1">
      <c r="A124" s="23" t="str">
        <f t="shared" si="73"/>
        <v>VashonRoll offOT-RO</v>
      </c>
      <c r="B124" s="23" t="s">
        <v>325</v>
      </c>
      <c r="C124" s="23" t="s">
        <v>326</v>
      </c>
      <c r="D124" s="54">
        <v>63.42</v>
      </c>
      <c r="E124" s="54">
        <v>63.42</v>
      </c>
      <c r="F124" s="55"/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57">
        <v>0</v>
      </c>
      <c r="O124" s="57">
        <v>0</v>
      </c>
      <c r="P124" s="57">
        <v>0</v>
      </c>
      <c r="Q124" s="57">
        <v>0</v>
      </c>
      <c r="R124" s="57">
        <v>63.42</v>
      </c>
      <c r="S124" s="57">
        <v>63.42</v>
      </c>
      <c r="U124" s="62">
        <f t="shared" si="74"/>
        <v>0</v>
      </c>
      <c r="V124" s="62">
        <f t="shared" si="74"/>
        <v>0</v>
      </c>
      <c r="W124" s="62">
        <f t="shared" si="74"/>
        <v>0</v>
      </c>
      <c r="X124" s="62">
        <f t="shared" si="74"/>
        <v>0</v>
      </c>
      <c r="Y124" s="62">
        <f t="shared" si="74"/>
        <v>0</v>
      </c>
      <c r="Z124" s="62">
        <f t="shared" si="74"/>
        <v>0</v>
      </c>
      <c r="AA124" s="62">
        <f t="shared" si="74"/>
        <v>0</v>
      </c>
      <c r="AB124" s="62">
        <f t="shared" si="75"/>
        <v>0</v>
      </c>
      <c r="AC124" s="62">
        <f t="shared" si="75"/>
        <v>0</v>
      </c>
      <c r="AD124" s="62">
        <f t="shared" si="75"/>
        <v>0</v>
      </c>
      <c r="AE124" s="62">
        <f t="shared" si="75"/>
        <v>0</v>
      </c>
      <c r="AF124" s="62">
        <f t="shared" si="75"/>
        <v>1</v>
      </c>
      <c r="AG124" s="62">
        <f t="shared" si="84"/>
        <v>1</v>
      </c>
      <c r="AH124" s="62">
        <f t="shared" si="85"/>
        <v>8.3333333333333329E-2</v>
      </c>
      <c r="AN124" s="27">
        <f t="shared" ref="AN124:AN126" si="87">AM124*AH124</f>
        <v>0</v>
      </c>
      <c r="AO124" s="24"/>
      <c r="AP124" s="55"/>
      <c r="AQ124" s="78">
        <v>63.42</v>
      </c>
      <c r="AR124" s="60">
        <f t="shared" ca="1" si="78"/>
        <v>7.4645509542425836</v>
      </c>
      <c r="AS124" s="60">
        <f t="shared" ca="1" si="79"/>
        <v>7.4645509542425827</v>
      </c>
      <c r="AT124" s="60">
        <f t="shared" ca="1" si="80"/>
        <v>70.884550954242584</v>
      </c>
      <c r="AU124" s="60">
        <f t="shared" ca="1" si="81"/>
        <v>70.884550954242584</v>
      </c>
      <c r="BC124" s="300">
        <f t="shared" ca="1" si="82"/>
        <v>0.2703143074818356</v>
      </c>
      <c r="BD124" s="300">
        <f t="shared" ca="1" si="83"/>
        <v>71.154865261724424</v>
      </c>
    </row>
    <row r="125" spans="1:56" outlineLevel="1">
      <c r="A125" s="23" t="str">
        <f t="shared" si="73"/>
        <v>VashonRoll offTIME-RO</v>
      </c>
      <c r="B125" s="23" t="s">
        <v>327</v>
      </c>
      <c r="C125" s="23" t="s">
        <v>328</v>
      </c>
      <c r="D125" s="54">
        <v>79.28</v>
      </c>
      <c r="E125" s="54">
        <v>79.28</v>
      </c>
      <c r="F125" s="55"/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39.64</v>
      </c>
      <c r="S125" s="57">
        <v>39.64</v>
      </c>
      <c r="U125" s="62">
        <f t="shared" ref="U125:AA125" si="88">+IFERROR(G125/$D125,0)</f>
        <v>0</v>
      </c>
      <c r="V125" s="62">
        <f t="shared" si="88"/>
        <v>0</v>
      </c>
      <c r="W125" s="62">
        <f t="shared" si="88"/>
        <v>0</v>
      </c>
      <c r="X125" s="62">
        <f t="shared" si="88"/>
        <v>0</v>
      </c>
      <c r="Y125" s="62">
        <f t="shared" si="88"/>
        <v>0</v>
      </c>
      <c r="Z125" s="62">
        <f t="shared" si="88"/>
        <v>0</v>
      </c>
      <c r="AA125" s="62">
        <f t="shared" si="88"/>
        <v>0</v>
      </c>
      <c r="AB125" s="62">
        <f t="shared" ref="AB125:AF125" si="89">+IFERROR(N125/$E125,0)</f>
        <v>0</v>
      </c>
      <c r="AC125" s="62">
        <f t="shared" si="89"/>
        <v>0</v>
      </c>
      <c r="AD125" s="62">
        <f t="shared" si="89"/>
        <v>0</v>
      </c>
      <c r="AE125" s="62">
        <f t="shared" si="89"/>
        <v>0</v>
      </c>
      <c r="AF125" s="62">
        <f t="shared" si="89"/>
        <v>0.5</v>
      </c>
      <c r="AG125" s="62">
        <f t="shared" si="84"/>
        <v>0.5</v>
      </c>
      <c r="AH125" s="62">
        <f t="shared" si="85"/>
        <v>4.1666666666666664E-2</v>
      </c>
      <c r="AN125" s="27">
        <f t="shared" si="87"/>
        <v>0</v>
      </c>
      <c r="AO125" s="24"/>
      <c r="AP125" s="55"/>
      <c r="AQ125" s="78">
        <v>79.28</v>
      </c>
      <c r="AR125" s="60">
        <f t="shared" ca="1" si="78"/>
        <v>9.3312771941398935</v>
      </c>
      <c r="AS125" s="60">
        <f t="shared" ca="1" si="79"/>
        <v>4.6656385970699468</v>
      </c>
      <c r="AT125" s="60">
        <f t="shared" ca="1" si="80"/>
        <v>88.611277194139888</v>
      </c>
      <c r="AU125" s="60">
        <f t="shared" ca="1" si="81"/>
        <v>44.305638597069944</v>
      </c>
      <c r="BC125" s="300">
        <f t="shared" ca="1" si="82"/>
        <v>0.16895709789624666</v>
      </c>
      <c r="BD125" s="300">
        <f t="shared" ca="1" si="83"/>
        <v>44.47459569496619</v>
      </c>
    </row>
    <row r="126" spans="1:56" ht="15" outlineLevel="1" thickBot="1">
      <c r="E126" s="55"/>
      <c r="F126" s="55"/>
      <c r="G126" s="55"/>
      <c r="H126" s="55"/>
      <c r="I126" s="55"/>
      <c r="J126" s="55"/>
      <c r="K126" s="55"/>
      <c r="L126" s="55"/>
      <c r="M126" s="55"/>
      <c r="N126" s="57"/>
      <c r="O126" s="57"/>
      <c r="P126" s="57"/>
      <c r="Q126" s="57"/>
      <c r="R126" s="57"/>
      <c r="S126" s="57"/>
      <c r="AB126" s="62"/>
      <c r="AC126" s="62"/>
      <c r="AD126" s="62"/>
      <c r="AE126" s="62"/>
      <c r="AF126" s="62"/>
      <c r="AG126" s="62"/>
      <c r="AH126" s="62"/>
      <c r="AN126" s="27">
        <f t="shared" si="87"/>
        <v>0</v>
      </c>
      <c r="AO126" s="24"/>
      <c r="AP126" s="55"/>
      <c r="AQ126" s="55"/>
      <c r="AR126" s="60">
        <f t="shared" ref="AR126" ca="1" si="90">+$AT$2*E126</f>
        <v>0</v>
      </c>
      <c r="AS126" s="60">
        <f t="shared" ca="1" si="79"/>
        <v>0</v>
      </c>
      <c r="AT126" s="60">
        <f t="shared" ref="AT126" ca="1" si="91">+AR126+E126</f>
        <v>0</v>
      </c>
      <c r="AU126" s="60">
        <f t="shared" ca="1" si="81"/>
        <v>0</v>
      </c>
    </row>
    <row r="127" spans="1:56" ht="15" outlineLevel="1" thickBot="1">
      <c r="C127" s="64" t="s">
        <v>329</v>
      </c>
      <c r="D127" s="64"/>
      <c r="E127" s="55"/>
      <c r="F127" s="55"/>
      <c r="G127" s="65">
        <f t="shared" ref="G127:S127" si="92">SUM(G109:G126)</f>
        <v>1962.73</v>
      </c>
      <c r="H127" s="65">
        <f t="shared" si="92"/>
        <v>2867.5</v>
      </c>
      <c r="I127" s="65">
        <f t="shared" si="92"/>
        <v>866.34000000000015</v>
      </c>
      <c r="J127" s="65">
        <f t="shared" si="92"/>
        <v>2021.51</v>
      </c>
      <c r="K127" s="65">
        <f t="shared" si="92"/>
        <v>1156.5299999999997</v>
      </c>
      <c r="L127" s="65">
        <f t="shared" si="92"/>
        <v>645.83000000000004</v>
      </c>
      <c r="M127" s="65">
        <f t="shared" si="92"/>
        <v>806.96000000000015</v>
      </c>
      <c r="N127" s="65">
        <f t="shared" si="92"/>
        <v>973.70999999999992</v>
      </c>
      <c r="O127" s="65">
        <f t="shared" si="92"/>
        <v>612.99</v>
      </c>
      <c r="P127" s="65">
        <f t="shared" si="92"/>
        <v>1463.5900000000001</v>
      </c>
      <c r="Q127" s="65">
        <f t="shared" si="92"/>
        <v>1840.5199999999998</v>
      </c>
      <c r="R127" s="65">
        <f t="shared" si="92"/>
        <v>1521.3300000000002</v>
      </c>
      <c r="S127" s="65">
        <f t="shared" si="92"/>
        <v>16739.54</v>
      </c>
      <c r="U127" s="65">
        <f>+SUM(U115:U120)</f>
        <v>5.7664571617598419</v>
      </c>
      <c r="V127" s="65">
        <f t="shared" ref="V127:AH127" si="93">+SUM(V115:V120)</f>
        <v>6.3666060205094279</v>
      </c>
      <c r="W127" s="65">
        <f t="shared" si="93"/>
        <v>0.43317896129672517</v>
      </c>
      <c r="X127" s="65">
        <f t="shared" si="93"/>
        <v>5.3331128018524652</v>
      </c>
      <c r="Y127" s="65">
        <f t="shared" si="93"/>
        <v>5.1999669202778698</v>
      </c>
      <c r="Z127" s="65">
        <f t="shared" si="93"/>
        <v>4.3332782004631163</v>
      </c>
      <c r="AA127" s="65">
        <f t="shared" si="93"/>
        <v>6.0333278200463116</v>
      </c>
      <c r="AB127" s="65">
        <f t="shared" si="93"/>
        <v>5.7995504675162461</v>
      </c>
      <c r="AC127" s="65">
        <f t="shared" si="93"/>
        <v>5.812052227913127</v>
      </c>
      <c r="AD127" s="65">
        <f t="shared" si="93"/>
        <v>6.2332120410188558</v>
      </c>
      <c r="AE127" s="65">
        <f t="shared" si="93"/>
        <v>5.9995394569095222</v>
      </c>
      <c r="AF127" s="65">
        <f t="shared" si="93"/>
        <v>5.0998042383924327</v>
      </c>
      <c r="AG127" s="65">
        <f t="shared" si="93"/>
        <v>62.410086317955937</v>
      </c>
      <c r="AH127" s="65">
        <f t="shared" si="93"/>
        <v>5.2008405264963278</v>
      </c>
      <c r="AJ127" s="66">
        <f>+SUMIF(AJ108:AJ126,"&lt;&gt;",$AN108:$AN126)</f>
        <v>0</v>
      </c>
      <c r="AK127" s="66">
        <f t="shared" ref="AK127:AL127" si="94">+SUMIF(AK108:AK126,"&lt;&gt;",$AN108:$AN126)</f>
        <v>0</v>
      </c>
      <c r="AL127" s="66">
        <f t="shared" si="94"/>
        <v>5.2008405264963278</v>
      </c>
      <c r="AM127" s="67"/>
      <c r="AN127" s="81">
        <f ca="1">SUM(AN108:OFFSET(AN127,-1,0))</f>
        <v>5.2008405264963278</v>
      </c>
      <c r="AO127" s="73" t="s">
        <v>201</v>
      </c>
      <c r="AP127" s="69">
        <f ca="1">+SUM(AJ127:AL127)-AN127</f>
        <v>0</v>
      </c>
      <c r="AQ127" s="69"/>
      <c r="AR127" s="70"/>
      <c r="AS127" s="71">
        <f ca="1">SUM(AS109:AS126)</f>
        <v>1970.2483330271507</v>
      </c>
      <c r="AT127" s="70"/>
      <c r="AU127" s="71">
        <f ca="1">SUM(AU109:AU126)</f>
        <v>18709.788333027154</v>
      </c>
      <c r="AV127" s="72">
        <f ca="1">+AS127/S127</f>
        <v>0.11770026733274334</v>
      </c>
      <c r="BC127" s="71">
        <f t="shared" ref="BC127:BD127" ca="1" si="95">SUM(BC109:BC126)</f>
        <v>71.348741133151805</v>
      </c>
      <c r="BD127" s="71">
        <f t="shared" ca="1" si="95"/>
        <v>18781.137074160302</v>
      </c>
    </row>
    <row r="128" spans="1:56" outlineLevel="1">
      <c r="E128" s="55"/>
      <c r="F128" s="55"/>
      <c r="G128" s="55"/>
      <c r="H128" s="55"/>
      <c r="I128" s="55"/>
      <c r="J128" s="55"/>
      <c r="K128" s="55"/>
      <c r="L128" s="55"/>
      <c r="M128" s="55"/>
      <c r="N128" s="57"/>
      <c r="O128" s="57"/>
      <c r="P128" s="57"/>
      <c r="Q128" s="57"/>
      <c r="R128" s="57"/>
      <c r="S128" s="57"/>
      <c r="T128" s="25" t="s">
        <v>330</v>
      </c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R128" s="60"/>
      <c r="AS128" s="60"/>
      <c r="AT128" s="60"/>
      <c r="AU128" s="60"/>
    </row>
    <row r="129" spans="1:57" outlineLevel="1">
      <c r="B129" s="24" t="s">
        <v>331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7"/>
      <c r="O129" s="57"/>
      <c r="P129" s="57"/>
      <c r="Q129" s="57"/>
      <c r="R129" s="57"/>
      <c r="S129" s="57"/>
      <c r="AB129" s="62"/>
      <c r="AC129" s="62"/>
      <c r="AD129" s="62"/>
      <c r="AE129" s="62"/>
      <c r="AF129" s="62"/>
      <c r="AG129" s="62"/>
      <c r="AH129" s="62"/>
      <c r="AR129" s="60"/>
      <c r="AS129" s="60"/>
      <c r="AT129" s="60"/>
      <c r="AU129" s="60"/>
    </row>
    <row r="130" spans="1:57" outlineLevel="1">
      <c r="A130" s="23" t="str">
        <f>+$A$4&amp;$A$108&amp;B130</f>
        <v>VashonRoll offDISP</v>
      </c>
      <c r="B130" s="23" t="s">
        <v>332</v>
      </c>
      <c r="C130" s="23" t="s">
        <v>333</v>
      </c>
      <c r="D130" s="54">
        <v>140.82</v>
      </c>
      <c r="E130" s="54">
        <v>154.02000000000001</v>
      </c>
      <c r="F130" s="55"/>
      <c r="G130" s="56">
        <v>3875.36</v>
      </c>
      <c r="H130" s="56">
        <v>7573.3</v>
      </c>
      <c r="I130" s="56">
        <v>1223.73</v>
      </c>
      <c r="J130" s="56">
        <v>2664.32</v>
      </c>
      <c r="K130" s="56">
        <v>1387.07</v>
      </c>
      <c r="L130" s="56">
        <v>875.9</v>
      </c>
      <c r="M130" s="56">
        <v>1070.23</v>
      </c>
      <c r="N130" s="57">
        <v>1144.46</v>
      </c>
      <c r="O130" s="57">
        <v>0</v>
      </c>
      <c r="P130" s="57">
        <v>3069.63</v>
      </c>
      <c r="Q130" s="57">
        <v>2541.35</v>
      </c>
      <c r="R130" s="57">
        <v>2177.84</v>
      </c>
      <c r="S130" s="57">
        <v>27603.19</v>
      </c>
      <c r="U130" s="62">
        <f t="shared" ref="U130:AA130" si="96">+IFERROR(G130/$D130,0)</f>
        <v>27.519954551910242</v>
      </c>
      <c r="V130" s="62">
        <f t="shared" si="96"/>
        <v>53.780002840505617</v>
      </c>
      <c r="W130" s="62">
        <f t="shared" si="96"/>
        <v>8.6900298253089048</v>
      </c>
      <c r="X130" s="62">
        <f t="shared" si="96"/>
        <v>18.920039767078542</v>
      </c>
      <c r="Y130" s="62">
        <f t="shared" si="96"/>
        <v>9.8499502911518242</v>
      </c>
      <c r="Z130" s="62">
        <f t="shared" si="96"/>
        <v>6.2199971594943904</v>
      </c>
      <c r="AA130" s="62">
        <f t="shared" si="96"/>
        <v>7.5999857974719509</v>
      </c>
      <c r="AB130" s="62">
        <f t="shared" ref="AB130:AF130" si="97">+IFERROR(N130/$E130,0)</f>
        <v>7.43059342942475</v>
      </c>
      <c r="AC130" s="62">
        <f t="shared" si="97"/>
        <v>0</v>
      </c>
      <c r="AD130" s="62">
        <f t="shared" si="97"/>
        <v>19.930074016361512</v>
      </c>
      <c r="AE130" s="62">
        <f t="shared" si="97"/>
        <v>16.500129853265808</v>
      </c>
      <c r="AF130" s="62">
        <f t="shared" si="97"/>
        <v>14.139981820542786</v>
      </c>
      <c r="AG130" s="62">
        <f t="shared" ref="AG130" si="98">SUM(U130:AF130)</f>
        <v>190.58073935251639</v>
      </c>
      <c r="AH130" s="62">
        <f t="shared" ref="AH130" si="99">+SUM(U130:AF130)/$AB$2</f>
        <v>15.881728279376366</v>
      </c>
      <c r="AQ130" s="59">
        <v>168.68</v>
      </c>
    </row>
    <row r="131" spans="1:57" outlineLevel="1">
      <c r="E131" s="55"/>
      <c r="F131" s="55"/>
      <c r="G131" s="55"/>
      <c r="H131" s="55"/>
      <c r="I131" s="55"/>
      <c r="J131" s="55"/>
      <c r="K131" s="55"/>
      <c r="L131" s="55"/>
      <c r="M131" s="55"/>
      <c r="N131" s="57"/>
      <c r="O131" s="57"/>
      <c r="P131" s="57"/>
      <c r="Q131" s="57"/>
      <c r="R131" s="57"/>
      <c r="S131" s="57"/>
      <c r="AB131" s="62"/>
      <c r="AC131" s="62"/>
      <c r="AD131" s="62"/>
      <c r="AE131" s="62"/>
      <c r="AF131" s="62"/>
      <c r="AG131" s="62"/>
      <c r="AH131" s="62"/>
      <c r="AR131" s="60"/>
      <c r="AS131" s="60"/>
      <c r="AT131" s="60"/>
      <c r="AU131" s="60"/>
    </row>
    <row r="132" spans="1:57" ht="15" outlineLevel="1" thickBot="1">
      <c r="C132" s="64" t="s">
        <v>334</v>
      </c>
      <c r="D132" s="64"/>
      <c r="E132" s="55"/>
      <c r="F132" s="55"/>
      <c r="G132" s="65">
        <f t="shared" ref="G132:S132" si="100">SUM(G130:G131)</f>
        <v>3875.36</v>
      </c>
      <c r="H132" s="65">
        <f t="shared" si="100"/>
        <v>7573.3</v>
      </c>
      <c r="I132" s="65">
        <f t="shared" si="100"/>
        <v>1223.73</v>
      </c>
      <c r="J132" s="65">
        <f t="shared" si="100"/>
        <v>2664.32</v>
      </c>
      <c r="K132" s="65">
        <f t="shared" si="100"/>
        <v>1387.07</v>
      </c>
      <c r="L132" s="65">
        <f t="shared" si="100"/>
        <v>875.9</v>
      </c>
      <c r="M132" s="65">
        <f t="shared" si="100"/>
        <v>1070.23</v>
      </c>
      <c r="N132" s="65">
        <f t="shared" si="100"/>
        <v>1144.46</v>
      </c>
      <c r="O132" s="65">
        <f t="shared" si="100"/>
        <v>0</v>
      </c>
      <c r="P132" s="65">
        <f t="shared" si="100"/>
        <v>3069.63</v>
      </c>
      <c r="Q132" s="65">
        <f t="shared" si="100"/>
        <v>2541.35</v>
      </c>
      <c r="R132" s="65">
        <f t="shared" si="100"/>
        <v>2177.84</v>
      </c>
      <c r="S132" s="65">
        <f t="shared" si="100"/>
        <v>27603.19</v>
      </c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R132" s="82"/>
      <c r="AS132" s="82"/>
      <c r="AT132" s="82"/>
      <c r="AU132" s="82">
        <f>+AS132+S132</f>
        <v>27603.19</v>
      </c>
    </row>
    <row r="133" spans="1:57" outlineLevel="1">
      <c r="E133" s="55"/>
      <c r="F133" s="55"/>
      <c r="G133" s="55"/>
      <c r="H133" s="55"/>
      <c r="I133" s="55"/>
      <c r="J133" s="55"/>
      <c r="K133" s="55"/>
      <c r="L133" s="55"/>
      <c r="M133" s="55"/>
      <c r="N133" s="57"/>
      <c r="O133" s="57"/>
      <c r="P133" s="57"/>
      <c r="Q133" s="57"/>
      <c r="R133" s="57"/>
      <c r="S133" s="57"/>
      <c r="AB133" s="62"/>
      <c r="AC133" s="62"/>
      <c r="AD133" s="62"/>
      <c r="AE133" s="62"/>
      <c r="AF133" s="62"/>
      <c r="AG133" s="62"/>
      <c r="AH133" s="62"/>
      <c r="AR133" s="60"/>
      <c r="AS133" s="60"/>
      <c r="AT133" s="60"/>
      <c r="AU133" s="60"/>
    </row>
    <row r="134" spans="1:57" outlineLevel="1">
      <c r="E134" s="55"/>
      <c r="F134" s="55"/>
      <c r="G134" s="55"/>
      <c r="H134" s="55"/>
      <c r="I134" s="55"/>
      <c r="J134" s="55"/>
      <c r="K134" s="55"/>
      <c r="L134" s="55"/>
      <c r="M134" s="55"/>
      <c r="N134" s="57"/>
      <c r="O134" s="57"/>
      <c r="P134" s="57"/>
      <c r="Q134" s="57"/>
      <c r="R134" s="57"/>
      <c r="S134" s="57"/>
      <c r="AB134" s="62"/>
      <c r="AC134" s="62"/>
      <c r="AD134" s="62"/>
      <c r="AE134" s="62"/>
      <c r="AF134" s="62"/>
      <c r="AG134" s="62"/>
      <c r="AH134" s="62"/>
      <c r="AR134" s="60"/>
      <c r="AS134" s="60"/>
      <c r="AT134" s="60"/>
      <c r="AU134" s="60"/>
    </row>
    <row r="135" spans="1:57" s="24" customFormat="1">
      <c r="B135" s="24" t="s">
        <v>335</v>
      </c>
      <c r="E135" s="55"/>
      <c r="F135" s="55"/>
      <c r="G135" s="77">
        <f t="shared" ref="G135:S135" si="101">+G127+G132</f>
        <v>5838.09</v>
      </c>
      <c r="H135" s="77">
        <f t="shared" si="101"/>
        <v>10440.799999999999</v>
      </c>
      <c r="I135" s="77">
        <f t="shared" si="101"/>
        <v>2090.0700000000002</v>
      </c>
      <c r="J135" s="77">
        <f t="shared" si="101"/>
        <v>4685.83</v>
      </c>
      <c r="K135" s="77">
        <f t="shared" si="101"/>
        <v>2543.5999999999995</v>
      </c>
      <c r="L135" s="77">
        <f t="shared" si="101"/>
        <v>1521.73</v>
      </c>
      <c r="M135" s="77">
        <f t="shared" si="101"/>
        <v>1877.19</v>
      </c>
      <c r="N135" s="77">
        <f t="shared" si="101"/>
        <v>2118.17</v>
      </c>
      <c r="O135" s="77">
        <f t="shared" si="101"/>
        <v>612.99</v>
      </c>
      <c r="P135" s="77">
        <f t="shared" si="101"/>
        <v>4533.22</v>
      </c>
      <c r="Q135" s="77">
        <f t="shared" si="101"/>
        <v>4381.87</v>
      </c>
      <c r="R135" s="77">
        <f t="shared" si="101"/>
        <v>3699.17</v>
      </c>
      <c r="S135" s="77">
        <f t="shared" si="101"/>
        <v>44342.729999999996</v>
      </c>
      <c r="T135" s="25"/>
      <c r="U135" s="77">
        <f t="shared" ref="U135:AH135" si="102">+U127+U132</f>
        <v>5.7664571617598419</v>
      </c>
      <c r="V135" s="77">
        <f t="shared" si="102"/>
        <v>6.3666060205094279</v>
      </c>
      <c r="W135" s="77">
        <f t="shared" si="102"/>
        <v>0.43317896129672517</v>
      </c>
      <c r="X135" s="77">
        <f t="shared" si="102"/>
        <v>5.3331128018524652</v>
      </c>
      <c r="Y135" s="77">
        <f t="shared" si="102"/>
        <v>5.1999669202778698</v>
      </c>
      <c r="Z135" s="77">
        <f t="shared" si="102"/>
        <v>4.3332782004631163</v>
      </c>
      <c r="AA135" s="77">
        <f t="shared" si="102"/>
        <v>6.0333278200463116</v>
      </c>
      <c r="AB135" s="77">
        <f t="shared" si="102"/>
        <v>5.7995504675162461</v>
      </c>
      <c r="AC135" s="77">
        <f t="shared" si="102"/>
        <v>5.812052227913127</v>
      </c>
      <c r="AD135" s="77">
        <f t="shared" si="102"/>
        <v>6.2332120410188558</v>
      </c>
      <c r="AE135" s="77">
        <f t="shared" si="102"/>
        <v>5.9995394569095222</v>
      </c>
      <c r="AF135" s="77">
        <f t="shared" si="102"/>
        <v>5.0998042383924327</v>
      </c>
      <c r="AG135" s="77">
        <f t="shared" si="102"/>
        <v>62.410086317955937</v>
      </c>
      <c r="AH135" s="77">
        <f t="shared" si="102"/>
        <v>5.2008405264963278</v>
      </c>
      <c r="AJ135" s="26"/>
      <c r="AK135" s="26"/>
      <c r="AL135" s="26"/>
      <c r="AM135" s="26"/>
      <c r="AN135" s="27"/>
      <c r="AR135" s="60"/>
      <c r="AS135" s="60"/>
      <c r="AT135" s="60"/>
      <c r="AU135" s="60"/>
      <c r="BC135" s="297"/>
      <c r="BD135" s="297"/>
      <c r="BE135" s="297"/>
    </row>
    <row r="136" spans="1:57" s="24" customFormat="1" outlineLevel="1">
      <c r="E136" s="55"/>
      <c r="F136" s="55"/>
      <c r="G136" s="55"/>
      <c r="H136" s="55"/>
      <c r="I136" s="55"/>
      <c r="J136" s="55"/>
      <c r="K136" s="55"/>
      <c r="L136" s="55"/>
      <c r="M136" s="55"/>
      <c r="N136" s="57"/>
      <c r="O136" s="57"/>
      <c r="P136" s="57"/>
      <c r="Q136" s="57"/>
      <c r="R136" s="57"/>
      <c r="S136" s="57"/>
      <c r="T136" s="25"/>
      <c r="U136" s="25"/>
      <c r="V136" s="25"/>
      <c r="W136" s="25"/>
      <c r="X136" s="25"/>
      <c r="Y136" s="25"/>
      <c r="Z136" s="25"/>
      <c r="AA136" s="25"/>
      <c r="AB136" s="83"/>
      <c r="AC136" s="83"/>
      <c r="AD136" s="83"/>
      <c r="AE136" s="83"/>
      <c r="AF136" s="83"/>
      <c r="AG136" s="83"/>
      <c r="AH136" s="83"/>
      <c r="AJ136" s="26"/>
      <c r="AK136" s="26"/>
      <c r="AL136" s="26"/>
      <c r="AM136" s="26"/>
      <c r="AN136" s="27"/>
      <c r="AR136" s="60"/>
      <c r="AS136" s="60"/>
      <c r="AT136" s="60"/>
      <c r="AU136" s="60"/>
      <c r="BC136" s="297"/>
      <c r="BD136" s="297"/>
      <c r="BE136" s="297"/>
    </row>
    <row r="137" spans="1:57" s="24" customFormat="1" outlineLevel="1">
      <c r="E137" s="55"/>
      <c r="F137" s="55"/>
      <c r="G137" s="55"/>
      <c r="H137" s="55"/>
      <c r="I137" s="55"/>
      <c r="J137" s="55"/>
      <c r="K137" s="55"/>
      <c r="L137" s="55"/>
      <c r="M137" s="55"/>
      <c r="N137" s="57"/>
      <c r="O137" s="57"/>
      <c r="P137" s="57"/>
      <c r="Q137" s="57"/>
      <c r="R137" s="57"/>
      <c r="S137" s="57"/>
      <c r="T137" s="25"/>
      <c r="U137" s="25"/>
      <c r="V137" s="25"/>
      <c r="W137" s="25"/>
      <c r="X137" s="25"/>
      <c r="Y137" s="25"/>
      <c r="Z137" s="25"/>
      <c r="AA137" s="25"/>
      <c r="AB137" s="83"/>
      <c r="AC137" s="83"/>
      <c r="AD137" s="83"/>
      <c r="AE137" s="83"/>
      <c r="AF137" s="83"/>
      <c r="AG137" s="83"/>
      <c r="AH137" s="83"/>
      <c r="AJ137" s="26"/>
      <c r="AK137" s="26"/>
      <c r="AL137" s="26"/>
      <c r="AM137" s="26"/>
      <c r="AN137" s="27"/>
      <c r="AR137" s="60"/>
      <c r="AS137" s="60"/>
      <c r="AT137" s="60"/>
      <c r="AU137" s="60"/>
      <c r="BC137" s="297"/>
      <c r="BD137" s="297"/>
      <c r="BE137" s="297"/>
    </row>
    <row r="138" spans="1:57" outlineLevel="1">
      <c r="A138" s="23" t="s">
        <v>336</v>
      </c>
      <c r="B138" s="50" t="s">
        <v>337</v>
      </c>
      <c r="E138" s="55"/>
      <c r="F138" s="55"/>
      <c r="G138" s="55"/>
      <c r="H138" s="55"/>
      <c r="I138" s="55"/>
      <c r="J138" s="55"/>
      <c r="K138" s="55"/>
      <c r="L138" s="55"/>
      <c r="M138" s="55"/>
      <c r="N138" s="57"/>
      <c r="O138" s="57"/>
      <c r="P138" s="57"/>
      <c r="Q138" s="57"/>
      <c r="R138" s="57"/>
      <c r="S138" s="57"/>
      <c r="AB138" s="62"/>
      <c r="AC138" s="62"/>
      <c r="AD138" s="62"/>
      <c r="AE138" s="62"/>
      <c r="AF138" s="62"/>
      <c r="AG138" s="62"/>
      <c r="AH138" s="62"/>
      <c r="AR138" s="60"/>
      <c r="AS138" s="60"/>
      <c r="AT138" s="60"/>
      <c r="AU138" s="60"/>
    </row>
    <row r="139" spans="1:57" outlineLevel="1">
      <c r="E139" s="55"/>
      <c r="F139" s="55"/>
      <c r="G139" s="55"/>
      <c r="H139" s="55"/>
      <c r="I139" s="55"/>
      <c r="J139" s="55"/>
      <c r="K139" s="55"/>
      <c r="L139" s="55"/>
      <c r="M139" s="55"/>
      <c r="N139" s="57"/>
      <c r="O139" s="57"/>
      <c r="P139" s="57"/>
      <c r="Q139" s="57"/>
      <c r="R139" s="57"/>
      <c r="S139" s="57"/>
      <c r="AB139" s="62"/>
      <c r="AC139" s="62"/>
      <c r="AD139" s="62"/>
      <c r="AE139" s="62"/>
      <c r="AF139" s="62"/>
      <c r="AG139" s="62"/>
      <c r="AH139" s="62"/>
      <c r="AR139" s="60"/>
      <c r="AS139" s="60"/>
      <c r="AT139" s="60"/>
      <c r="AU139" s="60"/>
    </row>
    <row r="140" spans="1:57" ht="15" outlineLevel="1" thickBot="1">
      <c r="C140" s="64" t="s">
        <v>338</v>
      </c>
      <c r="D140" s="64"/>
      <c r="E140" s="55"/>
      <c r="F140" s="55"/>
      <c r="G140" s="65">
        <f t="shared" ref="G140:S140" si="103">+SUM(G139:G139)</f>
        <v>0</v>
      </c>
      <c r="H140" s="65">
        <f t="shared" si="103"/>
        <v>0</v>
      </c>
      <c r="I140" s="65">
        <f t="shared" si="103"/>
        <v>0</v>
      </c>
      <c r="J140" s="65">
        <f t="shared" si="103"/>
        <v>0</v>
      </c>
      <c r="K140" s="65">
        <f t="shared" si="103"/>
        <v>0</v>
      </c>
      <c r="L140" s="65">
        <f t="shared" si="103"/>
        <v>0</v>
      </c>
      <c r="M140" s="65">
        <f t="shared" si="103"/>
        <v>0</v>
      </c>
      <c r="N140" s="65">
        <f t="shared" si="103"/>
        <v>0</v>
      </c>
      <c r="O140" s="65">
        <f t="shared" si="103"/>
        <v>0</v>
      </c>
      <c r="P140" s="65">
        <f t="shared" si="103"/>
        <v>0</v>
      </c>
      <c r="Q140" s="65">
        <f t="shared" si="103"/>
        <v>0</v>
      </c>
      <c r="R140" s="65">
        <f t="shared" si="103"/>
        <v>0</v>
      </c>
      <c r="S140" s="65">
        <f t="shared" si="103"/>
        <v>0</v>
      </c>
      <c r="U140" s="65">
        <f t="shared" ref="U140:AF140" si="104">+SUM(U139:U139)</f>
        <v>0</v>
      </c>
      <c r="V140" s="65">
        <f t="shared" si="104"/>
        <v>0</v>
      </c>
      <c r="W140" s="65">
        <f t="shared" si="104"/>
        <v>0</v>
      </c>
      <c r="X140" s="65">
        <f t="shared" si="104"/>
        <v>0</v>
      </c>
      <c r="Y140" s="65">
        <f t="shared" si="104"/>
        <v>0</v>
      </c>
      <c r="Z140" s="65">
        <f t="shared" si="104"/>
        <v>0</v>
      </c>
      <c r="AA140" s="65">
        <f t="shared" si="104"/>
        <v>0</v>
      </c>
      <c r="AB140" s="65">
        <f t="shared" si="104"/>
        <v>0</v>
      </c>
      <c r="AC140" s="65">
        <f t="shared" si="104"/>
        <v>0</v>
      </c>
      <c r="AD140" s="65">
        <f t="shared" si="104"/>
        <v>0</v>
      </c>
      <c r="AE140" s="65">
        <f t="shared" si="104"/>
        <v>0</v>
      </c>
      <c r="AF140" s="65">
        <f t="shared" si="104"/>
        <v>0</v>
      </c>
      <c r="AG140" s="65">
        <f t="shared" ref="AG140" si="105">SUM(U140:AF140)</f>
        <v>0</v>
      </c>
      <c r="AH140" s="65">
        <f>+SUM(AH139:AH139)</f>
        <v>0</v>
      </c>
      <c r="AR140" s="82"/>
      <c r="AS140" s="82"/>
      <c r="AT140" s="82"/>
      <c r="AU140" s="82">
        <f>+AS140+S140</f>
        <v>0</v>
      </c>
    </row>
    <row r="141" spans="1:57" outlineLevel="1">
      <c r="C141" s="64"/>
      <c r="D141" s="64"/>
      <c r="E141" s="55"/>
      <c r="F141" s="55"/>
      <c r="G141" s="55"/>
      <c r="H141" s="55"/>
      <c r="I141" s="55"/>
      <c r="J141" s="55"/>
      <c r="K141" s="55"/>
      <c r="L141" s="55"/>
      <c r="M141" s="55"/>
      <c r="N141" s="76"/>
      <c r="O141" s="76"/>
      <c r="P141" s="76"/>
      <c r="Q141" s="76"/>
      <c r="R141" s="76"/>
      <c r="S141" s="76"/>
      <c r="AB141" s="76"/>
      <c r="AC141" s="76"/>
      <c r="AD141" s="76"/>
      <c r="AE141" s="76"/>
      <c r="AF141" s="76"/>
      <c r="AG141" s="76"/>
      <c r="AH141" s="76"/>
      <c r="AR141" s="60"/>
      <c r="AS141" s="60"/>
      <c r="AT141" s="60"/>
      <c r="AU141" s="60"/>
    </row>
    <row r="142" spans="1:57" outlineLevel="1">
      <c r="E142" s="55"/>
      <c r="F142" s="55"/>
      <c r="G142" s="55"/>
      <c r="H142" s="55"/>
      <c r="I142" s="55"/>
      <c r="J142" s="55"/>
      <c r="K142" s="55"/>
      <c r="L142" s="55"/>
      <c r="M142" s="55"/>
      <c r="N142" s="33"/>
      <c r="O142" s="33"/>
      <c r="P142" s="33"/>
      <c r="Q142" s="33"/>
      <c r="R142" s="33"/>
      <c r="S142" s="33"/>
      <c r="AB142" s="33"/>
      <c r="AC142" s="33"/>
      <c r="AD142" s="33"/>
      <c r="AE142" s="33"/>
      <c r="AF142" s="33"/>
      <c r="AG142" s="33"/>
      <c r="AH142" s="33"/>
      <c r="AR142" s="60"/>
      <c r="AS142" s="60"/>
      <c r="AT142" s="60"/>
      <c r="AU142" s="60"/>
    </row>
    <row r="143" spans="1:57" s="24" customFormat="1">
      <c r="B143" s="24" t="s">
        <v>339</v>
      </c>
      <c r="E143" s="55"/>
      <c r="F143" s="55"/>
      <c r="G143" s="77">
        <f t="shared" ref="G143:M143" si="106">+G140</f>
        <v>0</v>
      </c>
      <c r="H143" s="77">
        <f t="shared" si="106"/>
        <v>0</v>
      </c>
      <c r="I143" s="77">
        <f t="shared" si="106"/>
        <v>0</v>
      </c>
      <c r="J143" s="77">
        <f t="shared" si="106"/>
        <v>0</v>
      </c>
      <c r="K143" s="77">
        <f t="shared" si="106"/>
        <v>0</v>
      </c>
      <c r="L143" s="77">
        <f t="shared" si="106"/>
        <v>0</v>
      </c>
      <c r="M143" s="77">
        <f t="shared" si="106"/>
        <v>0</v>
      </c>
      <c r="N143" s="77">
        <f>+N140</f>
        <v>0</v>
      </c>
      <c r="O143" s="77">
        <f t="shared" ref="O143:R143" si="107">+O140</f>
        <v>0</v>
      </c>
      <c r="P143" s="77">
        <f t="shared" si="107"/>
        <v>0</v>
      </c>
      <c r="Q143" s="77">
        <f t="shared" si="107"/>
        <v>0</v>
      </c>
      <c r="R143" s="77">
        <f t="shared" si="107"/>
        <v>0</v>
      </c>
      <c r="S143" s="57">
        <f>SUM(G143:R143)</f>
        <v>0</v>
      </c>
      <c r="T143" s="25"/>
      <c r="U143" s="77">
        <f t="shared" ref="U143:AG143" si="108">+U140</f>
        <v>0</v>
      </c>
      <c r="V143" s="77">
        <f t="shared" si="108"/>
        <v>0</v>
      </c>
      <c r="W143" s="77">
        <f t="shared" si="108"/>
        <v>0</v>
      </c>
      <c r="X143" s="77">
        <f t="shared" si="108"/>
        <v>0</v>
      </c>
      <c r="Y143" s="77">
        <f t="shared" si="108"/>
        <v>0</v>
      </c>
      <c r="Z143" s="77">
        <f t="shared" si="108"/>
        <v>0</v>
      </c>
      <c r="AA143" s="77">
        <f t="shared" si="108"/>
        <v>0</v>
      </c>
      <c r="AB143" s="77">
        <f t="shared" si="108"/>
        <v>0</v>
      </c>
      <c r="AC143" s="77">
        <f t="shared" si="108"/>
        <v>0</v>
      </c>
      <c r="AD143" s="77">
        <f t="shared" si="108"/>
        <v>0</v>
      </c>
      <c r="AE143" s="77">
        <f t="shared" si="108"/>
        <v>0</v>
      </c>
      <c r="AF143" s="77">
        <f t="shared" si="108"/>
        <v>0</v>
      </c>
      <c r="AG143" s="77">
        <f t="shared" si="108"/>
        <v>0</v>
      </c>
      <c r="AH143" s="77"/>
      <c r="AJ143" s="26"/>
      <c r="AK143" s="26"/>
      <c r="AL143" s="26"/>
      <c r="AM143" s="26"/>
      <c r="AN143" s="27"/>
      <c r="AR143" s="60"/>
      <c r="AS143" s="60"/>
      <c r="AT143" s="60"/>
      <c r="AU143" s="60"/>
      <c r="BC143" s="297"/>
      <c r="BD143" s="297"/>
      <c r="BE143" s="297"/>
    </row>
    <row r="144" spans="1:57" s="24" customFormat="1" outlineLevel="1">
      <c r="E144" s="55"/>
      <c r="F144" s="55"/>
      <c r="G144" s="57"/>
      <c r="H144" s="57"/>
      <c r="I144" s="57"/>
      <c r="J144" s="57"/>
      <c r="K144" s="57"/>
      <c r="L144" s="57"/>
      <c r="M144" s="57"/>
      <c r="N144" s="77"/>
      <c r="O144" s="77"/>
      <c r="P144" s="77"/>
      <c r="Q144" s="77"/>
      <c r="R144" s="77"/>
      <c r="S144" s="77"/>
      <c r="T144" s="25"/>
      <c r="U144" s="25"/>
      <c r="V144" s="25"/>
      <c r="W144" s="25"/>
      <c r="X144" s="25"/>
      <c r="Y144" s="25"/>
      <c r="Z144" s="25"/>
      <c r="AA144" s="25"/>
      <c r="AB144" s="83"/>
      <c r="AC144" s="83"/>
      <c r="AD144" s="83"/>
      <c r="AE144" s="83"/>
      <c r="AF144" s="83"/>
      <c r="AG144" s="83"/>
      <c r="AH144" s="83"/>
      <c r="AJ144" s="26"/>
      <c r="AK144" s="26"/>
      <c r="AL144" s="26"/>
      <c r="AM144" s="26"/>
      <c r="AN144" s="27"/>
      <c r="BC144" s="297"/>
      <c r="BD144" s="297"/>
      <c r="BE144" s="297"/>
    </row>
    <row r="145" spans="1:57" s="24" customFormat="1" outlineLevel="1">
      <c r="E145" s="55"/>
      <c r="F145" s="55"/>
      <c r="G145" s="57"/>
      <c r="H145" s="57"/>
      <c r="I145" s="57"/>
      <c r="J145" s="57"/>
      <c r="K145" s="57"/>
      <c r="L145" s="57"/>
      <c r="M145" s="57"/>
      <c r="N145" s="77"/>
      <c r="O145" s="77"/>
      <c r="P145" s="77"/>
      <c r="Q145" s="77"/>
      <c r="R145" s="77"/>
      <c r="S145" s="77"/>
      <c r="T145" s="25"/>
      <c r="U145" s="25"/>
      <c r="V145" s="25"/>
      <c r="W145" s="25"/>
      <c r="X145" s="25"/>
      <c r="Y145" s="25"/>
      <c r="Z145" s="25"/>
      <c r="AA145" s="25"/>
      <c r="AB145" s="83"/>
      <c r="AC145" s="83"/>
      <c r="AD145" s="83"/>
      <c r="AE145" s="83"/>
      <c r="AF145" s="83"/>
      <c r="AG145" s="83"/>
      <c r="AH145" s="83"/>
      <c r="AJ145" s="26"/>
      <c r="AK145" s="26"/>
      <c r="AL145" s="26"/>
      <c r="AM145" s="26"/>
      <c r="AN145" s="27"/>
      <c r="BC145" s="297"/>
      <c r="BD145" s="297"/>
      <c r="BE145" s="297"/>
    </row>
    <row r="146" spans="1:57" outlineLevel="1">
      <c r="A146" s="23" t="s">
        <v>340</v>
      </c>
      <c r="B146" s="50" t="s">
        <v>341</v>
      </c>
      <c r="E146" s="55"/>
      <c r="F146" s="55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AB146" s="62"/>
      <c r="AC146" s="62"/>
      <c r="AD146" s="62"/>
      <c r="AE146" s="62"/>
      <c r="AF146" s="62"/>
      <c r="AG146" s="62"/>
      <c r="AH146" s="62"/>
    </row>
    <row r="147" spans="1:57" outlineLevel="1">
      <c r="A147" s="23" t="str">
        <f>+$A$4&amp;$A$146&amp;B147</f>
        <v>VashonAccountingADJ-SB</v>
      </c>
      <c r="B147" s="23" t="s">
        <v>342</v>
      </c>
      <c r="C147" s="23" t="s">
        <v>343</v>
      </c>
      <c r="D147" s="63">
        <v>0</v>
      </c>
      <c r="E147" s="55">
        <v>0</v>
      </c>
      <c r="F147" s="55"/>
      <c r="G147" s="56">
        <v>0</v>
      </c>
      <c r="H147" s="56">
        <v>0</v>
      </c>
      <c r="I147" s="56">
        <v>0</v>
      </c>
      <c r="J147" s="56">
        <v>0</v>
      </c>
      <c r="K147" s="56">
        <v>1.6099999999999999</v>
      </c>
      <c r="L147" s="56">
        <v>0</v>
      </c>
      <c r="M147" s="56">
        <v>0.1</v>
      </c>
      <c r="N147" s="57">
        <v>0</v>
      </c>
      <c r="O147" s="57">
        <v>0</v>
      </c>
      <c r="P147" s="57">
        <v>0.05</v>
      </c>
      <c r="Q147" s="57">
        <v>0</v>
      </c>
      <c r="R147" s="57">
        <v>0</v>
      </c>
      <c r="S147" s="57">
        <v>1.76</v>
      </c>
      <c r="U147" s="62">
        <f t="shared" ref="U147:AA150" si="109">+IFERROR(G147/$D147,0)</f>
        <v>0</v>
      </c>
      <c r="V147" s="62">
        <f t="shared" si="109"/>
        <v>0</v>
      </c>
      <c r="W147" s="62">
        <f t="shared" si="109"/>
        <v>0</v>
      </c>
      <c r="X147" s="62">
        <f t="shared" si="109"/>
        <v>0</v>
      </c>
      <c r="Y147" s="62">
        <f t="shared" si="109"/>
        <v>0</v>
      </c>
      <c r="Z147" s="62">
        <f t="shared" si="109"/>
        <v>0</v>
      </c>
      <c r="AA147" s="62">
        <f t="shared" si="109"/>
        <v>0</v>
      </c>
      <c r="AB147" s="62">
        <f t="shared" ref="AB147:AF150" si="110">+IFERROR(N147/$E147,0)</f>
        <v>0</v>
      </c>
      <c r="AC147" s="62">
        <f t="shared" si="110"/>
        <v>0</v>
      </c>
      <c r="AD147" s="62">
        <f t="shared" si="110"/>
        <v>0</v>
      </c>
      <c r="AE147" s="62">
        <f t="shared" si="110"/>
        <v>0</v>
      </c>
      <c r="AF147" s="62">
        <f t="shared" si="110"/>
        <v>0</v>
      </c>
      <c r="AG147" s="62">
        <f t="shared" ref="AG147:AG150" si="111">SUM(U147:AF147)</f>
        <v>0</v>
      </c>
      <c r="AH147" s="62">
        <f t="shared" ref="AH147:AH150" si="112">+SUM(U147:AF147)/$AB$2</f>
        <v>0</v>
      </c>
    </row>
    <row r="148" spans="1:57" outlineLevel="1">
      <c r="A148" s="23" t="str">
        <f>+$A$4&amp;$A$146&amp;B148</f>
        <v>VashonAccountingADJTAX</v>
      </c>
      <c r="B148" s="23" t="s">
        <v>344</v>
      </c>
      <c r="C148" s="23" t="s">
        <v>345</v>
      </c>
      <c r="D148" s="63">
        <v>0</v>
      </c>
      <c r="E148" s="55">
        <v>0</v>
      </c>
      <c r="F148" s="55"/>
      <c r="G148" s="56">
        <v>-1.34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-1.34</v>
      </c>
      <c r="U148" s="62">
        <f t="shared" si="109"/>
        <v>0</v>
      </c>
      <c r="V148" s="62">
        <f t="shared" si="109"/>
        <v>0</v>
      </c>
      <c r="W148" s="62">
        <f t="shared" si="109"/>
        <v>0</v>
      </c>
      <c r="X148" s="62">
        <f t="shared" si="109"/>
        <v>0</v>
      </c>
      <c r="Y148" s="62">
        <f t="shared" si="109"/>
        <v>0</v>
      </c>
      <c r="Z148" s="62">
        <f t="shared" si="109"/>
        <v>0</v>
      </c>
      <c r="AA148" s="62">
        <f t="shared" si="109"/>
        <v>0</v>
      </c>
      <c r="AB148" s="62">
        <f t="shared" si="110"/>
        <v>0</v>
      </c>
      <c r="AC148" s="62">
        <f t="shared" si="110"/>
        <v>0</v>
      </c>
      <c r="AD148" s="62">
        <f t="shared" si="110"/>
        <v>0</v>
      </c>
      <c r="AE148" s="62">
        <f t="shared" si="110"/>
        <v>0</v>
      </c>
      <c r="AF148" s="62">
        <f t="shared" si="110"/>
        <v>0</v>
      </c>
      <c r="AG148" s="62">
        <f t="shared" si="111"/>
        <v>0</v>
      </c>
      <c r="AH148" s="62">
        <f t="shared" si="112"/>
        <v>0</v>
      </c>
    </row>
    <row r="149" spans="1:57" outlineLevel="1">
      <c r="A149" s="23" t="str">
        <f>+$A$4&amp;$A$146&amp;B149</f>
        <v>VashonAccountingFINCHG</v>
      </c>
      <c r="B149" s="23" t="s">
        <v>346</v>
      </c>
      <c r="C149" s="23" t="s">
        <v>347</v>
      </c>
      <c r="D149" s="63">
        <v>0</v>
      </c>
      <c r="E149" s="55">
        <v>0</v>
      </c>
      <c r="F149" s="55"/>
      <c r="G149" s="56">
        <v>64.105000000000004</v>
      </c>
      <c r="H149" s="56">
        <v>109.13500000000001</v>
      </c>
      <c r="I149" s="56">
        <v>132.33500000000001</v>
      </c>
      <c r="J149" s="56">
        <v>151.77000000000001</v>
      </c>
      <c r="K149" s="56">
        <v>67.27</v>
      </c>
      <c r="L149" s="56">
        <v>68.929999999999993</v>
      </c>
      <c r="M149" s="56">
        <v>74.85499999999999</v>
      </c>
      <c r="N149" s="57">
        <v>78.575000000000003</v>
      </c>
      <c r="O149" s="57">
        <v>72.39500000000001</v>
      </c>
      <c r="P149" s="57">
        <v>69.8</v>
      </c>
      <c r="Q149" s="57">
        <v>77.77</v>
      </c>
      <c r="R149" s="57">
        <v>88.484999999999999</v>
      </c>
      <c r="S149" s="57">
        <v>1055.425</v>
      </c>
      <c r="U149" s="62">
        <f t="shared" si="109"/>
        <v>0</v>
      </c>
      <c r="V149" s="62">
        <f t="shared" si="109"/>
        <v>0</v>
      </c>
      <c r="W149" s="62">
        <f t="shared" si="109"/>
        <v>0</v>
      </c>
      <c r="X149" s="62">
        <f t="shared" si="109"/>
        <v>0</v>
      </c>
      <c r="Y149" s="62">
        <f t="shared" si="109"/>
        <v>0</v>
      </c>
      <c r="Z149" s="62">
        <f t="shared" si="109"/>
        <v>0</v>
      </c>
      <c r="AA149" s="62">
        <f t="shared" si="109"/>
        <v>0</v>
      </c>
      <c r="AB149" s="62">
        <f t="shared" si="110"/>
        <v>0</v>
      </c>
      <c r="AC149" s="62">
        <f t="shared" si="110"/>
        <v>0</v>
      </c>
      <c r="AD149" s="62">
        <f t="shared" si="110"/>
        <v>0</v>
      </c>
      <c r="AE149" s="62">
        <f t="shared" si="110"/>
        <v>0</v>
      </c>
      <c r="AF149" s="62">
        <f t="shared" si="110"/>
        <v>0</v>
      </c>
      <c r="AG149" s="62">
        <f t="shared" si="111"/>
        <v>0</v>
      </c>
      <c r="AH149" s="62">
        <f t="shared" si="112"/>
        <v>0</v>
      </c>
    </row>
    <row r="150" spans="1:57" outlineLevel="1">
      <c r="A150" s="23" t="str">
        <f>+$A$4&amp;$A$146&amp;B150</f>
        <v>VashonAccountingNSF FEES</v>
      </c>
      <c r="B150" s="23" t="s">
        <v>348</v>
      </c>
      <c r="C150" s="23" t="s">
        <v>349</v>
      </c>
      <c r="D150" s="54">
        <v>28.08</v>
      </c>
      <c r="E150" s="54">
        <v>28.08</v>
      </c>
      <c r="F150" s="55"/>
      <c r="G150" s="56">
        <v>0</v>
      </c>
      <c r="H150" s="56">
        <v>28.08</v>
      </c>
      <c r="I150" s="56">
        <v>0</v>
      </c>
      <c r="J150" s="56">
        <v>0</v>
      </c>
      <c r="K150" s="56">
        <v>28.08</v>
      </c>
      <c r="L150" s="56">
        <v>0</v>
      </c>
      <c r="M150" s="56">
        <v>0</v>
      </c>
      <c r="N150" s="57">
        <v>0</v>
      </c>
      <c r="O150" s="57">
        <v>0</v>
      </c>
      <c r="P150" s="57">
        <v>28.08</v>
      </c>
      <c r="Q150" s="57">
        <v>0</v>
      </c>
      <c r="R150" s="57">
        <v>0</v>
      </c>
      <c r="S150" s="57">
        <v>84.24</v>
      </c>
      <c r="U150" s="62">
        <f t="shared" si="109"/>
        <v>0</v>
      </c>
      <c r="V150" s="62">
        <f t="shared" si="109"/>
        <v>1</v>
      </c>
      <c r="W150" s="62">
        <f t="shared" si="109"/>
        <v>0</v>
      </c>
      <c r="X150" s="62">
        <f t="shared" si="109"/>
        <v>0</v>
      </c>
      <c r="Y150" s="62">
        <f t="shared" si="109"/>
        <v>1</v>
      </c>
      <c r="Z150" s="62">
        <f t="shared" si="109"/>
        <v>0</v>
      </c>
      <c r="AA150" s="62">
        <f t="shared" si="109"/>
        <v>0</v>
      </c>
      <c r="AB150" s="62">
        <f t="shared" si="110"/>
        <v>0</v>
      </c>
      <c r="AC150" s="62">
        <f t="shared" si="110"/>
        <v>0</v>
      </c>
      <c r="AD150" s="62">
        <f t="shared" si="110"/>
        <v>1</v>
      </c>
      <c r="AE150" s="62">
        <f t="shared" si="110"/>
        <v>0</v>
      </c>
      <c r="AF150" s="62">
        <f t="shared" si="110"/>
        <v>0</v>
      </c>
      <c r="AG150" s="62">
        <f t="shared" si="111"/>
        <v>3</v>
      </c>
      <c r="AH150" s="62">
        <f t="shared" si="112"/>
        <v>0.25</v>
      </c>
      <c r="AQ150" s="59">
        <v>28.08</v>
      </c>
    </row>
    <row r="151" spans="1:57" outlineLevel="1">
      <c r="E151" s="55"/>
      <c r="F151" s="55"/>
      <c r="G151" s="55"/>
      <c r="H151" s="55"/>
      <c r="I151" s="55"/>
      <c r="J151" s="55"/>
      <c r="K151" s="55"/>
      <c r="L151" s="55"/>
      <c r="M151" s="55"/>
      <c r="N151" s="57"/>
      <c r="O151" s="57"/>
      <c r="P151" s="57"/>
      <c r="Q151" s="57"/>
      <c r="R151" s="57"/>
      <c r="S151" s="57"/>
      <c r="AB151" s="62"/>
      <c r="AC151" s="62"/>
      <c r="AD151" s="62"/>
      <c r="AE151" s="62"/>
      <c r="AF151" s="62"/>
      <c r="AG151" s="62"/>
      <c r="AH151" s="62"/>
    </row>
    <row r="152" spans="1:57" ht="15" outlineLevel="1" thickBot="1">
      <c r="C152" s="64" t="s">
        <v>350</v>
      </c>
      <c r="D152" s="64"/>
      <c r="E152" s="55"/>
      <c r="F152" s="55"/>
      <c r="G152" s="65">
        <f t="shared" ref="G152:S152" si="113">+SUM(G147:G151)</f>
        <v>62.765000000000001</v>
      </c>
      <c r="H152" s="65">
        <f t="shared" si="113"/>
        <v>137.215</v>
      </c>
      <c r="I152" s="65">
        <f t="shared" si="113"/>
        <v>132.33500000000001</v>
      </c>
      <c r="J152" s="65">
        <f t="shared" si="113"/>
        <v>151.77000000000001</v>
      </c>
      <c r="K152" s="65">
        <f t="shared" si="113"/>
        <v>96.96</v>
      </c>
      <c r="L152" s="65">
        <f t="shared" si="113"/>
        <v>68.929999999999993</v>
      </c>
      <c r="M152" s="65">
        <f t="shared" si="113"/>
        <v>74.954999999999984</v>
      </c>
      <c r="N152" s="65">
        <f t="shared" si="113"/>
        <v>78.575000000000003</v>
      </c>
      <c r="O152" s="65">
        <f t="shared" si="113"/>
        <v>72.39500000000001</v>
      </c>
      <c r="P152" s="65">
        <f t="shared" si="113"/>
        <v>97.929999999999993</v>
      </c>
      <c r="Q152" s="65">
        <f t="shared" si="113"/>
        <v>77.77</v>
      </c>
      <c r="R152" s="65">
        <f t="shared" si="113"/>
        <v>88.484999999999999</v>
      </c>
      <c r="S152" s="65">
        <f t="shared" si="113"/>
        <v>1140.085</v>
      </c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R152" s="82"/>
      <c r="AS152" s="82"/>
      <c r="AT152" s="82"/>
      <c r="AU152" s="82">
        <f>+AS152+S152</f>
        <v>1140.085</v>
      </c>
    </row>
    <row r="153" spans="1:57" outlineLevel="1">
      <c r="C153" s="64"/>
      <c r="D153" s="64"/>
      <c r="E153" s="55"/>
      <c r="F153" s="55"/>
      <c r="G153" s="55"/>
      <c r="H153" s="55"/>
      <c r="I153" s="55"/>
      <c r="J153" s="55"/>
      <c r="K153" s="55"/>
      <c r="L153" s="55"/>
      <c r="M153" s="55"/>
      <c r="N153" s="76"/>
      <c r="O153" s="76"/>
      <c r="P153" s="76"/>
      <c r="Q153" s="76"/>
      <c r="R153" s="76"/>
      <c r="S153" s="76"/>
      <c r="AB153" s="76"/>
      <c r="AC153" s="76"/>
      <c r="AD153" s="76"/>
      <c r="AE153" s="76"/>
      <c r="AF153" s="76"/>
      <c r="AG153" s="76"/>
      <c r="AH153" s="76"/>
    </row>
    <row r="154" spans="1:57" outlineLevel="1">
      <c r="E154" s="55"/>
      <c r="F154" s="55"/>
      <c r="G154" s="55"/>
      <c r="H154" s="55"/>
      <c r="I154" s="55"/>
      <c r="J154" s="55"/>
      <c r="K154" s="55"/>
      <c r="L154" s="55"/>
      <c r="M154" s="55"/>
      <c r="N154" s="33"/>
      <c r="O154" s="33"/>
      <c r="P154" s="33"/>
      <c r="Q154" s="33"/>
      <c r="R154" s="33"/>
      <c r="S154" s="33"/>
      <c r="AB154" s="33"/>
      <c r="AC154" s="33"/>
      <c r="AD154" s="33"/>
      <c r="AE154" s="33"/>
      <c r="AF154" s="33"/>
      <c r="AG154" s="33"/>
      <c r="AH154" s="33"/>
    </row>
    <row r="155" spans="1:57" s="24" customFormat="1">
      <c r="B155" s="24" t="s">
        <v>351</v>
      </c>
      <c r="E155" s="55"/>
      <c r="F155" s="55"/>
      <c r="G155" s="77">
        <f t="shared" ref="G155:M155" si="114">+G152</f>
        <v>62.765000000000001</v>
      </c>
      <c r="H155" s="77">
        <f t="shared" si="114"/>
        <v>137.215</v>
      </c>
      <c r="I155" s="77">
        <f t="shared" si="114"/>
        <v>132.33500000000001</v>
      </c>
      <c r="J155" s="77">
        <f t="shared" si="114"/>
        <v>151.77000000000001</v>
      </c>
      <c r="K155" s="77">
        <f t="shared" si="114"/>
        <v>96.96</v>
      </c>
      <c r="L155" s="77">
        <f t="shared" si="114"/>
        <v>68.929999999999993</v>
      </c>
      <c r="M155" s="77">
        <f t="shared" si="114"/>
        <v>74.954999999999984</v>
      </c>
      <c r="N155" s="77">
        <f>+N152</f>
        <v>78.575000000000003</v>
      </c>
      <c r="O155" s="77">
        <f t="shared" ref="O155:R155" si="115">+O152</f>
        <v>72.39500000000001</v>
      </c>
      <c r="P155" s="77">
        <f t="shared" si="115"/>
        <v>97.929999999999993</v>
      </c>
      <c r="Q155" s="77">
        <f t="shared" si="115"/>
        <v>77.77</v>
      </c>
      <c r="R155" s="77">
        <f t="shared" si="115"/>
        <v>88.484999999999999</v>
      </c>
      <c r="S155" s="77">
        <f>SUM(G155:R155)</f>
        <v>1140.085</v>
      </c>
      <c r="T155" s="25"/>
      <c r="U155" s="77">
        <f t="shared" ref="U155:AA155" si="116">+U152</f>
        <v>0</v>
      </c>
      <c r="V155" s="77">
        <f t="shared" si="116"/>
        <v>0</v>
      </c>
      <c r="W155" s="77">
        <f t="shared" si="116"/>
        <v>0</v>
      </c>
      <c r="X155" s="77">
        <f t="shared" si="116"/>
        <v>0</v>
      </c>
      <c r="Y155" s="77">
        <f t="shared" si="116"/>
        <v>0</v>
      </c>
      <c r="Z155" s="77">
        <f t="shared" si="116"/>
        <v>0</v>
      </c>
      <c r="AA155" s="77">
        <f t="shared" si="116"/>
        <v>0</v>
      </c>
      <c r="AB155" s="77">
        <f>+AB152</f>
        <v>0</v>
      </c>
      <c r="AC155" s="77">
        <f t="shared" ref="AC155" si="117">+AC152</f>
        <v>0</v>
      </c>
      <c r="AD155" s="62">
        <f>+IFERROR(P155/$F155,0)</f>
        <v>0</v>
      </c>
      <c r="AE155" s="62">
        <f>+IFERROR(Q155/$F155,0)</f>
        <v>0</v>
      </c>
      <c r="AF155" s="62">
        <f>+IFERROR(R155/$F155,0)</f>
        <v>0</v>
      </c>
      <c r="AG155" s="62">
        <f t="shared" ref="AG155" si="118">SUM(U155:AF155)</f>
        <v>0</v>
      </c>
      <c r="AH155" s="62">
        <f t="shared" ref="AH155" si="119">+SUM(U155:AF155)/$AB$2</f>
        <v>0</v>
      </c>
      <c r="AJ155" s="26"/>
      <c r="AK155" s="26"/>
      <c r="AL155" s="26"/>
      <c r="AM155" s="26"/>
      <c r="AN155" s="27"/>
      <c r="BC155" s="297"/>
      <c r="BD155" s="297"/>
      <c r="BE155" s="297"/>
    </row>
    <row r="156" spans="1:57" s="24" customFormat="1" ht="15" thickBot="1">
      <c r="E156" s="55"/>
      <c r="F156" s="55"/>
      <c r="G156" s="55"/>
      <c r="H156" s="55"/>
      <c r="I156" s="55"/>
      <c r="J156" s="55"/>
      <c r="K156" s="55"/>
      <c r="L156" s="55"/>
      <c r="M156" s="55"/>
      <c r="N156" s="84"/>
      <c r="O156" s="84"/>
      <c r="P156" s="84"/>
      <c r="Q156" s="84"/>
      <c r="R156" s="84"/>
      <c r="S156" s="85"/>
      <c r="T156" s="25"/>
      <c r="U156" s="25"/>
      <c r="V156" s="25"/>
      <c r="W156" s="25"/>
      <c r="X156" s="25"/>
      <c r="Y156" s="25"/>
      <c r="Z156" s="25"/>
      <c r="AA156" s="25"/>
      <c r="AB156" s="85"/>
      <c r="AC156" s="85"/>
      <c r="AD156" s="85"/>
      <c r="AE156" s="85"/>
      <c r="AF156" s="85"/>
      <c r="AG156" s="85"/>
      <c r="AH156" s="85"/>
      <c r="AJ156" s="26"/>
      <c r="AK156" s="26"/>
      <c r="AL156" s="26"/>
      <c r="AM156" s="26"/>
      <c r="AN156" s="27"/>
      <c r="BC156" s="297"/>
      <c r="BD156" s="297"/>
      <c r="BE156" s="297"/>
    </row>
    <row r="157" spans="1:57" ht="43.2">
      <c r="E157" s="55"/>
      <c r="F157" s="55"/>
      <c r="G157" s="55"/>
      <c r="H157" s="55"/>
      <c r="I157" s="55"/>
      <c r="J157" s="55"/>
      <c r="K157" s="55"/>
      <c r="L157" s="55"/>
      <c r="M157" s="55"/>
      <c r="N157" s="33"/>
      <c r="O157" s="33"/>
      <c r="P157" s="33"/>
      <c r="Q157" s="33"/>
      <c r="R157" s="33"/>
      <c r="S157" s="62"/>
      <c r="AB157" s="62"/>
      <c r="AC157" s="62"/>
      <c r="AD157" s="62"/>
      <c r="AE157" s="62"/>
      <c r="AF157" s="62"/>
      <c r="AG157" s="62"/>
      <c r="AH157" s="62"/>
      <c r="AP157" s="86"/>
      <c r="AQ157" s="87"/>
      <c r="AR157" s="87"/>
      <c r="AS157" s="87"/>
      <c r="AT157" s="87"/>
      <c r="AU157" s="87"/>
      <c r="AV157" s="88" t="s">
        <v>352</v>
      </c>
      <c r="AW157" s="89" t="s">
        <v>126</v>
      </c>
      <c r="AX157" s="90"/>
    </row>
    <row r="158" spans="1:57" s="24" customFormat="1" ht="15" thickBot="1">
      <c r="B158" s="24" t="s">
        <v>353</v>
      </c>
      <c r="E158" s="55"/>
      <c r="F158" s="55"/>
      <c r="G158" s="91">
        <f t="shared" ref="G158:S158" si="120">+G50+G103+G135+G143+G155</f>
        <v>108546.68999999999</v>
      </c>
      <c r="H158" s="91">
        <f t="shared" si="120"/>
        <v>115835.56500000002</v>
      </c>
      <c r="I158" s="91">
        <f t="shared" si="120"/>
        <v>107342.79500000003</v>
      </c>
      <c r="J158" s="91">
        <f t="shared" si="120"/>
        <v>111201.02000000002</v>
      </c>
      <c r="K158" s="91">
        <f t="shared" si="120"/>
        <v>106020.03000000001</v>
      </c>
      <c r="L158" s="91">
        <f t="shared" si="120"/>
        <v>105164.83</v>
      </c>
      <c r="M158" s="91">
        <f t="shared" si="120"/>
        <v>103893.31500000002</v>
      </c>
      <c r="N158" s="91">
        <f t="shared" si="120"/>
        <v>106527.50500000003</v>
      </c>
      <c r="O158" s="91">
        <f t="shared" si="120"/>
        <v>104512.91500000002</v>
      </c>
      <c r="P158" s="91">
        <f t="shared" si="120"/>
        <v>109697.95499999999</v>
      </c>
      <c r="Q158" s="91">
        <f t="shared" si="120"/>
        <v>109627.21500000001</v>
      </c>
      <c r="R158" s="91">
        <f t="shared" si="120"/>
        <v>110495.60500000003</v>
      </c>
      <c r="S158" s="91">
        <f t="shared" si="120"/>
        <v>1298865.44</v>
      </c>
      <c r="T158" s="25"/>
      <c r="U158" s="91">
        <f t="shared" ref="U158:AH158" si="121">+U50+U103+U135+U143+U155</f>
        <v>4086.0056395176443</v>
      </c>
      <c r="V158" s="91">
        <f t="shared" si="121"/>
        <v>4150.524605079042</v>
      </c>
      <c r="W158" s="91">
        <f t="shared" si="121"/>
        <v>4179.5327656276959</v>
      </c>
      <c r="X158" s="91">
        <f t="shared" si="121"/>
        <v>4244.7595551310924</v>
      </c>
      <c r="Y158" s="91">
        <f t="shared" si="121"/>
        <v>4158.7296087659224</v>
      </c>
      <c r="Z158" s="91">
        <f t="shared" si="121"/>
        <v>4185.6973886110745</v>
      </c>
      <c r="AA158" s="91">
        <f t="shared" si="121"/>
        <v>4165.7270556622907</v>
      </c>
      <c r="AB158" s="91">
        <f t="shared" si="121"/>
        <v>4118.2695501812341</v>
      </c>
      <c r="AC158" s="91">
        <f t="shared" si="121"/>
        <v>4143.1978597678908</v>
      </c>
      <c r="AD158" s="91">
        <f t="shared" si="121"/>
        <v>4191.152805844541</v>
      </c>
      <c r="AE158" s="91">
        <f t="shared" si="121"/>
        <v>4168.8503533411895</v>
      </c>
      <c r="AF158" s="91">
        <f t="shared" si="121"/>
        <v>4215.3001710948965</v>
      </c>
      <c r="AG158" s="91">
        <f t="shared" si="121"/>
        <v>50007.747358624518</v>
      </c>
      <c r="AH158" s="91">
        <f t="shared" si="121"/>
        <v>4167.3122798853765</v>
      </c>
      <c r="AJ158" s="26"/>
      <c r="AK158" s="26"/>
      <c r="AL158" s="26"/>
      <c r="AM158" s="26"/>
      <c r="AN158" s="27"/>
      <c r="AP158" s="92"/>
      <c r="AR158" s="93" t="s">
        <v>2</v>
      </c>
      <c r="AS158" s="93">
        <f ca="1">+AS127+AS91+AS35</f>
        <v>126748.0917100216</v>
      </c>
      <c r="AT158" s="93"/>
      <c r="AU158" s="94">
        <v>1231794.4489862565</v>
      </c>
      <c r="AV158" s="95">
        <f ca="1">+'LG BRG - Vashon MSW'!J21</f>
        <v>1231668.9147705042</v>
      </c>
      <c r="AW158" s="96">
        <f ca="1">+AU158-AV158</f>
        <v>125.53421575226821</v>
      </c>
      <c r="AX158" s="97"/>
      <c r="BC158" s="297"/>
      <c r="BD158" s="297"/>
      <c r="BE158" s="297"/>
    </row>
    <row r="159" spans="1:57" ht="15.6" thickTop="1" thickBot="1">
      <c r="S159" s="62"/>
      <c r="AP159" s="98"/>
      <c r="AR159" s="99" t="s">
        <v>130</v>
      </c>
      <c r="AS159" s="99">
        <f ca="1">+AS43</f>
        <v>-8363.792468779111</v>
      </c>
      <c r="AT159" s="99"/>
      <c r="AU159" s="99">
        <f ca="1">+AU43</f>
        <v>248561.27753122093</v>
      </c>
      <c r="AV159" s="100">
        <f ca="1">+'LG BRG -Vashon Recycle'!J21</f>
        <v>248422.11742863065</v>
      </c>
      <c r="AW159" s="96">
        <f ca="1">+AU159-AV159</f>
        <v>139.16010259027826</v>
      </c>
      <c r="AX159" s="101"/>
    </row>
    <row r="160" spans="1:57" ht="15.6" thickTop="1" thickBot="1">
      <c r="S160" s="62"/>
      <c r="AP160" s="102"/>
      <c r="AQ160" s="103"/>
      <c r="AR160" s="103"/>
      <c r="AS160" s="103"/>
      <c r="AT160" s="103"/>
      <c r="AU160" s="103"/>
      <c r="AV160" s="103"/>
      <c r="AW160" s="103"/>
      <c r="AX160" s="104"/>
    </row>
    <row r="161" spans="19:19">
      <c r="S161" s="62"/>
    </row>
    <row r="162" spans="19:19">
      <c r="S162" s="62"/>
    </row>
    <row r="163" spans="19:19">
      <c r="S163" s="62"/>
    </row>
    <row r="164" spans="19:19">
      <c r="S164" s="62"/>
    </row>
    <row r="165" spans="19:19">
      <c r="S165" s="62"/>
    </row>
    <row r="166" spans="19:19">
      <c r="S166" s="62"/>
    </row>
    <row r="167" spans="19:19">
      <c r="S167" s="62"/>
    </row>
    <row r="168" spans="19:19">
      <c r="S168" s="62"/>
    </row>
    <row r="169" spans="19:19">
      <c r="S169" s="62"/>
    </row>
  </sheetData>
  <autoFilter ref="B5:AP158" xr:uid="{00000000-0001-0000-0E00-000000000000}"/>
  <mergeCells count="3">
    <mergeCell ref="G4:R4"/>
    <mergeCell ref="U4:AH4"/>
    <mergeCell ref="AJ4:AN4"/>
  </mergeCells>
  <pageMargins left="0.7" right="0.7" top="0.75" bottom="0.75" header="0.3" footer="0.3"/>
  <pageSetup scale="26" fitToHeight="4" pageOrder="overThenDown" orientation="landscape" r:id="rId1"/>
  <headerFooter>
    <oddHeader>&amp;R&amp;F
&amp;A</oddHeader>
    <oddFooter>&amp;L&amp;D&amp;C&amp;P&amp;R&amp;T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1668-B969-4A1C-AEA1-9AE05FFF38B9}">
  <sheetPr>
    <tabColor theme="3"/>
  </sheetPr>
  <dimension ref="A1:AV112"/>
  <sheetViews>
    <sheetView tabSelected="1" view="pageBreakPreview" zoomScaleNormal="70" zoomScaleSheetLayoutView="100" workbookViewId="0">
      <selection activeCell="B161" sqref="B161"/>
    </sheetView>
  </sheetViews>
  <sheetFormatPr defaultColWidth="16.6640625" defaultRowHeight="15"/>
  <cols>
    <col min="1" max="1" width="4.88671875" style="115" customWidth="1"/>
    <col min="2" max="2" width="33.5546875" style="279" bestFit="1" customWidth="1"/>
    <col min="3" max="3" width="21.33203125" style="279" customWidth="1"/>
    <col min="4" max="4" width="21.33203125" style="279" hidden="1" customWidth="1"/>
    <col min="5" max="5" width="17.109375" style="279" customWidth="1"/>
    <col min="6" max="6" width="5.6640625" style="115" customWidth="1"/>
    <col min="7" max="7" width="8.5546875" style="115" customWidth="1"/>
    <col min="8" max="8" width="15" style="115" customWidth="1"/>
    <col min="9" max="9" width="17.6640625" style="115" customWidth="1"/>
    <col min="10" max="10" width="17.33203125" style="115" bestFit="1" customWidth="1"/>
    <col min="11" max="11" width="15.109375" style="115" bestFit="1" customWidth="1"/>
    <col min="12" max="13" width="20.33203125" style="115" customWidth="1"/>
    <col min="14" max="14" width="2.44140625" style="115" customWidth="1"/>
    <col min="15" max="15" width="6.33203125" style="279" customWidth="1"/>
    <col min="16" max="16" width="40.44140625" style="279" customWidth="1"/>
    <col min="17" max="17" width="16.6640625" style="116"/>
    <col min="18" max="18" width="13.88671875" style="125" customWidth="1"/>
    <col min="19" max="19" width="16.6640625" style="115"/>
    <col min="20" max="20" width="13.44140625" style="115" customWidth="1"/>
    <col min="21" max="21" width="15.6640625" style="115" customWidth="1"/>
    <col min="22" max="22" width="16.6640625" style="115"/>
    <col min="23" max="26" width="17.6640625" style="115" customWidth="1"/>
    <col min="27" max="27" width="16" style="115" customWidth="1"/>
    <col min="28" max="28" width="16.6640625" style="115"/>
    <col min="29" max="29" width="15.88671875" style="115" customWidth="1"/>
    <col min="30" max="31" width="16.6640625" style="115"/>
    <col min="32" max="32" width="16.44140625" style="115" customWidth="1"/>
    <col min="33" max="33" width="17.33203125" style="115" customWidth="1"/>
    <col min="34" max="34" width="20.6640625" style="115" customWidth="1"/>
    <col min="35" max="35" width="18.109375" style="115" customWidth="1"/>
    <col min="36" max="36" width="16.44140625" style="115" customWidth="1"/>
    <col min="37" max="37" width="16.6640625" style="115"/>
    <col min="38" max="38" width="13.88671875" style="115" customWidth="1"/>
    <col min="39" max="39" width="16.44140625" style="115" customWidth="1"/>
    <col min="40" max="51" width="15.109375" style="115" customWidth="1"/>
    <col min="52" max="16384" width="16.6640625" style="115"/>
  </cols>
  <sheetData>
    <row r="1" spans="1:37" s="110" customFormat="1" ht="15.6" thickBot="1">
      <c r="A1" s="105"/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6"/>
      <c r="P1" s="106"/>
      <c r="Q1" s="108"/>
      <c r="R1" s="109"/>
    </row>
    <row r="2" spans="1:37" ht="18.600000000000001" thickBot="1">
      <c r="A2" s="105"/>
      <c r="B2" s="289" t="s">
        <v>354</v>
      </c>
      <c r="C2" s="289"/>
      <c r="D2" s="105"/>
      <c r="E2" s="105"/>
      <c r="F2" s="111" t="s">
        <v>355</v>
      </c>
      <c r="G2" s="112"/>
      <c r="H2" s="112"/>
      <c r="I2" s="113" t="s">
        <v>356</v>
      </c>
      <c r="J2" s="112"/>
      <c r="K2" s="112"/>
      <c r="L2" s="112"/>
      <c r="M2" s="114" t="s">
        <v>355</v>
      </c>
      <c r="O2" s="105"/>
      <c r="P2" s="106"/>
      <c r="R2" s="117" t="s">
        <v>357</v>
      </c>
      <c r="S2" s="118"/>
      <c r="T2" s="119"/>
      <c r="AH2" s="290" t="s">
        <v>358</v>
      </c>
      <c r="AI2" s="291"/>
      <c r="AJ2" s="291"/>
      <c r="AK2" s="292"/>
    </row>
    <row r="3" spans="1:37" ht="16.2" thickBot="1">
      <c r="A3" s="105"/>
      <c r="B3" s="105"/>
      <c r="C3" s="105"/>
      <c r="D3" s="105"/>
      <c r="E3" s="120"/>
      <c r="F3" s="121"/>
      <c r="G3" s="122"/>
      <c r="H3" s="123"/>
      <c r="I3" s="123"/>
      <c r="J3" s="123"/>
      <c r="K3" s="124" t="s">
        <v>359</v>
      </c>
      <c r="L3" s="123"/>
      <c r="M3" s="124" t="s">
        <v>360</v>
      </c>
      <c r="O3" s="105"/>
      <c r="P3" s="106"/>
      <c r="R3" s="115"/>
      <c r="T3" s="115" t="s">
        <v>361</v>
      </c>
      <c r="V3" s="125" t="s">
        <v>361</v>
      </c>
      <c r="W3" s="125" t="s">
        <v>361</v>
      </c>
      <c r="X3" s="125" t="s">
        <v>361</v>
      </c>
      <c r="Y3" s="125"/>
      <c r="Z3" s="125" t="s">
        <v>362</v>
      </c>
      <c r="AA3" s="125" t="s">
        <v>363</v>
      </c>
      <c r="AB3" s="125" t="s">
        <v>363</v>
      </c>
      <c r="AC3" s="125" t="s">
        <v>363</v>
      </c>
      <c r="AD3" s="125" t="s">
        <v>363</v>
      </c>
      <c r="AE3" s="125" t="s">
        <v>363</v>
      </c>
      <c r="AF3" s="125" t="s">
        <v>363</v>
      </c>
      <c r="AG3" s="125" t="s">
        <v>364</v>
      </c>
      <c r="AH3" s="125" t="s">
        <v>131</v>
      </c>
      <c r="AI3" s="125" t="s">
        <v>365</v>
      </c>
      <c r="AJ3" s="125"/>
    </row>
    <row r="4" spans="1:37" ht="18.600000000000001" thickBot="1">
      <c r="A4" s="105"/>
      <c r="B4" s="126" t="s">
        <v>366</v>
      </c>
      <c r="C4" s="113"/>
      <c r="D4" s="127"/>
      <c r="E4" s="105"/>
      <c r="F4" s="128"/>
      <c r="G4" s="122"/>
      <c r="H4" s="123" t="s">
        <v>367</v>
      </c>
      <c r="I4" s="123" t="s">
        <v>368</v>
      </c>
      <c r="J4" s="123" t="s">
        <v>369</v>
      </c>
      <c r="K4" s="123" t="s">
        <v>370</v>
      </c>
      <c r="L4" s="123" t="s">
        <v>371</v>
      </c>
      <c r="M4" s="123" t="s">
        <v>372</v>
      </c>
      <c r="O4" s="129"/>
      <c r="P4" s="106"/>
      <c r="R4" s="115"/>
      <c r="T4" s="125" t="s">
        <v>373</v>
      </c>
      <c r="V4" s="125" t="s">
        <v>374</v>
      </c>
      <c r="W4" s="125" t="s">
        <v>362</v>
      </c>
      <c r="X4" s="125" t="s">
        <v>375</v>
      </c>
      <c r="Y4" s="125" t="s">
        <v>376</v>
      </c>
      <c r="Z4" s="125" t="s">
        <v>375</v>
      </c>
      <c r="AA4" s="125" t="s">
        <v>377</v>
      </c>
      <c r="AB4" s="125" t="s">
        <v>377</v>
      </c>
      <c r="AC4" s="125" t="s">
        <v>377</v>
      </c>
      <c r="AD4" s="125" t="s">
        <v>362</v>
      </c>
      <c r="AE4" s="125" t="s">
        <v>373</v>
      </c>
      <c r="AF4" s="125" t="s">
        <v>373</v>
      </c>
      <c r="AG4" s="125" t="s">
        <v>378</v>
      </c>
      <c r="AH4" s="125" t="s">
        <v>379</v>
      </c>
      <c r="AI4" s="125" t="s">
        <v>380</v>
      </c>
      <c r="AJ4" s="125" t="s">
        <v>381</v>
      </c>
      <c r="AK4" s="125" t="s">
        <v>382</v>
      </c>
    </row>
    <row r="5" spans="1:37" ht="15.6">
      <c r="A5" s="105"/>
      <c r="B5" s="130" t="s">
        <v>383</v>
      </c>
      <c r="C5" s="131">
        <v>1105428.6656374317</v>
      </c>
      <c r="D5" s="127"/>
      <c r="E5" s="132"/>
      <c r="F5" s="133" t="s">
        <v>384</v>
      </c>
      <c r="G5" s="134"/>
      <c r="H5" s="134"/>
      <c r="I5" s="123" t="s">
        <v>385</v>
      </c>
      <c r="J5" s="123" t="s">
        <v>131</v>
      </c>
      <c r="K5" s="135" t="s">
        <v>386</v>
      </c>
      <c r="L5" s="136" t="s">
        <v>387</v>
      </c>
      <c r="M5" s="135" t="s">
        <v>131</v>
      </c>
      <c r="O5" s="132"/>
      <c r="P5" s="106"/>
      <c r="R5" s="137"/>
      <c r="T5" s="125" t="s">
        <v>388</v>
      </c>
      <c r="U5" s="125" t="s">
        <v>389</v>
      </c>
      <c r="V5" s="125" t="s">
        <v>390</v>
      </c>
      <c r="W5" s="125" t="s">
        <v>391</v>
      </c>
      <c r="X5" s="125" t="s">
        <v>392</v>
      </c>
      <c r="Y5" s="125" t="s">
        <v>393</v>
      </c>
      <c r="Z5" s="125" t="s">
        <v>392</v>
      </c>
      <c r="AA5" s="125" t="s">
        <v>394</v>
      </c>
      <c r="AB5" s="125" t="s">
        <v>395</v>
      </c>
      <c r="AC5" s="125" t="s">
        <v>396</v>
      </c>
      <c r="AD5" s="125" t="s">
        <v>397</v>
      </c>
      <c r="AE5" s="125" t="s">
        <v>388</v>
      </c>
      <c r="AF5" s="125" t="s">
        <v>398</v>
      </c>
      <c r="AG5" s="125" t="s">
        <v>399</v>
      </c>
      <c r="AH5" s="125" t="s">
        <v>400</v>
      </c>
      <c r="AI5" s="125" t="s">
        <v>400</v>
      </c>
      <c r="AJ5" s="125" t="s">
        <v>399</v>
      </c>
      <c r="AK5" s="125" t="s">
        <v>364</v>
      </c>
    </row>
    <row r="6" spans="1:37" ht="15.6">
      <c r="A6" s="105"/>
      <c r="B6" s="130" t="s">
        <v>401</v>
      </c>
      <c r="C6" s="131">
        <v>1130004.8736885351</v>
      </c>
      <c r="D6" s="127"/>
      <c r="E6" s="132"/>
      <c r="F6" s="138" t="s">
        <v>402</v>
      </c>
      <c r="G6" s="134"/>
      <c r="H6" s="134"/>
      <c r="I6" s="139"/>
      <c r="J6" s="140" t="s">
        <v>403</v>
      </c>
      <c r="K6" s="141"/>
      <c r="L6" s="140" t="s">
        <v>404</v>
      </c>
      <c r="M6" s="140" t="s">
        <v>405</v>
      </c>
      <c r="O6" s="132"/>
      <c r="P6" s="106"/>
      <c r="R6" s="142">
        <v>1</v>
      </c>
      <c r="S6" s="143">
        <f>Revenue/Investment*100</f>
        <v>248.52175809786931</v>
      </c>
      <c r="T6" s="144">
        <f>EXP(y_inter1-(slope*LN(+S6)))</f>
        <v>7.8426207887911401</v>
      </c>
      <c r="U6" s="145">
        <f>(+S6*T6/100)/100</f>
        <v>0.19490619065252726</v>
      </c>
      <c r="V6" s="145">
        <f>regDebt_weighted</f>
        <v>3.5860000000000003E-2</v>
      </c>
      <c r="W6" s="145">
        <f>+U6-V6</f>
        <v>0.15904619065252726</v>
      </c>
      <c r="X6" s="145">
        <f>+((W6*(1-0.34))-Pfd_weighted)/Equity_percent</f>
        <v>0.28715257508915115</v>
      </c>
      <c r="Y6" s="145">
        <f>+C15</f>
        <v>2.5000000000000001E-3</v>
      </c>
      <c r="Z6" s="145">
        <f>+X6+Y6</f>
        <v>0.28965257508915115</v>
      </c>
      <c r="AA6" s="145">
        <f>Z6*equityP</f>
        <v>0.14706667537920631</v>
      </c>
      <c r="AB6" s="145">
        <f>+AA6/(1-taxrate)</f>
        <v>0.18616034858127381</v>
      </c>
      <c r="AC6" s="145">
        <f>debtP*Debt_Rate</f>
        <v>1.4441329649252934E-2</v>
      </c>
      <c r="AD6" s="145">
        <f>AC6+AB6</f>
        <v>0.20060167823052674</v>
      </c>
      <c r="AE6" s="145">
        <f>AD6/(S6/100)</f>
        <v>8.0717953939279885E-2</v>
      </c>
      <c r="AF6" s="145">
        <f>1-AE6</f>
        <v>0.91928204606072006</v>
      </c>
      <c r="AG6" s="146">
        <f>expenses/(AF6)</f>
        <v>1229225.4357961174</v>
      </c>
      <c r="AH6" s="147">
        <f>+AG6-Revenue</f>
        <v>123796.77015868574</v>
      </c>
      <c r="AI6" s="148">
        <f ca="1">+AH6/$J$49</f>
        <v>139262.95575207245</v>
      </c>
      <c r="AJ6" s="148">
        <f ca="1">+AI6*$J$47</f>
        <v>4468.4494952099785</v>
      </c>
      <c r="AK6" s="146">
        <f ca="1">ROUND(+AJ6+AG6,5)</f>
        <v>1233693.8852899999</v>
      </c>
    </row>
    <row r="7" spans="1:37" ht="15.6">
      <c r="A7" s="105"/>
      <c r="B7" s="130" t="s">
        <v>406</v>
      </c>
      <c r="C7" s="131">
        <v>444801.56349212182</v>
      </c>
      <c r="D7" s="127"/>
      <c r="E7" s="132"/>
      <c r="F7" s="149">
        <v>1</v>
      </c>
      <c r="G7" s="134"/>
      <c r="H7" s="150" t="s">
        <v>383</v>
      </c>
      <c r="I7" s="151">
        <f>IF(A64=TRUE,C5,0)</f>
        <v>1105428.6656374317</v>
      </c>
      <c r="J7" s="151">
        <f ca="1">(+$I8/($R50))-I7</f>
        <v>121842.34470476373</v>
      </c>
      <c r="K7" s="151">
        <f ca="1">+I7+J7</f>
        <v>1227271.0103421954</v>
      </c>
      <c r="L7" s="151">
        <f ca="1">((+J7/J49*K35)-J7)</f>
        <v>4397.9044283087278</v>
      </c>
      <c r="M7" s="151">
        <f ca="1">IFERROR(+K7+L7,0.00001)</f>
        <v>1231668.9147705042</v>
      </c>
      <c r="O7" s="132"/>
      <c r="P7" s="106"/>
      <c r="R7" s="152">
        <v>2</v>
      </c>
      <c r="S7" s="153">
        <f>Revenue/Investment*100</f>
        <v>248.52175809786931</v>
      </c>
      <c r="T7" s="154">
        <f>EXP(y_inter1-(slope*LN(+S7)))</f>
        <v>7.8426207887911401</v>
      </c>
      <c r="U7" s="155">
        <f>(+S7*T7/100)/100</f>
        <v>0.19490619065252726</v>
      </c>
      <c r="V7" s="155">
        <f>regDebt_weighted</f>
        <v>3.5860000000000003E-2</v>
      </c>
      <c r="W7" s="155">
        <f>+U7-V7</f>
        <v>0.15904619065252726</v>
      </c>
      <c r="X7" s="155">
        <f>+((W7*(1-0.34))-Pfd_weighted)/Equity_percent</f>
        <v>0.28715257508915115</v>
      </c>
      <c r="Y7" s="155">
        <f>+Y6</f>
        <v>2.5000000000000001E-3</v>
      </c>
      <c r="Z7" s="155">
        <f>+X7+Y7</f>
        <v>0.28965257508915115</v>
      </c>
      <c r="AA7" s="155">
        <f>Z7*equityP</f>
        <v>0.14706667537920631</v>
      </c>
      <c r="AB7" s="155">
        <f>+AA7/(1-taxrate)</f>
        <v>0.18616034858127381</v>
      </c>
      <c r="AC7" s="155">
        <f>debtP*Debt_Rate</f>
        <v>1.4441329649252934E-2</v>
      </c>
      <c r="AD7" s="155">
        <f>AC7+AB7</f>
        <v>0.20060167823052674</v>
      </c>
      <c r="AE7" s="155">
        <f>AD7/(S7/100)</f>
        <v>8.0717953939279885E-2</v>
      </c>
      <c r="AF7" s="155">
        <f>1-AE7</f>
        <v>0.91928204606072006</v>
      </c>
      <c r="AG7" s="156">
        <f>expenses/(AF7)</f>
        <v>1229225.4357961174</v>
      </c>
      <c r="AH7" s="157">
        <f>+AG7-Revenue</f>
        <v>123796.77015868574</v>
      </c>
      <c r="AI7" s="158">
        <f ca="1">+AH7/$J$49</f>
        <v>139262.95575207245</v>
      </c>
      <c r="AJ7" s="158">
        <f ca="1">+AI7*$J$47</f>
        <v>4468.4494952099785</v>
      </c>
      <c r="AK7" s="156">
        <f ca="1">ROUND(+AJ7+AG7,5)</f>
        <v>1233693.8852899999</v>
      </c>
    </row>
    <row r="8" spans="1:37" ht="15.6">
      <c r="A8" s="105"/>
      <c r="B8" s="130" t="s">
        <v>407</v>
      </c>
      <c r="C8" s="159">
        <v>0.49226525835670143</v>
      </c>
      <c r="D8" s="127"/>
      <c r="E8" s="105"/>
      <c r="F8" s="160">
        <f>+F7+1</f>
        <v>2</v>
      </c>
      <c r="G8" s="134"/>
      <c r="H8" s="150" t="s">
        <v>401</v>
      </c>
      <c r="I8" s="151">
        <f>IF(A64=TRUE,C6,0)</f>
        <v>1130004.8736885351</v>
      </c>
      <c r="J8" s="122"/>
      <c r="K8" s="151">
        <f>+I8</f>
        <v>1130004.8736885351</v>
      </c>
      <c r="L8" s="151">
        <f ca="1">+L7</f>
        <v>4397.9044283087278</v>
      </c>
      <c r="M8" s="151">
        <f ca="1">IFERROR(+K8+L8,0.00001)</f>
        <v>1134402.7781168439</v>
      </c>
      <c r="O8" s="132"/>
      <c r="P8" s="106"/>
      <c r="R8" s="161">
        <v>3</v>
      </c>
      <c r="S8" s="153">
        <f>Revenue/Investment*100</f>
        <v>248.52175809786931</v>
      </c>
      <c r="T8" s="154">
        <f>EXP(y_inter1-(slope*LN(+S8)))</f>
        <v>7.8426207887911401</v>
      </c>
      <c r="U8" s="155">
        <f>(+S8*T8/100)/100</f>
        <v>0.19490619065252726</v>
      </c>
      <c r="V8" s="155">
        <f>regDebt_weighted</f>
        <v>3.5860000000000003E-2</v>
      </c>
      <c r="W8" s="155">
        <f>+U8-V8</f>
        <v>0.15904619065252726</v>
      </c>
      <c r="X8" s="155">
        <f>+((W8*(1-0.34))-Pfd_weighted)/Equity_percent</f>
        <v>0.28715257508915115</v>
      </c>
      <c r="Y8" s="155">
        <f>+Y7</f>
        <v>2.5000000000000001E-3</v>
      </c>
      <c r="Z8" s="155">
        <f>+X8+Y8</f>
        <v>0.28965257508915115</v>
      </c>
      <c r="AA8" s="155">
        <f>Z8*equityP</f>
        <v>0.14706667537920631</v>
      </c>
      <c r="AB8" s="155">
        <f>+AA8/(1-taxrate)</f>
        <v>0.18616034858127381</v>
      </c>
      <c r="AC8" s="155">
        <f>debtP*Debt_Rate</f>
        <v>1.4441329649252934E-2</v>
      </c>
      <c r="AD8" s="155">
        <f>AC8+AB8</f>
        <v>0.20060167823052674</v>
      </c>
      <c r="AE8" s="155">
        <f>AD8/(S8/100)</f>
        <v>8.0717953939279885E-2</v>
      </c>
      <c r="AF8" s="155">
        <f>1-AE8</f>
        <v>0.91928204606072006</v>
      </c>
      <c r="AG8" s="156">
        <f>expenses/(AF8)</f>
        <v>1229225.4357961174</v>
      </c>
      <c r="AH8" s="157">
        <f>+AG8-Revenue</f>
        <v>123796.77015868574</v>
      </c>
      <c r="AI8" s="158">
        <f ca="1">+AH8/$J$49</f>
        <v>139262.95575207245</v>
      </c>
      <c r="AJ8" s="158">
        <f ca="1">+AI8*$J$47</f>
        <v>4468.4494952099785</v>
      </c>
      <c r="AK8" s="156">
        <f ca="1">ROUND(+AJ8+AG8,5)</f>
        <v>1233693.8852899999</v>
      </c>
    </row>
    <row r="9" spans="1:37" ht="15.6">
      <c r="A9" s="105"/>
      <c r="B9" s="130" t="s">
        <v>408</v>
      </c>
      <c r="C9" s="159">
        <v>2.9336479477470194E-2</v>
      </c>
      <c r="D9" s="127"/>
      <c r="E9" s="132"/>
      <c r="F9" s="160">
        <f t="shared" ref="F9:F49" si="0">+F8+1</f>
        <v>3</v>
      </c>
      <c r="G9" s="134"/>
      <c r="H9" s="150" t="s">
        <v>409</v>
      </c>
      <c r="I9" s="162">
        <f>+I7-I8</f>
        <v>-24576.2080511034</v>
      </c>
      <c r="J9" s="122"/>
      <c r="K9" s="162">
        <f ca="1">+K7-K8</f>
        <v>97266.136653660331</v>
      </c>
      <c r="L9" s="134"/>
      <c r="M9" s="163">
        <f ca="1">+M7-M8</f>
        <v>97266.136653660331</v>
      </c>
      <c r="O9" s="132"/>
      <c r="P9" s="106"/>
      <c r="R9" s="164">
        <v>4</v>
      </c>
      <c r="S9" s="153">
        <f>Revenue/Investment*100</f>
        <v>248.52175809786931</v>
      </c>
      <c r="T9" s="154">
        <f>EXP(y_inter1-(slope*LN(+S9)))</f>
        <v>7.8426207887911401</v>
      </c>
      <c r="U9" s="155">
        <f>(+S9*T9/100)/100</f>
        <v>0.19490619065252726</v>
      </c>
      <c r="V9" s="155">
        <f>regDebt_weighted</f>
        <v>3.5860000000000003E-2</v>
      </c>
      <c r="W9" s="155">
        <f>+U9-V9</f>
        <v>0.15904619065252726</v>
      </c>
      <c r="X9" s="155">
        <f>+((W9*(1-0.34))-Pfd_weighted)/Equity_percent</f>
        <v>0.28715257508915115</v>
      </c>
      <c r="Y9" s="155">
        <f>+Y8</f>
        <v>2.5000000000000001E-3</v>
      </c>
      <c r="Z9" s="155">
        <f>+X9+Y9</f>
        <v>0.28965257508915115</v>
      </c>
      <c r="AA9" s="155">
        <f>Z9*equityP</f>
        <v>0.14706667537920631</v>
      </c>
      <c r="AB9" s="155">
        <f>+AA9/(1-taxrate)</f>
        <v>0.18616034858127381</v>
      </c>
      <c r="AC9" s="155">
        <f>debtP*Debt_Rate</f>
        <v>1.4441329649252934E-2</v>
      </c>
      <c r="AD9" s="155">
        <f>AC9+AB9</f>
        <v>0.20060167823052674</v>
      </c>
      <c r="AE9" s="155">
        <f>AD9/(S9/100)</f>
        <v>8.0717953939279885E-2</v>
      </c>
      <c r="AF9" s="155">
        <f>1-AE9</f>
        <v>0.91928204606072006</v>
      </c>
      <c r="AG9" s="156">
        <f>expenses/(AF9)</f>
        <v>1229225.4357961174</v>
      </c>
      <c r="AH9" s="157">
        <f>+AG9-Revenue</f>
        <v>123796.77015868574</v>
      </c>
      <c r="AI9" s="158">
        <f ca="1">+AH9/$J$49</f>
        <v>139262.95575207245</v>
      </c>
      <c r="AJ9" s="158">
        <f ca="1">+AI9*$J$47</f>
        <v>4468.4494952099785</v>
      </c>
      <c r="AK9" s="156">
        <f ca="1">ROUND(+AJ9+AG9,5)</f>
        <v>1233693.8852899999</v>
      </c>
    </row>
    <row r="10" spans="1:37" ht="15.6">
      <c r="A10" s="105"/>
      <c r="B10" s="165" t="s">
        <v>410</v>
      </c>
      <c r="C10" s="159">
        <v>0.21</v>
      </c>
      <c r="D10" s="127"/>
      <c r="E10" s="132"/>
      <c r="F10" s="160">
        <f t="shared" si="0"/>
        <v>4</v>
      </c>
      <c r="G10" s="134"/>
      <c r="H10" s="134"/>
      <c r="I10" s="122"/>
      <c r="J10" s="122"/>
      <c r="K10" s="151"/>
      <c r="L10" s="134"/>
      <c r="M10" s="134"/>
      <c r="O10" s="132"/>
      <c r="P10" s="105"/>
      <c r="R10" s="125" t="s">
        <v>411</v>
      </c>
    </row>
    <row r="11" spans="1:37" ht="15.6">
      <c r="A11" s="105"/>
      <c r="B11" s="130" t="s">
        <v>412</v>
      </c>
      <c r="C11" s="159">
        <v>1.7500000000000002E-2</v>
      </c>
      <c r="D11" s="127"/>
      <c r="E11" s="132"/>
      <c r="F11" s="160">
        <f t="shared" si="0"/>
        <v>5</v>
      </c>
      <c r="G11" s="134"/>
      <c r="H11" s="150" t="s">
        <v>413</v>
      </c>
      <c r="I11" s="151">
        <f>+K11</f>
        <v>6423.526006892841</v>
      </c>
      <c r="J11" s="122"/>
      <c r="K11" s="151">
        <f>+M27</f>
        <v>6423.526006892841</v>
      </c>
      <c r="L11" s="134"/>
      <c r="M11" s="151">
        <f>+K11</f>
        <v>6423.526006892841</v>
      </c>
      <c r="O11" s="132"/>
      <c r="P11" s="105"/>
      <c r="R11" s="142">
        <v>1</v>
      </c>
      <c r="S11" s="143">
        <f ca="1">IF((AK6/Investment*100)&gt;0,(AK6/Investment*100),0)</f>
        <v>277.35826187397174</v>
      </c>
      <c r="T11" s="144">
        <f ca="1">EXP(y_inter1-(slope*LN(S11)))</f>
        <v>7.5872756047755612</v>
      </c>
      <c r="U11" s="145">
        <f ca="1">(+S11*T11/100)/100</f>
        <v>0.21043935740993377</v>
      </c>
      <c r="V11" s="145">
        <f>regDebt_weighted</f>
        <v>3.5860000000000003E-2</v>
      </c>
      <c r="W11" s="145">
        <f ca="1">+U11-V11</f>
        <v>0.17457935740993377</v>
      </c>
      <c r="X11" s="145">
        <f ca="1">+((W11*(1-0.34))-Pfd_weighted)/Equity_percent</f>
        <v>0.31695458107719848</v>
      </c>
      <c r="Y11" s="145">
        <f>+Y9</f>
        <v>2.5000000000000001E-3</v>
      </c>
      <c r="Z11" s="145">
        <f ca="1">+X11+Y11</f>
        <v>0.31945458107719849</v>
      </c>
      <c r="AA11" s="145">
        <f ca="1">Z11*equityP</f>
        <v>0.16219818918999954</v>
      </c>
      <c r="AB11" s="145">
        <f ca="1">+AA11/(1-taxrate)</f>
        <v>0.20531416353164497</v>
      </c>
      <c r="AC11" s="145">
        <f>debtP*Debt_Rate</f>
        <v>1.4441329649252934E-2</v>
      </c>
      <c r="AD11" s="145">
        <f ca="1">+AC11+AB11</f>
        <v>0.2197554931808979</v>
      </c>
      <c r="AE11" s="145">
        <f ca="1">+AD11/(S11/100)</f>
        <v>7.9231637700683366E-2</v>
      </c>
      <c r="AF11" s="145">
        <f ca="1">1-AE11</f>
        <v>0.92076836229931658</v>
      </c>
      <c r="AG11" s="146">
        <f ca="1">expenses/(AF11)</f>
        <v>1227241.2041468485</v>
      </c>
      <c r="AH11" s="147">
        <f ca="1">+AG11-Revenue</f>
        <v>121812.53850941686</v>
      </c>
      <c r="AI11" s="148">
        <f ca="1">+AH11/$J$49</f>
        <v>137030.82995412324</v>
      </c>
      <c r="AJ11" s="148">
        <f ca="1">+AI11*$J$47</f>
        <v>4396.8285724654688</v>
      </c>
      <c r="AK11" s="146">
        <f ca="1">ROUND(+AJ11+AG11,5)</f>
        <v>1231638.03272</v>
      </c>
    </row>
    <row r="12" spans="1:37" ht="15.6">
      <c r="A12" s="105"/>
      <c r="B12" s="130" t="s">
        <v>414</v>
      </c>
      <c r="C12" s="159">
        <v>5.1000000000000004E-3</v>
      </c>
      <c r="D12" s="127"/>
      <c r="E12" s="132"/>
      <c r="F12" s="160">
        <f t="shared" si="0"/>
        <v>6</v>
      </c>
      <c r="G12" s="134"/>
      <c r="H12" s="150" t="s">
        <v>415</v>
      </c>
      <c r="I12" s="151" t="e">
        <f ca="1">IF(I14&lt;0,0,+J38*I14)</f>
        <v>#VALUE!</v>
      </c>
      <c r="J12" s="151" t="e">
        <f ca="1">+K12-I12</f>
        <v>#VALUE!</v>
      </c>
      <c r="K12" s="151">
        <f ca="1">+(K9-K11)*taxrate</f>
        <v>19076.948235821172</v>
      </c>
      <c r="L12" s="134"/>
      <c r="M12" s="151">
        <f ca="1">+K12</f>
        <v>19076.948235821172</v>
      </c>
      <c r="O12" s="132"/>
      <c r="P12" s="105"/>
      <c r="R12" s="152">
        <v>2</v>
      </c>
      <c r="S12" s="153">
        <f ca="1">IF((AK7/Investment*100)&gt;0,(AK7/Investment*100),0)</f>
        <v>277.35826187397174</v>
      </c>
      <c r="T12" s="166">
        <f ca="1">EXP(y_inter2-(slope*LN(+S12)))</f>
        <v>7.5872756047755612</v>
      </c>
      <c r="U12" s="155">
        <f ca="1">(+S12*T12/100)/100</f>
        <v>0.21043935740993377</v>
      </c>
      <c r="V12" s="155">
        <f>regDebt_weighted</f>
        <v>3.5860000000000003E-2</v>
      </c>
      <c r="W12" s="155">
        <f ca="1">+U12-V12</f>
        <v>0.17457935740993377</v>
      </c>
      <c r="X12" s="155">
        <f ca="1">+((W12*(1-0.34))-Pfd_weighted)/Equity_percent</f>
        <v>0.31695458107719848</v>
      </c>
      <c r="Y12" s="155">
        <f>+Y11</f>
        <v>2.5000000000000001E-3</v>
      </c>
      <c r="Z12" s="155">
        <f ca="1">+X12+Y12</f>
        <v>0.31945458107719849</v>
      </c>
      <c r="AA12" s="155">
        <f ca="1">Z12*equityP</f>
        <v>0.16219818918999954</v>
      </c>
      <c r="AB12" s="155">
        <f ca="1">+AA12/(1-taxrate)</f>
        <v>0.20531416353164497</v>
      </c>
      <c r="AC12" s="155">
        <f>debtP*Debt_Rate</f>
        <v>1.4441329649252934E-2</v>
      </c>
      <c r="AD12" s="155">
        <f ca="1">+AC12+AB12</f>
        <v>0.2197554931808979</v>
      </c>
      <c r="AE12" s="155">
        <f ca="1">+AD12/(S12/100)</f>
        <v>7.9231637700683366E-2</v>
      </c>
      <c r="AF12" s="155">
        <f ca="1">1-AE12</f>
        <v>0.92076836229931658</v>
      </c>
      <c r="AG12" s="156">
        <f ca="1">expenses/(AF12)</f>
        <v>1227241.2041468485</v>
      </c>
      <c r="AH12" s="157">
        <f ca="1">+AG12-Revenue</f>
        <v>121812.53850941686</v>
      </c>
      <c r="AI12" s="158">
        <f ca="1">+AH12/$J$49</f>
        <v>137030.82995412324</v>
      </c>
      <c r="AJ12" s="158">
        <f ca="1">+AI12*$J$47</f>
        <v>4396.8285724654688</v>
      </c>
      <c r="AK12" s="156">
        <f ca="1">ROUND(+AJ12+AG12,5)</f>
        <v>1231638.03272</v>
      </c>
    </row>
    <row r="13" spans="1:37" ht="15.6">
      <c r="A13" s="105"/>
      <c r="B13" s="130" t="s">
        <v>416</v>
      </c>
      <c r="C13" s="159">
        <v>0</v>
      </c>
      <c r="D13" s="127"/>
      <c r="E13" s="132"/>
      <c r="F13" s="160">
        <f t="shared" si="0"/>
        <v>7</v>
      </c>
      <c r="G13" s="134"/>
      <c r="H13" s="134"/>
      <c r="I13" s="122"/>
      <c r="J13" s="122"/>
      <c r="K13" s="151"/>
      <c r="L13" s="134"/>
      <c r="M13" s="134"/>
      <c r="O13" s="132"/>
      <c r="P13" s="120"/>
      <c r="R13" s="161">
        <v>3</v>
      </c>
      <c r="S13" s="153">
        <f ca="1">IF((AK8/Investment*100)&gt;0,(AK8/Investment*100),0)</f>
        <v>277.35826187397174</v>
      </c>
      <c r="T13" s="154">
        <f ca="1">EXP(y_inter3-(slope*LN(S13)))</f>
        <v>7.5872756047755612</v>
      </c>
      <c r="U13" s="155">
        <f ca="1">(+S13*T13/100)/100</f>
        <v>0.21043935740993377</v>
      </c>
      <c r="V13" s="155">
        <f>regDebt_weighted</f>
        <v>3.5860000000000003E-2</v>
      </c>
      <c r="W13" s="155">
        <f ca="1">+U13-V13</f>
        <v>0.17457935740993377</v>
      </c>
      <c r="X13" s="155">
        <f ca="1">+((W13*(1-0.34))-Pfd_weighted)/Equity_percent</f>
        <v>0.31695458107719848</v>
      </c>
      <c r="Y13" s="155">
        <f>+Y12</f>
        <v>2.5000000000000001E-3</v>
      </c>
      <c r="Z13" s="155">
        <f ca="1">+X13+Y13</f>
        <v>0.31945458107719849</v>
      </c>
      <c r="AA13" s="155">
        <f ca="1">Z13*equityP</f>
        <v>0.16219818918999954</v>
      </c>
      <c r="AB13" s="155">
        <f ca="1">+AA13/(1-taxrate)</f>
        <v>0.20531416353164497</v>
      </c>
      <c r="AC13" s="155">
        <f>debtP*Debt_Rate</f>
        <v>1.4441329649252934E-2</v>
      </c>
      <c r="AD13" s="155">
        <f ca="1">+AC13+AB13</f>
        <v>0.2197554931808979</v>
      </c>
      <c r="AE13" s="155">
        <f ca="1">+AD13/(S13/100)</f>
        <v>7.9231637700683366E-2</v>
      </c>
      <c r="AF13" s="155">
        <f ca="1">1-AE13</f>
        <v>0.92076836229931658</v>
      </c>
      <c r="AG13" s="156">
        <f ca="1">expenses/(AF13)</f>
        <v>1227241.2041468485</v>
      </c>
      <c r="AH13" s="157">
        <f ca="1">+AG13-Revenue</f>
        <v>121812.53850941686</v>
      </c>
      <c r="AI13" s="158">
        <f ca="1">+AH13/$J$49</f>
        <v>137030.82995412324</v>
      </c>
      <c r="AJ13" s="158">
        <f ca="1">+AI13*$J$47</f>
        <v>4396.8285724654688</v>
      </c>
      <c r="AK13" s="156">
        <f ca="1">ROUND(+AJ13+AG13,5)</f>
        <v>1231638.03272</v>
      </c>
    </row>
    <row r="14" spans="1:37" ht="16.2" thickBot="1">
      <c r="A14" s="105"/>
      <c r="B14" s="167" t="s">
        <v>417</v>
      </c>
      <c r="C14" s="159">
        <v>9.4864186105965299E-3</v>
      </c>
      <c r="D14" s="127"/>
      <c r="E14" s="120"/>
      <c r="F14" s="160">
        <f t="shared" si="0"/>
        <v>8</v>
      </c>
      <c r="G14" s="134"/>
      <c r="H14" s="134" t="s">
        <v>418</v>
      </c>
      <c r="I14" s="168" t="e">
        <f ca="1">+I9-SUM(I11:I13)</f>
        <v>#VALUE!</v>
      </c>
      <c r="J14" s="122"/>
      <c r="K14" s="168">
        <f ca="1">+K9-SUM(K11:K13)</f>
        <v>71765.662410946316</v>
      </c>
      <c r="L14" s="134"/>
      <c r="M14" s="168">
        <f ca="1">+M9-SUM(M11:M13)</f>
        <v>71765.662410946316</v>
      </c>
      <c r="O14" s="132"/>
      <c r="P14" s="120"/>
      <c r="R14" s="164">
        <v>4</v>
      </c>
      <c r="S14" s="153">
        <f ca="1">IF((AK9/Investment*100)&gt;0,(AK9/Investment*100),0)</f>
        <v>277.35826187397174</v>
      </c>
      <c r="T14" s="169">
        <f ca="1">EXP(y_inter4-(slope*LN(S14)))</f>
        <v>7.5872756047755612</v>
      </c>
      <c r="U14" s="155">
        <f ca="1">(+S14*T14/100)/100</f>
        <v>0.21043935740993377</v>
      </c>
      <c r="V14" s="155">
        <f>regDebt_weighted</f>
        <v>3.5860000000000003E-2</v>
      </c>
      <c r="W14" s="155">
        <f ca="1">+U14-V14</f>
        <v>0.17457935740993377</v>
      </c>
      <c r="X14" s="155">
        <f ca="1">+((W14*(1-0.34))-Pfd_weighted)/Equity_percent</f>
        <v>0.31695458107719848</v>
      </c>
      <c r="Y14" s="155">
        <f>+Y13</f>
        <v>2.5000000000000001E-3</v>
      </c>
      <c r="Z14" s="155">
        <f ca="1">+X14+Y14</f>
        <v>0.31945458107719849</v>
      </c>
      <c r="AA14" s="155">
        <f ca="1">Z14*equityP</f>
        <v>0.16219818918999954</v>
      </c>
      <c r="AB14" s="155">
        <f ca="1">+AA14/(1-taxrate)</f>
        <v>0.20531416353164497</v>
      </c>
      <c r="AC14" s="155">
        <f>debtP*Debt_Rate</f>
        <v>1.4441329649252934E-2</v>
      </c>
      <c r="AD14" s="155">
        <f ca="1">+AC14+AB14</f>
        <v>0.2197554931808979</v>
      </c>
      <c r="AE14" s="155">
        <f ca="1">+AD14/(S14/100)</f>
        <v>7.9231637700683366E-2</v>
      </c>
      <c r="AF14" s="155">
        <f ca="1">1-AE14</f>
        <v>0.92076836229931658</v>
      </c>
      <c r="AG14" s="156">
        <f ca="1">expenses/(AF14)</f>
        <v>1227241.2041468485</v>
      </c>
      <c r="AH14" s="157">
        <f ca="1">+AG14-Revenue</f>
        <v>121812.53850941686</v>
      </c>
      <c r="AI14" s="158">
        <f ca="1">+AH14/$J$49</f>
        <v>137030.82995412324</v>
      </c>
      <c r="AJ14" s="158">
        <f ca="1">+AI14*$J$47</f>
        <v>4396.8285724654688</v>
      </c>
      <c r="AK14" s="156">
        <f ca="1">ROUND(+AJ14+AG14,5)</f>
        <v>1231638.03272</v>
      </c>
    </row>
    <row r="15" spans="1:37" ht="16.2" thickTop="1">
      <c r="A15" s="105"/>
      <c r="B15" s="167" t="s">
        <v>419</v>
      </c>
      <c r="C15" s="159">
        <v>2.5000000000000001E-3</v>
      </c>
      <c r="D15" s="105"/>
      <c r="E15" s="105"/>
      <c r="F15" s="160">
        <f t="shared" si="0"/>
        <v>9</v>
      </c>
      <c r="G15" s="122"/>
      <c r="H15" s="122"/>
      <c r="I15" s="122"/>
      <c r="J15" s="122"/>
      <c r="K15" s="170"/>
      <c r="L15" s="122"/>
      <c r="M15" s="122"/>
      <c r="O15" s="132"/>
      <c r="P15" s="132"/>
      <c r="R15" s="125" t="s">
        <v>420</v>
      </c>
    </row>
    <row r="16" spans="1:37" ht="15.6">
      <c r="A16" s="105"/>
      <c r="B16" s="105"/>
      <c r="C16" s="105"/>
      <c r="D16" s="127" t="s">
        <v>421</v>
      </c>
      <c r="E16" s="105"/>
      <c r="F16" s="160">
        <f t="shared" si="0"/>
        <v>10</v>
      </c>
      <c r="G16" s="122"/>
      <c r="H16" s="150" t="s">
        <v>422</v>
      </c>
      <c r="I16" s="171">
        <f>+I8/I7</f>
        <v>1.0222322876319947</v>
      </c>
      <c r="J16" s="172"/>
      <c r="K16" s="171">
        <f ca="1">+K8/K7</f>
        <v>0.92074600000000006</v>
      </c>
      <c r="L16" s="173"/>
      <c r="M16" s="171">
        <f ca="1">+M8/M7</f>
        <v>0.92102899124332949</v>
      </c>
      <c r="O16" s="132"/>
      <c r="P16" s="105"/>
      <c r="R16" s="142">
        <v>1</v>
      </c>
      <c r="S16" s="143">
        <f ca="1">AK11/Investment*100</f>
        <v>276.89606642801613</v>
      </c>
      <c r="T16" s="144">
        <f ca="1">EXP(y_inter1-(slope*LN(+S16)))</f>
        <v>7.5910920079710253</v>
      </c>
      <c r="U16" s="145">
        <f ca="1">(+S16*T16/100)/100</f>
        <v>0.21019435169003273</v>
      </c>
      <c r="V16" s="145">
        <f>regDebt_weighted</f>
        <v>3.5860000000000003E-2</v>
      </c>
      <c r="W16" s="145">
        <f ca="1">+U16-V16</f>
        <v>0.17433435169003272</v>
      </c>
      <c r="X16" s="145">
        <f ca="1">+((W16*(1-0.34))-Pfd_weighted)/Equity_percent</f>
        <v>0.31648451196343486</v>
      </c>
      <c r="Y16" s="145">
        <f>+Y14</f>
        <v>2.5000000000000001E-3</v>
      </c>
      <c r="Z16" s="145">
        <f ca="1">+X16+Y16</f>
        <v>0.31898451196343486</v>
      </c>
      <c r="AA16" s="145">
        <f ca="1">Z16*equityP</f>
        <v>0.16195951876996828</v>
      </c>
      <c r="AB16" s="145">
        <f ca="1">+AA16/(1-taxrate)</f>
        <v>0.2050120490759092</v>
      </c>
      <c r="AC16" s="145">
        <f>debtP*Debt_Rate</f>
        <v>1.4441329649252934E-2</v>
      </c>
      <c r="AD16" s="145">
        <f ca="1">+AC16+AB16</f>
        <v>0.21945337872516213</v>
      </c>
      <c r="AE16" s="145">
        <f ca="1">+AD16/(S16/100)</f>
        <v>7.9254783773612322E-2</v>
      </c>
      <c r="AF16" s="145">
        <f ca="1">1-AE16</f>
        <v>0.92074521622638772</v>
      </c>
      <c r="AG16" s="146">
        <f ca="1">expenses/(AF16)</f>
        <v>1227272.0550423102</v>
      </c>
      <c r="AH16" s="147">
        <f ca="1">+AG16-Revenue</f>
        <v>121843.38940487849</v>
      </c>
      <c r="AI16" s="148">
        <f ca="1">+AH16/$J$49</f>
        <v>137065.5351155267</v>
      </c>
      <c r="AJ16" s="148">
        <f ca="1">+AI16*$J$47</f>
        <v>4397.9421368022076</v>
      </c>
      <c r="AK16" s="146">
        <f ca="1">ROUND(+AJ16+AG16,5)</f>
        <v>1231669.9971799999</v>
      </c>
    </row>
    <row r="17" spans="1:37" ht="15.6">
      <c r="A17" s="105"/>
      <c r="B17" s="174" t="s">
        <v>423</v>
      </c>
      <c r="C17" s="175"/>
      <c r="D17" s="105" t="s">
        <v>424</v>
      </c>
      <c r="E17" s="105"/>
      <c r="F17" s="160">
        <f t="shared" si="0"/>
        <v>11</v>
      </c>
      <c r="G17" s="122"/>
      <c r="H17" s="122"/>
      <c r="I17" s="122"/>
      <c r="K17" s="122"/>
      <c r="L17" s="150"/>
      <c r="M17" s="150"/>
      <c r="N17" s="171"/>
      <c r="O17" s="105"/>
      <c r="P17" s="132"/>
      <c r="R17" s="152">
        <v>2</v>
      </c>
      <c r="S17" s="153">
        <f ca="1">AK12/Investment*100</f>
        <v>276.89606642801613</v>
      </c>
      <c r="T17" s="166">
        <f ca="1">EXP(y_inter2-(slope*LN(+S17)))</f>
        <v>7.5910920079710253</v>
      </c>
      <c r="U17" s="155">
        <f ca="1">(+S17*T17/100)/100</f>
        <v>0.21019435169003273</v>
      </c>
      <c r="V17" s="155">
        <f>regDebt_weighted</f>
        <v>3.5860000000000003E-2</v>
      </c>
      <c r="W17" s="155">
        <f ca="1">+U17-V17</f>
        <v>0.17433435169003272</v>
      </c>
      <c r="X17" s="155">
        <f ca="1">+((W17*(1-0.34))-Pfd_weighted)/Equity_percent</f>
        <v>0.31648451196343486</v>
      </c>
      <c r="Y17" s="155">
        <f>+Y16</f>
        <v>2.5000000000000001E-3</v>
      </c>
      <c r="Z17" s="155">
        <f ca="1">+X17+Y17</f>
        <v>0.31898451196343486</v>
      </c>
      <c r="AA17" s="155">
        <f ca="1">Z17*equityP</f>
        <v>0.16195951876996828</v>
      </c>
      <c r="AB17" s="155">
        <f ca="1">+AA17/(1-taxrate)</f>
        <v>0.2050120490759092</v>
      </c>
      <c r="AC17" s="155">
        <f>debtP*Debt_Rate</f>
        <v>1.4441329649252934E-2</v>
      </c>
      <c r="AD17" s="155">
        <f ca="1">+AC17+AB17</f>
        <v>0.21945337872516213</v>
      </c>
      <c r="AE17" s="155">
        <f ca="1">+AD17/(S17/100)</f>
        <v>7.9254783773612322E-2</v>
      </c>
      <c r="AF17" s="155">
        <f ca="1">1-AE17</f>
        <v>0.92074521622638772</v>
      </c>
      <c r="AG17" s="156">
        <f ca="1">expenses/(AF17)</f>
        <v>1227272.0550423102</v>
      </c>
      <c r="AH17" s="157">
        <f ca="1">+AG17-Revenue</f>
        <v>121843.38940487849</v>
      </c>
      <c r="AI17" s="158">
        <f ca="1">+AH17/$J$49</f>
        <v>137065.5351155267</v>
      </c>
      <c r="AJ17" s="158">
        <f ca="1">+AI17*$J$47</f>
        <v>4397.9421368022076</v>
      </c>
      <c r="AK17" s="156">
        <f ca="1">ROUND(+AJ17+AG17,5)</f>
        <v>1231669.9971799999</v>
      </c>
    </row>
    <row r="18" spans="1:37" ht="15.6">
      <c r="A18" s="105"/>
      <c r="B18" s="293"/>
      <c r="C18" s="293"/>
      <c r="D18" s="105"/>
      <c r="E18" s="105"/>
      <c r="F18" s="160">
        <f t="shared" si="0"/>
        <v>12</v>
      </c>
      <c r="G18" s="122"/>
      <c r="H18" s="176" t="s">
        <v>425</v>
      </c>
      <c r="I18" s="177"/>
      <c r="J18" s="177"/>
      <c r="K18" s="177"/>
      <c r="L18" s="177"/>
      <c r="M18" s="178"/>
      <c r="O18" s="105"/>
      <c r="P18" s="105"/>
      <c r="R18" s="161">
        <v>3</v>
      </c>
      <c r="S18" s="153">
        <f ca="1">AK13/Investment*100</f>
        <v>276.89606642801613</v>
      </c>
      <c r="T18" s="154">
        <f ca="1">EXP(y_inter3-(slope*LN(S18)))</f>
        <v>7.5910920079710253</v>
      </c>
      <c r="U18" s="155">
        <f ca="1">(+S18*T18/100)/100</f>
        <v>0.21019435169003273</v>
      </c>
      <c r="V18" s="155">
        <f>regDebt_weighted</f>
        <v>3.5860000000000003E-2</v>
      </c>
      <c r="W18" s="155">
        <f ca="1">+U18-V18</f>
        <v>0.17433435169003272</v>
      </c>
      <c r="X18" s="155">
        <f ca="1">+((W18*(1-0.34))-Pfd_weighted)/Equity_percent</f>
        <v>0.31648451196343486</v>
      </c>
      <c r="Y18" s="155">
        <f>+Y17</f>
        <v>2.5000000000000001E-3</v>
      </c>
      <c r="Z18" s="155">
        <f ca="1">+X18+Y18</f>
        <v>0.31898451196343486</v>
      </c>
      <c r="AA18" s="155">
        <f ca="1">Z18*equityP</f>
        <v>0.16195951876996828</v>
      </c>
      <c r="AB18" s="155">
        <f ca="1">+AA18/(1-taxrate)</f>
        <v>0.2050120490759092</v>
      </c>
      <c r="AC18" s="155">
        <f>debtP*Debt_Rate</f>
        <v>1.4441329649252934E-2</v>
      </c>
      <c r="AD18" s="155">
        <f ca="1">+AC18+AB18</f>
        <v>0.21945337872516213</v>
      </c>
      <c r="AE18" s="155">
        <f ca="1">+AD18/(S18/100)</f>
        <v>7.9254783773612322E-2</v>
      </c>
      <c r="AF18" s="155">
        <f ca="1">1-AE18</f>
        <v>0.92074521622638772</v>
      </c>
      <c r="AG18" s="156">
        <f ca="1">expenses/(AF18)</f>
        <v>1227272.0550423102</v>
      </c>
      <c r="AH18" s="157">
        <f ca="1">+AG18-Revenue</f>
        <v>121843.38940487849</v>
      </c>
      <c r="AI18" s="158">
        <f ca="1">+AH18/$J$49</f>
        <v>137065.5351155267</v>
      </c>
      <c r="AJ18" s="158">
        <f ca="1">+AI18*$J$47</f>
        <v>4397.9421368022076</v>
      </c>
      <c r="AK18" s="156">
        <f ca="1">ROUND(+AJ18+AG18,5)</f>
        <v>1231669.9971799999</v>
      </c>
    </row>
    <row r="19" spans="1:37" ht="15.6">
      <c r="A19" s="105"/>
      <c r="B19" s="294" t="s">
        <v>426</v>
      </c>
      <c r="C19" s="294"/>
      <c r="D19" s="105"/>
      <c r="E19" s="105"/>
      <c r="F19" s="160">
        <f t="shared" si="0"/>
        <v>13</v>
      </c>
      <c r="G19" s="122"/>
      <c r="H19" s="128"/>
      <c r="I19" s="150" t="s">
        <v>427</v>
      </c>
      <c r="J19" s="151">
        <f>+Revenue</f>
        <v>1105428.6656374317</v>
      </c>
      <c r="K19" s="179"/>
      <c r="L19" s="150" t="s">
        <v>428</v>
      </c>
      <c r="M19" s="180">
        <f ca="1">+J7</f>
        <v>121842.34470476373</v>
      </c>
      <c r="O19" s="105"/>
      <c r="P19" s="105"/>
      <c r="R19" s="164">
        <v>4</v>
      </c>
      <c r="S19" s="153">
        <f ca="1">AK14/Investment*100</f>
        <v>276.89606642801613</v>
      </c>
      <c r="T19" s="169">
        <f ca="1">EXP(y_inter4-(slope*LN(S19)))</f>
        <v>7.5910920079710253</v>
      </c>
      <c r="U19" s="155">
        <f ca="1">(+S19*T19/100)/100</f>
        <v>0.21019435169003273</v>
      </c>
      <c r="V19" s="155">
        <f>regDebt_weighted</f>
        <v>3.5860000000000003E-2</v>
      </c>
      <c r="W19" s="155">
        <f ca="1">+U19-V19</f>
        <v>0.17433435169003272</v>
      </c>
      <c r="X19" s="155">
        <f ca="1">+((W19*(1-0.34))-Pfd_weighted)/Equity_percent</f>
        <v>0.31648451196343486</v>
      </c>
      <c r="Y19" s="155">
        <f>+Y18</f>
        <v>2.5000000000000001E-3</v>
      </c>
      <c r="Z19" s="155">
        <f ca="1">+X19+Y19</f>
        <v>0.31898451196343486</v>
      </c>
      <c r="AA19" s="155">
        <f ca="1">Z19*equityP</f>
        <v>0.16195951876996828</v>
      </c>
      <c r="AB19" s="155">
        <f ca="1">+AA19/(1-taxrate)</f>
        <v>0.2050120490759092</v>
      </c>
      <c r="AC19" s="155">
        <f>debtP*Debt_Rate</f>
        <v>1.4441329649252934E-2</v>
      </c>
      <c r="AD19" s="155">
        <f ca="1">+AC19+AB19</f>
        <v>0.21945337872516213</v>
      </c>
      <c r="AE19" s="155">
        <f ca="1">+AD19/(S19/100)</f>
        <v>7.9254783773612322E-2</v>
      </c>
      <c r="AF19" s="155">
        <f ca="1">1-AE19</f>
        <v>0.92074521622638772</v>
      </c>
      <c r="AG19" s="156">
        <f ca="1">expenses/(AF19)</f>
        <v>1227272.0550423102</v>
      </c>
      <c r="AH19" s="157">
        <f ca="1">+AG19-Revenue</f>
        <v>121843.38940487849</v>
      </c>
      <c r="AI19" s="158">
        <f ca="1">+AH19/$J$49</f>
        <v>137065.5351155267</v>
      </c>
      <c r="AJ19" s="158">
        <f ca="1">+AI19*$J$47</f>
        <v>4397.9421368022076</v>
      </c>
      <c r="AK19" s="156">
        <f ca="1">ROUND(+AJ19+AG19,5)</f>
        <v>1231669.9971799999</v>
      </c>
    </row>
    <row r="20" spans="1:37" ht="15.6">
      <c r="A20" s="105"/>
      <c r="B20" s="175"/>
      <c r="C20" s="105"/>
      <c r="D20" s="105"/>
      <c r="E20" s="105"/>
      <c r="F20" s="160">
        <f t="shared" si="0"/>
        <v>14</v>
      </c>
      <c r="G20" s="122"/>
      <c r="H20" s="128"/>
      <c r="I20" s="150" t="s">
        <v>429</v>
      </c>
      <c r="J20" s="151">
        <f ca="1">+J21-J19</f>
        <v>126240.24913307256</v>
      </c>
      <c r="K20" s="181"/>
      <c r="L20" s="150" t="s">
        <v>430</v>
      </c>
      <c r="M20" s="180">
        <f ca="1">+L8</f>
        <v>4397.9044283087278</v>
      </c>
      <c r="O20" s="105"/>
      <c r="P20" s="105"/>
      <c r="R20" s="125" t="s">
        <v>431</v>
      </c>
    </row>
    <row r="21" spans="1:37" ht="16.2" thickBot="1">
      <c r="A21" s="105"/>
      <c r="B21" s="175"/>
      <c r="C21" s="175"/>
      <c r="D21" s="105"/>
      <c r="E21" s="105"/>
      <c r="F21" s="160">
        <f t="shared" si="0"/>
        <v>15</v>
      </c>
      <c r="G21" s="122"/>
      <c r="H21" s="128"/>
      <c r="I21" s="182" t="s">
        <v>425</v>
      </c>
      <c r="J21" s="183">
        <f ca="1">+M7</f>
        <v>1231668.9147705042</v>
      </c>
      <c r="L21" s="182" t="s">
        <v>429</v>
      </c>
      <c r="M21" s="184">
        <f ca="1">+M19+M20</f>
        <v>126240.24913307246</v>
      </c>
      <c r="O21" s="105"/>
      <c r="P21" s="105"/>
      <c r="R21" s="142">
        <v>1</v>
      </c>
      <c r="S21" s="143">
        <f ca="1">AK16/Investment*100</f>
        <v>276.90325265725261</v>
      </c>
      <c r="T21" s="144">
        <f ca="1">EXP(y_inter1-(slope*LN(+S21)))</f>
        <v>7.5910326069753378</v>
      </c>
      <c r="U21" s="145">
        <f ca="1">(+S21*T21/100)/100</f>
        <v>0.21019816198987351</v>
      </c>
      <c r="V21" s="145">
        <f>regDebt_weighted</f>
        <v>3.5860000000000003E-2</v>
      </c>
      <c r="W21" s="145">
        <f ca="1">+U21-V21</f>
        <v>0.17433816198987351</v>
      </c>
      <c r="X21" s="145">
        <f ca="1">+((W21*(1-0.34))-Pfd_weighted)/Equity_percent</f>
        <v>0.31649182242243173</v>
      </c>
      <c r="Y21" s="145">
        <f>+Y19</f>
        <v>2.5000000000000001E-3</v>
      </c>
      <c r="Z21" s="145">
        <f ca="1">+X21+Y21</f>
        <v>0.31899182242243174</v>
      </c>
      <c r="AA21" s="145">
        <f ca="1">Z21*equityP</f>
        <v>0.16196323054397835</v>
      </c>
      <c r="AB21" s="145">
        <f ca="1">+AA21/(1-taxrate)</f>
        <v>0.20501674752402321</v>
      </c>
      <c r="AC21" s="145">
        <f>debtP*Debt_Rate</f>
        <v>1.4441329649252934E-2</v>
      </c>
      <c r="AD21" s="145">
        <f ca="1">+AC21+AB21</f>
        <v>0.21945807717327614</v>
      </c>
      <c r="AE21" s="145">
        <f ca="1">+AD21/(S21/100)</f>
        <v>7.925442372644087E-2</v>
      </c>
      <c r="AF21" s="145">
        <f ca="1">1-AE21</f>
        <v>0.92074557627355913</v>
      </c>
      <c r="AG21" s="146">
        <f ca="1">expenses/(AF21)</f>
        <v>1227271.5751314168</v>
      </c>
      <c r="AH21" s="147">
        <f ca="1">+AG21-Revenue</f>
        <v>121842.90949398512</v>
      </c>
      <c r="AI21" s="148">
        <f ca="1">+AH21/$J$49</f>
        <v>137064.99524837651</v>
      </c>
      <c r="AJ21" s="148">
        <f ca="1">+AI21*$J$47</f>
        <v>4397.9248143988334</v>
      </c>
      <c r="AK21" s="146">
        <f ca="1">ROUND(+AJ21+AG21,5)</f>
        <v>1231669.4999500001</v>
      </c>
    </row>
    <row r="22" spans="1:37" ht="21" customHeight="1" thickTop="1">
      <c r="A22" s="105"/>
      <c r="B22" s="175"/>
      <c r="C22" s="105"/>
      <c r="D22" s="105"/>
      <c r="E22" s="105"/>
      <c r="F22" s="160">
        <f t="shared" si="0"/>
        <v>16</v>
      </c>
      <c r="G22" s="122"/>
      <c r="H22" s="185"/>
      <c r="I22" s="186"/>
      <c r="J22" s="187" t="s">
        <v>432</v>
      </c>
      <c r="K22" s="188">
        <f ca="1">+(J21/J19)-1</f>
        <v>0.11420026733274335</v>
      </c>
      <c r="L22" s="186"/>
      <c r="M22" s="189"/>
      <c r="O22" s="105"/>
      <c r="P22" s="132"/>
      <c r="R22" s="152">
        <v>2</v>
      </c>
      <c r="S22" s="153">
        <f ca="1">AK17/Investment*100</f>
        <v>276.90325265725261</v>
      </c>
      <c r="T22" s="166">
        <f ca="1">EXP(y_inter2-(slope*LN(+S22)))</f>
        <v>7.5910326069753378</v>
      </c>
      <c r="U22" s="155">
        <f ca="1">(+S22*T22/100)/100</f>
        <v>0.21019816198987351</v>
      </c>
      <c r="V22" s="155">
        <f>regDebt_weighted</f>
        <v>3.5860000000000003E-2</v>
      </c>
      <c r="W22" s="155">
        <f ca="1">+U22-V22</f>
        <v>0.17433816198987351</v>
      </c>
      <c r="X22" s="155">
        <f ca="1">+((W22*(1-0.34))-Pfd_weighted)/Equity_percent</f>
        <v>0.31649182242243173</v>
      </c>
      <c r="Y22" s="155">
        <f>+Y21</f>
        <v>2.5000000000000001E-3</v>
      </c>
      <c r="Z22" s="155">
        <f ca="1">+X22+Y22</f>
        <v>0.31899182242243174</v>
      </c>
      <c r="AA22" s="155">
        <f ca="1">Z22*equityP</f>
        <v>0.16196323054397835</v>
      </c>
      <c r="AB22" s="155">
        <f ca="1">+AA22/(1-taxrate)</f>
        <v>0.20501674752402321</v>
      </c>
      <c r="AC22" s="155">
        <f>debtP*Debt_Rate</f>
        <v>1.4441329649252934E-2</v>
      </c>
      <c r="AD22" s="155">
        <f ca="1">+AC22+AB22</f>
        <v>0.21945807717327614</v>
      </c>
      <c r="AE22" s="155">
        <f ca="1">+AD22/(S22/100)</f>
        <v>7.925442372644087E-2</v>
      </c>
      <c r="AF22" s="155">
        <f ca="1">1-AE22</f>
        <v>0.92074557627355913</v>
      </c>
      <c r="AG22" s="156">
        <f ca="1">expenses/(AF22)</f>
        <v>1227271.5751314168</v>
      </c>
      <c r="AH22" s="157">
        <f ca="1">+AG22-Revenue</f>
        <v>121842.90949398512</v>
      </c>
      <c r="AI22" s="158">
        <f ca="1">+AH22/$J$49</f>
        <v>137064.99524837651</v>
      </c>
      <c r="AJ22" s="158">
        <f ca="1">+AI22*$J$47</f>
        <v>4397.9248143988334</v>
      </c>
      <c r="AK22" s="156">
        <f ca="1">ROUND(+AJ22+AG22,5)</f>
        <v>1231669.4999500001</v>
      </c>
    </row>
    <row r="23" spans="1:37" ht="15.6">
      <c r="A23" s="105"/>
      <c r="B23" s="190" t="s">
        <v>433</v>
      </c>
      <c r="C23" s="191"/>
      <c r="D23" s="191"/>
      <c r="E23" s="191"/>
      <c r="F23" s="160">
        <f t="shared" si="0"/>
        <v>17</v>
      </c>
      <c r="H23" s="122"/>
      <c r="I23" s="122"/>
      <c r="J23" s="122"/>
      <c r="K23" s="122"/>
      <c r="L23" s="122"/>
      <c r="M23" s="122"/>
      <c r="N23" s="122"/>
      <c r="O23" s="105"/>
      <c r="P23" s="105"/>
      <c r="R23" s="161">
        <v>3</v>
      </c>
      <c r="S23" s="153">
        <f ca="1">AK18/Investment*100</f>
        <v>276.90325265725261</v>
      </c>
      <c r="T23" s="154">
        <f ca="1">EXP(y_inter3-(slope*LN(S23)))</f>
        <v>7.5910326069753378</v>
      </c>
      <c r="U23" s="155">
        <f ca="1">(+S23*T23/100)/100</f>
        <v>0.21019816198987351</v>
      </c>
      <c r="V23" s="155">
        <f>regDebt_weighted</f>
        <v>3.5860000000000003E-2</v>
      </c>
      <c r="W23" s="155">
        <f ca="1">+U23-V23</f>
        <v>0.17433816198987351</v>
      </c>
      <c r="X23" s="155">
        <f ca="1">+((W23*(1-0.34))-Pfd_weighted)/Equity_percent</f>
        <v>0.31649182242243173</v>
      </c>
      <c r="Y23" s="155">
        <f>+Y22</f>
        <v>2.5000000000000001E-3</v>
      </c>
      <c r="Z23" s="155">
        <f ca="1">+X23+Y23</f>
        <v>0.31899182242243174</v>
      </c>
      <c r="AA23" s="155">
        <f ca="1">Z23*equityP</f>
        <v>0.16196323054397835</v>
      </c>
      <c r="AB23" s="155">
        <f ca="1">+AA23/(1-taxrate)</f>
        <v>0.20501674752402321</v>
      </c>
      <c r="AC23" s="155">
        <f>debtP*Debt_Rate</f>
        <v>1.4441329649252934E-2</v>
      </c>
      <c r="AD23" s="155">
        <f ca="1">+AC23+AB23</f>
        <v>0.21945807717327614</v>
      </c>
      <c r="AE23" s="155">
        <f ca="1">+AD23/(S23/100)</f>
        <v>7.925442372644087E-2</v>
      </c>
      <c r="AF23" s="155">
        <f ca="1">1-AE23</f>
        <v>0.92074557627355913</v>
      </c>
      <c r="AG23" s="156">
        <f ca="1">expenses/(AF23)</f>
        <v>1227271.5751314168</v>
      </c>
      <c r="AH23" s="157">
        <f ca="1">+AG23-Revenue</f>
        <v>121842.90949398512</v>
      </c>
      <c r="AI23" s="158">
        <f ca="1">+AH23/$J$49</f>
        <v>137064.99524837651</v>
      </c>
      <c r="AJ23" s="158">
        <f ca="1">+AI23*$J$47</f>
        <v>4397.9248143988334</v>
      </c>
      <c r="AK23" s="156">
        <f ca="1">ROUND(+AJ23+AG23,5)</f>
        <v>1231669.4999500001</v>
      </c>
    </row>
    <row r="24" spans="1:37" ht="15.6">
      <c r="A24" s="105"/>
      <c r="B24" s="192" t="s">
        <v>434</v>
      </c>
      <c r="C24" s="191"/>
      <c r="D24" s="191"/>
      <c r="E24" s="191"/>
      <c r="F24" s="160">
        <f t="shared" si="0"/>
        <v>18</v>
      </c>
      <c r="H24" s="193" t="s">
        <v>435</v>
      </c>
      <c r="K24" s="194" t="s">
        <v>436</v>
      </c>
      <c r="L24" s="194"/>
      <c r="M24" s="194"/>
      <c r="N24" s="194"/>
      <c r="O24" s="105"/>
      <c r="P24" s="105"/>
      <c r="R24" s="164">
        <v>4</v>
      </c>
      <c r="S24" s="153">
        <f ca="1">AK19/Investment*100</f>
        <v>276.90325265725261</v>
      </c>
      <c r="T24" s="169">
        <f ca="1">EXP(y_inter4-(slope*LN(S24)))</f>
        <v>7.5910326069753378</v>
      </c>
      <c r="U24" s="155">
        <f ca="1">(+S24*T24/100)/100</f>
        <v>0.21019816198987351</v>
      </c>
      <c r="V24" s="155">
        <f>regDebt_weighted</f>
        <v>3.5860000000000003E-2</v>
      </c>
      <c r="W24" s="155">
        <f ca="1">+U24-V24</f>
        <v>0.17433816198987351</v>
      </c>
      <c r="X24" s="155">
        <f ca="1">+((W24*(1-0.34))-Pfd_weighted)/Equity_percent</f>
        <v>0.31649182242243173</v>
      </c>
      <c r="Y24" s="155">
        <f>+Y23</f>
        <v>2.5000000000000001E-3</v>
      </c>
      <c r="Z24" s="155">
        <f ca="1">+X24+Y24</f>
        <v>0.31899182242243174</v>
      </c>
      <c r="AA24" s="155">
        <f ca="1">Z24*equityP</f>
        <v>0.16196323054397835</v>
      </c>
      <c r="AB24" s="155">
        <f ca="1">+AA24/(1-taxrate)</f>
        <v>0.20501674752402321</v>
      </c>
      <c r="AC24" s="155">
        <f>debtP*Debt_Rate</f>
        <v>1.4441329649252934E-2</v>
      </c>
      <c r="AD24" s="155">
        <f ca="1">+AC24+AB24</f>
        <v>0.21945807717327614</v>
      </c>
      <c r="AE24" s="155">
        <f ca="1">+AD24/(S24/100)</f>
        <v>7.925442372644087E-2</v>
      </c>
      <c r="AF24" s="155">
        <f ca="1">1-AE24</f>
        <v>0.92074557627355913</v>
      </c>
      <c r="AG24" s="156">
        <f ca="1">expenses/(AF24)</f>
        <v>1227271.5751314168</v>
      </c>
      <c r="AH24" s="157">
        <f ca="1">+AG24-Revenue</f>
        <v>121842.90949398512</v>
      </c>
      <c r="AI24" s="158">
        <f ca="1">+AH24/$J$49</f>
        <v>137064.99524837651</v>
      </c>
      <c r="AJ24" s="158">
        <f ca="1">+AI24*$J$47</f>
        <v>4397.9248143988334</v>
      </c>
      <c r="AK24" s="156">
        <f ca="1">ROUND(+AJ24+AG24,5)</f>
        <v>1231669.4999500001</v>
      </c>
    </row>
    <row r="25" spans="1:37" ht="15.6">
      <c r="A25" s="105"/>
      <c r="B25" s="192" t="s">
        <v>437</v>
      </c>
      <c r="C25" s="191"/>
      <c r="D25" s="191"/>
      <c r="E25" s="191"/>
      <c r="F25" s="160">
        <f t="shared" si="0"/>
        <v>19</v>
      </c>
      <c r="H25" s="195" t="s">
        <v>438</v>
      </c>
      <c r="I25" s="196" t="s">
        <v>439</v>
      </c>
      <c r="J25" s="197" t="s">
        <v>440</v>
      </c>
      <c r="K25" s="195" t="s">
        <v>441</v>
      </c>
      <c r="L25" s="197" t="s">
        <v>442</v>
      </c>
      <c r="M25" s="197" t="s">
        <v>440</v>
      </c>
      <c r="O25" s="105"/>
      <c r="P25" s="120"/>
      <c r="R25" s="125" t="s">
        <v>443</v>
      </c>
      <c r="W25" s="198"/>
      <c r="X25" s="199"/>
      <c r="Y25" s="199"/>
      <c r="Z25" s="199"/>
      <c r="AA25" s="154"/>
      <c r="AB25" s="154"/>
      <c r="AC25" s="199"/>
      <c r="AE25" s="199"/>
      <c r="AF25" s="199"/>
      <c r="AG25" s="154"/>
      <c r="AH25" s="198"/>
    </row>
    <row r="26" spans="1:37" ht="15.6">
      <c r="A26" s="105"/>
      <c r="B26" s="192" t="s">
        <v>444</v>
      </c>
      <c r="C26" s="191"/>
      <c r="D26" s="191"/>
      <c r="E26" s="191"/>
      <c r="F26" s="160">
        <f t="shared" si="0"/>
        <v>20</v>
      </c>
      <c r="H26" s="150" t="s">
        <v>394</v>
      </c>
      <c r="I26" s="200">
        <f>1-I27</f>
        <v>0.50773474164329857</v>
      </c>
      <c r="J26" s="201">
        <f>+I26*J28</f>
        <v>225841.20692220773</v>
      </c>
      <c r="K26" s="171">
        <f ca="1">+K34</f>
        <v>0.31777045203122034</v>
      </c>
      <c r="L26" s="200">
        <f ca="1">+K26*I26</f>
        <v>0.16134309836394586</v>
      </c>
      <c r="M26" s="151">
        <f ca="1">+J26*K26</f>
        <v>71765.662410946316</v>
      </c>
      <c r="O26" s="105"/>
      <c r="P26" s="105"/>
      <c r="R26" s="142">
        <v>1</v>
      </c>
      <c r="S26" s="143">
        <f ca="1">AK21/Investment*100</f>
        <v>276.90314087032544</v>
      </c>
      <c r="T26" s="144">
        <f ca="1">EXP(y_inter1-(slope*LN(+S26)))</f>
        <v>7.5910335309848795</v>
      </c>
      <c r="U26" s="145">
        <f ca="1">(+S26*T26/100)/100</f>
        <v>0.210198102718167</v>
      </c>
      <c r="V26" s="145">
        <f>regDebt_weighted</f>
        <v>3.5860000000000003E-2</v>
      </c>
      <c r="W26" s="145">
        <f ca="1">+U26-V26</f>
        <v>0.17433810271816699</v>
      </c>
      <c r="X26" s="145">
        <f ca="1">+((W26*(1-0.34))-Pfd_weighted)/Equity_percent</f>
        <v>0.31649170870345988</v>
      </c>
      <c r="Y26" s="145">
        <f>+Y24</f>
        <v>2.5000000000000001E-3</v>
      </c>
      <c r="Z26" s="145">
        <f ca="1">+X26+Y26</f>
        <v>0.31899170870345989</v>
      </c>
      <c r="AA26" s="145">
        <f ca="1">Z26*equityP</f>
        <v>0.16196317280490558</v>
      </c>
      <c r="AB26" s="145">
        <f ca="1">+AA26/(1-taxrate)</f>
        <v>0.20501667443658933</v>
      </c>
      <c r="AC26" s="145">
        <f>debtP*Debt_Rate</f>
        <v>1.4441329649252934E-2</v>
      </c>
      <c r="AD26" s="145">
        <f ca="1">+AC26+AB26</f>
        <v>0.21945800408584226</v>
      </c>
      <c r="AE26" s="145">
        <f ca="1">+AD26/(S26/100)</f>
        <v>7.925442932719029E-2</v>
      </c>
      <c r="AF26" s="145">
        <f ca="1">1-AE26</f>
        <v>0.92074557067280971</v>
      </c>
      <c r="AG26" s="146">
        <f ca="1">expenses/(AF26)</f>
        <v>1227271.5825967155</v>
      </c>
      <c r="AH26" s="147">
        <f ca="1">+AG26-Revenue</f>
        <v>121842.91695928387</v>
      </c>
      <c r="AI26" s="148">
        <f ca="1">+AH26/$J$49</f>
        <v>137065.00364633041</v>
      </c>
      <c r="AJ26" s="148">
        <f ca="1">+AI26*$J$47</f>
        <v>4397.9250838590979</v>
      </c>
      <c r="AK26" s="146">
        <f ca="1">ROUND(+AJ26+AG26,5)</f>
        <v>1231669.50768</v>
      </c>
    </row>
    <row r="27" spans="1:37" ht="15.6">
      <c r="A27" s="105"/>
      <c r="B27" s="192" t="s">
        <v>445</v>
      </c>
      <c r="C27" s="191"/>
      <c r="D27" s="191"/>
      <c r="E27" s="191"/>
      <c r="F27" s="160">
        <f t="shared" si="0"/>
        <v>21</v>
      </c>
      <c r="H27" s="150" t="s">
        <v>396</v>
      </c>
      <c r="I27" s="200">
        <f>IF(A64=TRUE,C8,0)</f>
        <v>0.49226525835670143</v>
      </c>
      <c r="J27" s="202">
        <f>+I27*J28</f>
        <v>218960.35656991409</v>
      </c>
      <c r="K27" s="171">
        <f>IF(A64=TRUE,C9,0)</f>
        <v>2.9336479477470194E-2</v>
      </c>
      <c r="L27" s="200">
        <f>+K27*I27</f>
        <v>1.4441329649252934E-2</v>
      </c>
      <c r="M27" s="151">
        <f>+K27*J27</f>
        <v>6423.526006892841</v>
      </c>
      <c r="O27" s="105"/>
      <c r="P27" s="105"/>
      <c r="R27" s="152">
        <v>2</v>
      </c>
      <c r="S27" s="153">
        <f ca="1">AK22/Investment*100</f>
        <v>276.90314087032544</v>
      </c>
      <c r="T27" s="166">
        <f ca="1">EXP(y_inter2-(slope*LN(+S27)))</f>
        <v>7.5910335309848795</v>
      </c>
      <c r="U27" s="155">
        <f ca="1">(+S27*T27/100)/100</f>
        <v>0.210198102718167</v>
      </c>
      <c r="V27" s="155">
        <f>regDebt_weighted</f>
        <v>3.5860000000000003E-2</v>
      </c>
      <c r="W27" s="155">
        <f ca="1">+U27-V27</f>
        <v>0.17433810271816699</v>
      </c>
      <c r="X27" s="155">
        <f ca="1">+((W27*(1-0.34))-Pfd_weighted)/Equity_percent</f>
        <v>0.31649170870345988</v>
      </c>
      <c r="Y27" s="155">
        <f>+Y26</f>
        <v>2.5000000000000001E-3</v>
      </c>
      <c r="Z27" s="155">
        <f ca="1">+X27+Y27</f>
        <v>0.31899170870345989</v>
      </c>
      <c r="AA27" s="155">
        <f ca="1">Z27*equityP</f>
        <v>0.16196317280490558</v>
      </c>
      <c r="AB27" s="155">
        <f ca="1">+AA27/(1-taxrate)</f>
        <v>0.20501667443658933</v>
      </c>
      <c r="AC27" s="155">
        <f>debtP*Debt_Rate</f>
        <v>1.4441329649252934E-2</v>
      </c>
      <c r="AD27" s="155">
        <f ca="1">+AC27+AB27</f>
        <v>0.21945800408584226</v>
      </c>
      <c r="AE27" s="155">
        <f ca="1">+AD27/(S27/100)</f>
        <v>7.925442932719029E-2</v>
      </c>
      <c r="AF27" s="155">
        <f ca="1">1-AE27</f>
        <v>0.92074557067280971</v>
      </c>
      <c r="AG27" s="156">
        <f ca="1">expenses/(AF27)</f>
        <v>1227271.5825967155</v>
      </c>
      <c r="AH27" s="157">
        <f ca="1">+AG27-Revenue</f>
        <v>121842.91695928387</v>
      </c>
      <c r="AI27" s="158">
        <f ca="1">+AH27/$J$49</f>
        <v>137065.00364633041</v>
      </c>
      <c r="AJ27" s="158">
        <f ca="1">+AI27*$J$47</f>
        <v>4397.9250838590979</v>
      </c>
      <c r="AK27" s="156">
        <f ca="1">ROUND(+AJ27+AG27,5)</f>
        <v>1231669.50768</v>
      </c>
    </row>
    <row r="28" spans="1:37" ht="16.2" thickBot="1">
      <c r="A28" s="105"/>
      <c r="B28" s="105"/>
      <c r="C28" s="105"/>
      <c r="D28" s="105"/>
      <c r="E28" s="105"/>
      <c r="F28" s="160">
        <f t="shared" si="0"/>
        <v>22</v>
      </c>
      <c r="H28" s="150" t="s">
        <v>138</v>
      </c>
      <c r="I28" s="200">
        <f>SUM(I26:I27)</f>
        <v>1</v>
      </c>
      <c r="J28" s="203">
        <f>IF(A64=TRUE,C7,0)</f>
        <v>444801.56349212182</v>
      </c>
      <c r="K28" s="204"/>
      <c r="L28" s="205">
        <f ca="1">SUM(L26:L27)</f>
        <v>0.1757844280131988</v>
      </c>
      <c r="M28" s="203">
        <f ca="1">SUM(M26:M27)</f>
        <v>78189.188417839163</v>
      </c>
      <c r="O28" s="105"/>
      <c r="P28" s="105"/>
      <c r="R28" s="161">
        <v>3</v>
      </c>
      <c r="S28" s="153">
        <f ca="1">AK23/Investment*100</f>
        <v>276.90314087032544</v>
      </c>
      <c r="T28" s="154">
        <f ca="1">EXP(y_inter3-(slope*LN(S28)))</f>
        <v>7.5910335309848795</v>
      </c>
      <c r="U28" s="155">
        <f ca="1">(+S28*T28/100)/100</f>
        <v>0.210198102718167</v>
      </c>
      <c r="V28" s="155">
        <f>regDebt_weighted</f>
        <v>3.5860000000000003E-2</v>
      </c>
      <c r="W28" s="155">
        <f ca="1">+U28-V28</f>
        <v>0.17433810271816699</v>
      </c>
      <c r="X28" s="155">
        <f ca="1">+((W28*(1-0.34))-Pfd_weighted)/Equity_percent</f>
        <v>0.31649170870345988</v>
      </c>
      <c r="Y28" s="155">
        <f>+Y27</f>
        <v>2.5000000000000001E-3</v>
      </c>
      <c r="Z28" s="155">
        <f ca="1">+X28+Y28</f>
        <v>0.31899170870345989</v>
      </c>
      <c r="AA28" s="155">
        <f ca="1">Z28*equityP</f>
        <v>0.16196317280490558</v>
      </c>
      <c r="AB28" s="155">
        <f ca="1">+AA28/(1-taxrate)</f>
        <v>0.20501667443658933</v>
      </c>
      <c r="AC28" s="155">
        <f>debtP*Debt_Rate</f>
        <v>1.4441329649252934E-2</v>
      </c>
      <c r="AD28" s="155">
        <f ca="1">+AC28+AB28</f>
        <v>0.21945800408584226</v>
      </c>
      <c r="AE28" s="155">
        <f ca="1">+AD28/(S28/100)</f>
        <v>7.925442932719029E-2</v>
      </c>
      <c r="AF28" s="155">
        <f ca="1">1-AE28</f>
        <v>0.92074557067280971</v>
      </c>
      <c r="AG28" s="156">
        <f ca="1">expenses/(AF28)</f>
        <v>1227271.5825967155</v>
      </c>
      <c r="AH28" s="157">
        <f ca="1">+AG28-Revenue</f>
        <v>121842.91695928387</v>
      </c>
      <c r="AI28" s="158">
        <f ca="1">+AH28/$J$49</f>
        <v>137065.00364633041</v>
      </c>
      <c r="AJ28" s="158">
        <f ca="1">+AI28*$J$47</f>
        <v>4397.9250838590979</v>
      </c>
      <c r="AK28" s="156">
        <f ca="1">ROUND(+AJ28+AG28,5)</f>
        <v>1231669.50768</v>
      </c>
    </row>
    <row r="29" spans="1:37" ht="16.2" thickTop="1">
      <c r="A29" s="105"/>
      <c r="B29" s="105"/>
      <c r="C29" s="105"/>
      <c r="D29" s="105"/>
      <c r="E29" s="105"/>
      <c r="F29" s="160">
        <f t="shared" si="0"/>
        <v>23</v>
      </c>
      <c r="G29" s="122"/>
      <c r="H29" s="122"/>
      <c r="I29" s="122"/>
      <c r="J29" s="122"/>
      <c r="K29" s="122"/>
      <c r="L29" s="122"/>
      <c r="M29" s="122"/>
      <c r="N29" s="122"/>
      <c r="O29" s="105"/>
      <c r="P29" s="105"/>
      <c r="R29" s="164">
        <v>4</v>
      </c>
      <c r="S29" s="153">
        <f ca="1">AK24/Investment*100</f>
        <v>276.90314087032544</v>
      </c>
      <c r="T29" s="169">
        <f ca="1">EXP(y_inter4-(slope*LN(S29)))</f>
        <v>7.5910335309848795</v>
      </c>
      <c r="U29" s="155">
        <f ca="1">(+S29*T29/100)/100</f>
        <v>0.210198102718167</v>
      </c>
      <c r="V29" s="155">
        <f>regDebt_weighted</f>
        <v>3.5860000000000003E-2</v>
      </c>
      <c r="W29" s="155">
        <f ca="1">+U29-V29</f>
        <v>0.17433810271816699</v>
      </c>
      <c r="X29" s="155">
        <f ca="1">+((W29*(1-0.34))-Pfd_weighted)/Equity_percent</f>
        <v>0.31649170870345988</v>
      </c>
      <c r="Y29" s="155">
        <f>+Y28</f>
        <v>2.5000000000000001E-3</v>
      </c>
      <c r="Z29" s="155">
        <f ca="1">+X29+Y29</f>
        <v>0.31899170870345989</v>
      </c>
      <c r="AA29" s="155">
        <f ca="1">Z29*equityP</f>
        <v>0.16196317280490558</v>
      </c>
      <c r="AB29" s="155">
        <f ca="1">+AA29/(1-taxrate)</f>
        <v>0.20501667443658933</v>
      </c>
      <c r="AC29" s="155">
        <f>debtP*Debt_Rate</f>
        <v>1.4441329649252934E-2</v>
      </c>
      <c r="AD29" s="155">
        <f ca="1">+AC29+AB29</f>
        <v>0.21945800408584226</v>
      </c>
      <c r="AE29" s="155">
        <f ca="1">+AD29/(S29/100)</f>
        <v>7.925442932719029E-2</v>
      </c>
      <c r="AF29" s="155">
        <f ca="1">1-AE29</f>
        <v>0.92074557067280971</v>
      </c>
      <c r="AG29" s="156">
        <f ca="1">expenses/(AF29)</f>
        <v>1227271.5825967155</v>
      </c>
      <c r="AH29" s="157">
        <f ca="1">+AG29-Revenue</f>
        <v>121842.91695928387</v>
      </c>
      <c r="AI29" s="158">
        <f ca="1">+AH29/$J$49</f>
        <v>137065.00364633041</v>
      </c>
      <c r="AJ29" s="158">
        <f ca="1">+AI29*$J$47</f>
        <v>4397.9250838590979</v>
      </c>
      <c r="AK29" s="156">
        <f ca="1">ROUND(+AJ29+AG29,5)</f>
        <v>1231669.50768</v>
      </c>
    </row>
    <row r="30" spans="1:37" ht="15.6">
      <c r="A30" s="105"/>
      <c r="B30" s="105"/>
      <c r="C30" s="105"/>
      <c r="D30" s="206"/>
      <c r="E30" s="105"/>
      <c r="F30" s="160">
        <f t="shared" si="0"/>
        <v>24</v>
      </c>
      <c r="G30" s="122"/>
      <c r="H30" s="122"/>
      <c r="I30" s="122"/>
      <c r="J30" s="207" t="s">
        <v>446</v>
      </c>
      <c r="K30" s="207" t="s">
        <v>447</v>
      </c>
      <c r="L30" s="122"/>
      <c r="M30" s="122"/>
      <c r="N30" s="122"/>
      <c r="O30" s="105"/>
      <c r="P30" s="105"/>
      <c r="R30" s="125" t="s">
        <v>448</v>
      </c>
      <c r="W30" s="198"/>
      <c r="X30" s="199"/>
      <c r="Z30" s="199"/>
      <c r="AA30" s="154"/>
      <c r="AB30" s="154"/>
      <c r="AC30" s="199"/>
      <c r="AE30" s="199"/>
      <c r="AF30" s="199"/>
      <c r="AG30" s="154"/>
      <c r="AH30" s="198"/>
      <c r="AJ30" s="154"/>
    </row>
    <row r="31" spans="1:37" ht="15.6">
      <c r="A31" s="105"/>
      <c r="B31" s="105"/>
      <c r="C31" s="105"/>
      <c r="D31" s="206"/>
      <c r="E31" s="105"/>
      <c r="F31" s="160">
        <f t="shared" si="0"/>
        <v>25</v>
      </c>
      <c r="G31" s="122"/>
      <c r="H31" s="208" t="s">
        <v>449</v>
      </c>
      <c r="I31" s="209"/>
      <c r="J31" s="210" t="s">
        <v>450</v>
      </c>
      <c r="K31" s="210" t="s">
        <v>450</v>
      </c>
      <c r="L31" s="295"/>
      <c r="M31" s="295"/>
      <c r="N31" s="295"/>
      <c r="O31" s="105"/>
      <c r="P31" s="105"/>
      <c r="R31" s="142">
        <v>1</v>
      </c>
      <c r="S31" s="143">
        <f ca="1">AK26/Investment*100</f>
        <v>276.90314260817905</v>
      </c>
      <c r="T31" s="144">
        <f ca="1">EXP(y_inter1-(slope*LN(+S31)))</f>
        <v>7.5910335166201062</v>
      </c>
      <c r="U31" s="145">
        <f ca="1">(+S31*T31/100)/100</f>
        <v>0.21019810363961242</v>
      </c>
      <c r="V31" s="145">
        <f>regDebt_weighted</f>
        <v>3.5860000000000003E-2</v>
      </c>
      <c r="W31" s="145">
        <f ca="1">+U31-V31</f>
        <v>0.17433810363961241</v>
      </c>
      <c r="X31" s="145">
        <f ca="1">+((W31*(1-0.34))-Pfd_weighted)/Equity_percent</f>
        <v>0.31649171047134939</v>
      </c>
      <c r="Y31" s="145">
        <f>+Y29</f>
        <v>2.5000000000000001E-3</v>
      </c>
      <c r="Z31" s="145">
        <f ca="1">+X31+Y31</f>
        <v>0.31899171047134939</v>
      </c>
      <c r="AA31" s="145">
        <f ca="1">Z31*equityP</f>
        <v>0.16196317370252447</v>
      </c>
      <c r="AB31" s="145">
        <f ca="1">+AA31/(1-taxrate)</f>
        <v>0.20501667557281578</v>
      </c>
      <c r="AC31" s="145">
        <f>debtP*Debt_Rate</f>
        <v>1.4441329649252934E-2</v>
      </c>
      <c r="AD31" s="145">
        <f ca="1">+AC31+AB31</f>
        <v>0.21945800522206871</v>
      </c>
      <c r="AE31" s="145">
        <f ca="1">+AD31/(S31/100)</f>
        <v>7.9254429240120314E-2</v>
      </c>
      <c r="AF31" s="145">
        <f ca="1">1-AE31</f>
        <v>0.92074557075987973</v>
      </c>
      <c r="AG31" s="146">
        <f ca="1">expenses/(AF31)</f>
        <v>1227271.5824806588</v>
      </c>
      <c r="AH31" s="147">
        <f ca="1">+AG31-Revenue</f>
        <v>121842.91684322711</v>
      </c>
      <c r="AI31" s="148">
        <f ca="1">+AH31/$J$49</f>
        <v>137065.00351577444</v>
      </c>
      <c r="AJ31" s="148">
        <f ca="1">+AI31*$J$47</f>
        <v>4397.9250796700235</v>
      </c>
      <c r="AK31" s="146">
        <f ca="1">ROUND(+AJ31+AG31,5)</f>
        <v>1231669.5075600001</v>
      </c>
    </row>
    <row r="32" spans="1:37" ht="15.6">
      <c r="A32" s="105"/>
      <c r="B32" s="105"/>
      <c r="C32" s="105"/>
      <c r="D32" s="206"/>
      <c r="E32" s="105"/>
      <c r="F32" s="160">
        <f t="shared" si="0"/>
        <v>26</v>
      </c>
      <c r="G32" s="122"/>
      <c r="H32" s="134"/>
      <c r="I32" s="134"/>
      <c r="J32" s="134"/>
      <c r="K32" s="134"/>
      <c r="L32" s="122"/>
      <c r="M32" s="122"/>
      <c r="N32" s="122"/>
      <c r="O32" s="105"/>
      <c r="P32" s="105"/>
      <c r="R32" s="152">
        <v>2</v>
      </c>
      <c r="S32" s="153">
        <f ca="1">AK27/Investment*100</f>
        <v>276.90314260817905</v>
      </c>
      <c r="T32" s="166">
        <f ca="1">EXP(y_inter2-(slope*LN(+S32)))</f>
        <v>7.5910335166201062</v>
      </c>
      <c r="U32" s="155">
        <f ca="1">(+S32*T32/100)/100</f>
        <v>0.21019810363961242</v>
      </c>
      <c r="V32" s="155">
        <f>regDebt_weighted</f>
        <v>3.5860000000000003E-2</v>
      </c>
      <c r="W32" s="155">
        <f ca="1">+U32-V32</f>
        <v>0.17433810363961241</v>
      </c>
      <c r="X32" s="155">
        <f ca="1">+((W32*(1-0.34))-Pfd_weighted)/Equity_percent</f>
        <v>0.31649171047134939</v>
      </c>
      <c r="Y32" s="155">
        <f>+Y31</f>
        <v>2.5000000000000001E-3</v>
      </c>
      <c r="Z32" s="155">
        <f ca="1">+X32+Y32</f>
        <v>0.31899171047134939</v>
      </c>
      <c r="AA32" s="155">
        <f ca="1">Z32*equityP</f>
        <v>0.16196317370252447</v>
      </c>
      <c r="AB32" s="155">
        <f ca="1">+AA32/(1-taxrate)</f>
        <v>0.20501667557281578</v>
      </c>
      <c r="AC32" s="155">
        <f>debtP*Debt_Rate</f>
        <v>1.4441329649252934E-2</v>
      </c>
      <c r="AD32" s="155">
        <f ca="1">+AC32+AB32</f>
        <v>0.21945800522206871</v>
      </c>
      <c r="AE32" s="155">
        <f ca="1">+AD32/(S32/100)</f>
        <v>7.9254429240120314E-2</v>
      </c>
      <c r="AF32" s="155">
        <f ca="1">1-AE32</f>
        <v>0.92074557075987973</v>
      </c>
      <c r="AG32" s="156">
        <f ca="1">expenses/(AF32)</f>
        <v>1227271.5824806588</v>
      </c>
      <c r="AH32" s="157">
        <f ca="1">+AG32-Revenue</f>
        <v>121842.91684322711</v>
      </c>
      <c r="AI32" s="158">
        <f ca="1">+AH32/$J$49</f>
        <v>137065.00351577444</v>
      </c>
      <c r="AJ32" s="158">
        <f ca="1">+AI32*$J$47</f>
        <v>4397.9250796700235</v>
      </c>
      <c r="AK32" s="156">
        <f ca="1">ROUND(+AJ32+AG32,5)</f>
        <v>1231669.5075600001</v>
      </c>
    </row>
    <row r="33" spans="1:48" ht="15.6">
      <c r="A33" s="105"/>
      <c r="B33" s="105"/>
      <c r="C33" s="105"/>
      <c r="D33" s="105"/>
      <c r="E33" s="105"/>
      <c r="F33" s="160">
        <f t="shared" si="0"/>
        <v>27</v>
      </c>
      <c r="G33" s="122"/>
      <c r="H33" s="134" t="s">
        <v>451</v>
      </c>
      <c r="I33" s="134"/>
      <c r="J33" s="211">
        <f ca="1">+K9/J28</f>
        <v>0.21867309973019705</v>
      </c>
      <c r="K33" s="211">
        <f ca="1">+(M14+M11)/J28</f>
        <v>0.1757844280131988</v>
      </c>
      <c r="L33" s="150"/>
      <c r="M33" s="150"/>
      <c r="N33" s="151"/>
      <c r="O33" s="105"/>
      <c r="P33" s="105"/>
      <c r="R33" s="161">
        <v>3</v>
      </c>
      <c r="S33" s="153">
        <f ca="1">AK28/Investment*100</f>
        <v>276.90314260817905</v>
      </c>
      <c r="T33" s="154">
        <f ca="1">EXP(y_inter3-(slope*LN(S33)))</f>
        <v>7.5910335166201062</v>
      </c>
      <c r="U33" s="155">
        <f ca="1">(+S33*T33/100)/100</f>
        <v>0.21019810363961242</v>
      </c>
      <c r="V33" s="155">
        <f>regDebt_weighted</f>
        <v>3.5860000000000003E-2</v>
      </c>
      <c r="W33" s="155">
        <f ca="1">+U33-V33</f>
        <v>0.17433810363961241</v>
      </c>
      <c r="X33" s="155">
        <f ca="1">+((W33*(1-0.34))-Pfd_weighted)/Equity_percent</f>
        <v>0.31649171047134939</v>
      </c>
      <c r="Y33" s="155">
        <f>+Y32</f>
        <v>2.5000000000000001E-3</v>
      </c>
      <c r="Z33" s="155">
        <f ca="1">+X33+Y33</f>
        <v>0.31899171047134939</v>
      </c>
      <c r="AA33" s="155">
        <f ca="1">Z33*equityP</f>
        <v>0.16196317370252447</v>
      </c>
      <c r="AB33" s="155">
        <f ca="1">+AA33/(1-taxrate)</f>
        <v>0.20501667557281578</v>
      </c>
      <c r="AC33" s="155">
        <f>debtP*Debt_Rate</f>
        <v>1.4441329649252934E-2</v>
      </c>
      <c r="AD33" s="155">
        <f ca="1">+AC33+AB33</f>
        <v>0.21945800522206871</v>
      </c>
      <c r="AE33" s="155">
        <f ca="1">+AD33/(S33/100)</f>
        <v>7.9254429240120314E-2</v>
      </c>
      <c r="AF33" s="155">
        <f ca="1">1-AE33</f>
        <v>0.92074557075987973</v>
      </c>
      <c r="AG33" s="156">
        <f ca="1">expenses/(AF33)</f>
        <v>1227271.5824806588</v>
      </c>
      <c r="AH33" s="157">
        <f ca="1">+AG33-Revenue</f>
        <v>121842.91684322711</v>
      </c>
      <c r="AI33" s="158">
        <f ca="1">+AH33/$J$49</f>
        <v>137065.00351577444</v>
      </c>
      <c r="AJ33" s="158">
        <f ca="1">+AI33*$J$47</f>
        <v>4397.9250796700235</v>
      </c>
      <c r="AK33" s="156">
        <f ca="1">ROUND(+AJ33+AG33,5)</f>
        <v>1231669.5075600001</v>
      </c>
    </row>
    <row r="34" spans="1:48" ht="15.6">
      <c r="A34" s="105"/>
      <c r="B34" s="105"/>
      <c r="C34" s="105"/>
      <c r="D34" s="105"/>
      <c r="E34" s="105"/>
      <c r="F34" s="160">
        <f t="shared" si="0"/>
        <v>28</v>
      </c>
      <c r="G34" s="122"/>
      <c r="H34" s="134" t="s">
        <v>452</v>
      </c>
      <c r="I34" s="134"/>
      <c r="J34" s="211">
        <f ca="1">+(M9-M11)/J26</f>
        <v>0.40224107852053204</v>
      </c>
      <c r="K34" s="211">
        <f ca="1">+M14/J26</f>
        <v>0.31777045203122034</v>
      </c>
      <c r="L34" s="150"/>
      <c r="M34" s="150"/>
      <c r="N34" s="151"/>
      <c r="O34" s="212"/>
      <c r="P34" s="105"/>
      <c r="R34" s="164">
        <v>4</v>
      </c>
      <c r="S34" s="153">
        <f ca="1">AK29/Investment*100</f>
        <v>276.90314260817905</v>
      </c>
      <c r="T34" s="169">
        <f ca="1">EXP(y_inter4-(slope*LN(S34)))</f>
        <v>7.5910335166201062</v>
      </c>
      <c r="U34" s="155">
        <f ca="1">(+S34*T34/100)/100</f>
        <v>0.21019810363961242</v>
      </c>
      <c r="V34" s="155">
        <f>regDebt_weighted</f>
        <v>3.5860000000000003E-2</v>
      </c>
      <c r="W34" s="155">
        <f ca="1">+U34-V34</f>
        <v>0.17433810363961241</v>
      </c>
      <c r="X34" s="155">
        <f ca="1">+((W34*(1-0.34))-Pfd_weighted)/Equity_percent</f>
        <v>0.31649171047134939</v>
      </c>
      <c r="Y34" s="155">
        <f>+Y33</f>
        <v>2.5000000000000001E-3</v>
      </c>
      <c r="Z34" s="155">
        <f ca="1">+X34+Y34</f>
        <v>0.31899171047134939</v>
      </c>
      <c r="AA34" s="155">
        <f ca="1">Z34*equityP</f>
        <v>0.16196317370252447</v>
      </c>
      <c r="AB34" s="155">
        <f ca="1">+AA34/(1-taxrate)</f>
        <v>0.20501667557281578</v>
      </c>
      <c r="AC34" s="155">
        <f>debtP*Debt_Rate</f>
        <v>1.4441329649252934E-2</v>
      </c>
      <c r="AD34" s="155">
        <f ca="1">+AC34+AB34</f>
        <v>0.21945800522206871</v>
      </c>
      <c r="AE34" s="155">
        <f ca="1">+AD34/(S34/100)</f>
        <v>7.9254429240120314E-2</v>
      </c>
      <c r="AF34" s="155">
        <f ca="1">1-AE34</f>
        <v>0.92074557075987973</v>
      </c>
      <c r="AG34" s="156">
        <f ca="1">expenses/(AF34)</f>
        <v>1227271.5824806588</v>
      </c>
      <c r="AH34" s="157">
        <f ca="1">+AG34-Revenue</f>
        <v>121842.91684322711</v>
      </c>
      <c r="AI34" s="158">
        <f ca="1">+AH34/$J$49</f>
        <v>137065.00351577444</v>
      </c>
      <c r="AJ34" s="158">
        <f ca="1">+AI34*$J$47</f>
        <v>4397.9250796700235</v>
      </c>
      <c r="AK34" s="156">
        <f ca="1">ROUND(+AJ34+AG34,5)</f>
        <v>1231669.5075600001</v>
      </c>
    </row>
    <row r="35" spans="1:48" ht="15.6">
      <c r="A35" s="105"/>
      <c r="B35" s="105"/>
      <c r="C35" s="105"/>
      <c r="D35" s="105"/>
      <c r="E35" s="105"/>
      <c r="F35" s="160">
        <f t="shared" si="0"/>
        <v>29</v>
      </c>
      <c r="G35" s="122"/>
      <c r="H35" s="213" t="s">
        <v>398</v>
      </c>
      <c r="I35" s="134"/>
      <c r="J35" s="211">
        <f ca="1">+K8/K7</f>
        <v>0.92074600000000006</v>
      </c>
      <c r="K35" s="211">
        <f ca="1">+M8/M7</f>
        <v>0.92102899124332949</v>
      </c>
      <c r="L35" s="150"/>
      <c r="M35" s="150"/>
      <c r="N35" s="151"/>
      <c r="O35" s="105"/>
      <c r="P35" s="105"/>
      <c r="R35" s="125" t="s">
        <v>453</v>
      </c>
      <c r="X35" s="199"/>
      <c r="Y35" s="199"/>
      <c r="Z35" s="199"/>
      <c r="AA35" s="214"/>
      <c r="AB35" s="154"/>
      <c r="AC35" s="199"/>
      <c r="AE35" s="199"/>
      <c r="AF35" s="199"/>
      <c r="AG35" s="154"/>
      <c r="AH35" s="198"/>
      <c r="AJ35" s="154"/>
    </row>
    <row r="36" spans="1:48" ht="15.6">
      <c r="A36" s="105"/>
      <c r="B36" s="105"/>
      <c r="C36" s="105"/>
      <c r="D36" s="105"/>
      <c r="E36" s="105"/>
      <c r="F36" s="160">
        <f t="shared" si="0"/>
        <v>30</v>
      </c>
      <c r="G36" s="122"/>
      <c r="H36" s="134" t="s">
        <v>454</v>
      </c>
      <c r="I36" s="134"/>
      <c r="J36" s="211">
        <f ca="1">+K9/K7</f>
        <v>7.9253999999999977E-2</v>
      </c>
      <c r="K36" s="211">
        <f ca="1">+J36</f>
        <v>7.9253999999999977E-2</v>
      </c>
      <c r="L36" s="122"/>
      <c r="M36" s="122"/>
      <c r="N36" s="151"/>
      <c r="O36" s="105"/>
      <c r="P36" s="105"/>
      <c r="R36" s="142">
        <v>1</v>
      </c>
      <c r="S36" s="143">
        <f ca="1">AK31/Investment*100</f>
        <v>276.90314258120071</v>
      </c>
      <c r="T36" s="144">
        <f ca="1">EXP(y_inter1-(slope*LN(+S36)))</f>
        <v>7.5910335168431047</v>
      </c>
      <c r="U36" s="145">
        <f ca="1">(+S36*T36/100)/100</f>
        <v>0.21019810362530797</v>
      </c>
      <c r="V36" s="145">
        <f>regDebt_weighted</f>
        <v>3.5860000000000003E-2</v>
      </c>
      <c r="W36" s="145">
        <f ca="1">+U36-V36</f>
        <v>0.17433810362530797</v>
      </c>
      <c r="X36" s="145">
        <f ca="1">+((W36*(1-0.34))-Pfd_weighted)/Equity_percent</f>
        <v>0.31649171044390484</v>
      </c>
      <c r="Y36" s="145">
        <f>+Y34</f>
        <v>2.5000000000000001E-3</v>
      </c>
      <c r="Z36" s="145">
        <f ca="1">+X36+Y36</f>
        <v>0.31899171044390484</v>
      </c>
      <c r="AA36" s="145">
        <f ca="1">Z36*equityP</f>
        <v>0.16196317368858992</v>
      </c>
      <c r="AB36" s="145">
        <f ca="1">+AA36/(1-taxrate)</f>
        <v>0.20501667555517711</v>
      </c>
      <c r="AC36" s="145">
        <f>debtP*Debt_Rate</f>
        <v>1.4441329649252934E-2</v>
      </c>
      <c r="AD36" s="145">
        <f ca="1">+AC36+AB36</f>
        <v>0.21945800520443004</v>
      </c>
      <c r="AE36" s="145">
        <f ca="1">+AD36/(S36/100)</f>
        <v>7.9254429241471996E-2</v>
      </c>
      <c r="AF36" s="145">
        <f ca="1">1-AE36</f>
        <v>0.92074557075852803</v>
      </c>
      <c r="AG36" s="146">
        <f ca="1">expenses/(AF36)</f>
        <v>1227271.5824824607</v>
      </c>
      <c r="AH36" s="147">
        <f ca="1">+AG36-Revenue</f>
        <v>121842.91684502899</v>
      </c>
      <c r="AI36" s="148">
        <f ca="1">+AH36/$J$49</f>
        <v>137065.00351780144</v>
      </c>
      <c r="AJ36" s="148">
        <f ca="1">+AI36*$J$47</f>
        <v>4397.9250797350633</v>
      </c>
      <c r="AK36" s="146">
        <f ca="1">ROUND(+AJ36+AG36,5)</f>
        <v>1231669.5075600001</v>
      </c>
    </row>
    <row r="37" spans="1:48" ht="15.6">
      <c r="A37" s="105"/>
      <c r="B37" s="105"/>
      <c r="C37" s="105"/>
      <c r="D37" s="132"/>
      <c r="E37" s="105"/>
      <c r="F37" s="160">
        <f t="shared" si="0"/>
        <v>31</v>
      </c>
      <c r="G37" s="122"/>
      <c r="H37" s="134" t="s">
        <v>455</v>
      </c>
      <c r="I37" s="215"/>
      <c r="J37" s="216">
        <f ca="1">+S39/100</f>
        <v>2.769031425812007</v>
      </c>
      <c r="K37" s="216">
        <f ca="1">+J37</f>
        <v>2.769031425812007</v>
      </c>
      <c r="L37" s="122"/>
      <c r="M37" s="122"/>
      <c r="N37" s="122"/>
      <c r="O37" s="105"/>
      <c r="P37" s="105"/>
      <c r="R37" s="152">
        <v>2</v>
      </c>
      <c r="S37" s="153">
        <f ca="1">AK32/Investment*100</f>
        <v>276.90314258120071</v>
      </c>
      <c r="T37" s="166">
        <f ca="1">EXP(y_inter2-(slope*LN(+S37)))</f>
        <v>7.5910335168431047</v>
      </c>
      <c r="U37" s="155">
        <f ca="1">(+S37*T37/100)/100</f>
        <v>0.21019810362530797</v>
      </c>
      <c r="V37" s="155">
        <f>regDebt_weighted</f>
        <v>3.5860000000000003E-2</v>
      </c>
      <c r="W37" s="155">
        <f ca="1">+U37-V37</f>
        <v>0.17433810362530797</v>
      </c>
      <c r="X37" s="155">
        <f ca="1">+((W37*(1-0.34))-Pfd_weighted)/Equity_percent</f>
        <v>0.31649171044390484</v>
      </c>
      <c r="Y37" s="155">
        <f>+Y36</f>
        <v>2.5000000000000001E-3</v>
      </c>
      <c r="Z37" s="155">
        <f ca="1">+X37+Y37</f>
        <v>0.31899171044390484</v>
      </c>
      <c r="AA37" s="155">
        <f ca="1">Z37*equityP</f>
        <v>0.16196317368858992</v>
      </c>
      <c r="AB37" s="155">
        <f ca="1">+AA37/(1-taxrate)</f>
        <v>0.20501667555517711</v>
      </c>
      <c r="AC37" s="155">
        <f>debtP*Debt_Rate</f>
        <v>1.4441329649252934E-2</v>
      </c>
      <c r="AD37" s="155">
        <f ca="1">+AC37+AB37</f>
        <v>0.21945800520443004</v>
      </c>
      <c r="AE37" s="155">
        <f ca="1">+AD37/(S37/100)</f>
        <v>7.9254429241471996E-2</v>
      </c>
      <c r="AF37" s="155">
        <f ca="1">1-AE37</f>
        <v>0.92074557075852803</v>
      </c>
      <c r="AG37" s="156">
        <f ca="1">expenses/(AF37)</f>
        <v>1227271.5824824607</v>
      </c>
      <c r="AH37" s="157">
        <f ca="1">+AG37-Revenue</f>
        <v>121842.91684502899</v>
      </c>
      <c r="AI37" s="158">
        <f ca="1">+AH37/$J$49</f>
        <v>137065.00351780144</v>
      </c>
      <c r="AJ37" s="158">
        <f ca="1">+AI37*$J$47</f>
        <v>4397.9250797350633</v>
      </c>
      <c r="AK37" s="156">
        <f ca="1">ROUND(+AJ37+AG37,5)</f>
        <v>1231669.5075600001</v>
      </c>
    </row>
    <row r="38" spans="1:48" ht="15.6">
      <c r="A38" s="105"/>
      <c r="B38" s="105"/>
      <c r="C38" s="105"/>
      <c r="D38" s="132"/>
      <c r="E38" s="105"/>
      <c r="F38" s="160">
        <f t="shared" si="0"/>
        <v>32</v>
      </c>
      <c r="G38" s="122"/>
      <c r="H38" s="134" t="s">
        <v>456</v>
      </c>
      <c r="I38" s="122"/>
      <c r="J38" s="211">
        <f>+C10</f>
        <v>0.21</v>
      </c>
      <c r="K38" s="211">
        <f>+J38</f>
        <v>0.21</v>
      </c>
      <c r="L38" s="122"/>
      <c r="M38" s="122"/>
      <c r="N38" s="122"/>
      <c r="O38" s="105"/>
      <c r="P38" s="105"/>
      <c r="Q38" s="217"/>
      <c r="R38" s="161">
        <v>3</v>
      </c>
      <c r="S38" s="153">
        <f ca="1">AK33/Investment*100</f>
        <v>276.90314258120071</v>
      </c>
      <c r="T38" s="154">
        <f ca="1">EXP(y_inter3-(slope*LN(S38)))</f>
        <v>7.5910335168431047</v>
      </c>
      <c r="U38" s="155">
        <f ca="1">(+S38*T38/100)/100</f>
        <v>0.21019810362530797</v>
      </c>
      <c r="V38" s="155">
        <f>regDebt_weighted</f>
        <v>3.5860000000000003E-2</v>
      </c>
      <c r="W38" s="155">
        <f ca="1">+U38-V38</f>
        <v>0.17433810362530797</v>
      </c>
      <c r="X38" s="155">
        <f ca="1">+((W38*(1-0.34))-Pfd_weighted)/Equity_percent</f>
        <v>0.31649171044390484</v>
      </c>
      <c r="Y38" s="155">
        <f>+Y37</f>
        <v>2.5000000000000001E-3</v>
      </c>
      <c r="Z38" s="155">
        <f ca="1">+X38+Y38</f>
        <v>0.31899171044390484</v>
      </c>
      <c r="AA38" s="155">
        <f ca="1">Z38*equityP</f>
        <v>0.16196317368858992</v>
      </c>
      <c r="AB38" s="155">
        <f ca="1">+AA38/(1-taxrate)</f>
        <v>0.20501667555517711</v>
      </c>
      <c r="AC38" s="155">
        <f>debtP*Debt_Rate</f>
        <v>1.4441329649252934E-2</v>
      </c>
      <c r="AD38" s="155">
        <f ca="1">+AC38+AB38</f>
        <v>0.21945800520443004</v>
      </c>
      <c r="AE38" s="155">
        <f ca="1">+AD38/(S38/100)</f>
        <v>7.9254429241471996E-2</v>
      </c>
      <c r="AF38" s="155">
        <f ca="1">1-AE38</f>
        <v>0.92074557075852803</v>
      </c>
      <c r="AG38" s="156">
        <f ca="1">expenses/(AF38)</f>
        <v>1227271.5824824607</v>
      </c>
      <c r="AH38" s="157">
        <f ca="1">+AG38-Revenue</f>
        <v>121842.91684502899</v>
      </c>
      <c r="AI38" s="158">
        <f ca="1">+AH38/$J$49</f>
        <v>137065.00351780144</v>
      </c>
      <c r="AJ38" s="158">
        <f ca="1">+AI38*$J$47</f>
        <v>4397.9250797350633</v>
      </c>
      <c r="AK38" s="156">
        <f ca="1">ROUND(+AJ38+AG38,5)</f>
        <v>1231669.5075600001</v>
      </c>
    </row>
    <row r="39" spans="1:48" ht="15.6">
      <c r="A39" s="105"/>
      <c r="B39" s="105"/>
      <c r="C39" s="105"/>
      <c r="D39" s="206"/>
      <c r="E39" s="105"/>
      <c r="F39" s="160">
        <f t="shared" si="0"/>
        <v>33</v>
      </c>
      <c r="G39" s="122"/>
      <c r="H39" s="122"/>
      <c r="I39" s="122"/>
      <c r="J39" s="122"/>
      <c r="K39" s="122"/>
      <c r="L39" s="122"/>
      <c r="M39" s="122"/>
      <c r="N39" s="122"/>
      <c r="O39" s="105"/>
      <c r="P39" s="105"/>
      <c r="R39" s="164">
        <v>4</v>
      </c>
      <c r="S39" s="153">
        <f ca="1">AK34/Investment*100</f>
        <v>276.90314258120071</v>
      </c>
      <c r="T39" s="169">
        <f ca="1">EXP(y_inter4-(slope*LN(S39)))</f>
        <v>7.5910335168431047</v>
      </c>
      <c r="U39" s="155">
        <f ca="1">(+S39*T39/100)/100</f>
        <v>0.21019810362530797</v>
      </c>
      <c r="V39" s="155">
        <f>regDebt_weighted</f>
        <v>3.5860000000000003E-2</v>
      </c>
      <c r="W39" s="155">
        <f ca="1">+U39-V39</f>
        <v>0.17433810362530797</v>
      </c>
      <c r="X39" s="155">
        <f ca="1">+((W39*(1-0.34))-Pfd_weighted)/Equity_percent</f>
        <v>0.31649171044390484</v>
      </c>
      <c r="Y39" s="155">
        <f>+Y38</f>
        <v>2.5000000000000001E-3</v>
      </c>
      <c r="Z39" s="155">
        <f ca="1">+X39+Y39</f>
        <v>0.31899171044390484</v>
      </c>
      <c r="AA39" s="155">
        <f ca="1">Z39*equityP</f>
        <v>0.16196317368858992</v>
      </c>
      <c r="AB39" s="155">
        <f ca="1">+AA39/(1-taxrate)</f>
        <v>0.20501667555517711</v>
      </c>
      <c r="AC39" s="155">
        <f>debtP*Debt_Rate</f>
        <v>1.4441329649252934E-2</v>
      </c>
      <c r="AD39" s="155">
        <f ca="1">+AC39+AB39</f>
        <v>0.21945800520443004</v>
      </c>
      <c r="AE39" s="155">
        <f ca="1">+AD39/(S39/100)</f>
        <v>7.9254429241471996E-2</v>
      </c>
      <c r="AF39" s="155">
        <f ca="1">1-AE39</f>
        <v>0.92074557075852803</v>
      </c>
      <c r="AG39" s="156">
        <f ca="1">expenses/(AF39)</f>
        <v>1227271.5824824607</v>
      </c>
      <c r="AH39" s="157">
        <f ca="1">+AG39-Revenue</f>
        <v>121842.91684502899</v>
      </c>
      <c r="AI39" s="158">
        <f ca="1">+AH39/$J$49</f>
        <v>137065.00351780144</v>
      </c>
      <c r="AJ39" s="158">
        <f ca="1">+AI39*$J$47</f>
        <v>4397.9250797350633</v>
      </c>
      <c r="AK39" s="156">
        <f ca="1">ROUND(+AJ39+AG39,5)</f>
        <v>1231669.5075600001</v>
      </c>
    </row>
    <row r="40" spans="1:48" ht="15.6">
      <c r="A40" s="105"/>
      <c r="B40" s="105"/>
      <c r="C40" s="105"/>
      <c r="D40" s="105"/>
      <c r="E40" s="105"/>
      <c r="F40" s="160">
        <f t="shared" si="0"/>
        <v>34</v>
      </c>
      <c r="G40" s="215"/>
      <c r="H40" s="122"/>
      <c r="I40" s="122"/>
      <c r="J40" s="122"/>
      <c r="K40" s="122"/>
      <c r="L40" s="122"/>
      <c r="M40" s="122"/>
      <c r="N40" s="122"/>
      <c r="O40" s="105"/>
      <c r="P40" s="105"/>
      <c r="X40" s="199"/>
      <c r="Y40" s="199"/>
      <c r="Z40" s="199"/>
      <c r="AA40" s="214"/>
      <c r="AB40" s="154"/>
      <c r="AC40" s="199"/>
      <c r="AE40" s="199"/>
      <c r="AF40" s="199"/>
      <c r="AG40" s="154"/>
      <c r="AH40" s="198"/>
      <c r="AJ40" s="154"/>
    </row>
    <row r="41" spans="1:48" ht="15.6">
      <c r="A41" s="105"/>
      <c r="B41" s="105"/>
      <c r="C41" s="105"/>
      <c r="D41" s="105"/>
      <c r="E41" s="105"/>
      <c r="F41" s="160">
        <f t="shared" si="0"/>
        <v>35</v>
      </c>
      <c r="G41" s="122"/>
      <c r="H41" s="208" t="s">
        <v>457</v>
      </c>
      <c r="I41" s="218"/>
      <c r="J41" s="122"/>
      <c r="K41" s="122"/>
      <c r="L41" s="122"/>
      <c r="M41" s="122"/>
      <c r="N41" s="122"/>
      <c r="O41" s="105"/>
      <c r="P41" s="105"/>
      <c r="R41" s="219" t="s">
        <v>458</v>
      </c>
      <c r="S41" s="220"/>
      <c r="T41" s="177"/>
      <c r="U41" s="177"/>
      <c r="V41" s="178"/>
      <c r="X41" s="221"/>
      <c r="Y41" s="221"/>
      <c r="Z41" s="221"/>
      <c r="AA41" s="214"/>
      <c r="AB41" s="154"/>
      <c r="AC41" s="199"/>
      <c r="AE41" s="199"/>
      <c r="AF41" s="199"/>
      <c r="AG41" s="154"/>
      <c r="AH41" s="198"/>
      <c r="AJ41" s="154"/>
    </row>
    <row r="42" spans="1:48" ht="15.6">
      <c r="A42" s="105"/>
      <c r="B42" s="105"/>
      <c r="C42" s="105"/>
      <c r="D42" s="105"/>
      <c r="E42" s="105"/>
      <c r="F42" s="160">
        <f t="shared" si="0"/>
        <v>36</v>
      </c>
      <c r="G42" s="122"/>
      <c r="H42" s="122"/>
      <c r="I42" s="122"/>
      <c r="J42" s="222" t="s">
        <v>459</v>
      </c>
      <c r="K42" s="223" t="s">
        <v>399</v>
      </c>
      <c r="L42" s="122"/>
      <c r="M42" s="122"/>
      <c r="N42" s="122"/>
      <c r="O42" s="105"/>
      <c r="P42" s="105"/>
      <c r="R42" s="224" t="s">
        <v>460</v>
      </c>
      <c r="S42" s="225"/>
      <c r="V42" s="226"/>
      <c r="X42" s="199"/>
      <c r="Y42" s="199"/>
      <c r="Z42" s="199"/>
      <c r="AA42" s="214"/>
      <c r="AB42" s="154"/>
      <c r="AC42" s="199"/>
      <c r="AE42" s="199"/>
      <c r="AF42" s="199"/>
      <c r="AG42" s="154"/>
      <c r="AJ42" s="154"/>
    </row>
    <row r="43" spans="1:48" ht="15.6">
      <c r="A43" s="105"/>
      <c r="B43" s="105"/>
      <c r="C43" s="105"/>
      <c r="D43" s="105"/>
      <c r="E43" s="105"/>
      <c r="F43" s="160">
        <f t="shared" si="0"/>
        <v>37</v>
      </c>
      <c r="G43" s="122"/>
      <c r="H43" s="134" t="s">
        <v>461</v>
      </c>
      <c r="I43" s="227"/>
      <c r="J43" s="228">
        <f>IF(A64=TRUE,C11,0)</f>
        <v>1.7500000000000002E-2</v>
      </c>
      <c r="K43" s="229">
        <f ca="1">+J43*($J$7/$J$49)</f>
        <v>2398.6262982302928</v>
      </c>
      <c r="L43" s="122"/>
      <c r="M43" s="122"/>
      <c r="N43" s="122"/>
      <c r="O43" s="105"/>
      <c r="P43" s="105"/>
      <c r="R43" s="161">
        <v>0</v>
      </c>
      <c r="S43" s="230">
        <v>1</v>
      </c>
      <c r="U43" s="231" t="s">
        <v>454</v>
      </c>
      <c r="V43" s="232">
        <f ca="1">VLOOKUP(R48,R36:AG39,14)</f>
        <v>7.9254429241471996E-2</v>
      </c>
      <c r="AC43" s="199"/>
      <c r="AE43" s="199"/>
      <c r="AJ43" s="154"/>
      <c r="AN43" s="199"/>
      <c r="AO43" s="199"/>
      <c r="AP43" s="199"/>
      <c r="AQ43" s="199"/>
      <c r="AR43" s="199"/>
      <c r="AS43" s="199"/>
      <c r="AT43" s="199"/>
      <c r="AU43" s="199"/>
      <c r="AV43" s="199"/>
    </row>
    <row r="44" spans="1:48" ht="15.6">
      <c r="A44" s="105"/>
      <c r="B44" s="105"/>
      <c r="C44" s="105"/>
      <c r="D44" s="105"/>
      <c r="E44" s="105"/>
      <c r="F44" s="160">
        <f t="shared" si="0"/>
        <v>38</v>
      </c>
      <c r="G44" s="122"/>
      <c r="H44" s="134" t="s">
        <v>462</v>
      </c>
      <c r="I44" s="227"/>
      <c r="J44" s="228">
        <f>IF(A64=TRUE,C12,0)</f>
        <v>5.1000000000000004E-3</v>
      </c>
      <c r="K44" s="229">
        <f ca="1">+J44*($J$7/$J$49)</f>
        <v>699.02823548425681</v>
      </c>
      <c r="L44" s="122"/>
      <c r="M44" s="122"/>
      <c r="N44" s="122"/>
      <c r="O44" s="105"/>
      <c r="P44" s="105"/>
      <c r="R44" s="161">
        <v>50</v>
      </c>
      <c r="S44" s="230">
        <v>2</v>
      </c>
      <c r="U44" s="231" t="s">
        <v>398</v>
      </c>
      <c r="V44" s="232">
        <f ca="1">ROUND(1-V43,6)</f>
        <v>0.92074599999999995</v>
      </c>
      <c r="AA44" s="233"/>
      <c r="AB44" s="125"/>
      <c r="AC44" s="125"/>
      <c r="AE44" s="199"/>
      <c r="AH44" s="198"/>
      <c r="AJ44" s="154"/>
      <c r="AN44" s="199"/>
      <c r="AO44" s="199"/>
      <c r="AP44" s="199"/>
      <c r="AQ44" s="199"/>
      <c r="AR44" s="199"/>
      <c r="AS44" s="199"/>
      <c r="AT44" s="199"/>
      <c r="AU44" s="199"/>
      <c r="AV44" s="199"/>
    </row>
    <row r="45" spans="1:48" ht="15.6">
      <c r="A45" s="105"/>
      <c r="B45" s="105"/>
      <c r="C45" s="105"/>
      <c r="D45" s="105"/>
      <c r="E45" s="105"/>
      <c r="F45" s="160">
        <f t="shared" si="0"/>
        <v>39</v>
      </c>
      <c r="G45" s="122"/>
      <c r="H45" s="134" t="s">
        <v>463</v>
      </c>
      <c r="I45" s="227"/>
      <c r="J45" s="228">
        <f>IF(A64=TRUE,C13,0)</f>
        <v>0</v>
      </c>
      <c r="K45" s="229">
        <f ca="1">+J45*($J$7/$J$49)</f>
        <v>0</v>
      </c>
      <c r="L45" s="122"/>
      <c r="M45" s="122"/>
      <c r="N45" s="122"/>
      <c r="O45" s="105"/>
      <c r="P45" s="105"/>
      <c r="R45" s="161">
        <v>125</v>
      </c>
      <c r="S45" s="230">
        <v>3</v>
      </c>
      <c r="U45" s="115" t="s">
        <v>464</v>
      </c>
      <c r="V45" s="234">
        <f ca="1">+M7/Revenue-1</f>
        <v>0.11420026733274335</v>
      </c>
      <c r="W45" s="158"/>
      <c r="X45" s="199"/>
      <c r="Y45" s="199"/>
      <c r="Z45" s="199"/>
      <c r="AA45" s="233"/>
      <c r="AB45" s="154"/>
      <c r="AC45" s="199"/>
      <c r="AE45" s="199"/>
      <c r="AF45" s="199"/>
      <c r="AG45" s="154"/>
      <c r="AH45" s="198"/>
      <c r="AJ45" s="154"/>
      <c r="AN45" s="199"/>
      <c r="AO45" s="199"/>
      <c r="AP45" s="199"/>
      <c r="AQ45" s="199"/>
      <c r="AR45" s="199"/>
      <c r="AS45" s="199"/>
      <c r="AT45" s="199"/>
      <c r="AU45" s="199"/>
      <c r="AV45" s="199"/>
    </row>
    <row r="46" spans="1:48" ht="15.6">
      <c r="A46" s="105"/>
      <c r="B46" s="105"/>
      <c r="C46" s="105"/>
      <c r="D46" s="105"/>
      <c r="E46" s="105"/>
      <c r="F46" s="160">
        <f t="shared" si="0"/>
        <v>40</v>
      </c>
      <c r="G46" s="122"/>
      <c r="H46" s="134" t="s">
        <v>465</v>
      </c>
      <c r="I46" s="227"/>
      <c r="J46" s="228">
        <f>IF(A64=TRUE,C14,0)</f>
        <v>9.4864186105965299E-3</v>
      </c>
      <c r="K46" s="229">
        <f ca="1">+J46*($J$7/$J$49)</f>
        <v>1300.2498945941777</v>
      </c>
      <c r="L46" s="122"/>
      <c r="M46" s="122"/>
      <c r="N46" s="122"/>
      <c r="O46" s="105"/>
      <c r="P46" s="105"/>
      <c r="R46" s="164">
        <v>401</v>
      </c>
      <c r="S46" s="235">
        <v>4</v>
      </c>
      <c r="T46" s="186"/>
      <c r="U46" s="186"/>
      <c r="V46" s="189"/>
      <c r="X46" s="199"/>
      <c r="Y46" s="199"/>
      <c r="Z46" s="199"/>
      <c r="AA46" s="214"/>
      <c r="AB46" s="154"/>
      <c r="AC46" s="199"/>
      <c r="AE46" s="199"/>
      <c r="AF46" s="199"/>
      <c r="AG46" s="154"/>
      <c r="AH46" s="198"/>
      <c r="AJ46" s="154"/>
      <c r="AN46" s="199"/>
      <c r="AO46" s="199"/>
      <c r="AP46" s="199"/>
      <c r="AQ46" s="199"/>
      <c r="AR46" s="199"/>
      <c r="AS46" s="199"/>
      <c r="AT46" s="199"/>
      <c r="AU46" s="199"/>
      <c r="AV46" s="199"/>
    </row>
    <row r="47" spans="1:48" ht="16.2" thickBot="1">
      <c r="A47" s="105"/>
      <c r="B47" s="105"/>
      <c r="C47" s="105"/>
      <c r="D47" s="105"/>
      <c r="E47" s="105"/>
      <c r="F47" s="160">
        <f t="shared" si="0"/>
        <v>41</v>
      </c>
      <c r="G47" s="122"/>
      <c r="H47" s="134" t="s">
        <v>466</v>
      </c>
      <c r="I47" s="215"/>
      <c r="J47" s="236">
        <f>SUM(J43:J46)</f>
        <v>3.208641861059653E-2</v>
      </c>
      <c r="K47" s="203">
        <f ca="1">+K43+K44+K45+K46</f>
        <v>4397.9044283087278</v>
      </c>
      <c r="L47" s="122"/>
      <c r="M47" s="122"/>
      <c r="N47" s="122"/>
      <c r="O47" s="105"/>
      <c r="P47" s="105"/>
      <c r="R47" s="143">
        <f ca="1">VLOOKUP(R48,R36:S39,2)</f>
        <v>276.90314258120071</v>
      </c>
      <c r="S47" s="237" t="s">
        <v>467</v>
      </c>
      <c r="T47" s="178"/>
      <c r="X47" s="115" t="s">
        <v>468</v>
      </c>
      <c r="AE47" s="199"/>
      <c r="AH47" s="198"/>
      <c r="AJ47" s="154"/>
    </row>
    <row r="48" spans="1:48" ht="16.2" thickTop="1">
      <c r="A48" s="105"/>
      <c r="B48" s="105"/>
      <c r="C48" s="105"/>
      <c r="D48" s="105"/>
      <c r="E48" s="105"/>
      <c r="F48" s="160">
        <f t="shared" si="0"/>
        <v>42</v>
      </c>
      <c r="G48" s="122"/>
      <c r="H48" s="122"/>
      <c r="I48" s="122"/>
      <c r="J48" s="238"/>
      <c r="K48" s="122"/>
      <c r="L48" s="122"/>
      <c r="M48" s="122"/>
      <c r="N48" s="122"/>
      <c r="O48" s="105"/>
      <c r="P48" s="105"/>
      <c r="R48" s="161">
        <f ca="1">VLOOKUP(S36,R43:S46,2)</f>
        <v>3</v>
      </c>
      <c r="S48" s="239" t="s">
        <v>469</v>
      </c>
      <c r="T48" s="226"/>
      <c r="X48" s="115" t="s">
        <v>470</v>
      </c>
      <c r="AC48" s="125"/>
      <c r="AE48" s="199"/>
      <c r="AJ48" s="154"/>
    </row>
    <row r="49" spans="1:48" ht="15.6">
      <c r="A49" s="105"/>
      <c r="B49" s="105"/>
      <c r="C49" s="105"/>
      <c r="D49" s="105"/>
      <c r="E49" s="105"/>
      <c r="F49" s="160">
        <f t="shared" si="0"/>
        <v>43</v>
      </c>
      <c r="G49" s="128"/>
      <c r="H49" s="134" t="s">
        <v>471</v>
      </c>
      <c r="I49" s="122"/>
      <c r="J49" s="211">
        <f ca="1">((K35)-J47)</f>
        <v>0.88894257263273291</v>
      </c>
      <c r="K49" s="122"/>
      <c r="L49" s="122"/>
      <c r="M49" s="122"/>
      <c r="N49" s="122"/>
      <c r="O49" s="105"/>
      <c r="P49" s="105"/>
      <c r="R49" s="161"/>
      <c r="S49" s="239"/>
      <c r="T49" s="226"/>
      <c r="X49" s="115" t="s">
        <v>472</v>
      </c>
      <c r="AC49" s="199"/>
      <c r="AE49" s="199"/>
      <c r="AF49" s="199"/>
      <c r="AG49" s="154"/>
      <c r="AJ49" s="154"/>
    </row>
    <row r="50" spans="1:48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240"/>
      <c r="L50" s="105"/>
      <c r="M50" s="105"/>
      <c r="N50" s="241"/>
      <c r="O50" s="105"/>
      <c r="P50" s="105"/>
      <c r="R50" s="242">
        <f ca="1">+V44</f>
        <v>0.92074599999999995</v>
      </c>
      <c r="S50" s="243" t="s">
        <v>398</v>
      </c>
      <c r="T50" s="244"/>
      <c r="X50" s="115" t="s">
        <v>473</v>
      </c>
      <c r="AC50" s="199"/>
      <c r="AE50" s="199"/>
      <c r="AF50" s="199"/>
      <c r="AG50" s="154"/>
      <c r="AH50" s="199"/>
      <c r="AJ50" s="154"/>
      <c r="AN50" s="199"/>
      <c r="AO50" s="199"/>
      <c r="AP50" s="199"/>
      <c r="AQ50" s="199"/>
      <c r="AR50" s="199"/>
      <c r="AS50" s="199"/>
      <c r="AT50" s="199"/>
      <c r="AU50" s="199"/>
      <c r="AV50" s="199"/>
    </row>
    <row r="51" spans="1:48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R51" s="115"/>
      <c r="AB51" s="154"/>
      <c r="AC51" s="199"/>
      <c r="AE51" s="199"/>
      <c r="AF51" s="199"/>
      <c r="AG51" s="154"/>
      <c r="AH51" s="198"/>
      <c r="AJ51" s="154"/>
      <c r="AN51" s="199"/>
      <c r="AO51" s="199"/>
      <c r="AP51" s="199"/>
      <c r="AQ51" s="199"/>
      <c r="AR51" s="199"/>
      <c r="AS51" s="199"/>
      <c r="AT51" s="199"/>
      <c r="AU51" s="199"/>
      <c r="AV51" s="199"/>
    </row>
    <row r="52" spans="1:48">
      <c r="A52" s="105"/>
      <c r="B52" s="105"/>
      <c r="C52" s="105"/>
      <c r="D52" s="105"/>
      <c r="E52" s="105"/>
      <c r="F52" s="105"/>
      <c r="G52" s="105"/>
      <c r="H52" s="105"/>
      <c r="I52" s="105"/>
      <c r="J52" s="245"/>
      <c r="K52" s="245"/>
      <c r="L52" s="245"/>
      <c r="M52" s="245"/>
      <c r="N52" s="105"/>
      <c r="O52" s="105"/>
      <c r="P52" s="105"/>
      <c r="R52" s="115"/>
      <c r="AB52" s="154"/>
      <c r="AC52" s="199"/>
      <c r="AE52" s="199"/>
      <c r="AF52" s="199"/>
      <c r="AG52" s="154"/>
      <c r="AH52" s="198"/>
      <c r="AJ52" s="154"/>
      <c r="AN52" s="199"/>
      <c r="AO52" s="199"/>
      <c r="AP52" s="199"/>
      <c r="AQ52" s="199"/>
      <c r="AR52" s="199"/>
      <c r="AS52" s="199"/>
      <c r="AT52" s="199"/>
      <c r="AU52" s="199"/>
      <c r="AV52" s="199"/>
    </row>
    <row r="53" spans="1:48" ht="15.6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245"/>
      <c r="L53" s="245"/>
      <c r="M53" s="245"/>
      <c r="N53" s="105"/>
      <c r="O53" s="105"/>
      <c r="P53" s="105"/>
      <c r="R53" s="115"/>
      <c r="S53" s="115" t="s">
        <v>474</v>
      </c>
      <c r="T53" s="199"/>
      <c r="U53" s="246"/>
      <c r="W53" s="247" t="s">
        <v>475</v>
      </c>
      <c r="X53" s="248"/>
      <c r="Y53" s="248"/>
      <c r="Z53" s="248"/>
      <c r="AA53" s="248"/>
      <c r="AB53" s="248"/>
      <c r="AE53" s="199"/>
      <c r="AH53" s="198"/>
      <c r="AJ53" s="154"/>
      <c r="AN53" s="199"/>
      <c r="AO53" s="199"/>
      <c r="AP53" s="199"/>
      <c r="AQ53" s="199"/>
      <c r="AR53" s="199"/>
      <c r="AS53" s="199"/>
      <c r="AT53" s="199"/>
      <c r="AU53" s="199"/>
      <c r="AV53" s="199"/>
    </row>
    <row r="54" spans="1:48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249"/>
      <c r="M54" s="249"/>
      <c r="N54" s="105"/>
      <c r="O54" s="105"/>
      <c r="P54" s="105"/>
      <c r="R54" s="250"/>
      <c r="S54" s="251" t="s">
        <v>439</v>
      </c>
      <c r="T54" s="251" t="s">
        <v>476</v>
      </c>
      <c r="U54" s="252" t="s">
        <v>442</v>
      </c>
      <c r="W54" s="253" t="s">
        <v>477</v>
      </c>
      <c r="X54" s="254">
        <v>3.7226020000000002</v>
      </c>
      <c r="Y54" s="255" t="s">
        <v>478</v>
      </c>
      <c r="Z54" s="256">
        <v>3.7226020000000002</v>
      </c>
      <c r="AC54" s="125"/>
      <c r="AE54" s="199"/>
      <c r="AJ54" s="154"/>
    </row>
    <row r="55" spans="1:48">
      <c r="A55" s="105"/>
      <c r="B55" s="105"/>
      <c r="C55" s="105"/>
      <c r="D55" s="105"/>
      <c r="E55" s="105"/>
      <c r="F55" s="105"/>
      <c r="G55" s="105"/>
      <c r="H55" s="105"/>
      <c r="I55" s="105"/>
      <c r="J55" s="249"/>
      <c r="K55" s="105"/>
      <c r="L55" s="249"/>
      <c r="M55" s="249"/>
      <c r="N55" s="105"/>
      <c r="O55" s="105"/>
      <c r="P55" s="105"/>
      <c r="R55" s="116" t="s">
        <v>396</v>
      </c>
      <c r="S55" s="233">
        <v>0.56200000000000006</v>
      </c>
      <c r="T55" s="233">
        <v>6.3799999999999996E-2</v>
      </c>
      <c r="U55" s="257">
        <f>ROUND(+S55*T55,5)</f>
        <v>3.5860000000000003E-2</v>
      </c>
      <c r="W55" s="258" t="s">
        <v>479</v>
      </c>
      <c r="X55" s="259">
        <v>3.7226020000000002</v>
      </c>
      <c r="Y55" s="260" t="s">
        <v>480</v>
      </c>
      <c r="Z55" s="261">
        <v>3.7226020000000002</v>
      </c>
      <c r="AC55" s="199"/>
      <c r="AE55" s="199"/>
      <c r="AF55" s="199"/>
      <c r="AG55" s="154"/>
      <c r="AJ55" s="154"/>
    </row>
    <row r="56" spans="1:48" ht="15.6">
      <c r="A56" s="105"/>
      <c r="B56" s="105"/>
      <c r="C56" s="105"/>
      <c r="D56" s="105"/>
      <c r="E56" s="245"/>
      <c r="F56" s="105"/>
      <c r="G56" s="105"/>
      <c r="H56" s="105"/>
      <c r="I56" s="105"/>
      <c r="J56" s="249"/>
      <c r="K56" s="105"/>
      <c r="L56" s="249"/>
      <c r="M56" s="249"/>
      <c r="N56" s="105"/>
      <c r="O56" s="105"/>
      <c r="P56" s="105"/>
      <c r="R56" s="116" t="s">
        <v>481</v>
      </c>
      <c r="S56" s="233">
        <v>9.4E-2</v>
      </c>
      <c r="T56" s="233">
        <v>6.59E-2</v>
      </c>
      <c r="U56" s="257">
        <f>ROUND(+S56*T56,5)</f>
        <v>6.1900000000000002E-3</v>
      </c>
      <c r="W56" s="116"/>
      <c r="Y56" s="262"/>
      <c r="Z56" s="263"/>
      <c r="AC56" s="199"/>
      <c r="AE56" s="199"/>
      <c r="AF56" s="199"/>
      <c r="AG56" s="154"/>
      <c r="AH56" s="198"/>
      <c r="AJ56" s="154"/>
      <c r="AN56" s="199"/>
    </row>
    <row r="57" spans="1:48">
      <c r="A57" s="105"/>
      <c r="B57" s="105"/>
      <c r="C57" s="105"/>
      <c r="D57" s="105"/>
      <c r="E57" s="245"/>
      <c r="F57" s="245"/>
      <c r="G57" s="245"/>
      <c r="H57" s="264"/>
      <c r="I57" s="245"/>
      <c r="J57" s="249"/>
      <c r="K57" s="105"/>
      <c r="L57" s="105"/>
      <c r="M57" s="105"/>
      <c r="N57" s="105"/>
      <c r="O57" s="105"/>
      <c r="P57" s="105"/>
      <c r="R57" s="116" t="s">
        <v>394</v>
      </c>
      <c r="S57" s="265">
        <v>0.34399999999999997</v>
      </c>
      <c r="T57" s="266"/>
      <c r="U57" s="267"/>
      <c r="W57" s="185"/>
      <c r="X57" s="268" t="s">
        <v>482</v>
      </c>
      <c r="Y57" s="269">
        <v>0.30151749999999999</v>
      </c>
      <c r="Z57" s="270"/>
      <c r="AC57" s="199"/>
      <c r="AE57" s="199"/>
      <c r="AF57" s="199"/>
      <c r="AG57" s="154"/>
      <c r="AH57" s="198"/>
      <c r="AJ57" s="154"/>
    </row>
    <row r="58" spans="1:48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R58" s="185"/>
      <c r="S58" s="265">
        <f>SUM(S55:S57)</f>
        <v>1</v>
      </c>
      <c r="T58" s="271"/>
      <c r="U58" s="272"/>
      <c r="X58" s="199"/>
      <c r="Y58" s="199"/>
      <c r="Z58" s="199"/>
      <c r="AA58" s="214"/>
      <c r="AB58" s="154"/>
      <c r="AC58" s="199"/>
      <c r="AE58" s="199"/>
      <c r="AF58" s="199"/>
      <c r="AG58" s="154"/>
      <c r="AH58" s="198"/>
      <c r="AJ58" s="154"/>
    </row>
    <row r="59" spans="1:48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X59" s="273"/>
      <c r="Y59" s="273"/>
      <c r="Z59" s="273"/>
      <c r="AE59" s="199"/>
      <c r="AH59" s="198"/>
      <c r="AJ59" s="154"/>
      <c r="AN59" s="198"/>
      <c r="AO59" s="198"/>
      <c r="AP59" s="198"/>
      <c r="AQ59" s="198"/>
      <c r="AR59" s="198"/>
      <c r="AS59" s="198"/>
      <c r="AT59" s="198"/>
      <c r="AU59" s="198"/>
      <c r="AV59" s="198"/>
    </row>
    <row r="60" spans="1:48">
      <c r="A60" s="105"/>
      <c r="B60" s="105"/>
      <c r="C60" s="105"/>
      <c r="D60" s="105"/>
      <c r="E60" s="24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R60" s="115"/>
      <c r="S60" s="274"/>
      <c r="W60" s="250"/>
      <c r="X60" s="275" t="s">
        <v>449</v>
      </c>
      <c r="Y60" s="275" t="s">
        <v>483</v>
      </c>
      <c r="Z60" s="276" t="s">
        <v>375</v>
      </c>
      <c r="AE60" s="199"/>
      <c r="AJ60" s="154"/>
      <c r="AN60" s="198"/>
      <c r="AO60" s="198"/>
      <c r="AP60" s="198"/>
      <c r="AQ60" s="198"/>
      <c r="AR60" s="198"/>
      <c r="AS60" s="198"/>
      <c r="AT60" s="198"/>
      <c r="AU60" s="198"/>
      <c r="AV60" s="198"/>
    </row>
    <row r="61" spans="1:48">
      <c r="A61" s="105"/>
      <c r="B61" s="105"/>
      <c r="C61" s="105"/>
      <c r="D61" s="105"/>
      <c r="E61" s="105"/>
      <c r="F61" s="245"/>
      <c r="G61" s="245"/>
      <c r="H61" s="245"/>
      <c r="I61" s="245"/>
      <c r="J61" s="245"/>
      <c r="K61" s="245"/>
      <c r="L61" s="245"/>
      <c r="M61" s="245"/>
      <c r="N61" s="245"/>
      <c r="O61" s="105"/>
      <c r="P61" s="105"/>
      <c r="R61" s="115"/>
      <c r="W61" s="116"/>
      <c r="X61" s="277"/>
      <c r="Y61" s="277"/>
      <c r="Z61" s="278"/>
      <c r="AE61" s="199"/>
      <c r="AF61" s="199"/>
      <c r="AG61" s="154"/>
      <c r="AJ61" s="154"/>
      <c r="AN61" s="198"/>
      <c r="AO61" s="198"/>
      <c r="AP61" s="198"/>
      <c r="AQ61" s="198"/>
      <c r="AR61" s="198"/>
      <c r="AS61" s="198"/>
      <c r="AT61" s="198"/>
      <c r="AU61" s="198"/>
      <c r="AV61" s="198"/>
    </row>
    <row r="62" spans="1:48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R62" s="115"/>
      <c r="S62" s="274"/>
      <c r="W62" s="116"/>
      <c r="X62" s="231" t="s">
        <v>451</v>
      </c>
      <c r="Y62" s="232">
        <f t="shared" ref="Y62:Z67" ca="1" si="1">+J33</f>
        <v>0.21867309973019705</v>
      </c>
      <c r="Z62" s="232">
        <f t="shared" ca="1" si="1"/>
        <v>0.1757844280131988</v>
      </c>
      <c r="AE62" s="199"/>
      <c r="AF62" s="199"/>
      <c r="AG62" s="154"/>
      <c r="AH62" s="198"/>
      <c r="AJ62" s="154"/>
      <c r="AN62" s="198"/>
      <c r="AO62" s="198"/>
      <c r="AP62" s="198"/>
      <c r="AQ62" s="198"/>
      <c r="AR62" s="198"/>
      <c r="AS62" s="198"/>
      <c r="AT62" s="198"/>
      <c r="AU62" s="198"/>
      <c r="AV62" s="198"/>
    </row>
    <row r="63" spans="1:48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R63" s="115"/>
      <c r="W63" s="116"/>
      <c r="X63" s="231" t="s">
        <v>452</v>
      </c>
      <c r="Y63" s="232">
        <f t="shared" ca="1" si="1"/>
        <v>0.40224107852053204</v>
      </c>
      <c r="Z63" s="232">
        <f t="shared" ca="1" si="1"/>
        <v>0.31777045203122034</v>
      </c>
      <c r="AE63" s="199"/>
      <c r="AF63" s="199"/>
      <c r="AG63" s="154"/>
      <c r="AH63" s="198"/>
      <c r="AJ63" s="154"/>
    </row>
    <row r="64" spans="1:48">
      <c r="A64" s="115" t="b">
        <v>1</v>
      </c>
      <c r="B64" s="105"/>
      <c r="C64" s="105"/>
      <c r="F64" s="105"/>
      <c r="G64" s="105"/>
      <c r="H64" s="105"/>
      <c r="I64" s="105"/>
      <c r="J64" s="105"/>
      <c r="K64" s="105"/>
      <c r="L64" s="105"/>
      <c r="M64" s="105"/>
      <c r="N64" s="105"/>
      <c r="R64" s="115"/>
      <c r="S64" s="274"/>
      <c r="W64" s="116"/>
      <c r="X64" s="231" t="s">
        <v>398</v>
      </c>
      <c r="Y64" s="232">
        <f t="shared" ca="1" si="1"/>
        <v>0.92074600000000006</v>
      </c>
      <c r="Z64" s="232">
        <f t="shared" ca="1" si="1"/>
        <v>0.92102899124332949</v>
      </c>
      <c r="AE64" s="199"/>
      <c r="AF64" s="199"/>
      <c r="AG64" s="154"/>
      <c r="AH64" s="198"/>
      <c r="AJ64" s="154"/>
    </row>
    <row r="65" spans="8:40">
      <c r="H65" s="198"/>
      <c r="I65" s="198"/>
      <c r="J65" s="198"/>
      <c r="K65" s="198"/>
      <c r="L65" s="198"/>
      <c r="M65" s="198"/>
      <c r="N65" s="198"/>
      <c r="O65" s="198"/>
      <c r="R65" s="115"/>
      <c r="W65" s="116"/>
      <c r="X65" s="231" t="s">
        <v>454</v>
      </c>
      <c r="Y65" s="232">
        <f t="shared" ca="1" si="1"/>
        <v>7.9253999999999977E-2</v>
      </c>
      <c r="Z65" s="232">
        <f t="shared" ca="1" si="1"/>
        <v>7.9253999999999977E-2</v>
      </c>
      <c r="AE65" s="199"/>
      <c r="AH65" s="198"/>
      <c r="AJ65" s="154"/>
      <c r="AN65" s="198"/>
    </row>
    <row r="66" spans="8:40">
      <c r="H66" s="198"/>
      <c r="I66" s="198"/>
      <c r="J66" s="198"/>
      <c r="K66" s="198"/>
      <c r="L66" s="198"/>
      <c r="M66" s="198"/>
      <c r="N66" s="198"/>
      <c r="O66" s="198"/>
      <c r="R66" s="115"/>
      <c r="S66" s="274"/>
      <c r="W66" s="116"/>
      <c r="X66" s="231" t="s">
        <v>455</v>
      </c>
      <c r="Y66" s="232">
        <f t="shared" ca="1" si="1"/>
        <v>2.769031425812007</v>
      </c>
      <c r="Z66" s="232">
        <f t="shared" ca="1" si="1"/>
        <v>2.769031425812007</v>
      </c>
      <c r="AE66" s="199"/>
      <c r="AJ66" s="154"/>
    </row>
    <row r="67" spans="8:40">
      <c r="O67" s="198"/>
      <c r="W67" s="185"/>
      <c r="X67" s="280" t="s">
        <v>456</v>
      </c>
      <c r="Y67" s="281">
        <f t="shared" si="1"/>
        <v>0.21</v>
      </c>
      <c r="Z67" s="281">
        <f t="shared" si="1"/>
        <v>0.21</v>
      </c>
      <c r="AE67" s="199"/>
      <c r="AF67" s="199"/>
      <c r="AG67" s="154"/>
      <c r="AJ67" s="154"/>
    </row>
    <row r="68" spans="8:40">
      <c r="O68" s="198"/>
      <c r="W68" s="231"/>
      <c r="AE68" s="199"/>
      <c r="AF68" s="199"/>
      <c r="AG68" s="154"/>
      <c r="AH68" s="198"/>
      <c r="AJ68" s="154"/>
    </row>
    <row r="69" spans="8:40">
      <c r="O69" s="198"/>
      <c r="X69" s="199"/>
      <c r="Y69" s="199"/>
      <c r="Z69" s="199"/>
      <c r="AA69" s="214"/>
      <c r="AB69" s="154"/>
      <c r="AC69" s="199"/>
      <c r="AE69" s="199"/>
      <c r="AF69" s="199"/>
      <c r="AG69" s="154"/>
      <c r="AH69" s="198"/>
      <c r="AJ69" s="154"/>
    </row>
    <row r="70" spans="8:40">
      <c r="X70" s="199"/>
      <c r="Y70" s="199"/>
      <c r="Z70" s="199"/>
      <c r="AA70" s="214"/>
      <c r="AB70" s="154"/>
      <c r="AC70" s="199"/>
      <c r="AE70" s="199"/>
      <c r="AF70" s="199"/>
      <c r="AG70" s="154"/>
      <c r="AH70" s="198"/>
      <c r="AJ70" s="154"/>
    </row>
    <row r="71" spans="8:40">
      <c r="AE71" s="199"/>
      <c r="AH71" s="198"/>
      <c r="AJ71" s="154"/>
    </row>
    <row r="72" spans="8:40">
      <c r="AA72" s="125"/>
      <c r="AB72" s="125"/>
      <c r="AC72" s="125"/>
      <c r="AE72" s="199"/>
      <c r="AJ72" s="154"/>
    </row>
    <row r="73" spans="8:40">
      <c r="X73" s="199"/>
      <c r="Y73" s="199"/>
      <c r="Z73" s="199"/>
      <c r="AA73" s="214"/>
      <c r="AB73" s="154"/>
      <c r="AC73" s="199"/>
      <c r="AE73" s="199"/>
      <c r="AF73" s="199"/>
      <c r="AG73" s="154"/>
      <c r="AJ73" s="154"/>
    </row>
    <row r="74" spans="8:40">
      <c r="X74" s="199"/>
      <c r="Y74" s="199"/>
      <c r="Z74" s="199"/>
      <c r="AA74" s="214"/>
      <c r="AB74" s="154"/>
      <c r="AC74" s="199"/>
      <c r="AE74" s="199"/>
      <c r="AF74" s="199"/>
      <c r="AG74" s="154"/>
      <c r="AH74" s="198"/>
      <c r="AJ74" s="154"/>
    </row>
    <row r="75" spans="8:40">
      <c r="X75" s="199"/>
      <c r="Y75" s="199"/>
      <c r="Z75" s="199"/>
      <c r="AA75" s="214"/>
      <c r="AB75" s="154"/>
      <c r="AC75" s="199"/>
      <c r="AE75" s="199"/>
      <c r="AF75" s="199"/>
      <c r="AG75" s="154"/>
      <c r="AH75" s="198"/>
      <c r="AJ75" s="154"/>
    </row>
    <row r="76" spans="8:40">
      <c r="X76" s="199"/>
      <c r="Y76" s="199"/>
      <c r="Z76" s="199"/>
      <c r="AA76" s="214"/>
      <c r="AB76" s="154"/>
      <c r="AC76" s="199"/>
      <c r="AE76" s="199"/>
      <c r="AF76" s="199"/>
      <c r="AG76" s="154"/>
      <c r="AH76" s="198"/>
      <c r="AJ76" s="154"/>
    </row>
    <row r="77" spans="8:40">
      <c r="AE77" s="199"/>
      <c r="AH77" s="198"/>
      <c r="AJ77" s="154"/>
    </row>
    <row r="79" spans="8:40">
      <c r="X79" s="199"/>
      <c r="Y79" s="199"/>
      <c r="Z79" s="199"/>
      <c r="AA79" s="214"/>
      <c r="AB79" s="154"/>
      <c r="AC79" s="199"/>
      <c r="AF79" s="199"/>
      <c r="AG79" s="154"/>
    </row>
    <row r="80" spans="8:40">
      <c r="X80" s="199"/>
      <c r="Y80" s="199"/>
      <c r="Z80" s="199"/>
      <c r="AA80" s="214"/>
      <c r="AB80" s="154"/>
      <c r="AC80" s="199"/>
      <c r="AF80" s="199"/>
      <c r="AG80" s="154"/>
      <c r="AH80" s="198"/>
    </row>
    <row r="81" spans="24:34">
      <c r="X81" s="199"/>
      <c r="Y81" s="199"/>
      <c r="Z81" s="199"/>
      <c r="AA81" s="214"/>
      <c r="AB81" s="154"/>
      <c r="AC81" s="199"/>
      <c r="AF81" s="199"/>
      <c r="AG81" s="154"/>
      <c r="AH81" s="198"/>
    </row>
    <row r="82" spans="24:34">
      <c r="X82" s="199"/>
      <c r="Y82" s="199"/>
      <c r="Z82" s="199"/>
      <c r="AA82" s="214"/>
      <c r="AB82" s="154"/>
      <c r="AC82" s="199"/>
      <c r="AF82" s="199"/>
      <c r="AG82" s="154"/>
      <c r="AH82" s="198"/>
    </row>
    <row r="83" spans="24:34">
      <c r="AH83" s="198"/>
    </row>
    <row r="85" spans="24:34">
      <c r="X85" s="199"/>
      <c r="Y85" s="199"/>
      <c r="Z85" s="199"/>
      <c r="AA85" s="214"/>
      <c r="AB85" s="154"/>
      <c r="AC85" s="199"/>
      <c r="AF85" s="199"/>
      <c r="AG85" s="154"/>
    </row>
    <row r="86" spans="24:34">
      <c r="X86" s="199"/>
      <c r="Y86" s="199"/>
      <c r="Z86" s="199"/>
      <c r="AA86" s="214"/>
      <c r="AB86" s="154"/>
      <c r="AC86" s="199"/>
      <c r="AF86" s="199"/>
      <c r="AG86" s="154"/>
      <c r="AH86" s="198"/>
    </row>
    <row r="87" spans="24:34">
      <c r="X87" s="199"/>
      <c r="Y87" s="199"/>
      <c r="Z87" s="199"/>
      <c r="AA87" s="214"/>
      <c r="AB87" s="154"/>
      <c r="AC87" s="199"/>
      <c r="AF87" s="199"/>
      <c r="AG87" s="154"/>
      <c r="AH87" s="198"/>
    </row>
    <row r="88" spans="24:34">
      <c r="X88" s="199"/>
      <c r="Y88" s="199"/>
      <c r="Z88" s="199"/>
      <c r="AA88" s="214"/>
      <c r="AB88" s="154"/>
      <c r="AC88" s="199"/>
      <c r="AF88" s="199"/>
      <c r="AG88" s="154"/>
      <c r="AH88" s="198"/>
    </row>
    <row r="89" spans="24:34">
      <c r="AH89" s="198"/>
    </row>
    <row r="91" spans="24:34">
      <c r="X91" s="199"/>
      <c r="Y91" s="199"/>
      <c r="Z91" s="199"/>
      <c r="AA91" s="214"/>
      <c r="AB91" s="154"/>
      <c r="AC91" s="199"/>
      <c r="AF91" s="199"/>
      <c r="AG91" s="154"/>
    </row>
    <row r="92" spans="24:34">
      <c r="X92" s="199"/>
      <c r="Y92" s="199"/>
      <c r="Z92" s="199"/>
      <c r="AA92" s="214"/>
      <c r="AB92" s="154"/>
      <c r="AC92" s="199"/>
      <c r="AF92" s="199"/>
      <c r="AG92" s="154"/>
      <c r="AH92" s="198"/>
    </row>
    <row r="93" spans="24:34">
      <c r="X93" s="199"/>
      <c r="Y93" s="199"/>
      <c r="Z93" s="199"/>
      <c r="AA93" s="214"/>
      <c r="AB93" s="154"/>
      <c r="AC93" s="199"/>
      <c r="AF93" s="199"/>
      <c r="AG93" s="154"/>
      <c r="AH93" s="198"/>
    </row>
    <row r="94" spans="24:34">
      <c r="X94" s="199"/>
      <c r="Y94" s="199"/>
      <c r="Z94" s="199"/>
      <c r="AA94" s="214"/>
      <c r="AB94" s="154"/>
      <c r="AC94" s="199"/>
      <c r="AF94" s="199"/>
      <c r="AG94" s="154"/>
      <c r="AH94" s="198"/>
    </row>
    <row r="95" spans="24:34">
      <c r="AH95" s="198"/>
    </row>
    <row r="97" spans="24:34">
      <c r="X97" s="199"/>
      <c r="Y97" s="199"/>
      <c r="Z97" s="199"/>
      <c r="AA97" s="214"/>
      <c r="AB97" s="154"/>
      <c r="AC97" s="199"/>
      <c r="AF97" s="199"/>
      <c r="AG97" s="154"/>
    </row>
    <row r="98" spans="24:34">
      <c r="X98" s="199"/>
      <c r="Y98" s="199"/>
      <c r="Z98" s="199"/>
      <c r="AA98" s="214"/>
      <c r="AB98" s="154"/>
      <c r="AC98" s="199"/>
      <c r="AF98" s="199"/>
      <c r="AG98" s="154"/>
      <c r="AH98" s="198"/>
    </row>
    <row r="99" spans="24:34">
      <c r="X99" s="199"/>
      <c r="Y99" s="199"/>
      <c r="Z99" s="199"/>
      <c r="AA99" s="214"/>
      <c r="AB99" s="154"/>
      <c r="AC99" s="199"/>
      <c r="AF99" s="199"/>
      <c r="AG99" s="154"/>
      <c r="AH99" s="198"/>
    </row>
    <row r="100" spans="24:34">
      <c r="X100" s="199"/>
      <c r="Y100" s="199"/>
      <c r="Z100" s="199"/>
      <c r="AA100" s="214"/>
      <c r="AB100" s="154"/>
      <c r="AC100" s="199"/>
      <c r="AF100" s="199"/>
      <c r="AG100" s="154"/>
      <c r="AH100" s="198"/>
    </row>
    <row r="101" spans="24:34">
      <c r="AH101" s="198"/>
    </row>
    <row r="103" spans="24:34">
      <c r="X103" s="199"/>
      <c r="Y103" s="199"/>
      <c r="Z103" s="199"/>
      <c r="AA103" s="214"/>
      <c r="AB103" s="154"/>
      <c r="AC103" s="199"/>
      <c r="AF103" s="199"/>
      <c r="AG103" s="154"/>
    </row>
    <row r="104" spans="24:34">
      <c r="X104" s="199"/>
      <c r="Y104" s="199"/>
      <c r="Z104" s="199"/>
      <c r="AA104" s="214"/>
      <c r="AB104" s="154"/>
      <c r="AC104" s="199"/>
      <c r="AF104" s="199"/>
      <c r="AG104" s="154"/>
      <c r="AH104" s="198"/>
    </row>
    <row r="105" spans="24:34">
      <c r="X105" s="199"/>
      <c r="Y105" s="199"/>
      <c r="Z105" s="199"/>
      <c r="AA105" s="214"/>
      <c r="AB105" s="154"/>
      <c r="AC105" s="199"/>
      <c r="AF105" s="199"/>
      <c r="AG105" s="154"/>
      <c r="AH105" s="198"/>
    </row>
    <row r="106" spans="24:34">
      <c r="X106" s="199"/>
      <c r="Y106" s="199"/>
      <c r="Z106" s="199"/>
      <c r="AA106" s="214"/>
      <c r="AB106" s="154"/>
      <c r="AC106" s="199"/>
      <c r="AF106" s="199"/>
      <c r="AG106" s="154"/>
      <c r="AH106" s="198"/>
    </row>
    <row r="107" spans="24:34">
      <c r="AH107" s="198"/>
    </row>
    <row r="109" spans="24:34">
      <c r="X109" s="199"/>
      <c r="Y109" s="199"/>
      <c r="Z109" s="199"/>
      <c r="AA109" s="214"/>
      <c r="AB109" s="154"/>
      <c r="AC109" s="199"/>
      <c r="AF109" s="199"/>
      <c r="AG109" s="154"/>
    </row>
    <row r="110" spans="24:34">
      <c r="X110" s="199"/>
      <c r="Y110" s="199"/>
      <c r="Z110" s="199"/>
      <c r="AA110" s="214"/>
      <c r="AB110" s="154"/>
      <c r="AC110" s="199"/>
      <c r="AF110" s="199"/>
      <c r="AG110" s="154"/>
    </row>
    <row r="111" spans="24:34">
      <c r="X111" s="199"/>
      <c r="Y111" s="199"/>
      <c r="Z111" s="199"/>
      <c r="AA111" s="214"/>
      <c r="AB111" s="154"/>
      <c r="AC111" s="199"/>
      <c r="AF111" s="199"/>
      <c r="AG111" s="154"/>
    </row>
    <row r="112" spans="24:34">
      <c r="X112" s="199"/>
      <c r="Y112" s="199"/>
      <c r="Z112" s="199"/>
      <c r="AA112" s="214"/>
      <c r="AB112" s="154"/>
      <c r="AC112" s="199"/>
      <c r="AF112" s="199"/>
      <c r="AG112" s="154"/>
    </row>
  </sheetData>
  <mergeCells count="5">
    <mergeCell ref="B2:C2"/>
    <mergeCell ref="AH2:AK2"/>
    <mergeCell ref="B18:C18"/>
    <mergeCell ref="B19:C19"/>
    <mergeCell ref="L31:N31"/>
  </mergeCells>
  <pageMargins left="0.25" right="0.25" top="0.3" bottom="0.44" header="0.23" footer="0.21"/>
  <pageSetup scale="75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23B4-63EE-445C-93B6-B85C87772EBD}">
  <sheetPr>
    <tabColor theme="3"/>
  </sheetPr>
  <dimension ref="A1:AV112"/>
  <sheetViews>
    <sheetView tabSelected="1" view="pageBreakPreview" topLeftCell="A3" zoomScaleNormal="70" zoomScaleSheetLayoutView="100" workbookViewId="0">
      <selection activeCell="B161" sqref="B161"/>
    </sheetView>
  </sheetViews>
  <sheetFormatPr defaultColWidth="16.6640625" defaultRowHeight="15"/>
  <cols>
    <col min="1" max="1" width="4.88671875" style="115" customWidth="1"/>
    <col min="2" max="2" width="33.5546875" style="279" bestFit="1" customWidth="1"/>
    <col min="3" max="3" width="21.33203125" style="279" customWidth="1"/>
    <col min="4" max="4" width="21.33203125" style="279" hidden="1" customWidth="1"/>
    <col min="5" max="5" width="17.109375" style="279" customWidth="1"/>
    <col min="6" max="6" width="5.6640625" style="115" customWidth="1"/>
    <col min="7" max="7" width="8.5546875" style="115" customWidth="1"/>
    <col min="8" max="8" width="15" style="115" customWidth="1"/>
    <col min="9" max="9" width="17.6640625" style="115" customWidth="1"/>
    <col min="10" max="10" width="17.33203125" style="115" bestFit="1" customWidth="1"/>
    <col min="11" max="11" width="15.109375" style="115" bestFit="1" customWidth="1"/>
    <col min="12" max="13" width="20.33203125" style="115" customWidth="1"/>
    <col min="14" max="14" width="2.44140625" style="115" customWidth="1"/>
    <col min="15" max="15" width="6.33203125" style="279" customWidth="1"/>
    <col min="16" max="16" width="40.44140625" style="279" customWidth="1"/>
    <col min="17" max="17" width="16.6640625" style="116"/>
    <col min="18" max="18" width="13.88671875" style="125" customWidth="1"/>
    <col min="19" max="19" width="16.6640625" style="115"/>
    <col min="20" max="20" width="13.44140625" style="115" customWidth="1"/>
    <col min="21" max="21" width="15.6640625" style="115" customWidth="1"/>
    <col min="22" max="22" width="16.6640625" style="115"/>
    <col min="23" max="26" width="17.6640625" style="115" customWidth="1"/>
    <col min="27" max="27" width="16" style="115" customWidth="1"/>
    <col min="28" max="28" width="16.6640625" style="115"/>
    <col min="29" max="29" width="15.88671875" style="115" customWidth="1"/>
    <col min="30" max="31" width="16.6640625" style="115"/>
    <col min="32" max="32" width="16.44140625" style="115" customWidth="1"/>
    <col min="33" max="33" width="17.33203125" style="115" customWidth="1"/>
    <col min="34" max="34" width="20.6640625" style="115" customWidth="1"/>
    <col min="35" max="35" width="18.109375" style="115" customWidth="1"/>
    <col min="36" max="36" width="16.44140625" style="115" customWidth="1"/>
    <col min="37" max="37" width="16.6640625" style="115"/>
    <col min="38" max="38" width="13.88671875" style="115" customWidth="1"/>
    <col min="39" max="39" width="16.44140625" style="115" customWidth="1"/>
    <col min="40" max="51" width="15.109375" style="115" customWidth="1"/>
    <col min="52" max="16384" width="16.6640625" style="115"/>
  </cols>
  <sheetData>
    <row r="1" spans="1:37" s="110" customFormat="1" ht="15.6" thickBot="1">
      <c r="A1" s="105"/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6"/>
      <c r="P1" s="106"/>
      <c r="Q1" s="108"/>
      <c r="R1" s="109"/>
    </row>
    <row r="2" spans="1:37" ht="18.600000000000001" thickBot="1">
      <c r="A2" s="105"/>
      <c r="B2" s="289" t="s">
        <v>354</v>
      </c>
      <c r="C2" s="289"/>
      <c r="D2" s="105"/>
      <c r="E2" s="105"/>
      <c r="F2" s="111" t="s">
        <v>355</v>
      </c>
      <c r="G2" s="112"/>
      <c r="H2" s="112"/>
      <c r="I2" s="113" t="s">
        <v>356</v>
      </c>
      <c r="J2" s="112"/>
      <c r="K2" s="112"/>
      <c r="L2" s="112"/>
      <c r="M2" s="114" t="s">
        <v>355</v>
      </c>
      <c r="O2" s="105"/>
      <c r="P2" s="106"/>
      <c r="R2" s="117" t="s">
        <v>357</v>
      </c>
      <c r="S2" s="118"/>
      <c r="T2" s="119"/>
      <c r="AH2" s="290" t="s">
        <v>358</v>
      </c>
      <c r="AI2" s="291"/>
      <c r="AJ2" s="291"/>
      <c r="AK2" s="292"/>
    </row>
    <row r="3" spans="1:37" ht="16.2" thickBot="1">
      <c r="A3" s="105"/>
      <c r="B3" s="105"/>
      <c r="C3" s="105"/>
      <c r="D3" s="105"/>
      <c r="E3" s="105"/>
      <c r="F3" s="121"/>
      <c r="G3" s="122"/>
      <c r="H3" s="123"/>
      <c r="I3" s="123"/>
      <c r="J3" s="123"/>
      <c r="K3" s="124" t="s">
        <v>359</v>
      </c>
      <c r="L3" s="123"/>
      <c r="M3" s="124" t="s">
        <v>360</v>
      </c>
      <c r="O3" s="105"/>
      <c r="P3" s="106"/>
      <c r="R3" s="115"/>
      <c r="T3" s="115" t="s">
        <v>361</v>
      </c>
      <c r="V3" s="125" t="s">
        <v>361</v>
      </c>
      <c r="W3" s="125" t="s">
        <v>361</v>
      </c>
      <c r="X3" s="125" t="s">
        <v>361</v>
      </c>
      <c r="Y3" s="125"/>
      <c r="Z3" s="125" t="s">
        <v>362</v>
      </c>
      <c r="AA3" s="125" t="s">
        <v>363</v>
      </c>
      <c r="AB3" s="125" t="s">
        <v>363</v>
      </c>
      <c r="AC3" s="125" t="s">
        <v>363</v>
      </c>
      <c r="AD3" s="125" t="s">
        <v>363</v>
      </c>
      <c r="AE3" s="125" t="s">
        <v>363</v>
      </c>
      <c r="AF3" s="125" t="s">
        <v>363</v>
      </c>
      <c r="AG3" s="125" t="s">
        <v>364</v>
      </c>
      <c r="AH3" s="125" t="s">
        <v>131</v>
      </c>
      <c r="AI3" s="125" t="s">
        <v>365</v>
      </c>
      <c r="AJ3" s="125"/>
    </row>
    <row r="4" spans="1:37" ht="18.600000000000001" thickBot="1">
      <c r="A4" s="105"/>
      <c r="B4" s="126" t="s">
        <v>366</v>
      </c>
      <c r="C4" s="113"/>
      <c r="D4" s="127"/>
      <c r="E4" s="105"/>
      <c r="F4" s="128"/>
      <c r="G4" s="122"/>
      <c r="H4" s="123" t="s">
        <v>367</v>
      </c>
      <c r="I4" s="123" t="s">
        <v>368</v>
      </c>
      <c r="J4" s="123" t="s">
        <v>369</v>
      </c>
      <c r="K4" s="123" t="s">
        <v>370</v>
      </c>
      <c r="L4" s="123" t="s">
        <v>371</v>
      </c>
      <c r="M4" s="123" t="s">
        <v>372</v>
      </c>
      <c r="O4" s="129"/>
      <c r="P4" s="106"/>
      <c r="R4" s="115"/>
      <c r="T4" s="125" t="s">
        <v>373</v>
      </c>
      <c r="V4" s="125" t="s">
        <v>374</v>
      </c>
      <c r="W4" s="125" t="s">
        <v>362</v>
      </c>
      <c r="X4" s="125" t="s">
        <v>375</v>
      </c>
      <c r="Y4" s="125" t="s">
        <v>376</v>
      </c>
      <c r="Z4" s="125" t="s">
        <v>375</v>
      </c>
      <c r="AA4" s="125" t="s">
        <v>377</v>
      </c>
      <c r="AB4" s="125" t="s">
        <v>377</v>
      </c>
      <c r="AC4" s="125" t="s">
        <v>377</v>
      </c>
      <c r="AD4" s="125" t="s">
        <v>362</v>
      </c>
      <c r="AE4" s="125" t="s">
        <v>373</v>
      </c>
      <c r="AF4" s="125" t="s">
        <v>373</v>
      </c>
      <c r="AG4" s="125" t="s">
        <v>378</v>
      </c>
      <c r="AH4" s="125" t="s">
        <v>379</v>
      </c>
      <c r="AI4" s="125" t="s">
        <v>380</v>
      </c>
      <c r="AJ4" s="125" t="s">
        <v>381</v>
      </c>
      <c r="AK4" s="125" t="s">
        <v>382</v>
      </c>
    </row>
    <row r="5" spans="1:37" ht="15.6">
      <c r="A5" s="105"/>
      <c r="B5" s="130" t="s">
        <v>383</v>
      </c>
      <c r="C5" s="131">
        <v>257847.32163880343</v>
      </c>
      <c r="D5" s="127"/>
      <c r="E5" s="132"/>
      <c r="F5" s="133" t="s">
        <v>384</v>
      </c>
      <c r="G5" s="134"/>
      <c r="H5" s="134"/>
      <c r="I5" s="123" t="s">
        <v>385</v>
      </c>
      <c r="J5" s="123" t="s">
        <v>131</v>
      </c>
      <c r="K5" s="135" t="s">
        <v>386</v>
      </c>
      <c r="L5" s="136" t="s">
        <v>387</v>
      </c>
      <c r="M5" s="135" t="s">
        <v>131</v>
      </c>
      <c r="O5" s="132"/>
      <c r="P5" s="106"/>
      <c r="R5" s="137"/>
      <c r="T5" s="125" t="s">
        <v>388</v>
      </c>
      <c r="U5" s="125" t="s">
        <v>389</v>
      </c>
      <c r="V5" s="125" t="s">
        <v>390</v>
      </c>
      <c r="W5" s="125" t="s">
        <v>391</v>
      </c>
      <c r="X5" s="125" t="s">
        <v>392</v>
      </c>
      <c r="Y5" s="125" t="s">
        <v>393</v>
      </c>
      <c r="Z5" s="125" t="s">
        <v>392</v>
      </c>
      <c r="AA5" s="125" t="s">
        <v>394</v>
      </c>
      <c r="AB5" s="125" t="s">
        <v>395</v>
      </c>
      <c r="AC5" s="125" t="s">
        <v>396</v>
      </c>
      <c r="AD5" s="125" t="s">
        <v>397</v>
      </c>
      <c r="AE5" s="125" t="s">
        <v>388</v>
      </c>
      <c r="AF5" s="125" t="s">
        <v>398</v>
      </c>
      <c r="AG5" s="125" t="s">
        <v>399</v>
      </c>
      <c r="AH5" s="125" t="s">
        <v>400</v>
      </c>
      <c r="AI5" s="125" t="s">
        <v>400</v>
      </c>
      <c r="AJ5" s="125" t="s">
        <v>399</v>
      </c>
      <c r="AK5" s="125" t="s">
        <v>364</v>
      </c>
    </row>
    <row r="6" spans="1:37" ht="15.6">
      <c r="A6" s="105"/>
      <c r="B6" s="130" t="s">
        <v>401</v>
      </c>
      <c r="C6" s="131">
        <v>227979.58932661288</v>
      </c>
      <c r="D6" s="127"/>
      <c r="E6" s="132"/>
      <c r="F6" s="138" t="s">
        <v>402</v>
      </c>
      <c r="G6" s="134"/>
      <c r="H6" s="134"/>
      <c r="I6" s="139"/>
      <c r="J6" s="140" t="s">
        <v>403</v>
      </c>
      <c r="K6" s="141"/>
      <c r="L6" s="140" t="s">
        <v>404</v>
      </c>
      <c r="M6" s="140" t="s">
        <v>405</v>
      </c>
      <c r="O6" s="132"/>
      <c r="P6" s="106"/>
      <c r="R6" s="142">
        <v>1</v>
      </c>
      <c r="S6" s="143">
        <f>Revenue/Investment*100</f>
        <v>205.33634103632357</v>
      </c>
      <c r="T6" s="144">
        <f>EXP(y_inter1-(slope*LN(+S6)))</f>
        <v>8.3072368774592924</v>
      </c>
      <c r="U6" s="145">
        <f>(+S6*T6/100)/100</f>
        <v>0.17057776245395051</v>
      </c>
      <c r="V6" s="145">
        <f>regDebt_weighted</f>
        <v>3.5860000000000003E-2</v>
      </c>
      <c r="W6" s="145">
        <f>+U6-V6</f>
        <v>0.13471776245395051</v>
      </c>
      <c r="X6" s="145">
        <f>+((W6*(1-0.34))-Pfd_weighted)/Equity_percent</f>
        <v>0.24047593959188177</v>
      </c>
      <c r="Y6" s="145">
        <f>+C15</f>
        <v>2.5000000000000001E-3</v>
      </c>
      <c r="Z6" s="145">
        <f>+X6+Y6</f>
        <v>0.24297593959188177</v>
      </c>
      <c r="AA6" s="145">
        <f>Z6*equityP</f>
        <v>0.12336732591422181</v>
      </c>
      <c r="AB6" s="145">
        <f>+AA6/(1-taxrate)</f>
        <v>0.15616117204331875</v>
      </c>
      <c r="AC6" s="145">
        <f>debtP*Debt_Rate</f>
        <v>1.4441329649252934E-2</v>
      </c>
      <c r="AD6" s="145">
        <f>AC6+AB6</f>
        <v>0.17060250169257168</v>
      </c>
      <c r="AE6" s="145">
        <f>AD6/(S6/100)</f>
        <v>8.3084416928610044E-2</v>
      </c>
      <c r="AF6" s="145">
        <f>1-AE6</f>
        <v>0.91691558307138998</v>
      </c>
      <c r="AG6" s="146">
        <f>expenses/(AF6)</f>
        <v>248637.49022887167</v>
      </c>
      <c r="AH6" s="147">
        <f>+AG6-Revenue</f>
        <v>-9209.8314099317649</v>
      </c>
      <c r="AI6" s="148">
        <f ca="1">+AH6/$J$49</f>
        <v>-10414.8781531607</v>
      </c>
      <c r="AJ6" s="148">
        <f ca="1">+AI6*$J$47</f>
        <v>-334.17614020067072</v>
      </c>
      <c r="AK6" s="146">
        <f ca="1">ROUND(+AJ6+AG6,5)</f>
        <v>248303.31409</v>
      </c>
    </row>
    <row r="7" spans="1:37" ht="15.6">
      <c r="A7" s="105"/>
      <c r="B7" s="130" t="s">
        <v>406</v>
      </c>
      <c r="C7" s="131">
        <v>125573.15492107203</v>
      </c>
      <c r="D7" s="127"/>
      <c r="E7" s="132"/>
      <c r="F7" s="149">
        <v>1</v>
      </c>
      <c r="G7" s="134"/>
      <c r="H7" s="150" t="s">
        <v>383</v>
      </c>
      <c r="I7" s="151">
        <f>IF(A64=TRUE,C5,0)</f>
        <v>257847.32163880343</v>
      </c>
      <c r="J7" s="151">
        <f ca="1">(+$I8/($R50))-I7</f>
        <v>-9095.1878782478452</v>
      </c>
      <c r="K7" s="151">
        <f ca="1">+I7+J7</f>
        <v>248752.13376055559</v>
      </c>
      <c r="L7" s="151">
        <f ca="1">((+J7/J49*K35)-J7)</f>
        <v>-330.01633192494228</v>
      </c>
      <c r="M7" s="151">
        <f ca="1">IFERROR(+K7+L7,0.00001)</f>
        <v>248422.11742863065</v>
      </c>
      <c r="O7" s="132"/>
      <c r="P7" s="106"/>
      <c r="R7" s="152">
        <v>2</v>
      </c>
      <c r="S7" s="153">
        <f>Revenue/Investment*100</f>
        <v>205.33634103632357</v>
      </c>
      <c r="T7" s="154">
        <f>EXP(y_inter1-(slope*LN(+S7)))</f>
        <v>8.3072368774592924</v>
      </c>
      <c r="U7" s="155">
        <f>(+S7*T7/100)/100</f>
        <v>0.17057776245395051</v>
      </c>
      <c r="V7" s="155">
        <f>regDebt_weighted</f>
        <v>3.5860000000000003E-2</v>
      </c>
      <c r="W7" s="155">
        <f>+U7-V7</f>
        <v>0.13471776245395051</v>
      </c>
      <c r="X7" s="155">
        <f>+((W7*(1-0.34))-Pfd_weighted)/Equity_percent</f>
        <v>0.24047593959188177</v>
      </c>
      <c r="Y7" s="155">
        <f>+Y6</f>
        <v>2.5000000000000001E-3</v>
      </c>
      <c r="Z7" s="155">
        <f>+X7+Y7</f>
        <v>0.24297593959188177</v>
      </c>
      <c r="AA7" s="155">
        <f>Z7*equityP</f>
        <v>0.12336732591422181</v>
      </c>
      <c r="AB7" s="155">
        <f>+AA7/(1-taxrate)</f>
        <v>0.15616117204331875</v>
      </c>
      <c r="AC7" s="155">
        <f>debtP*Debt_Rate</f>
        <v>1.4441329649252934E-2</v>
      </c>
      <c r="AD7" s="155">
        <f>AC7+AB7</f>
        <v>0.17060250169257168</v>
      </c>
      <c r="AE7" s="155">
        <f>AD7/(S7/100)</f>
        <v>8.3084416928610044E-2</v>
      </c>
      <c r="AF7" s="155">
        <f>1-AE7</f>
        <v>0.91691558307138998</v>
      </c>
      <c r="AG7" s="156">
        <f>expenses/(AF7)</f>
        <v>248637.49022887167</v>
      </c>
      <c r="AH7" s="157">
        <f>+AG7-Revenue</f>
        <v>-9209.8314099317649</v>
      </c>
      <c r="AI7" s="158">
        <f ca="1">+AH7/$J$49</f>
        <v>-10414.8781531607</v>
      </c>
      <c r="AJ7" s="158">
        <f ca="1">+AI7*$J$47</f>
        <v>-334.17614020067072</v>
      </c>
      <c r="AK7" s="156">
        <f ca="1">ROUND(+AJ7+AG7,5)</f>
        <v>248303.31409</v>
      </c>
    </row>
    <row r="8" spans="1:37" ht="15.6">
      <c r="A8" s="105"/>
      <c r="B8" s="130" t="s">
        <v>407</v>
      </c>
      <c r="C8" s="159">
        <v>0.49226525835670143</v>
      </c>
      <c r="D8" s="127"/>
      <c r="E8" s="105"/>
      <c r="F8" s="160">
        <f>+F7+1</f>
        <v>2</v>
      </c>
      <c r="G8" s="134"/>
      <c r="H8" s="150" t="s">
        <v>401</v>
      </c>
      <c r="I8" s="151">
        <f>IF(A64=TRUE,C6,0)</f>
        <v>227979.58932661288</v>
      </c>
      <c r="J8" s="122"/>
      <c r="K8" s="151">
        <f>+I8</f>
        <v>227979.58932661288</v>
      </c>
      <c r="L8" s="151">
        <f ca="1">+L7</f>
        <v>-330.01633192494228</v>
      </c>
      <c r="M8" s="151">
        <f ca="1">IFERROR(+K8+L8,0.00001)</f>
        <v>227649.57299468794</v>
      </c>
      <c r="O8" s="132"/>
      <c r="P8" s="106"/>
      <c r="R8" s="161">
        <v>3</v>
      </c>
      <c r="S8" s="153">
        <f>Revenue/Investment*100</f>
        <v>205.33634103632357</v>
      </c>
      <c r="T8" s="154">
        <f>EXP(y_inter1-(slope*LN(+S8)))</f>
        <v>8.3072368774592924</v>
      </c>
      <c r="U8" s="155">
        <f>(+S8*T8/100)/100</f>
        <v>0.17057776245395051</v>
      </c>
      <c r="V8" s="155">
        <f>regDebt_weighted</f>
        <v>3.5860000000000003E-2</v>
      </c>
      <c r="W8" s="155">
        <f>+U8-V8</f>
        <v>0.13471776245395051</v>
      </c>
      <c r="X8" s="155">
        <f>+((W8*(1-0.34))-Pfd_weighted)/Equity_percent</f>
        <v>0.24047593959188177</v>
      </c>
      <c r="Y8" s="155">
        <f>+Y7</f>
        <v>2.5000000000000001E-3</v>
      </c>
      <c r="Z8" s="155">
        <f>+X8+Y8</f>
        <v>0.24297593959188177</v>
      </c>
      <c r="AA8" s="155">
        <f>Z8*equityP</f>
        <v>0.12336732591422181</v>
      </c>
      <c r="AB8" s="155">
        <f>+AA8/(1-taxrate)</f>
        <v>0.15616117204331875</v>
      </c>
      <c r="AC8" s="155">
        <f>debtP*Debt_Rate</f>
        <v>1.4441329649252934E-2</v>
      </c>
      <c r="AD8" s="155">
        <f>AC8+AB8</f>
        <v>0.17060250169257168</v>
      </c>
      <c r="AE8" s="155">
        <f>AD8/(S8/100)</f>
        <v>8.3084416928610044E-2</v>
      </c>
      <c r="AF8" s="155">
        <f>1-AE8</f>
        <v>0.91691558307138998</v>
      </c>
      <c r="AG8" s="156">
        <f>expenses/(AF8)</f>
        <v>248637.49022887167</v>
      </c>
      <c r="AH8" s="157">
        <f>+AG8-Revenue</f>
        <v>-9209.8314099317649</v>
      </c>
      <c r="AI8" s="158">
        <f ca="1">+AH8/$J$49</f>
        <v>-10414.8781531607</v>
      </c>
      <c r="AJ8" s="158">
        <f ca="1">+AI8*$J$47</f>
        <v>-334.17614020067072</v>
      </c>
      <c r="AK8" s="156">
        <f ca="1">ROUND(+AJ8+AG8,5)</f>
        <v>248303.31409</v>
      </c>
    </row>
    <row r="9" spans="1:37" ht="15.6">
      <c r="A9" s="105"/>
      <c r="B9" s="130" t="s">
        <v>408</v>
      </c>
      <c r="C9" s="159">
        <v>2.9336479477470194E-2</v>
      </c>
      <c r="D9" s="127"/>
      <c r="E9" s="132"/>
      <c r="F9" s="160">
        <f t="shared" ref="F9:F49" si="0">+F8+1</f>
        <v>3</v>
      </c>
      <c r="G9" s="134"/>
      <c r="H9" s="150" t="s">
        <v>409</v>
      </c>
      <c r="I9" s="162">
        <f>+I7-I8</f>
        <v>29867.73231219055</v>
      </c>
      <c r="J9" s="122"/>
      <c r="K9" s="162">
        <f ca="1">+K7-K8</f>
        <v>20772.544433942705</v>
      </c>
      <c r="L9" s="134"/>
      <c r="M9" s="163">
        <f ca="1">+M7-M8</f>
        <v>20772.544433942705</v>
      </c>
      <c r="O9" s="132"/>
      <c r="P9" s="106"/>
      <c r="R9" s="164">
        <v>4</v>
      </c>
      <c r="S9" s="153">
        <f>Revenue/Investment*100</f>
        <v>205.33634103632357</v>
      </c>
      <c r="T9" s="154">
        <f>EXP(y_inter1-(slope*LN(+S9)))</f>
        <v>8.3072368774592924</v>
      </c>
      <c r="U9" s="155">
        <f>(+S9*T9/100)/100</f>
        <v>0.17057776245395051</v>
      </c>
      <c r="V9" s="155">
        <f>regDebt_weighted</f>
        <v>3.5860000000000003E-2</v>
      </c>
      <c r="W9" s="155">
        <f>+U9-V9</f>
        <v>0.13471776245395051</v>
      </c>
      <c r="X9" s="155">
        <f>+((W9*(1-0.34))-Pfd_weighted)/Equity_percent</f>
        <v>0.24047593959188177</v>
      </c>
      <c r="Y9" s="155">
        <f>+Y8</f>
        <v>2.5000000000000001E-3</v>
      </c>
      <c r="Z9" s="155">
        <f>+X9+Y9</f>
        <v>0.24297593959188177</v>
      </c>
      <c r="AA9" s="155">
        <f>Z9*equityP</f>
        <v>0.12336732591422181</v>
      </c>
      <c r="AB9" s="155">
        <f>+AA9/(1-taxrate)</f>
        <v>0.15616117204331875</v>
      </c>
      <c r="AC9" s="155">
        <f>debtP*Debt_Rate</f>
        <v>1.4441329649252934E-2</v>
      </c>
      <c r="AD9" s="155">
        <f>AC9+AB9</f>
        <v>0.17060250169257168</v>
      </c>
      <c r="AE9" s="155">
        <f>AD9/(S9/100)</f>
        <v>8.3084416928610044E-2</v>
      </c>
      <c r="AF9" s="155">
        <f>1-AE9</f>
        <v>0.91691558307138998</v>
      </c>
      <c r="AG9" s="156">
        <f>expenses/(AF9)</f>
        <v>248637.49022887167</v>
      </c>
      <c r="AH9" s="157">
        <f>+AG9-Revenue</f>
        <v>-9209.8314099317649</v>
      </c>
      <c r="AI9" s="158">
        <f ca="1">+AH9/$J$49</f>
        <v>-10414.8781531607</v>
      </c>
      <c r="AJ9" s="158">
        <f ca="1">+AI9*$J$47</f>
        <v>-334.17614020067072</v>
      </c>
      <c r="AK9" s="156">
        <f ca="1">ROUND(+AJ9+AG9,5)</f>
        <v>248303.31409</v>
      </c>
    </row>
    <row r="10" spans="1:37" ht="15.6">
      <c r="A10" s="105"/>
      <c r="B10" s="165" t="s">
        <v>410</v>
      </c>
      <c r="C10" s="159">
        <v>0.21</v>
      </c>
      <c r="D10" s="127"/>
      <c r="E10" s="132"/>
      <c r="F10" s="160">
        <f t="shared" si="0"/>
        <v>4</v>
      </c>
      <c r="G10" s="134"/>
      <c r="H10" s="134"/>
      <c r="I10" s="122"/>
      <c r="J10" s="122"/>
      <c r="K10" s="151"/>
      <c r="L10" s="134"/>
      <c r="M10" s="134"/>
      <c r="O10" s="132"/>
      <c r="P10" s="105"/>
      <c r="R10" s="125" t="s">
        <v>411</v>
      </c>
    </row>
    <row r="11" spans="1:37" ht="15.6">
      <c r="A11" s="105"/>
      <c r="B11" s="130" t="s">
        <v>412</v>
      </c>
      <c r="C11" s="159">
        <v>1.7500000000000002E-2</v>
      </c>
      <c r="D11" s="127"/>
      <c r="E11" s="132"/>
      <c r="F11" s="160">
        <f t="shared" si="0"/>
        <v>5</v>
      </c>
      <c r="G11" s="134"/>
      <c r="H11" s="150" t="s">
        <v>413</v>
      </c>
      <c r="I11" s="151">
        <f>+K11</f>
        <v>1813.4433253119093</v>
      </c>
      <c r="J11" s="122"/>
      <c r="K11" s="151">
        <f>+M27</f>
        <v>1813.4433253119093</v>
      </c>
      <c r="L11" s="134"/>
      <c r="M11" s="151">
        <f>+K11</f>
        <v>1813.4433253119093</v>
      </c>
      <c r="O11" s="132"/>
      <c r="P11" s="105"/>
      <c r="R11" s="142">
        <v>1</v>
      </c>
      <c r="S11" s="143">
        <f ca="1">IF((AK6/Investment*100)&gt;0,(AK6/Investment*100),0)</f>
        <v>197.73598445150878</v>
      </c>
      <c r="T11" s="144">
        <f ca="1">EXP(y_inter1-(slope*LN(S11)))</f>
        <v>8.4022477628526513</v>
      </c>
      <c r="U11" s="145">
        <f ca="1">(+S11*T11/100)/100</f>
        <v>0.16614267329931565</v>
      </c>
      <c r="V11" s="145">
        <f>regDebt_weighted</f>
        <v>3.5860000000000003E-2</v>
      </c>
      <c r="W11" s="145">
        <f ca="1">+U11-V11</f>
        <v>0.13028267329931564</v>
      </c>
      <c r="X11" s="145">
        <f ca="1">+((W11*(1-0.34))-Pfd_weighted)/Equity_percent</f>
        <v>0.23196675691147767</v>
      </c>
      <c r="Y11" s="145">
        <f>+Y9</f>
        <v>2.5000000000000001E-3</v>
      </c>
      <c r="Z11" s="145">
        <f ca="1">+X11+Y11</f>
        <v>0.23446675691147767</v>
      </c>
      <c r="AA11" s="145">
        <f ca="1">Z11*equityP</f>
        <v>0.1190469182443912</v>
      </c>
      <c r="AB11" s="145">
        <f ca="1">+AA11/(1-taxrate)</f>
        <v>0.15069230157517874</v>
      </c>
      <c r="AC11" s="145">
        <f>debtP*Debt_Rate</f>
        <v>1.4441329649252934E-2</v>
      </c>
      <c r="AD11" s="145">
        <f ca="1">+AC11+AB11</f>
        <v>0.16513363122443167</v>
      </c>
      <c r="AE11" s="145">
        <f ca="1">+AD11/(S11/100)</f>
        <v>8.351217998205468E-2</v>
      </c>
      <c r="AF11" s="145">
        <f ca="1">1-AE11</f>
        <v>0.91648782001794538</v>
      </c>
      <c r="AG11" s="146">
        <f ca="1">expenses/(AF11)</f>
        <v>248753.53970568744</v>
      </c>
      <c r="AH11" s="147">
        <f ca="1">+AG11-Revenue</f>
        <v>-9093.781933115999</v>
      </c>
      <c r="AI11" s="148">
        <f ca="1">+AH11/$J$49</f>
        <v>-10283.644354519081</v>
      </c>
      <c r="AJ11" s="148">
        <f ca="1">+AI11*$J$47</f>
        <v>-329.96531760159701</v>
      </c>
      <c r="AK11" s="146">
        <f ca="1">ROUND(+AJ11+AG11,5)</f>
        <v>248423.57438999999</v>
      </c>
    </row>
    <row r="12" spans="1:37" ht="15.6">
      <c r="A12" s="105"/>
      <c r="B12" s="130" t="s">
        <v>414</v>
      </c>
      <c r="C12" s="159">
        <v>5.1000000000000004E-3</v>
      </c>
      <c r="D12" s="127"/>
      <c r="E12" s="132"/>
      <c r="F12" s="160">
        <f t="shared" si="0"/>
        <v>6</v>
      </c>
      <c r="G12" s="134"/>
      <c r="H12" s="150" t="s">
        <v>415</v>
      </c>
      <c r="I12" s="151" t="e">
        <f ca="1">IF(I14&lt;0,0,+J38*I14)</f>
        <v>#VALUE!</v>
      </c>
      <c r="J12" s="151" t="e">
        <f ca="1">+K12-I12</f>
        <v>#VALUE!</v>
      </c>
      <c r="K12" s="151">
        <f ca="1">+(K9-K11)*taxrate</f>
        <v>3981.411232812467</v>
      </c>
      <c r="L12" s="134"/>
      <c r="M12" s="151">
        <f ca="1">+K12</f>
        <v>3981.411232812467</v>
      </c>
      <c r="O12" s="132"/>
      <c r="P12" s="105"/>
      <c r="R12" s="152">
        <v>2</v>
      </c>
      <c r="S12" s="153">
        <f ca="1">IF((AK7/Investment*100)&gt;0,(AK7/Investment*100),0)</f>
        <v>197.73598445150878</v>
      </c>
      <c r="T12" s="166">
        <f ca="1">EXP(y_inter2-(slope*LN(+S12)))</f>
        <v>8.4022477628526513</v>
      </c>
      <c r="U12" s="155">
        <f ca="1">(+S12*T12/100)/100</f>
        <v>0.16614267329931565</v>
      </c>
      <c r="V12" s="155">
        <f>regDebt_weighted</f>
        <v>3.5860000000000003E-2</v>
      </c>
      <c r="W12" s="155">
        <f ca="1">+U12-V12</f>
        <v>0.13028267329931564</v>
      </c>
      <c r="X12" s="155">
        <f ca="1">+((W12*(1-0.34))-Pfd_weighted)/Equity_percent</f>
        <v>0.23196675691147767</v>
      </c>
      <c r="Y12" s="155">
        <f>+Y11</f>
        <v>2.5000000000000001E-3</v>
      </c>
      <c r="Z12" s="155">
        <f ca="1">+X12+Y12</f>
        <v>0.23446675691147767</v>
      </c>
      <c r="AA12" s="155">
        <f ca="1">Z12*equityP</f>
        <v>0.1190469182443912</v>
      </c>
      <c r="AB12" s="155">
        <f ca="1">+AA12/(1-taxrate)</f>
        <v>0.15069230157517874</v>
      </c>
      <c r="AC12" s="155">
        <f>debtP*Debt_Rate</f>
        <v>1.4441329649252934E-2</v>
      </c>
      <c r="AD12" s="155">
        <f ca="1">+AC12+AB12</f>
        <v>0.16513363122443167</v>
      </c>
      <c r="AE12" s="155">
        <f ca="1">+AD12/(S12/100)</f>
        <v>8.351217998205468E-2</v>
      </c>
      <c r="AF12" s="155">
        <f ca="1">1-AE12</f>
        <v>0.91648782001794538</v>
      </c>
      <c r="AG12" s="156">
        <f ca="1">expenses/(AF12)</f>
        <v>248753.53970568744</v>
      </c>
      <c r="AH12" s="157">
        <f ca="1">+AG12-Revenue</f>
        <v>-9093.781933115999</v>
      </c>
      <c r="AI12" s="158">
        <f ca="1">+AH12/$J$49</f>
        <v>-10283.644354519081</v>
      </c>
      <c r="AJ12" s="158">
        <f ca="1">+AI12*$J$47</f>
        <v>-329.96531760159701</v>
      </c>
      <c r="AK12" s="156">
        <f ca="1">ROUND(+AJ12+AG12,5)</f>
        <v>248423.57438999999</v>
      </c>
    </row>
    <row r="13" spans="1:37" ht="15.6">
      <c r="A13" s="105"/>
      <c r="B13" s="130" t="s">
        <v>416</v>
      </c>
      <c r="C13" s="159">
        <v>0</v>
      </c>
      <c r="D13" s="127"/>
      <c r="E13" s="132"/>
      <c r="F13" s="160">
        <f t="shared" si="0"/>
        <v>7</v>
      </c>
      <c r="G13" s="134"/>
      <c r="H13" s="134"/>
      <c r="I13" s="122"/>
      <c r="J13" s="122"/>
      <c r="K13" s="151"/>
      <c r="L13" s="134"/>
      <c r="M13" s="134"/>
      <c r="O13" s="132"/>
      <c r="P13" s="105"/>
      <c r="R13" s="161">
        <v>3</v>
      </c>
      <c r="S13" s="153">
        <f ca="1">IF((AK8/Investment*100)&gt;0,(AK8/Investment*100),0)</f>
        <v>197.73598445150878</v>
      </c>
      <c r="T13" s="154">
        <f ca="1">EXP(y_inter3-(slope*LN(S13)))</f>
        <v>8.4022477628526513</v>
      </c>
      <c r="U13" s="155">
        <f ca="1">(+S13*T13/100)/100</f>
        <v>0.16614267329931565</v>
      </c>
      <c r="V13" s="155">
        <f>regDebt_weighted</f>
        <v>3.5860000000000003E-2</v>
      </c>
      <c r="W13" s="155">
        <f ca="1">+U13-V13</f>
        <v>0.13028267329931564</v>
      </c>
      <c r="X13" s="155">
        <f ca="1">+((W13*(1-0.34))-Pfd_weighted)/Equity_percent</f>
        <v>0.23196675691147767</v>
      </c>
      <c r="Y13" s="155">
        <f>+Y12</f>
        <v>2.5000000000000001E-3</v>
      </c>
      <c r="Z13" s="155">
        <f ca="1">+X13+Y13</f>
        <v>0.23446675691147767</v>
      </c>
      <c r="AA13" s="155">
        <f ca="1">Z13*equityP</f>
        <v>0.1190469182443912</v>
      </c>
      <c r="AB13" s="155">
        <f ca="1">+AA13/(1-taxrate)</f>
        <v>0.15069230157517874</v>
      </c>
      <c r="AC13" s="155">
        <f>debtP*Debt_Rate</f>
        <v>1.4441329649252934E-2</v>
      </c>
      <c r="AD13" s="155">
        <f ca="1">+AC13+AB13</f>
        <v>0.16513363122443167</v>
      </c>
      <c r="AE13" s="155">
        <f ca="1">+AD13/(S13/100)</f>
        <v>8.351217998205468E-2</v>
      </c>
      <c r="AF13" s="155">
        <f ca="1">1-AE13</f>
        <v>0.91648782001794538</v>
      </c>
      <c r="AG13" s="156">
        <f ca="1">expenses/(AF13)</f>
        <v>248753.53970568744</v>
      </c>
      <c r="AH13" s="157">
        <f ca="1">+AG13-Revenue</f>
        <v>-9093.781933115999</v>
      </c>
      <c r="AI13" s="158">
        <f ca="1">+AH13/$J$49</f>
        <v>-10283.644354519081</v>
      </c>
      <c r="AJ13" s="158">
        <f ca="1">+AI13*$J$47</f>
        <v>-329.96531760159701</v>
      </c>
      <c r="AK13" s="156">
        <f ca="1">ROUND(+AJ13+AG13,5)</f>
        <v>248423.57438999999</v>
      </c>
    </row>
    <row r="14" spans="1:37" ht="16.2" thickBot="1">
      <c r="A14" s="105"/>
      <c r="B14" s="167" t="s">
        <v>417</v>
      </c>
      <c r="C14" s="159">
        <v>9.4864186105965299E-3</v>
      </c>
      <c r="D14" s="127"/>
      <c r="E14" s="120"/>
      <c r="F14" s="160">
        <f t="shared" si="0"/>
        <v>8</v>
      </c>
      <c r="G14" s="134"/>
      <c r="H14" s="134" t="s">
        <v>418</v>
      </c>
      <c r="I14" s="168" t="e">
        <f ca="1">+I9-SUM(I11:I13)</f>
        <v>#VALUE!</v>
      </c>
      <c r="J14" s="122"/>
      <c r="K14" s="168">
        <f ca="1">+K9-SUM(K11:K13)</f>
        <v>14977.689875818329</v>
      </c>
      <c r="L14" s="134"/>
      <c r="M14" s="168">
        <f ca="1">+M9-SUM(M11:M13)</f>
        <v>14977.689875818329</v>
      </c>
      <c r="O14" s="132"/>
      <c r="P14" s="105"/>
      <c r="R14" s="164">
        <v>4</v>
      </c>
      <c r="S14" s="153">
        <f ca="1">IF((AK9/Investment*100)&gt;0,(AK9/Investment*100),0)</f>
        <v>197.73598445150878</v>
      </c>
      <c r="T14" s="169">
        <f ca="1">EXP(y_inter4-(slope*LN(S14)))</f>
        <v>8.4022477628526513</v>
      </c>
      <c r="U14" s="155">
        <f ca="1">(+S14*T14/100)/100</f>
        <v>0.16614267329931565</v>
      </c>
      <c r="V14" s="155">
        <f>regDebt_weighted</f>
        <v>3.5860000000000003E-2</v>
      </c>
      <c r="W14" s="155">
        <f ca="1">+U14-V14</f>
        <v>0.13028267329931564</v>
      </c>
      <c r="X14" s="155">
        <f ca="1">+((W14*(1-0.34))-Pfd_weighted)/Equity_percent</f>
        <v>0.23196675691147767</v>
      </c>
      <c r="Y14" s="155">
        <f>+Y13</f>
        <v>2.5000000000000001E-3</v>
      </c>
      <c r="Z14" s="155">
        <f ca="1">+X14+Y14</f>
        <v>0.23446675691147767</v>
      </c>
      <c r="AA14" s="155">
        <f ca="1">Z14*equityP</f>
        <v>0.1190469182443912</v>
      </c>
      <c r="AB14" s="155">
        <f ca="1">+AA14/(1-taxrate)</f>
        <v>0.15069230157517874</v>
      </c>
      <c r="AC14" s="155">
        <f>debtP*Debt_Rate</f>
        <v>1.4441329649252934E-2</v>
      </c>
      <c r="AD14" s="155">
        <f ca="1">+AC14+AB14</f>
        <v>0.16513363122443167</v>
      </c>
      <c r="AE14" s="155">
        <f ca="1">+AD14/(S14/100)</f>
        <v>8.351217998205468E-2</v>
      </c>
      <c r="AF14" s="155">
        <f ca="1">1-AE14</f>
        <v>0.91648782001794538</v>
      </c>
      <c r="AG14" s="156">
        <f ca="1">expenses/(AF14)</f>
        <v>248753.53970568744</v>
      </c>
      <c r="AH14" s="157">
        <f ca="1">+AG14-Revenue</f>
        <v>-9093.781933115999</v>
      </c>
      <c r="AI14" s="158">
        <f ca="1">+AH14/$J$49</f>
        <v>-10283.644354519081</v>
      </c>
      <c r="AJ14" s="158">
        <f ca="1">+AI14*$J$47</f>
        <v>-329.96531760159701</v>
      </c>
      <c r="AK14" s="156">
        <f ca="1">ROUND(+AJ14+AG14,5)</f>
        <v>248423.57438999999</v>
      </c>
    </row>
    <row r="15" spans="1:37" ht="16.2" thickTop="1">
      <c r="A15" s="105"/>
      <c r="B15" s="167" t="s">
        <v>419</v>
      </c>
      <c r="C15" s="159">
        <v>2.5000000000000001E-3</v>
      </c>
      <c r="D15" s="105"/>
      <c r="E15" s="105"/>
      <c r="F15" s="160">
        <f t="shared" si="0"/>
        <v>9</v>
      </c>
      <c r="G15" s="122"/>
      <c r="H15" s="122"/>
      <c r="I15" s="122"/>
      <c r="J15" s="122"/>
      <c r="K15" s="170"/>
      <c r="L15" s="122"/>
      <c r="M15" s="122"/>
      <c r="O15" s="132"/>
      <c r="P15" s="105"/>
      <c r="R15" s="125" t="s">
        <v>420</v>
      </c>
    </row>
    <row r="16" spans="1:37" ht="15.6">
      <c r="A16" s="105"/>
      <c r="B16" s="105"/>
      <c r="C16" s="105"/>
      <c r="D16" s="127" t="s">
        <v>421</v>
      </c>
      <c r="E16" s="105"/>
      <c r="F16" s="160">
        <f t="shared" si="0"/>
        <v>10</v>
      </c>
      <c r="G16" s="122"/>
      <c r="H16" s="150" t="s">
        <v>422</v>
      </c>
      <c r="I16" s="171">
        <f>+I8/I7</f>
        <v>0.88416504727541934</v>
      </c>
      <c r="J16" s="172"/>
      <c r="K16" s="171">
        <f ca="1">+K8/K7</f>
        <v>0.916493</v>
      </c>
      <c r="L16" s="173"/>
      <c r="M16" s="171">
        <f ca="1">+M8/M7</f>
        <v>0.91638206513592546</v>
      </c>
      <c r="O16" s="132"/>
      <c r="P16" s="105"/>
      <c r="R16" s="142">
        <v>1</v>
      </c>
      <c r="S16" s="143">
        <f ca="1">AK11/Investment*100</f>
        <v>197.83175356718925</v>
      </c>
      <c r="T16" s="144">
        <f ca="1">EXP(y_inter1-(slope*LN(+S16)))</f>
        <v>8.4010211403657564</v>
      </c>
      <c r="U16" s="145">
        <f ca="1">(+S16*T16/100)/100</f>
        <v>0.16619887439535855</v>
      </c>
      <c r="V16" s="145">
        <f>regDebt_weighted</f>
        <v>3.5860000000000003E-2</v>
      </c>
      <c r="W16" s="145">
        <f ca="1">+U16-V16</f>
        <v>0.13033887439535854</v>
      </c>
      <c r="X16" s="145">
        <f ca="1">+((W16*(1-0.34))-Pfd_weighted)/Equity_percent</f>
        <v>0.23207458459574601</v>
      </c>
      <c r="Y16" s="145">
        <f>+Y14</f>
        <v>2.5000000000000001E-3</v>
      </c>
      <c r="Z16" s="145">
        <f ca="1">+X16+Y16</f>
        <v>0.23457458459574601</v>
      </c>
      <c r="AA16" s="145">
        <f ca="1">Z16*equityP</f>
        <v>0.11910166610580518</v>
      </c>
      <c r="AB16" s="145">
        <f ca="1">+AA16/(1-taxrate)</f>
        <v>0.15076160266557617</v>
      </c>
      <c r="AC16" s="145">
        <f>debtP*Debt_Rate</f>
        <v>1.4441329649252934E-2</v>
      </c>
      <c r="AD16" s="145">
        <f ca="1">+AC16+AB16</f>
        <v>0.1652029323148291</v>
      </c>
      <c r="AE16" s="145">
        <f ca="1">+AD16/(S16/100)</f>
        <v>8.350678257457872E-2</v>
      </c>
      <c r="AF16" s="145">
        <f ca="1">1-AE16</f>
        <v>0.91649321742542122</v>
      </c>
      <c r="AG16" s="146">
        <f ca="1">expenses/(AF16)</f>
        <v>248752.07474753025</v>
      </c>
      <c r="AH16" s="147">
        <f ca="1">+AG16-Revenue</f>
        <v>-9095.2468912731856</v>
      </c>
      <c r="AI16" s="148">
        <f ca="1">+AH16/$J$49</f>
        <v>-10285.300992955494</v>
      </c>
      <c r="AJ16" s="148">
        <f ca="1">+AI16*$J$47</f>
        <v>-330.01847319595413</v>
      </c>
      <c r="AK16" s="146">
        <f ca="1">ROUND(+AJ16+AG16,5)</f>
        <v>248422.05627</v>
      </c>
    </row>
    <row r="17" spans="1:37" ht="15.6">
      <c r="A17" s="105"/>
      <c r="B17" s="174" t="s">
        <v>423</v>
      </c>
      <c r="C17" s="175"/>
      <c r="D17" s="105" t="s">
        <v>424</v>
      </c>
      <c r="E17" s="105"/>
      <c r="F17" s="160">
        <f t="shared" si="0"/>
        <v>11</v>
      </c>
      <c r="G17" s="122"/>
      <c r="H17" s="122"/>
      <c r="I17" s="122"/>
      <c r="K17" s="122"/>
      <c r="L17" s="150"/>
      <c r="M17" s="150"/>
      <c r="N17" s="171"/>
      <c r="O17" s="105"/>
      <c r="P17" s="105"/>
      <c r="R17" s="152">
        <v>2</v>
      </c>
      <c r="S17" s="153">
        <f ca="1">AK12/Investment*100</f>
        <v>197.83175356718925</v>
      </c>
      <c r="T17" s="166">
        <f ca="1">EXP(y_inter2-(slope*LN(+S17)))</f>
        <v>8.4010211403657564</v>
      </c>
      <c r="U17" s="155">
        <f ca="1">(+S17*T17/100)/100</f>
        <v>0.16619887439535855</v>
      </c>
      <c r="V17" s="155">
        <f>regDebt_weighted</f>
        <v>3.5860000000000003E-2</v>
      </c>
      <c r="W17" s="155">
        <f ca="1">+U17-V17</f>
        <v>0.13033887439535854</v>
      </c>
      <c r="X17" s="155">
        <f ca="1">+((W17*(1-0.34))-Pfd_weighted)/Equity_percent</f>
        <v>0.23207458459574601</v>
      </c>
      <c r="Y17" s="155">
        <f>+Y16</f>
        <v>2.5000000000000001E-3</v>
      </c>
      <c r="Z17" s="155">
        <f ca="1">+X17+Y17</f>
        <v>0.23457458459574601</v>
      </c>
      <c r="AA17" s="155">
        <f ca="1">Z17*equityP</f>
        <v>0.11910166610580518</v>
      </c>
      <c r="AB17" s="155">
        <f ca="1">+AA17/(1-taxrate)</f>
        <v>0.15076160266557617</v>
      </c>
      <c r="AC17" s="155">
        <f>debtP*Debt_Rate</f>
        <v>1.4441329649252934E-2</v>
      </c>
      <c r="AD17" s="155">
        <f ca="1">+AC17+AB17</f>
        <v>0.1652029323148291</v>
      </c>
      <c r="AE17" s="155">
        <f ca="1">+AD17/(S17/100)</f>
        <v>8.350678257457872E-2</v>
      </c>
      <c r="AF17" s="155">
        <f ca="1">1-AE17</f>
        <v>0.91649321742542122</v>
      </c>
      <c r="AG17" s="156">
        <f ca="1">expenses/(AF17)</f>
        <v>248752.07474753025</v>
      </c>
      <c r="AH17" s="157">
        <f ca="1">+AG17-Revenue</f>
        <v>-9095.2468912731856</v>
      </c>
      <c r="AI17" s="158">
        <f ca="1">+AH17/$J$49</f>
        <v>-10285.300992955494</v>
      </c>
      <c r="AJ17" s="158">
        <f ca="1">+AI17*$J$47</f>
        <v>-330.01847319595413</v>
      </c>
      <c r="AK17" s="156">
        <f ca="1">ROUND(+AJ17+AG17,5)</f>
        <v>248422.05627</v>
      </c>
    </row>
    <row r="18" spans="1:37" ht="15.6">
      <c r="A18" s="105"/>
      <c r="B18" s="293"/>
      <c r="C18" s="293"/>
      <c r="D18" s="105"/>
      <c r="E18" s="105"/>
      <c r="F18" s="160">
        <f t="shared" si="0"/>
        <v>12</v>
      </c>
      <c r="G18" s="122"/>
      <c r="H18" s="176" t="s">
        <v>425</v>
      </c>
      <c r="I18" s="177"/>
      <c r="J18" s="177"/>
      <c r="K18" s="177"/>
      <c r="L18" s="177"/>
      <c r="M18" s="178"/>
      <c r="O18" s="105"/>
      <c r="P18" s="105"/>
      <c r="R18" s="161">
        <v>3</v>
      </c>
      <c r="S18" s="153">
        <f ca="1">AK13/Investment*100</f>
        <v>197.83175356718925</v>
      </c>
      <c r="T18" s="154">
        <f ca="1">EXP(y_inter3-(slope*LN(S18)))</f>
        <v>8.4010211403657564</v>
      </c>
      <c r="U18" s="155">
        <f ca="1">(+S18*T18/100)/100</f>
        <v>0.16619887439535855</v>
      </c>
      <c r="V18" s="155">
        <f>regDebt_weighted</f>
        <v>3.5860000000000003E-2</v>
      </c>
      <c r="W18" s="155">
        <f ca="1">+U18-V18</f>
        <v>0.13033887439535854</v>
      </c>
      <c r="X18" s="155">
        <f ca="1">+((W18*(1-0.34))-Pfd_weighted)/Equity_percent</f>
        <v>0.23207458459574601</v>
      </c>
      <c r="Y18" s="155">
        <f>+Y17</f>
        <v>2.5000000000000001E-3</v>
      </c>
      <c r="Z18" s="155">
        <f ca="1">+X18+Y18</f>
        <v>0.23457458459574601</v>
      </c>
      <c r="AA18" s="155">
        <f ca="1">Z18*equityP</f>
        <v>0.11910166610580518</v>
      </c>
      <c r="AB18" s="155">
        <f ca="1">+AA18/(1-taxrate)</f>
        <v>0.15076160266557617</v>
      </c>
      <c r="AC18" s="155">
        <f>debtP*Debt_Rate</f>
        <v>1.4441329649252934E-2</v>
      </c>
      <c r="AD18" s="155">
        <f ca="1">+AC18+AB18</f>
        <v>0.1652029323148291</v>
      </c>
      <c r="AE18" s="155">
        <f ca="1">+AD18/(S18/100)</f>
        <v>8.350678257457872E-2</v>
      </c>
      <c r="AF18" s="155">
        <f ca="1">1-AE18</f>
        <v>0.91649321742542122</v>
      </c>
      <c r="AG18" s="156">
        <f ca="1">expenses/(AF18)</f>
        <v>248752.07474753025</v>
      </c>
      <c r="AH18" s="157">
        <f ca="1">+AG18-Revenue</f>
        <v>-9095.2468912731856</v>
      </c>
      <c r="AI18" s="158">
        <f ca="1">+AH18/$J$49</f>
        <v>-10285.300992955494</v>
      </c>
      <c r="AJ18" s="158">
        <f ca="1">+AI18*$J$47</f>
        <v>-330.01847319595413</v>
      </c>
      <c r="AK18" s="156">
        <f ca="1">ROUND(+AJ18+AG18,5)</f>
        <v>248422.05627</v>
      </c>
    </row>
    <row r="19" spans="1:37" ht="15.6">
      <c r="A19" s="105"/>
      <c r="B19" s="294" t="s">
        <v>426</v>
      </c>
      <c r="C19" s="294"/>
      <c r="D19" s="105"/>
      <c r="E19" s="105"/>
      <c r="F19" s="160">
        <f t="shared" si="0"/>
        <v>13</v>
      </c>
      <c r="G19" s="122"/>
      <c r="H19" s="128"/>
      <c r="I19" s="150" t="s">
        <v>427</v>
      </c>
      <c r="J19" s="151">
        <f>+Revenue</f>
        <v>257847.32163880343</v>
      </c>
      <c r="K19" s="179"/>
      <c r="L19" s="150" t="s">
        <v>428</v>
      </c>
      <c r="M19" s="180">
        <f ca="1">+J7</f>
        <v>-9095.1878782478452</v>
      </c>
      <c r="O19" s="105"/>
      <c r="P19" s="105"/>
      <c r="R19" s="164">
        <v>4</v>
      </c>
      <c r="S19" s="153">
        <f ca="1">AK14/Investment*100</f>
        <v>197.83175356718925</v>
      </c>
      <c r="T19" s="169">
        <f ca="1">EXP(y_inter4-(slope*LN(S19)))</f>
        <v>8.4010211403657564</v>
      </c>
      <c r="U19" s="155">
        <f ca="1">(+S19*T19/100)/100</f>
        <v>0.16619887439535855</v>
      </c>
      <c r="V19" s="155">
        <f>regDebt_weighted</f>
        <v>3.5860000000000003E-2</v>
      </c>
      <c r="W19" s="155">
        <f ca="1">+U19-V19</f>
        <v>0.13033887439535854</v>
      </c>
      <c r="X19" s="155">
        <f ca="1">+((W19*(1-0.34))-Pfd_weighted)/Equity_percent</f>
        <v>0.23207458459574601</v>
      </c>
      <c r="Y19" s="155">
        <f>+Y18</f>
        <v>2.5000000000000001E-3</v>
      </c>
      <c r="Z19" s="155">
        <f ca="1">+X19+Y19</f>
        <v>0.23457458459574601</v>
      </c>
      <c r="AA19" s="155">
        <f ca="1">Z19*equityP</f>
        <v>0.11910166610580518</v>
      </c>
      <c r="AB19" s="155">
        <f ca="1">+AA19/(1-taxrate)</f>
        <v>0.15076160266557617</v>
      </c>
      <c r="AC19" s="155">
        <f>debtP*Debt_Rate</f>
        <v>1.4441329649252934E-2</v>
      </c>
      <c r="AD19" s="155">
        <f ca="1">+AC19+AB19</f>
        <v>0.1652029323148291</v>
      </c>
      <c r="AE19" s="155">
        <f ca="1">+AD19/(S19/100)</f>
        <v>8.350678257457872E-2</v>
      </c>
      <c r="AF19" s="155">
        <f ca="1">1-AE19</f>
        <v>0.91649321742542122</v>
      </c>
      <c r="AG19" s="156">
        <f ca="1">expenses/(AF19)</f>
        <v>248752.07474753025</v>
      </c>
      <c r="AH19" s="157">
        <f ca="1">+AG19-Revenue</f>
        <v>-9095.2468912731856</v>
      </c>
      <c r="AI19" s="158">
        <f ca="1">+AH19/$J$49</f>
        <v>-10285.300992955494</v>
      </c>
      <c r="AJ19" s="158">
        <f ca="1">+AI19*$J$47</f>
        <v>-330.01847319595413</v>
      </c>
      <c r="AK19" s="156">
        <f ca="1">ROUND(+AJ19+AG19,5)</f>
        <v>248422.05627</v>
      </c>
    </row>
    <row r="20" spans="1:37" ht="15.6">
      <c r="A20" s="105"/>
      <c r="B20" s="175"/>
      <c r="C20" s="105"/>
      <c r="D20" s="105"/>
      <c r="E20" s="105"/>
      <c r="F20" s="160">
        <f t="shared" si="0"/>
        <v>14</v>
      </c>
      <c r="G20" s="122"/>
      <c r="H20" s="128"/>
      <c r="I20" s="150" t="s">
        <v>429</v>
      </c>
      <c r="J20" s="151">
        <f ca="1">+J21-J19</f>
        <v>-9425.2042101727857</v>
      </c>
      <c r="K20" s="181"/>
      <c r="L20" s="150" t="s">
        <v>430</v>
      </c>
      <c r="M20" s="180">
        <f ca="1">+L8</f>
        <v>-330.01633192494228</v>
      </c>
      <c r="O20" s="105"/>
      <c r="P20" s="132"/>
      <c r="R20" s="125" t="s">
        <v>431</v>
      </c>
    </row>
    <row r="21" spans="1:37" ht="16.2" thickBot="1">
      <c r="A21" s="105"/>
      <c r="B21" s="175"/>
      <c r="C21" s="175"/>
      <c r="D21" s="105"/>
      <c r="E21" s="105"/>
      <c r="F21" s="160">
        <f t="shared" si="0"/>
        <v>15</v>
      </c>
      <c r="G21" s="122"/>
      <c r="H21" s="128"/>
      <c r="I21" s="182" t="s">
        <v>425</v>
      </c>
      <c r="J21" s="183">
        <f ca="1">+M7</f>
        <v>248422.11742863065</v>
      </c>
      <c r="L21" s="182" t="s">
        <v>429</v>
      </c>
      <c r="M21" s="184">
        <f ca="1">+M19+M20</f>
        <v>-9425.2042101727875</v>
      </c>
      <c r="O21" s="105"/>
      <c r="P21" s="105"/>
      <c r="R21" s="142">
        <v>1</v>
      </c>
      <c r="S21" s="143">
        <f ca="1">AK16/Investment*100</f>
        <v>197.83054461452662</v>
      </c>
      <c r="T21" s="144">
        <f ca="1">EXP(y_inter1-(slope*LN(+S21)))</f>
        <v>8.4010366199618236</v>
      </c>
      <c r="U21" s="145">
        <f ca="1">(+S21*T21/100)/100</f>
        <v>0.16619816498536294</v>
      </c>
      <c r="V21" s="145">
        <f>regDebt_weighted</f>
        <v>3.5860000000000003E-2</v>
      </c>
      <c r="W21" s="145">
        <f ca="1">+U21-V21</f>
        <v>0.13033816498536294</v>
      </c>
      <c r="X21" s="145">
        <f ca="1">+((W21*(1-0.34))-Pfd_weighted)/Equity_percent</f>
        <v>0.23207322351842888</v>
      </c>
      <c r="Y21" s="145">
        <f>+Y19</f>
        <v>2.5000000000000001E-3</v>
      </c>
      <c r="Z21" s="145">
        <f ca="1">+X21+Y21</f>
        <v>0.23457322351842888</v>
      </c>
      <c r="AA21" s="145">
        <f ca="1">Z21*equityP</f>
        <v>0.11910097503956521</v>
      </c>
      <c r="AB21" s="145">
        <f ca="1">+AA21/(1-taxrate)</f>
        <v>0.15076072789818382</v>
      </c>
      <c r="AC21" s="145">
        <f>debtP*Debt_Rate</f>
        <v>1.4441329649252934E-2</v>
      </c>
      <c r="AD21" s="145">
        <f ca="1">+AC21+AB21</f>
        <v>0.16520205754743675</v>
      </c>
      <c r="AE21" s="145">
        <f ca="1">+AD21/(S21/100)</f>
        <v>8.3506850708687796E-2</v>
      </c>
      <c r="AF21" s="145">
        <f ca="1">1-AE21</f>
        <v>0.9164931492913122</v>
      </c>
      <c r="AG21" s="146">
        <f ca="1">expenses/(AF21)</f>
        <v>248752.09324030459</v>
      </c>
      <c r="AH21" s="147">
        <f ca="1">+AG21-Revenue</f>
        <v>-9095.2283984988462</v>
      </c>
      <c r="AI21" s="148">
        <f ca="1">+AH21/$J$49</f>
        <v>-10285.280080521499</v>
      </c>
      <c r="AJ21" s="148">
        <f ca="1">+AI21*$J$47</f>
        <v>-330.01780219084281</v>
      </c>
      <c r="AK21" s="146">
        <f ca="1">ROUND(+AJ21+AG21,5)</f>
        <v>248422.07543999999</v>
      </c>
    </row>
    <row r="22" spans="1:37" ht="21" customHeight="1" thickTop="1">
      <c r="A22" s="105"/>
      <c r="B22" s="175"/>
      <c r="C22" s="105"/>
      <c r="D22" s="105"/>
      <c r="E22" s="105"/>
      <c r="F22" s="160">
        <f t="shared" si="0"/>
        <v>16</v>
      </c>
      <c r="G22" s="122"/>
      <c r="H22" s="185"/>
      <c r="I22" s="186"/>
      <c r="J22" s="187" t="s">
        <v>432</v>
      </c>
      <c r="K22" s="188">
        <f ca="1">+(J21/J19)-1</f>
        <v>-3.6553430728963554E-2</v>
      </c>
      <c r="L22" s="186"/>
      <c r="M22" s="189"/>
      <c r="O22" s="105"/>
      <c r="P22" s="132"/>
      <c r="R22" s="152">
        <v>2</v>
      </c>
      <c r="S22" s="153">
        <f ca="1">AK17/Investment*100</f>
        <v>197.83054461452662</v>
      </c>
      <c r="T22" s="166">
        <f ca="1">EXP(y_inter2-(slope*LN(+S22)))</f>
        <v>8.4010366199618236</v>
      </c>
      <c r="U22" s="155">
        <f ca="1">(+S22*T22/100)/100</f>
        <v>0.16619816498536294</v>
      </c>
      <c r="V22" s="155">
        <f>regDebt_weighted</f>
        <v>3.5860000000000003E-2</v>
      </c>
      <c r="W22" s="155">
        <f ca="1">+U22-V22</f>
        <v>0.13033816498536294</v>
      </c>
      <c r="X22" s="155">
        <f ca="1">+((W22*(1-0.34))-Pfd_weighted)/Equity_percent</f>
        <v>0.23207322351842888</v>
      </c>
      <c r="Y22" s="155">
        <f>+Y21</f>
        <v>2.5000000000000001E-3</v>
      </c>
      <c r="Z22" s="155">
        <f ca="1">+X22+Y22</f>
        <v>0.23457322351842888</v>
      </c>
      <c r="AA22" s="155">
        <f ca="1">Z22*equityP</f>
        <v>0.11910097503956521</v>
      </c>
      <c r="AB22" s="155">
        <f ca="1">+AA22/(1-taxrate)</f>
        <v>0.15076072789818382</v>
      </c>
      <c r="AC22" s="155">
        <f>debtP*Debt_Rate</f>
        <v>1.4441329649252934E-2</v>
      </c>
      <c r="AD22" s="155">
        <f ca="1">+AC22+AB22</f>
        <v>0.16520205754743675</v>
      </c>
      <c r="AE22" s="155">
        <f ca="1">+AD22/(S22/100)</f>
        <v>8.3506850708687796E-2</v>
      </c>
      <c r="AF22" s="155">
        <f ca="1">1-AE22</f>
        <v>0.9164931492913122</v>
      </c>
      <c r="AG22" s="156">
        <f ca="1">expenses/(AF22)</f>
        <v>248752.09324030459</v>
      </c>
      <c r="AH22" s="157">
        <f ca="1">+AG22-Revenue</f>
        <v>-9095.2283984988462</v>
      </c>
      <c r="AI22" s="158">
        <f ca="1">+AH22/$J$49</f>
        <v>-10285.280080521499</v>
      </c>
      <c r="AJ22" s="158">
        <f ca="1">+AI22*$J$47</f>
        <v>-330.01780219084281</v>
      </c>
      <c r="AK22" s="156">
        <f ca="1">ROUND(+AJ22+AG22,5)</f>
        <v>248422.07543999999</v>
      </c>
    </row>
    <row r="23" spans="1:37" ht="15.6">
      <c r="A23" s="105"/>
      <c r="B23" s="190" t="s">
        <v>433</v>
      </c>
      <c r="C23" s="191"/>
      <c r="D23" s="191"/>
      <c r="E23" s="191"/>
      <c r="F23" s="160">
        <f t="shared" si="0"/>
        <v>17</v>
      </c>
      <c r="H23" s="122"/>
      <c r="I23" s="122"/>
      <c r="J23" s="122"/>
      <c r="K23" s="122"/>
      <c r="L23" s="122"/>
      <c r="M23" s="122"/>
      <c r="N23" s="122"/>
      <c r="O23" s="105"/>
      <c r="P23" s="105"/>
      <c r="R23" s="161">
        <v>3</v>
      </c>
      <c r="S23" s="153">
        <f ca="1">AK18/Investment*100</f>
        <v>197.83054461452662</v>
      </c>
      <c r="T23" s="154">
        <f ca="1">EXP(y_inter3-(slope*LN(S23)))</f>
        <v>8.4010366199618236</v>
      </c>
      <c r="U23" s="155">
        <f ca="1">(+S23*T23/100)/100</f>
        <v>0.16619816498536294</v>
      </c>
      <c r="V23" s="155">
        <f>regDebt_weighted</f>
        <v>3.5860000000000003E-2</v>
      </c>
      <c r="W23" s="155">
        <f ca="1">+U23-V23</f>
        <v>0.13033816498536294</v>
      </c>
      <c r="X23" s="155">
        <f ca="1">+((W23*(1-0.34))-Pfd_weighted)/Equity_percent</f>
        <v>0.23207322351842888</v>
      </c>
      <c r="Y23" s="155">
        <f>+Y22</f>
        <v>2.5000000000000001E-3</v>
      </c>
      <c r="Z23" s="155">
        <f ca="1">+X23+Y23</f>
        <v>0.23457322351842888</v>
      </c>
      <c r="AA23" s="155">
        <f ca="1">Z23*equityP</f>
        <v>0.11910097503956521</v>
      </c>
      <c r="AB23" s="155">
        <f ca="1">+AA23/(1-taxrate)</f>
        <v>0.15076072789818382</v>
      </c>
      <c r="AC23" s="155">
        <f>debtP*Debt_Rate</f>
        <v>1.4441329649252934E-2</v>
      </c>
      <c r="AD23" s="155">
        <f ca="1">+AC23+AB23</f>
        <v>0.16520205754743675</v>
      </c>
      <c r="AE23" s="155">
        <f ca="1">+AD23/(S23/100)</f>
        <v>8.3506850708687796E-2</v>
      </c>
      <c r="AF23" s="155">
        <f ca="1">1-AE23</f>
        <v>0.9164931492913122</v>
      </c>
      <c r="AG23" s="156">
        <f ca="1">expenses/(AF23)</f>
        <v>248752.09324030459</v>
      </c>
      <c r="AH23" s="157">
        <f ca="1">+AG23-Revenue</f>
        <v>-9095.2283984988462</v>
      </c>
      <c r="AI23" s="158">
        <f ca="1">+AH23/$J$49</f>
        <v>-10285.280080521499</v>
      </c>
      <c r="AJ23" s="158">
        <f ca="1">+AI23*$J$47</f>
        <v>-330.01780219084281</v>
      </c>
      <c r="AK23" s="156">
        <f ca="1">ROUND(+AJ23+AG23,5)</f>
        <v>248422.07543999999</v>
      </c>
    </row>
    <row r="24" spans="1:37" ht="15.6">
      <c r="A24" s="105"/>
      <c r="B24" s="192" t="s">
        <v>434</v>
      </c>
      <c r="C24" s="191"/>
      <c r="D24" s="191"/>
      <c r="E24" s="191"/>
      <c r="F24" s="160">
        <f t="shared" si="0"/>
        <v>18</v>
      </c>
      <c r="H24" s="193" t="s">
        <v>435</v>
      </c>
      <c r="K24" s="194" t="s">
        <v>436</v>
      </c>
      <c r="L24" s="194"/>
      <c r="M24" s="194"/>
      <c r="N24" s="194"/>
      <c r="O24" s="105"/>
      <c r="P24" s="105"/>
      <c r="R24" s="164">
        <v>4</v>
      </c>
      <c r="S24" s="153">
        <f ca="1">AK19/Investment*100</f>
        <v>197.83054461452662</v>
      </c>
      <c r="T24" s="169">
        <f ca="1">EXP(y_inter4-(slope*LN(S24)))</f>
        <v>8.4010366199618236</v>
      </c>
      <c r="U24" s="155">
        <f ca="1">(+S24*T24/100)/100</f>
        <v>0.16619816498536294</v>
      </c>
      <c r="V24" s="155">
        <f>regDebt_weighted</f>
        <v>3.5860000000000003E-2</v>
      </c>
      <c r="W24" s="155">
        <f ca="1">+U24-V24</f>
        <v>0.13033816498536294</v>
      </c>
      <c r="X24" s="155">
        <f ca="1">+((W24*(1-0.34))-Pfd_weighted)/Equity_percent</f>
        <v>0.23207322351842888</v>
      </c>
      <c r="Y24" s="155">
        <f>+Y23</f>
        <v>2.5000000000000001E-3</v>
      </c>
      <c r="Z24" s="155">
        <f ca="1">+X24+Y24</f>
        <v>0.23457322351842888</v>
      </c>
      <c r="AA24" s="155">
        <f ca="1">Z24*equityP</f>
        <v>0.11910097503956521</v>
      </c>
      <c r="AB24" s="155">
        <f ca="1">+AA24/(1-taxrate)</f>
        <v>0.15076072789818382</v>
      </c>
      <c r="AC24" s="155">
        <f>debtP*Debt_Rate</f>
        <v>1.4441329649252934E-2</v>
      </c>
      <c r="AD24" s="155">
        <f ca="1">+AC24+AB24</f>
        <v>0.16520205754743675</v>
      </c>
      <c r="AE24" s="155">
        <f ca="1">+AD24/(S24/100)</f>
        <v>8.3506850708687796E-2</v>
      </c>
      <c r="AF24" s="155">
        <f ca="1">1-AE24</f>
        <v>0.9164931492913122</v>
      </c>
      <c r="AG24" s="156">
        <f ca="1">expenses/(AF24)</f>
        <v>248752.09324030459</v>
      </c>
      <c r="AH24" s="157">
        <f ca="1">+AG24-Revenue</f>
        <v>-9095.2283984988462</v>
      </c>
      <c r="AI24" s="158">
        <f ca="1">+AH24/$J$49</f>
        <v>-10285.280080521499</v>
      </c>
      <c r="AJ24" s="158">
        <f ca="1">+AI24*$J$47</f>
        <v>-330.01780219084281</v>
      </c>
      <c r="AK24" s="156">
        <f ca="1">ROUND(+AJ24+AG24,5)</f>
        <v>248422.07543999999</v>
      </c>
    </row>
    <row r="25" spans="1:37" ht="15.6">
      <c r="A25" s="105"/>
      <c r="B25" s="192" t="s">
        <v>437</v>
      </c>
      <c r="C25" s="191"/>
      <c r="D25" s="191"/>
      <c r="E25" s="191"/>
      <c r="F25" s="160">
        <f t="shared" si="0"/>
        <v>19</v>
      </c>
      <c r="H25" s="195" t="s">
        <v>438</v>
      </c>
      <c r="I25" s="196" t="s">
        <v>439</v>
      </c>
      <c r="J25" s="197" t="s">
        <v>440</v>
      </c>
      <c r="K25" s="195" t="s">
        <v>441</v>
      </c>
      <c r="L25" s="197" t="s">
        <v>442</v>
      </c>
      <c r="M25" s="197" t="s">
        <v>440</v>
      </c>
      <c r="O25" s="105"/>
      <c r="P25" s="120"/>
      <c r="R25" s="125" t="s">
        <v>443</v>
      </c>
      <c r="W25" s="198"/>
      <c r="X25" s="199"/>
      <c r="Y25" s="199"/>
      <c r="Z25" s="199"/>
      <c r="AA25" s="154"/>
      <c r="AB25" s="154"/>
      <c r="AC25" s="199"/>
      <c r="AE25" s="199"/>
      <c r="AF25" s="199"/>
      <c r="AG25" s="154"/>
      <c r="AH25" s="198"/>
    </row>
    <row r="26" spans="1:37" ht="15.6">
      <c r="A26" s="105"/>
      <c r="B26" s="192" t="s">
        <v>444</v>
      </c>
      <c r="C26" s="191"/>
      <c r="D26" s="191"/>
      <c r="E26" s="191"/>
      <c r="F26" s="160">
        <f t="shared" si="0"/>
        <v>20</v>
      </c>
      <c r="H26" s="150" t="s">
        <v>394</v>
      </c>
      <c r="I26" s="200">
        <f>1-I27</f>
        <v>0.50773474164329857</v>
      </c>
      <c r="J26" s="201">
        <f>+I26*J28</f>
        <v>63757.853371184414</v>
      </c>
      <c r="K26" s="171">
        <f ca="1">+K34</f>
        <v>0.23491521567737644</v>
      </c>
      <c r="L26" s="200">
        <f ca="1">+K26*I26</f>
        <v>0.11927461634003249</v>
      </c>
      <c r="M26" s="151">
        <f ca="1">+J26*K26</f>
        <v>14977.689875818329</v>
      </c>
      <c r="O26" s="105"/>
      <c r="P26" s="105"/>
      <c r="R26" s="142">
        <v>1</v>
      </c>
      <c r="S26" s="143">
        <f ca="1">AK21/Investment*100</f>
        <v>197.83055988052831</v>
      </c>
      <c r="T26" s="144">
        <f ca="1">EXP(y_inter1-(slope*LN(+S26)))</f>
        <v>8.4010364244930731</v>
      </c>
      <c r="U26" s="145">
        <f ca="1">(+S26*T26/100)/100</f>
        <v>0.16619817394341765</v>
      </c>
      <c r="V26" s="145">
        <f>regDebt_weighted</f>
        <v>3.5860000000000003E-2</v>
      </c>
      <c r="W26" s="145">
        <f ca="1">+U26-V26</f>
        <v>0.13033817394341765</v>
      </c>
      <c r="X26" s="145">
        <f ca="1">+((W26*(1-0.34))-Pfd_weighted)/Equity_percent</f>
        <v>0.23207324070539431</v>
      </c>
      <c r="Y26" s="145">
        <f>+Y24</f>
        <v>2.5000000000000001E-3</v>
      </c>
      <c r="Z26" s="145">
        <f ca="1">+X26+Y26</f>
        <v>0.23457324070539431</v>
      </c>
      <c r="AA26" s="145">
        <f ca="1">Z26*equityP</f>
        <v>0.11910098376598467</v>
      </c>
      <c r="AB26" s="145">
        <f ca="1">+AA26/(1-taxrate)</f>
        <v>0.15076073894428438</v>
      </c>
      <c r="AC26" s="145">
        <f>debtP*Debt_Rate</f>
        <v>1.4441329649252934E-2</v>
      </c>
      <c r="AD26" s="145">
        <f ca="1">+AC26+AB26</f>
        <v>0.16520206859353731</v>
      </c>
      <c r="AE26" s="145">
        <f ca="1">+AD26/(S26/100)</f>
        <v>8.3506849848326944E-2</v>
      </c>
      <c r="AF26" s="145">
        <f ca="1">1-AE26</f>
        <v>0.9164931501516731</v>
      </c>
      <c r="AG26" s="146">
        <f ca="1">expenses/(AF26)</f>
        <v>248752.09300678776</v>
      </c>
      <c r="AH26" s="147">
        <f ca="1">+AG26-Revenue</f>
        <v>-9095.2286320156709</v>
      </c>
      <c r="AI26" s="148">
        <f ca="1">+AH26/$J$49</f>
        <v>-10285.280344592487</v>
      </c>
      <c r="AJ26" s="148">
        <f ca="1">+AI26*$J$47</f>
        <v>-330.01781066393505</v>
      </c>
      <c r="AK26" s="146">
        <f ca="1">ROUND(+AJ26+AG26,5)</f>
        <v>248422.07519999999</v>
      </c>
    </row>
    <row r="27" spans="1:37" ht="15.6">
      <c r="A27" s="105"/>
      <c r="B27" s="192" t="s">
        <v>445</v>
      </c>
      <c r="C27" s="191"/>
      <c r="D27" s="191"/>
      <c r="E27" s="191"/>
      <c r="F27" s="160">
        <f t="shared" si="0"/>
        <v>21</v>
      </c>
      <c r="H27" s="150" t="s">
        <v>396</v>
      </c>
      <c r="I27" s="200">
        <f>IF(A64=TRUE,C8,0)</f>
        <v>0.49226525835670143</v>
      </c>
      <c r="J27" s="202">
        <f>+I27*J28</f>
        <v>61815.301549887612</v>
      </c>
      <c r="K27" s="171">
        <f>IF(A64=TRUE,C9,0)</f>
        <v>2.9336479477470194E-2</v>
      </c>
      <c r="L27" s="200">
        <f>+K27*I27</f>
        <v>1.4441329649252934E-2</v>
      </c>
      <c r="M27" s="151">
        <f>+K27*J27</f>
        <v>1813.4433253119093</v>
      </c>
      <c r="O27" s="105"/>
      <c r="P27" s="105"/>
      <c r="R27" s="152">
        <v>2</v>
      </c>
      <c r="S27" s="153">
        <f ca="1">AK22/Investment*100</f>
        <v>197.83055988052831</v>
      </c>
      <c r="T27" s="166">
        <f ca="1">EXP(y_inter2-(slope*LN(+S27)))</f>
        <v>8.4010364244930731</v>
      </c>
      <c r="U27" s="155">
        <f ca="1">(+S27*T27/100)/100</f>
        <v>0.16619817394341765</v>
      </c>
      <c r="V27" s="155">
        <f>regDebt_weighted</f>
        <v>3.5860000000000003E-2</v>
      </c>
      <c r="W27" s="155">
        <f ca="1">+U27-V27</f>
        <v>0.13033817394341765</v>
      </c>
      <c r="X27" s="155">
        <f ca="1">+((W27*(1-0.34))-Pfd_weighted)/Equity_percent</f>
        <v>0.23207324070539431</v>
      </c>
      <c r="Y27" s="155">
        <f>+Y26</f>
        <v>2.5000000000000001E-3</v>
      </c>
      <c r="Z27" s="155">
        <f ca="1">+X27+Y27</f>
        <v>0.23457324070539431</v>
      </c>
      <c r="AA27" s="155">
        <f ca="1">Z27*equityP</f>
        <v>0.11910098376598467</v>
      </c>
      <c r="AB27" s="155">
        <f ca="1">+AA27/(1-taxrate)</f>
        <v>0.15076073894428438</v>
      </c>
      <c r="AC27" s="155">
        <f>debtP*Debt_Rate</f>
        <v>1.4441329649252934E-2</v>
      </c>
      <c r="AD27" s="155">
        <f ca="1">+AC27+AB27</f>
        <v>0.16520206859353731</v>
      </c>
      <c r="AE27" s="155">
        <f ca="1">+AD27/(S27/100)</f>
        <v>8.3506849848326944E-2</v>
      </c>
      <c r="AF27" s="155">
        <f ca="1">1-AE27</f>
        <v>0.9164931501516731</v>
      </c>
      <c r="AG27" s="156">
        <f ca="1">expenses/(AF27)</f>
        <v>248752.09300678776</v>
      </c>
      <c r="AH27" s="157">
        <f ca="1">+AG27-Revenue</f>
        <v>-9095.2286320156709</v>
      </c>
      <c r="AI27" s="158">
        <f ca="1">+AH27/$J$49</f>
        <v>-10285.280344592487</v>
      </c>
      <c r="AJ27" s="158">
        <f ca="1">+AI27*$J$47</f>
        <v>-330.01781066393505</v>
      </c>
      <c r="AK27" s="156">
        <f ca="1">ROUND(+AJ27+AG27,5)</f>
        <v>248422.07519999999</v>
      </c>
    </row>
    <row r="28" spans="1:37" ht="16.2" thickBot="1">
      <c r="A28" s="105"/>
      <c r="B28" s="105"/>
      <c r="C28" s="105"/>
      <c r="D28" s="105"/>
      <c r="E28" s="105"/>
      <c r="F28" s="160">
        <f t="shared" si="0"/>
        <v>22</v>
      </c>
      <c r="H28" s="150" t="s">
        <v>138</v>
      </c>
      <c r="I28" s="200">
        <f>SUM(I26:I27)</f>
        <v>1</v>
      </c>
      <c r="J28" s="203">
        <f>IF(A64=TRUE,C7,0)</f>
        <v>125573.15492107203</v>
      </c>
      <c r="K28" s="204"/>
      <c r="L28" s="205">
        <f ca="1">SUM(L26:L27)</f>
        <v>0.13371594598928543</v>
      </c>
      <c r="M28" s="203">
        <f ca="1">SUM(M26:M27)</f>
        <v>16791.133201130237</v>
      </c>
      <c r="O28" s="105"/>
      <c r="P28" s="105"/>
      <c r="R28" s="161">
        <v>3</v>
      </c>
      <c r="S28" s="153">
        <f ca="1">AK23/Investment*100</f>
        <v>197.83055988052831</v>
      </c>
      <c r="T28" s="154">
        <f ca="1">EXP(y_inter3-(slope*LN(S28)))</f>
        <v>8.4010364244930731</v>
      </c>
      <c r="U28" s="155">
        <f ca="1">(+S28*T28/100)/100</f>
        <v>0.16619817394341765</v>
      </c>
      <c r="V28" s="155">
        <f>regDebt_weighted</f>
        <v>3.5860000000000003E-2</v>
      </c>
      <c r="W28" s="155">
        <f ca="1">+U28-V28</f>
        <v>0.13033817394341765</v>
      </c>
      <c r="X28" s="155">
        <f ca="1">+((W28*(1-0.34))-Pfd_weighted)/Equity_percent</f>
        <v>0.23207324070539431</v>
      </c>
      <c r="Y28" s="155">
        <f>+Y27</f>
        <v>2.5000000000000001E-3</v>
      </c>
      <c r="Z28" s="155">
        <f ca="1">+X28+Y28</f>
        <v>0.23457324070539431</v>
      </c>
      <c r="AA28" s="155">
        <f ca="1">Z28*equityP</f>
        <v>0.11910098376598467</v>
      </c>
      <c r="AB28" s="155">
        <f ca="1">+AA28/(1-taxrate)</f>
        <v>0.15076073894428438</v>
      </c>
      <c r="AC28" s="155">
        <f>debtP*Debt_Rate</f>
        <v>1.4441329649252934E-2</v>
      </c>
      <c r="AD28" s="155">
        <f ca="1">+AC28+AB28</f>
        <v>0.16520206859353731</v>
      </c>
      <c r="AE28" s="155">
        <f ca="1">+AD28/(S28/100)</f>
        <v>8.3506849848326944E-2</v>
      </c>
      <c r="AF28" s="155">
        <f ca="1">1-AE28</f>
        <v>0.9164931501516731</v>
      </c>
      <c r="AG28" s="156">
        <f ca="1">expenses/(AF28)</f>
        <v>248752.09300678776</v>
      </c>
      <c r="AH28" s="157">
        <f ca="1">+AG28-Revenue</f>
        <v>-9095.2286320156709</v>
      </c>
      <c r="AI28" s="158">
        <f ca="1">+AH28/$J$49</f>
        <v>-10285.280344592487</v>
      </c>
      <c r="AJ28" s="158">
        <f ca="1">+AI28*$J$47</f>
        <v>-330.01781066393505</v>
      </c>
      <c r="AK28" s="156">
        <f ca="1">ROUND(+AJ28+AG28,5)</f>
        <v>248422.07519999999</v>
      </c>
    </row>
    <row r="29" spans="1:37" ht="16.2" thickTop="1">
      <c r="A29" s="105"/>
      <c r="B29" s="105"/>
      <c r="C29" s="105"/>
      <c r="D29" s="105"/>
      <c r="E29" s="105"/>
      <c r="F29" s="160">
        <f t="shared" si="0"/>
        <v>23</v>
      </c>
      <c r="G29" s="122"/>
      <c r="H29" s="122"/>
      <c r="I29" s="122"/>
      <c r="J29" s="122"/>
      <c r="K29" s="122"/>
      <c r="L29" s="122"/>
      <c r="M29" s="122"/>
      <c r="N29" s="122"/>
      <c r="O29" s="105"/>
      <c r="P29" s="105"/>
      <c r="R29" s="164">
        <v>4</v>
      </c>
      <c r="S29" s="153">
        <f ca="1">AK24/Investment*100</f>
        <v>197.83055988052831</v>
      </c>
      <c r="T29" s="169">
        <f ca="1">EXP(y_inter4-(slope*LN(S29)))</f>
        <v>8.4010364244930731</v>
      </c>
      <c r="U29" s="155">
        <f ca="1">(+S29*T29/100)/100</f>
        <v>0.16619817394341765</v>
      </c>
      <c r="V29" s="155">
        <f>regDebt_weighted</f>
        <v>3.5860000000000003E-2</v>
      </c>
      <c r="W29" s="155">
        <f ca="1">+U29-V29</f>
        <v>0.13033817394341765</v>
      </c>
      <c r="X29" s="155">
        <f ca="1">+((W29*(1-0.34))-Pfd_weighted)/Equity_percent</f>
        <v>0.23207324070539431</v>
      </c>
      <c r="Y29" s="155">
        <f>+Y28</f>
        <v>2.5000000000000001E-3</v>
      </c>
      <c r="Z29" s="155">
        <f ca="1">+X29+Y29</f>
        <v>0.23457324070539431</v>
      </c>
      <c r="AA29" s="155">
        <f ca="1">Z29*equityP</f>
        <v>0.11910098376598467</v>
      </c>
      <c r="AB29" s="155">
        <f ca="1">+AA29/(1-taxrate)</f>
        <v>0.15076073894428438</v>
      </c>
      <c r="AC29" s="155">
        <f>debtP*Debt_Rate</f>
        <v>1.4441329649252934E-2</v>
      </c>
      <c r="AD29" s="155">
        <f ca="1">+AC29+AB29</f>
        <v>0.16520206859353731</v>
      </c>
      <c r="AE29" s="155">
        <f ca="1">+AD29/(S29/100)</f>
        <v>8.3506849848326944E-2</v>
      </c>
      <c r="AF29" s="155">
        <f ca="1">1-AE29</f>
        <v>0.9164931501516731</v>
      </c>
      <c r="AG29" s="156">
        <f ca="1">expenses/(AF29)</f>
        <v>248752.09300678776</v>
      </c>
      <c r="AH29" s="157">
        <f ca="1">+AG29-Revenue</f>
        <v>-9095.2286320156709</v>
      </c>
      <c r="AI29" s="158">
        <f ca="1">+AH29/$J$49</f>
        <v>-10285.280344592487</v>
      </c>
      <c r="AJ29" s="158">
        <f ca="1">+AI29*$J$47</f>
        <v>-330.01781066393505</v>
      </c>
      <c r="AK29" s="156">
        <f ca="1">ROUND(+AJ29+AG29,5)</f>
        <v>248422.07519999999</v>
      </c>
    </row>
    <row r="30" spans="1:37" ht="15.6">
      <c r="A30" s="105"/>
      <c r="B30" s="105"/>
      <c r="C30" s="105"/>
      <c r="D30" s="206"/>
      <c r="E30" s="105"/>
      <c r="F30" s="160">
        <f t="shared" si="0"/>
        <v>24</v>
      </c>
      <c r="G30" s="122"/>
      <c r="H30" s="122"/>
      <c r="I30" s="122"/>
      <c r="J30" s="207" t="s">
        <v>446</v>
      </c>
      <c r="K30" s="207" t="s">
        <v>447</v>
      </c>
      <c r="L30" s="122"/>
      <c r="M30" s="122"/>
      <c r="N30" s="122"/>
      <c r="O30" s="105"/>
      <c r="P30" s="105"/>
      <c r="R30" s="125" t="s">
        <v>448</v>
      </c>
      <c r="W30" s="198"/>
      <c r="X30" s="199"/>
      <c r="Z30" s="199"/>
      <c r="AA30" s="154"/>
      <c r="AB30" s="154"/>
      <c r="AC30" s="199"/>
      <c r="AE30" s="199"/>
      <c r="AF30" s="199"/>
      <c r="AG30" s="154"/>
      <c r="AH30" s="198"/>
      <c r="AJ30" s="154"/>
    </row>
    <row r="31" spans="1:37" ht="15.6">
      <c r="A31" s="105"/>
      <c r="B31" s="105"/>
      <c r="C31" s="105"/>
      <c r="D31" s="206"/>
      <c r="E31" s="105"/>
      <c r="F31" s="160">
        <f t="shared" si="0"/>
        <v>25</v>
      </c>
      <c r="G31" s="122"/>
      <c r="H31" s="208" t="s">
        <v>449</v>
      </c>
      <c r="I31" s="209"/>
      <c r="J31" s="210" t="s">
        <v>450</v>
      </c>
      <c r="K31" s="210" t="s">
        <v>450</v>
      </c>
      <c r="L31" s="295"/>
      <c r="M31" s="295"/>
      <c r="N31" s="295"/>
      <c r="O31" s="105"/>
      <c r="P31" s="105"/>
      <c r="R31" s="142">
        <v>1</v>
      </c>
      <c r="S31" s="143">
        <f ca="1">AK26/Investment*100</f>
        <v>197.83055968940465</v>
      </c>
      <c r="T31" s="144">
        <f ca="1">EXP(y_inter1-(slope*LN(+S31)))</f>
        <v>8.4010364269402569</v>
      </c>
      <c r="U31" s="145">
        <f ca="1">(+S31*T31/100)/100</f>
        <v>0.16619817383126673</v>
      </c>
      <c r="V31" s="145">
        <f>regDebt_weighted</f>
        <v>3.5860000000000003E-2</v>
      </c>
      <c r="W31" s="145">
        <f ca="1">+U31-V31</f>
        <v>0.13033817383126672</v>
      </c>
      <c r="X31" s="145">
        <f ca="1">+((W31*(1-0.34))-Pfd_weighted)/Equity_percent</f>
        <v>0.23207324049022102</v>
      </c>
      <c r="Y31" s="145">
        <f>+Y29</f>
        <v>2.5000000000000001E-3</v>
      </c>
      <c r="Z31" s="145">
        <f ca="1">+X31+Y31</f>
        <v>0.23457324049022102</v>
      </c>
      <c r="AA31" s="145">
        <f ca="1">Z31*equityP</f>
        <v>0.11910098365673372</v>
      </c>
      <c r="AB31" s="145">
        <f ca="1">+AA31/(1-taxrate)</f>
        <v>0.15076073880599203</v>
      </c>
      <c r="AC31" s="145">
        <f>debtP*Debt_Rate</f>
        <v>1.4441329649252934E-2</v>
      </c>
      <c r="AD31" s="145">
        <f ca="1">+AC31+AB31</f>
        <v>0.16520206845524496</v>
      </c>
      <c r="AE31" s="145">
        <f ca="1">+AD31/(S31/100)</f>
        <v>8.3506849859098287E-2</v>
      </c>
      <c r="AF31" s="145">
        <f ca="1">1-AE31</f>
        <v>0.91649315014090171</v>
      </c>
      <c r="AG31" s="146">
        <f ca="1">expenses/(AF31)</f>
        <v>248752.0930097113</v>
      </c>
      <c r="AH31" s="147">
        <f ca="1">+AG31-Revenue</f>
        <v>-9095.2286290921329</v>
      </c>
      <c r="AI31" s="148">
        <f ca="1">+AH31/$J$49</f>
        <v>-10285.280341286423</v>
      </c>
      <c r="AJ31" s="148">
        <f ca="1">+AI31*$J$47</f>
        <v>-330.01781055785534</v>
      </c>
      <c r="AK31" s="146">
        <f ca="1">ROUND(+AJ31+AG31,5)</f>
        <v>248422.07519999999</v>
      </c>
    </row>
    <row r="32" spans="1:37" ht="15.6">
      <c r="A32" s="105"/>
      <c r="B32" s="105"/>
      <c r="C32" s="105"/>
      <c r="D32" s="206"/>
      <c r="E32" s="105"/>
      <c r="F32" s="160">
        <f t="shared" si="0"/>
        <v>26</v>
      </c>
      <c r="G32" s="122"/>
      <c r="H32" s="134"/>
      <c r="I32" s="134"/>
      <c r="J32" s="134"/>
      <c r="K32" s="134"/>
      <c r="L32" s="122"/>
      <c r="M32" s="122"/>
      <c r="N32" s="122"/>
      <c r="O32" s="105"/>
      <c r="P32" s="105"/>
      <c r="R32" s="152">
        <v>2</v>
      </c>
      <c r="S32" s="153">
        <f ca="1">AK27/Investment*100</f>
        <v>197.83055968940465</v>
      </c>
      <c r="T32" s="166">
        <f ca="1">EXP(y_inter2-(slope*LN(+S32)))</f>
        <v>8.4010364269402569</v>
      </c>
      <c r="U32" s="155">
        <f ca="1">(+S32*T32/100)/100</f>
        <v>0.16619817383126673</v>
      </c>
      <c r="V32" s="155">
        <f>regDebt_weighted</f>
        <v>3.5860000000000003E-2</v>
      </c>
      <c r="W32" s="155">
        <f ca="1">+U32-V32</f>
        <v>0.13033817383126672</v>
      </c>
      <c r="X32" s="155">
        <f ca="1">+((W32*(1-0.34))-Pfd_weighted)/Equity_percent</f>
        <v>0.23207324049022102</v>
      </c>
      <c r="Y32" s="155">
        <f>+Y31</f>
        <v>2.5000000000000001E-3</v>
      </c>
      <c r="Z32" s="155">
        <f ca="1">+X32+Y32</f>
        <v>0.23457324049022102</v>
      </c>
      <c r="AA32" s="155">
        <f ca="1">Z32*equityP</f>
        <v>0.11910098365673372</v>
      </c>
      <c r="AB32" s="155">
        <f ca="1">+AA32/(1-taxrate)</f>
        <v>0.15076073880599203</v>
      </c>
      <c r="AC32" s="155">
        <f>debtP*Debt_Rate</f>
        <v>1.4441329649252934E-2</v>
      </c>
      <c r="AD32" s="155">
        <f ca="1">+AC32+AB32</f>
        <v>0.16520206845524496</v>
      </c>
      <c r="AE32" s="155">
        <f ca="1">+AD32/(S32/100)</f>
        <v>8.3506849859098287E-2</v>
      </c>
      <c r="AF32" s="155">
        <f ca="1">1-AE32</f>
        <v>0.91649315014090171</v>
      </c>
      <c r="AG32" s="156">
        <f ca="1">expenses/(AF32)</f>
        <v>248752.0930097113</v>
      </c>
      <c r="AH32" s="157">
        <f ca="1">+AG32-Revenue</f>
        <v>-9095.2286290921329</v>
      </c>
      <c r="AI32" s="158">
        <f ca="1">+AH32/$J$49</f>
        <v>-10285.280341286423</v>
      </c>
      <c r="AJ32" s="158">
        <f ca="1">+AI32*$J$47</f>
        <v>-330.01781055785534</v>
      </c>
      <c r="AK32" s="156">
        <f ca="1">ROUND(+AJ32+AG32,5)</f>
        <v>248422.07519999999</v>
      </c>
    </row>
    <row r="33" spans="1:48" ht="15.6">
      <c r="A33" s="105"/>
      <c r="B33" s="105"/>
      <c r="C33" s="105"/>
      <c r="D33" s="105"/>
      <c r="E33" s="105"/>
      <c r="F33" s="160">
        <f t="shared" si="0"/>
        <v>27</v>
      </c>
      <c r="G33" s="122"/>
      <c r="H33" s="134" t="s">
        <v>451</v>
      </c>
      <c r="I33" s="134"/>
      <c r="J33" s="211">
        <f ca="1">+K9/J28</f>
        <v>0.16542185666195228</v>
      </c>
      <c r="K33" s="211">
        <f ca="1">+(M14+M11)/J28</f>
        <v>0.13371594598928541</v>
      </c>
      <c r="L33" s="150"/>
      <c r="M33" s="150"/>
      <c r="N33" s="151"/>
      <c r="O33" s="105"/>
      <c r="P33" s="105"/>
      <c r="R33" s="161">
        <v>3</v>
      </c>
      <c r="S33" s="153">
        <f ca="1">AK28/Investment*100</f>
        <v>197.83055968940465</v>
      </c>
      <c r="T33" s="154">
        <f ca="1">EXP(y_inter3-(slope*LN(S33)))</f>
        <v>8.4010364269402569</v>
      </c>
      <c r="U33" s="155">
        <f ca="1">(+S33*T33/100)/100</f>
        <v>0.16619817383126673</v>
      </c>
      <c r="V33" s="155">
        <f>regDebt_weighted</f>
        <v>3.5860000000000003E-2</v>
      </c>
      <c r="W33" s="155">
        <f ca="1">+U33-V33</f>
        <v>0.13033817383126672</v>
      </c>
      <c r="X33" s="155">
        <f ca="1">+((W33*(1-0.34))-Pfd_weighted)/Equity_percent</f>
        <v>0.23207324049022102</v>
      </c>
      <c r="Y33" s="155">
        <f>+Y32</f>
        <v>2.5000000000000001E-3</v>
      </c>
      <c r="Z33" s="155">
        <f ca="1">+X33+Y33</f>
        <v>0.23457324049022102</v>
      </c>
      <c r="AA33" s="155">
        <f ca="1">Z33*equityP</f>
        <v>0.11910098365673372</v>
      </c>
      <c r="AB33" s="155">
        <f ca="1">+AA33/(1-taxrate)</f>
        <v>0.15076073880599203</v>
      </c>
      <c r="AC33" s="155">
        <f>debtP*Debt_Rate</f>
        <v>1.4441329649252934E-2</v>
      </c>
      <c r="AD33" s="155">
        <f ca="1">+AC33+AB33</f>
        <v>0.16520206845524496</v>
      </c>
      <c r="AE33" s="155">
        <f ca="1">+AD33/(S33/100)</f>
        <v>8.3506849859098287E-2</v>
      </c>
      <c r="AF33" s="155">
        <f ca="1">1-AE33</f>
        <v>0.91649315014090171</v>
      </c>
      <c r="AG33" s="156">
        <f ca="1">expenses/(AF33)</f>
        <v>248752.0930097113</v>
      </c>
      <c r="AH33" s="157">
        <f ca="1">+AG33-Revenue</f>
        <v>-9095.2286290921329</v>
      </c>
      <c r="AI33" s="158">
        <f ca="1">+AH33/$J$49</f>
        <v>-10285.280341286423</v>
      </c>
      <c r="AJ33" s="158">
        <f ca="1">+AI33*$J$47</f>
        <v>-330.01781055785534</v>
      </c>
      <c r="AK33" s="156">
        <f ca="1">ROUND(+AJ33+AG33,5)</f>
        <v>248422.07519999999</v>
      </c>
    </row>
    <row r="34" spans="1:48" ht="15.6">
      <c r="A34" s="105"/>
      <c r="B34" s="105"/>
      <c r="C34" s="105"/>
      <c r="D34" s="105"/>
      <c r="E34" s="105"/>
      <c r="F34" s="160">
        <f t="shared" si="0"/>
        <v>28</v>
      </c>
      <c r="G34" s="122"/>
      <c r="H34" s="134" t="s">
        <v>452</v>
      </c>
      <c r="I34" s="134"/>
      <c r="J34" s="211">
        <f ca="1">+(M9-M11)/J26</f>
        <v>0.29736103250300816</v>
      </c>
      <c r="K34" s="211">
        <f ca="1">+M14/J26</f>
        <v>0.23491521567737644</v>
      </c>
      <c r="L34" s="150"/>
      <c r="M34" s="150"/>
      <c r="N34" s="151"/>
      <c r="O34" s="212"/>
      <c r="P34" s="105"/>
      <c r="R34" s="164">
        <v>4</v>
      </c>
      <c r="S34" s="153">
        <f ca="1">AK29/Investment*100</f>
        <v>197.83055968940465</v>
      </c>
      <c r="T34" s="169">
        <f ca="1">EXP(y_inter4-(slope*LN(S34)))</f>
        <v>8.4010364269402569</v>
      </c>
      <c r="U34" s="155">
        <f ca="1">(+S34*T34/100)/100</f>
        <v>0.16619817383126673</v>
      </c>
      <c r="V34" s="155">
        <f>regDebt_weighted</f>
        <v>3.5860000000000003E-2</v>
      </c>
      <c r="W34" s="155">
        <f ca="1">+U34-V34</f>
        <v>0.13033817383126672</v>
      </c>
      <c r="X34" s="155">
        <f ca="1">+((W34*(1-0.34))-Pfd_weighted)/Equity_percent</f>
        <v>0.23207324049022102</v>
      </c>
      <c r="Y34" s="155">
        <f>+Y33</f>
        <v>2.5000000000000001E-3</v>
      </c>
      <c r="Z34" s="155">
        <f ca="1">+X34+Y34</f>
        <v>0.23457324049022102</v>
      </c>
      <c r="AA34" s="155">
        <f ca="1">Z34*equityP</f>
        <v>0.11910098365673372</v>
      </c>
      <c r="AB34" s="155">
        <f ca="1">+AA34/(1-taxrate)</f>
        <v>0.15076073880599203</v>
      </c>
      <c r="AC34" s="155">
        <f>debtP*Debt_Rate</f>
        <v>1.4441329649252934E-2</v>
      </c>
      <c r="AD34" s="155">
        <f ca="1">+AC34+AB34</f>
        <v>0.16520206845524496</v>
      </c>
      <c r="AE34" s="155">
        <f ca="1">+AD34/(S34/100)</f>
        <v>8.3506849859098287E-2</v>
      </c>
      <c r="AF34" s="155">
        <f ca="1">1-AE34</f>
        <v>0.91649315014090171</v>
      </c>
      <c r="AG34" s="156">
        <f ca="1">expenses/(AF34)</f>
        <v>248752.0930097113</v>
      </c>
      <c r="AH34" s="157">
        <f ca="1">+AG34-Revenue</f>
        <v>-9095.2286290921329</v>
      </c>
      <c r="AI34" s="158">
        <f ca="1">+AH34/$J$49</f>
        <v>-10285.280341286423</v>
      </c>
      <c r="AJ34" s="158">
        <f ca="1">+AI34*$J$47</f>
        <v>-330.01781055785534</v>
      </c>
      <c r="AK34" s="156">
        <f ca="1">ROUND(+AJ34+AG34,5)</f>
        <v>248422.07519999999</v>
      </c>
    </row>
    <row r="35" spans="1:48" ht="15.6">
      <c r="A35" s="105"/>
      <c r="B35" s="105"/>
      <c r="C35" s="105"/>
      <c r="D35" s="105"/>
      <c r="E35" s="105"/>
      <c r="F35" s="160">
        <f t="shared" si="0"/>
        <v>29</v>
      </c>
      <c r="G35" s="122"/>
      <c r="H35" s="213" t="s">
        <v>398</v>
      </c>
      <c r="I35" s="134"/>
      <c r="J35" s="211">
        <f ca="1">+K8/K7</f>
        <v>0.916493</v>
      </c>
      <c r="K35" s="211">
        <f ca="1">+M8/M7</f>
        <v>0.91638206513592546</v>
      </c>
      <c r="L35" s="150"/>
      <c r="M35" s="150"/>
      <c r="N35" s="151"/>
      <c r="O35" s="105"/>
      <c r="P35" s="105"/>
      <c r="R35" s="125" t="s">
        <v>453</v>
      </c>
      <c r="X35" s="199"/>
      <c r="Y35" s="199"/>
      <c r="Z35" s="199"/>
      <c r="AA35" s="214"/>
      <c r="AB35" s="154"/>
      <c r="AC35" s="199"/>
      <c r="AE35" s="199"/>
      <c r="AF35" s="199"/>
      <c r="AG35" s="154"/>
      <c r="AH35" s="198"/>
      <c r="AJ35" s="154"/>
    </row>
    <row r="36" spans="1:48" ht="15.6">
      <c r="A36" s="105"/>
      <c r="B36" s="105"/>
      <c r="C36" s="105"/>
      <c r="D36" s="105"/>
      <c r="E36" s="105"/>
      <c r="F36" s="160">
        <f t="shared" si="0"/>
        <v>30</v>
      </c>
      <c r="G36" s="122"/>
      <c r="H36" s="134" t="s">
        <v>454</v>
      </c>
      <c r="I36" s="134"/>
      <c r="J36" s="211">
        <f ca="1">+K9/K7</f>
        <v>8.3506999999999956E-2</v>
      </c>
      <c r="K36" s="211">
        <f ca="1">+J36</f>
        <v>8.3506999999999956E-2</v>
      </c>
      <c r="L36" s="122"/>
      <c r="M36" s="122"/>
      <c r="N36" s="151"/>
      <c r="O36" s="105"/>
      <c r="P36" s="105"/>
      <c r="R36" s="142">
        <v>1</v>
      </c>
      <c r="S36" s="143">
        <f ca="1">AK31/Investment*100</f>
        <v>197.83055968940465</v>
      </c>
      <c r="T36" s="144">
        <f ca="1">EXP(y_inter1-(slope*LN(+S36)))</f>
        <v>8.4010364269402569</v>
      </c>
      <c r="U36" s="145">
        <f ca="1">(+S36*T36/100)/100</f>
        <v>0.16619817383126673</v>
      </c>
      <c r="V36" s="145">
        <f>regDebt_weighted</f>
        <v>3.5860000000000003E-2</v>
      </c>
      <c r="W36" s="145">
        <f ca="1">+U36-V36</f>
        <v>0.13033817383126672</v>
      </c>
      <c r="X36" s="145">
        <f ca="1">+((W36*(1-0.34))-Pfd_weighted)/Equity_percent</f>
        <v>0.23207324049022102</v>
      </c>
      <c r="Y36" s="145">
        <f>+Y34</f>
        <v>2.5000000000000001E-3</v>
      </c>
      <c r="Z36" s="145">
        <f ca="1">+X36+Y36</f>
        <v>0.23457324049022102</v>
      </c>
      <c r="AA36" s="145">
        <f ca="1">Z36*equityP</f>
        <v>0.11910098365673372</v>
      </c>
      <c r="AB36" s="145">
        <f ca="1">+AA36/(1-taxrate)</f>
        <v>0.15076073880599203</v>
      </c>
      <c r="AC36" s="145">
        <f>debtP*Debt_Rate</f>
        <v>1.4441329649252934E-2</v>
      </c>
      <c r="AD36" s="145">
        <f ca="1">+AC36+AB36</f>
        <v>0.16520206845524496</v>
      </c>
      <c r="AE36" s="145">
        <f ca="1">+AD36/(S36/100)</f>
        <v>8.3506849859098287E-2</v>
      </c>
      <c r="AF36" s="145">
        <f ca="1">1-AE36</f>
        <v>0.91649315014090171</v>
      </c>
      <c r="AG36" s="146">
        <f ca="1">expenses/(AF36)</f>
        <v>248752.0930097113</v>
      </c>
      <c r="AH36" s="147">
        <f ca="1">+AG36-Revenue</f>
        <v>-9095.2286290921329</v>
      </c>
      <c r="AI36" s="148">
        <f ca="1">+AH36/$J$49</f>
        <v>-10285.280341286423</v>
      </c>
      <c r="AJ36" s="148">
        <f ca="1">+AI36*$J$47</f>
        <v>-330.01781055785534</v>
      </c>
      <c r="AK36" s="146">
        <f ca="1">ROUND(+AJ36+AG36,5)</f>
        <v>248422.07519999999</v>
      </c>
    </row>
    <row r="37" spans="1:48" ht="15.6">
      <c r="A37" s="105"/>
      <c r="B37" s="105"/>
      <c r="C37" s="105"/>
      <c r="D37" s="132"/>
      <c r="E37" s="105"/>
      <c r="F37" s="160">
        <f t="shared" si="0"/>
        <v>31</v>
      </c>
      <c r="G37" s="122"/>
      <c r="H37" s="134" t="s">
        <v>455</v>
      </c>
      <c r="I37" s="215"/>
      <c r="J37" s="216">
        <f ca="1">+S39/100</f>
        <v>1.9783055968940466</v>
      </c>
      <c r="K37" s="216">
        <f ca="1">+J37</f>
        <v>1.9783055968940466</v>
      </c>
      <c r="L37" s="122"/>
      <c r="M37" s="122"/>
      <c r="N37" s="122"/>
      <c r="O37" s="105"/>
      <c r="P37" s="105"/>
      <c r="R37" s="152">
        <v>2</v>
      </c>
      <c r="S37" s="153">
        <f ca="1">AK32/Investment*100</f>
        <v>197.83055968940465</v>
      </c>
      <c r="T37" s="166">
        <f ca="1">EXP(y_inter2-(slope*LN(+S37)))</f>
        <v>8.4010364269402569</v>
      </c>
      <c r="U37" s="155">
        <f ca="1">(+S37*T37/100)/100</f>
        <v>0.16619817383126673</v>
      </c>
      <c r="V37" s="155">
        <f>regDebt_weighted</f>
        <v>3.5860000000000003E-2</v>
      </c>
      <c r="W37" s="155">
        <f ca="1">+U37-V37</f>
        <v>0.13033817383126672</v>
      </c>
      <c r="X37" s="155">
        <f ca="1">+((W37*(1-0.34))-Pfd_weighted)/Equity_percent</f>
        <v>0.23207324049022102</v>
      </c>
      <c r="Y37" s="155">
        <f>+Y36</f>
        <v>2.5000000000000001E-3</v>
      </c>
      <c r="Z37" s="155">
        <f ca="1">+X37+Y37</f>
        <v>0.23457324049022102</v>
      </c>
      <c r="AA37" s="155">
        <f ca="1">Z37*equityP</f>
        <v>0.11910098365673372</v>
      </c>
      <c r="AB37" s="155">
        <f ca="1">+AA37/(1-taxrate)</f>
        <v>0.15076073880599203</v>
      </c>
      <c r="AC37" s="155">
        <f>debtP*Debt_Rate</f>
        <v>1.4441329649252934E-2</v>
      </c>
      <c r="AD37" s="155">
        <f ca="1">+AC37+AB37</f>
        <v>0.16520206845524496</v>
      </c>
      <c r="AE37" s="155">
        <f ca="1">+AD37/(S37/100)</f>
        <v>8.3506849859098287E-2</v>
      </c>
      <c r="AF37" s="155">
        <f ca="1">1-AE37</f>
        <v>0.91649315014090171</v>
      </c>
      <c r="AG37" s="156">
        <f ca="1">expenses/(AF37)</f>
        <v>248752.0930097113</v>
      </c>
      <c r="AH37" s="157">
        <f ca="1">+AG37-Revenue</f>
        <v>-9095.2286290921329</v>
      </c>
      <c r="AI37" s="158">
        <f ca="1">+AH37/$J$49</f>
        <v>-10285.280341286423</v>
      </c>
      <c r="AJ37" s="158">
        <f ca="1">+AI37*$J$47</f>
        <v>-330.01781055785534</v>
      </c>
      <c r="AK37" s="156">
        <f ca="1">ROUND(+AJ37+AG37,5)</f>
        <v>248422.07519999999</v>
      </c>
    </row>
    <row r="38" spans="1:48" ht="15.6">
      <c r="A38" s="105"/>
      <c r="B38" s="105"/>
      <c r="C38" s="105"/>
      <c r="D38" s="132"/>
      <c r="E38" s="105"/>
      <c r="F38" s="160">
        <f t="shared" si="0"/>
        <v>32</v>
      </c>
      <c r="G38" s="122"/>
      <c r="H38" s="134" t="s">
        <v>456</v>
      </c>
      <c r="I38" s="122"/>
      <c r="J38" s="211">
        <f>+C10</f>
        <v>0.21</v>
      </c>
      <c r="K38" s="211">
        <f>+J38</f>
        <v>0.21</v>
      </c>
      <c r="L38" s="122"/>
      <c r="M38" s="122"/>
      <c r="N38" s="122"/>
      <c r="O38" s="105"/>
      <c r="P38" s="105"/>
      <c r="Q38" s="217"/>
      <c r="R38" s="161">
        <v>3</v>
      </c>
      <c r="S38" s="153">
        <f ca="1">AK33/Investment*100</f>
        <v>197.83055968940465</v>
      </c>
      <c r="T38" s="154">
        <f ca="1">EXP(y_inter3-(slope*LN(S38)))</f>
        <v>8.4010364269402569</v>
      </c>
      <c r="U38" s="155">
        <f ca="1">(+S38*T38/100)/100</f>
        <v>0.16619817383126673</v>
      </c>
      <c r="V38" s="155">
        <f>regDebt_weighted</f>
        <v>3.5860000000000003E-2</v>
      </c>
      <c r="W38" s="155">
        <f ca="1">+U38-V38</f>
        <v>0.13033817383126672</v>
      </c>
      <c r="X38" s="155">
        <f ca="1">+((W38*(1-0.34))-Pfd_weighted)/Equity_percent</f>
        <v>0.23207324049022102</v>
      </c>
      <c r="Y38" s="155">
        <f>+Y37</f>
        <v>2.5000000000000001E-3</v>
      </c>
      <c r="Z38" s="155">
        <f ca="1">+X38+Y38</f>
        <v>0.23457324049022102</v>
      </c>
      <c r="AA38" s="155">
        <f ca="1">Z38*equityP</f>
        <v>0.11910098365673372</v>
      </c>
      <c r="AB38" s="155">
        <f ca="1">+AA38/(1-taxrate)</f>
        <v>0.15076073880599203</v>
      </c>
      <c r="AC38" s="155">
        <f>debtP*Debt_Rate</f>
        <v>1.4441329649252934E-2</v>
      </c>
      <c r="AD38" s="155">
        <f ca="1">+AC38+AB38</f>
        <v>0.16520206845524496</v>
      </c>
      <c r="AE38" s="155">
        <f ca="1">+AD38/(S38/100)</f>
        <v>8.3506849859098287E-2</v>
      </c>
      <c r="AF38" s="155">
        <f ca="1">1-AE38</f>
        <v>0.91649315014090171</v>
      </c>
      <c r="AG38" s="156">
        <f ca="1">expenses/(AF38)</f>
        <v>248752.0930097113</v>
      </c>
      <c r="AH38" s="157">
        <f ca="1">+AG38-Revenue</f>
        <v>-9095.2286290921329</v>
      </c>
      <c r="AI38" s="158">
        <f ca="1">+AH38/$J$49</f>
        <v>-10285.280341286423</v>
      </c>
      <c r="AJ38" s="158">
        <f ca="1">+AI38*$J$47</f>
        <v>-330.01781055785534</v>
      </c>
      <c r="AK38" s="156">
        <f ca="1">ROUND(+AJ38+AG38,5)</f>
        <v>248422.07519999999</v>
      </c>
    </row>
    <row r="39" spans="1:48" ht="15.6">
      <c r="A39" s="105"/>
      <c r="B39" s="105"/>
      <c r="C39" s="105"/>
      <c r="D39" s="206"/>
      <c r="E39" s="105"/>
      <c r="F39" s="160">
        <f t="shared" si="0"/>
        <v>33</v>
      </c>
      <c r="G39" s="122"/>
      <c r="H39" s="122"/>
      <c r="I39" s="122"/>
      <c r="J39" s="122"/>
      <c r="K39" s="122"/>
      <c r="L39" s="122"/>
      <c r="M39" s="122"/>
      <c r="N39" s="122"/>
      <c r="O39" s="105"/>
      <c r="P39" s="105"/>
      <c r="R39" s="164">
        <v>4</v>
      </c>
      <c r="S39" s="153">
        <f ca="1">AK34/Investment*100</f>
        <v>197.83055968940465</v>
      </c>
      <c r="T39" s="169">
        <f ca="1">EXP(y_inter4-(slope*LN(S39)))</f>
        <v>8.4010364269402569</v>
      </c>
      <c r="U39" s="155">
        <f ca="1">(+S39*T39/100)/100</f>
        <v>0.16619817383126673</v>
      </c>
      <c r="V39" s="155">
        <f>regDebt_weighted</f>
        <v>3.5860000000000003E-2</v>
      </c>
      <c r="W39" s="155">
        <f ca="1">+U39-V39</f>
        <v>0.13033817383126672</v>
      </c>
      <c r="X39" s="155">
        <f ca="1">+((W39*(1-0.34))-Pfd_weighted)/Equity_percent</f>
        <v>0.23207324049022102</v>
      </c>
      <c r="Y39" s="155">
        <f>+Y38</f>
        <v>2.5000000000000001E-3</v>
      </c>
      <c r="Z39" s="155">
        <f ca="1">+X39+Y39</f>
        <v>0.23457324049022102</v>
      </c>
      <c r="AA39" s="155">
        <f ca="1">Z39*equityP</f>
        <v>0.11910098365673372</v>
      </c>
      <c r="AB39" s="155">
        <f ca="1">+AA39/(1-taxrate)</f>
        <v>0.15076073880599203</v>
      </c>
      <c r="AC39" s="155">
        <f>debtP*Debt_Rate</f>
        <v>1.4441329649252934E-2</v>
      </c>
      <c r="AD39" s="155">
        <f ca="1">+AC39+AB39</f>
        <v>0.16520206845524496</v>
      </c>
      <c r="AE39" s="155">
        <f ca="1">+AD39/(S39/100)</f>
        <v>8.3506849859098287E-2</v>
      </c>
      <c r="AF39" s="155">
        <f ca="1">1-AE39</f>
        <v>0.91649315014090171</v>
      </c>
      <c r="AG39" s="156">
        <f ca="1">expenses/(AF39)</f>
        <v>248752.0930097113</v>
      </c>
      <c r="AH39" s="157">
        <f ca="1">+AG39-Revenue</f>
        <v>-9095.2286290921329</v>
      </c>
      <c r="AI39" s="158">
        <f ca="1">+AH39/$J$49</f>
        <v>-10285.280341286423</v>
      </c>
      <c r="AJ39" s="158">
        <f ca="1">+AI39*$J$47</f>
        <v>-330.01781055785534</v>
      </c>
      <c r="AK39" s="156">
        <f ca="1">ROUND(+AJ39+AG39,5)</f>
        <v>248422.07519999999</v>
      </c>
    </row>
    <row r="40" spans="1:48" ht="15.6">
      <c r="A40" s="105"/>
      <c r="B40" s="105"/>
      <c r="C40" s="105"/>
      <c r="D40" s="105"/>
      <c r="E40" s="105"/>
      <c r="F40" s="160">
        <f t="shared" si="0"/>
        <v>34</v>
      </c>
      <c r="G40" s="215"/>
      <c r="H40" s="122"/>
      <c r="I40" s="122"/>
      <c r="J40" s="122"/>
      <c r="K40" s="122"/>
      <c r="L40" s="122"/>
      <c r="M40" s="122"/>
      <c r="N40" s="122"/>
      <c r="O40" s="105"/>
      <c r="P40" s="105"/>
      <c r="X40" s="199"/>
      <c r="Y40" s="199"/>
      <c r="Z40" s="199"/>
      <c r="AA40" s="214"/>
      <c r="AB40" s="154"/>
      <c r="AC40" s="199"/>
      <c r="AE40" s="199"/>
      <c r="AF40" s="199"/>
      <c r="AG40" s="154"/>
      <c r="AH40" s="198"/>
      <c r="AJ40" s="154"/>
    </row>
    <row r="41" spans="1:48" ht="15.6">
      <c r="A41" s="105"/>
      <c r="B41" s="105"/>
      <c r="C41" s="105"/>
      <c r="D41" s="105"/>
      <c r="E41" s="105"/>
      <c r="F41" s="160">
        <f t="shared" si="0"/>
        <v>35</v>
      </c>
      <c r="G41" s="122"/>
      <c r="H41" s="208" t="s">
        <v>457</v>
      </c>
      <c r="I41" s="218"/>
      <c r="J41" s="122"/>
      <c r="K41" s="122"/>
      <c r="L41" s="122"/>
      <c r="M41" s="122"/>
      <c r="N41" s="122"/>
      <c r="O41" s="105"/>
      <c r="P41" s="105"/>
      <c r="R41" s="219" t="s">
        <v>458</v>
      </c>
      <c r="S41" s="220"/>
      <c r="T41" s="177"/>
      <c r="U41" s="177"/>
      <c r="V41" s="178"/>
      <c r="X41" s="221"/>
      <c r="Y41" s="221"/>
      <c r="Z41" s="221"/>
      <c r="AA41" s="214"/>
      <c r="AB41" s="154"/>
      <c r="AC41" s="199"/>
      <c r="AE41" s="199"/>
      <c r="AF41" s="199"/>
      <c r="AG41" s="154"/>
      <c r="AH41" s="198"/>
      <c r="AJ41" s="154"/>
    </row>
    <row r="42" spans="1:48" ht="15.6">
      <c r="A42" s="105"/>
      <c r="B42" s="105"/>
      <c r="C42" s="105"/>
      <c r="D42" s="105"/>
      <c r="E42" s="105"/>
      <c r="F42" s="160">
        <f t="shared" si="0"/>
        <v>36</v>
      </c>
      <c r="G42" s="122"/>
      <c r="H42" s="122"/>
      <c r="I42" s="122"/>
      <c r="J42" s="222" t="s">
        <v>459</v>
      </c>
      <c r="K42" s="223" t="s">
        <v>399</v>
      </c>
      <c r="L42" s="122"/>
      <c r="M42" s="122"/>
      <c r="N42" s="122"/>
      <c r="O42" s="105"/>
      <c r="P42" s="105"/>
      <c r="R42" s="224" t="s">
        <v>460</v>
      </c>
      <c r="S42" s="225"/>
      <c r="V42" s="226"/>
      <c r="X42" s="199"/>
      <c r="Y42" s="199"/>
      <c r="Z42" s="199"/>
      <c r="AA42" s="214"/>
      <c r="AB42" s="154"/>
      <c r="AC42" s="199"/>
      <c r="AE42" s="199"/>
      <c r="AF42" s="199"/>
      <c r="AG42" s="154"/>
      <c r="AJ42" s="154"/>
    </row>
    <row r="43" spans="1:48" ht="15.6">
      <c r="A43" s="105"/>
      <c r="B43" s="105"/>
      <c r="C43" s="105"/>
      <c r="D43" s="105"/>
      <c r="E43" s="105"/>
      <c r="F43" s="160">
        <f t="shared" si="0"/>
        <v>37</v>
      </c>
      <c r="G43" s="122"/>
      <c r="H43" s="134" t="s">
        <v>461</v>
      </c>
      <c r="I43" s="227"/>
      <c r="J43" s="228">
        <f>IF(A64=TRUE,C11,0)</f>
        <v>1.7500000000000002E-2</v>
      </c>
      <c r="K43" s="229">
        <f ca="1">+J43*($J$7/$J$49)</f>
        <v>-179.99159952302031</v>
      </c>
      <c r="L43" s="122"/>
      <c r="M43" s="122"/>
      <c r="N43" s="122"/>
      <c r="O43" s="105"/>
      <c r="P43" s="105"/>
      <c r="R43" s="161">
        <v>0</v>
      </c>
      <c r="S43" s="230">
        <v>1</v>
      </c>
      <c r="U43" s="231" t="s">
        <v>454</v>
      </c>
      <c r="V43" s="232">
        <f ca="1">VLOOKUP(R48,R36:AG39,14)</f>
        <v>8.3506849859098287E-2</v>
      </c>
      <c r="AC43" s="199"/>
      <c r="AE43" s="199"/>
      <c r="AJ43" s="154"/>
      <c r="AN43" s="199"/>
      <c r="AO43" s="199"/>
      <c r="AP43" s="199"/>
      <c r="AQ43" s="199"/>
      <c r="AR43" s="199"/>
      <c r="AS43" s="199"/>
      <c r="AT43" s="199"/>
      <c r="AU43" s="199"/>
      <c r="AV43" s="199"/>
    </row>
    <row r="44" spans="1:48" ht="15.6">
      <c r="A44" s="105"/>
      <c r="B44" s="105"/>
      <c r="C44" s="105"/>
      <c r="D44" s="105"/>
      <c r="E44" s="105"/>
      <c r="F44" s="160">
        <f t="shared" si="0"/>
        <v>38</v>
      </c>
      <c r="G44" s="122"/>
      <c r="H44" s="134" t="s">
        <v>462</v>
      </c>
      <c r="I44" s="227"/>
      <c r="J44" s="228">
        <f>IF(A64=TRUE,C12,0)</f>
        <v>5.1000000000000004E-3</v>
      </c>
      <c r="K44" s="229">
        <f ca="1">+J44*($J$7/$J$49)</f>
        <v>-52.454694718137347</v>
      </c>
      <c r="L44" s="122"/>
      <c r="M44" s="122"/>
      <c r="N44" s="122"/>
      <c r="O44" s="105"/>
      <c r="P44" s="105"/>
      <c r="R44" s="161">
        <v>50</v>
      </c>
      <c r="S44" s="230">
        <v>2</v>
      </c>
      <c r="U44" s="231" t="s">
        <v>398</v>
      </c>
      <c r="V44" s="232">
        <f ca="1">ROUND(1-V43,6)</f>
        <v>0.916493</v>
      </c>
      <c r="AA44" s="233"/>
      <c r="AB44" s="125"/>
      <c r="AC44" s="125"/>
      <c r="AE44" s="199"/>
      <c r="AH44" s="198"/>
      <c r="AJ44" s="154"/>
      <c r="AN44" s="199"/>
      <c r="AO44" s="199"/>
      <c r="AP44" s="199"/>
      <c r="AQ44" s="199"/>
      <c r="AR44" s="199"/>
      <c r="AS44" s="199"/>
      <c r="AT44" s="199"/>
      <c r="AU44" s="199"/>
      <c r="AV44" s="199"/>
    </row>
    <row r="45" spans="1:48" ht="15.6">
      <c r="A45" s="105"/>
      <c r="B45" s="105"/>
      <c r="C45" s="105"/>
      <c r="D45" s="105"/>
      <c r="E45" s="105"/>
      <c r="F45" s="160">
        <f t="shared" si="0"/>
        <v>39</v>
      </c>
      <c r="G45" s="122"/>
      <c r="H45" s="134" t="s">
        <v>463</v>
      </c>
      <c r="I45" s="227"/>
      <c r="J45" s="228">
        <f>IF(A64=TRUE,C13,0)</f>
        <v>0</v>
      </c>
      <c r="K45" s="229">
        <f ca="1">+J45*($J$7/$J$49)</f>
        <v>0</v>
      </c>
      <c r="L45" s="122"/>
      <c r="M45" s="122"/>
      <c r="N45" s="122"/>
      <c r="O45" s="105"/>
      <c r="P45" s="105"/>
      <c r="R45" s="161">
        <v>125</v>
      </c>
      <c r="S45" s="230">
        <v>3</v>
      </c>
      <c r="U45" s="115" t="s">
        <v>464</v>
      </c>
      <c r="V45" s="234">
        <f ca="1">+M7/Revenue-1</f>
        <v>-3.6553430728963554E-2</v>
      </c>
      <c r="W45" s="158"/>
      <c r="X45" s="199"/>
      <c r="Y45" s="199"/>
      <c r="Z45" s="199"/>
      <c r="AA45" s="233"/>
      <c r="AB45" s="154"/>
      <c r="AC45" s="199"/>
      <c r="AE45" s="199"/>
      <c r="AF45" s="199"/>
      <c r="AG45" s="154"/>
      <c r="AH45" s="198"/>
      <c r="AJ45" s="154"/>
      <c r="AN45" s="199"/>
      <c r="AO45" s="199"/>
      <c r="AP45" s="199"/>
      <c r="AQ45" s="199"/>
      <c r="AR45" s="199"/>
      <c r="AS45" s="199"/>
      <c r="AT45" s="199"/>
      <c r="AU45" s="199"/>
      <c r="AV45" s="199"/>
    </row>
    <row r="46" spans="1:48" ht="15.6">
      <c r="A46" s="105"/>
      <c r="B46" s="105"/>
      <c r="C46" s="105"/>
      <c r="D46" s="105"/>
      <c r="E46" s="105"/>
      <c r="F46" s="160">
        <f t="shared" si="0"/>
        <v>40</v>
      </c>
      <c r="G46" s="122"/>
      <c r="H46" s="134" t="s">
        <v>465</v>
      </c>
      <c r="I46" s="227"/>
      <c r="J46" s="228">
        <f>IF(A64=TRUE,C14,0)</f>
        <v>9.4864186105965299E-3</v>
      </c>
      <c r="K46" s="229">
        <f ca="1">+J46*($J$7/$J$49)</f>
        <v>-97.570037683783838</v>
      </c>
      <c r="L46" s="122"/>
      <c r="M46" s="122"/>
      <c r="N46" s="122"/>
      <c r="O46" s="105"/>
      <c r="P46" s="105"/>
      <c r="R46" s="164">
        <v>401</v>
      </c>
      <c r="S46" s="235">
        <v>4</v>
      </c>
      <c r="T46" s="186"/>
      <c r="U46" s="186"/>
      <c r="V46" s="189"/>
      <c r="X46" s="199"/>
      <c r="Y46" s="199"/>
      <c r="Z46" s="199"/>
      <c r="AA46" s="214"/>
      <c r="AB46" s="154"/>
      <c r="AC46" s="199"/>
      <c r="AE46" s="199"/>
      <c r="AF46" s="199"/>
      <c r="AG46" s="154"/>
      <c r="AH46" s="198"/>
      <c r="AJ46" s="154"/>
      <c r="AN46" s="199"/>
      <c r="AO46" s="199"/>
      <c r="AP46" s="199"/>
      <c r="AQ46" s="199"/>
      <c r="AR46" s="199"/>
      <c r="AS46" s="199"/>
      <c r="AT46" s="199"/>
      <c r="AU46" s="199"/>
      <c r="AV46" s="199"/>
    </row>
    <row r="47" spans="1:48" ht="16.2" thickBot="1">
      <c r="A47" s="105"/>
      <c r="B47" s="105"/>
      <c r="C47" s="105"/>
      <c r="D47" s="105"/>
      <c r="E47" s="105"/>
      <c r="F47" s="160">
        <f t="shared" si="0"/>
        <v>41</v>
      </c>
      <c r="G47" s="122"/>
      <c r="H47" s="134" t="s">
        <v>466</v>
      </c>
      <c r="I47" s="215"/>
      <c r="J47" s="236">
        <f>SUM(J43:J46)</f>
        <v>3.208641861059653E-2</v>
      </c>
      <c r="K47" s="203">
        <f ca="1">+K43+K44+K45+K46</f>
        <v>-330.01633192494148</v>
      </c>
      <c r="L47" s="122"/>
      <c r="M47" s="122"/>
      <c r="N47" s="122"/>
      <c r="O47" s="105"/>
      <c r="P47" s="105"/>
      <c r="R47" s="143">
        <f ca="1">VLOOKUP(R48,R36:S39,2)</f>
        <v>197.83055968940465</v>
      </c>
      <c r="S47" s="237" t="s">
        <v>467</v>
      </c>
      <c r="T47" s="178"/>
      <c r="X47" s="115" t="s">
        <v>468</v>
      </c>
      <c r="AE47" s="199"/>
      <c r="AH47" s="198"/>
      <c r="AJ47" s="154"/>
    </row>
    <row r="48" spans="1:48" ht="16.2" thickTop="1">
      <c r="A48" s="105"/>
      <c r="B48" s="105"/>
      <c r="C48" s="105"/>
      <c r="D48" s="105"/>
      <c r="E48" s="105"/>
      <c r="F48" s="160">
        <f t="shared" si="0"/>
        <v>42</v>
      </c>
      <c r="G48" s="122"/>
      <c r="H48" s="122"/>
      <c r="I48" s="122"/>
      <c r="J48" s="238"/>
      <c r="K48" s="122"/>
      <c r="L48" s="122"/>
      <c r="M48" s="122"/>
      <c r="N48" s="122"/>
      <c r="O48" s="105"/>
      <c r="P48" s="105"/>
      <c r="R48" s="161">
        <f ca="1">VLOOKUP(S36,R43:S46,2)</f>
        <v>3</v>
      </c>
      <c r="S48" s="239" t="s">
        <v>469</v>
      </c>
      <c r="T48" s="226"/>
      <c r="X48" s="115" t="s">
        <v>470</v>
      </c>
      <c r="AC48" s="125"/>
      <c r="AE48" s="199"/>
      <c r="AJ48" s="154"/>
    </row>
    <row r="49" spans="1:48" ht="15.6">
      <c r="A49" s="105"/>
      <c r="B49" s="105"/>
      <c r="C49" s="105"/>
      <c r="D49" s="105"/>
      <c r="E49" s="105"/>
      <c r="F49" s="160">
        <f t="shared" si="0"/>
        <v>43</v>
      </c>
      <c r="G49" s="128"/>
      <c r="H49" s="134" t="s">
        <v>471</v>
      </c>
      <c r="I49" s="122"/>
      <c r="J49" s="211">
        <f ca="1">((K35)-J47)</f>
        <v>0.88429564652532888</v>
      </c>
      <c r="K49" s="122"/>
      <c r="L49" s="122"/>
      <c r="M49" s="122"/>
      <c r="N49" s="122"/>
      <c r="O49" s="105"/>
      <c r="P49" s="105"/>
      <c r="R49" s="161"/>
      <c r="S49" s="239"/>
      <c r="T49" s="226"/>
      <c r="X49" s="115" t="s">
        <v>472</v>
      </c>
      <c r="AC49" s="199"/>
      <c r="AE49" s="199"/>
      <c r="AF49" s="199"/>
      <c r="AG49" s="154"/>
      <c r="AJ49" s="154"/>
    </row>
    <row r="50" spans="1:48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240"/>
      <c r="L50" s="105"/>
      <c r="M50" s="105"/>
      <c r="N50" s="241"/>
      <c r="O50" s="105"/>
      <c r="P50" s="105"/>
      <c r="R50" s="242">
        <f ca="1">+V44</f>
        <v>0.916493</v>
      </c>
      <c r="S50" s="243" t="s">
        <v>398</v>
      </c>
      <c r="T50" s="244"/>
      <c r="X50" s="115" t="s">
        <v>473</v>
      </c>
      <c r="AC50" s="199"/>
      <c r="AE50" s="199"/>
      <c r="AF50" s="199"/>
      <c r="AG50" s="154"/>
      <c r="AH50" s="199"/>
      <c r="AJ50" s="154"/>
      <c r="AN50" s="199"/>
      <c r="AO50" s="199"/>
      <c r="AP50" s="199"/>
      <c r="AQ50" s="199"/>
      <c r="AR50" s="199"/>
      <c r="AS50" s="199"/>
      <c r="AT50" s="199"/>
      <c r="AU50" s="199"/>
      <c r="AV50" s="199"/>
    </row>
    <row r="51" spans="1:48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R51" s="115"/>
      <c r="AB51" s="154"/>
      <c r="AC51" s="199"/>
      <c r="AE51" s="199"/>
      <c r="AF51" s="199"/>
      <c r="AG51" s="154"/>
      <c r="AH51" s="198"/>
      <c r="AJ51" s="154"/>
      <c r="AN51" s="199"/>
      <c r="AO51" s="199"/>
      <c r="AP51" s="199"/>
      <c r="AQ51" s="199"/>
      <c r="AR51" s="199"/>
      <c r="AS51" s="199"/>
      <c r="AT51" s="199"/>
      <c r="AU51" s="199"/>
      <c r="AV51" s="199"/>
    </row>
    <row r="52" spans="1:48">
      <c r="A52" s="105"/>
      <c r="B52" s="105"/>
      <c r="C52" s="105"/>
      <c r="D52" s="105"/>
      <c r="E52" s="105"/>
      <c r="F52" s="105"/>
      <c r="G52" s="105"/>
      <c r="H52" s="105"/>
      <c r="I52" s="105"/>
      <c r="J52" s="245"/>
      <c r="K52" s="245"/>
      <c r="L52" s="245"/>
      <c r="M52" s="245"/>
      <c r="N52" s="105"/>
      <c r="O52" s="105"/>
      <c r="P52" s="105"/>
      <c r="R52" s="115"/>
      <c r="AB52" s="154"/>
      <c r="AC52" s="199"/>
      <c r="AE52" s="199"/>
      <c r="AF52" s="199"/>
      <c r="AG52" s="154"/>
      <c r="AH52" s="198"/>
      <c r="AJ52" s="154"/>
      <c r="AN52" s="199"/>
      <c r="AO52" s="199"/>
      <c r="AP52" s="199"/>
      <c r="AQ52" s="199"/>
      <c r="AR52" s="199"/>
      <c r="AS52" s="199"/>
      <c r="AT52" s="199"/>
      <c r="AU52" s="199"/>
      <c r="AV52" s="199"/>
    </row>
    <row r="53" spans="1:48" ht="15.6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245"/>
      <c r="L53" s="245"/>
      <c r="M53" s="245"/>
      <c r="N53" s="105"/>
      <c r="O53" s="105"/>
      <c r="P53" s="105"/>
      <c r="R53" s="115"/>
      <c r="S53" s="115" t="s">
        <v>474</v>
      </c>
      <c r="T53" s="199"/>
      <c r="U53" s="246"/>
      <c r="W53" s="247" t="s">
        <v>475</v>
      </c>
      <c r="X53" s="248"/>
      <c r="Y53" s="248"/>
      <c r="Z53" s="248"/>
      <c r="AA53" s="248"/>
      <c r="AB53" s="248"/>
      <c r="AE53" s="199"/>
      <c r="AH53" s="198"/>
      <c r="AJ53" s="154"/>
      <c r="AN53" s="199"/>
      <c r="AO53" s="199"/>
      <c r="AP53" s="199"/>
      <c r="AQ53" s="199"/>
      <c r="AR53" s="199"/>
      <c r="AS53" s="199"/>
      <c r="AT53" s="199"/>
      <c r="AU53" s="199"/>
      <c r="AV53" s="199"/>
    </row>
    <row r="54" spans="1:48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249"/>
      <c r="M54" s="249"/>
      <c r="N54" s="105"/>
      <c r="O54" s="105"/>
      <c r="P54" s="105"/>
      <c r="R54" s="250"/>
      <c r="S54" s="251" t="s">
        <v>439</v>
      </c>
      <c r="T54" s="251" t="s">
        <v>476</v>
      </c>
      <c r="U54" s="252" t="s">
        <v>442</v>
      </c>
      <c r="W54" s="253" t="s">
        <v>477</v>
      </c>
      <c r="X54" s="254">
        <v>3.7226020000000002</v>
      </c>
      <c r="Y54" s="255" t="s">
        <v>478</v>
      </c>
      <c r="Z54" s="256">
        <v>3.7226020000000002</v>
      </c>
      <c r="AC54" s="125"/>
      <c r="AE54" s="199"/>
      <c r="AJ54" s="154"/>
    </row>
    <row r="55" spans="1:48">
      <c r="A55" s="105"/>
      <c r="B55" s="105"/>
      <c r="C55" s="105"/>
      <c r="D55" s="105"/>
      <c r="E55" s="105"/>
      <c r="F55" s="105"/>
      <c r="G55" s="105"/>
      <c r="H55" s="105"/>
      <c r="I55" s="105"/>
      <c r="J55" s="249"/>
      <c r="K55" s="105"/>
      <c r="L55" s="249"/>
      <c r="M55" s="249"/>
      <c r="N55" s="105"/>
      <c r="O55" s="105"/>
      <c r="P55" s="105"/>
      <c r="R55" s="116" t="s">
        <v>396</v>
      </c>
      <c r="S55" s="233">
        <v>0.56200000000000006</v>
      </c>
      <c r="T55" s="233">
        <v>6.3799999999999996E-2</v>
      </c>
      <c r="U55" s="257">
        <f>ROUND(+S55*T55,5)</f>
        <v>3.5860000000000003E-2</v>
      </c>
      <c r="W55" s="258" t="s">
        <v>479</v>
      </c>
      <c r="X55" s="259">
        <v>3.7226020000000002</v>
      </c>
      <c r="Y55" s="260" t="s">
        <v>480</v>
      </c>
      <c r="Z55" s="261">
        <v>3.7226020000000002</v>
      </c>
      <c r="AC55" s="199"/>
      <c r="AE55" s="199"/>
      <c r="AF55" s="199"/>
      <c r="AG55" s="154"/>
      <c r="AJ55" s="154"/>
    </row>
    <row r="56" spans="1:48" ht="15.6">
      <c r="A56" s="105"/>
      <c r="B56" s="105"/>
      <c r="C56" s="105"/>
      <c r="D56" s="105"/>
      <c r="E56" s="245"/>
      <c r="F56" s="105"/>
      <c r="G56" s="105"/>
      <c r="H56" s="105"/>
      <c r="I56" s="105"/>
      <c r="J56" s="249"/>
      <c r="K56" s="105"/>
      <c r="L56" s="249"/>
      <c r="M56" s="249"/>
      <c r="N56" s="105"/>
      <c r="O56" s="105"/>
      <c r="P56" s="105"/>
      <c r="R56" s="116" t="s">
        <v>481</v>
      </c>
      <c r="S56" s="233">
        <v>9.4E-2</v>
      </c>
      <c r="T56" s="233">
        <v>6.59E-2</v>
      </c>
      <c r="U56" s="257">
        <f>ROUND(+S56*T56,5)</f>
        <v>6.1900000000000002E-3</v>
      </c>
      <c r="W56" s="116"/>
      <c r="Y56" s="262"/>
      <c r="Z56" s="263"/>
      <c r="AC56" s="199"/>
      <c r="AE56" s="199"/>
      <c r="AF56" s="199"/>
      <c r="AG56" s="154"/>
      <c r="AH56" s="198"/>
      <c r="AJ56" s="154"/>
      <c r="AN56" s="199"/>
    </row>
    <row r="57" spans="1:48">
      <c r="A57" s="105"/>
      <c r="B57" s="105"/>
      <c r="C57" s="105"/>
      <c r="D57" s="105"/>
      <c r="E57" s="245"/>
      <c r="F57" s="245"/>
      <c r="G57" s="245"/>
      <c r="H57" s="264"/>
      <c r="I57" s="245"/>
      <c r="J57" s="249"/>
      <c r="K57" s="105"/>
      <c r="L57" s="105"/>
      <c r="M57" s="105"/>
      <c r="N57" s="105"/>
      <c r="O57" s="105"/>
      <c r="P57" s="105"/>
      <c r="R57" s="116" t="s">
        <v>394</v>
      </c>
      <c r="S57" s="265">
        <v>0.34399999999999997</v>
      </c>
      <c r="T57" s="266"/>
      <c r="U57" s="267"/>
      <c r="W57" s="185"/>
      <c r="X57" s="268" t="s">
        <v>482</v>
      </c>
      <c r="Y57" s="269">
        <v>0.30151749999999999</v>
      </c>
      <c r="Z57" s="270"/>
      <c r="AC57" s="199"/>
      <c r="AE57" s="199"/>
      <c r="AF57" s="199"/>
      <c r="AG57" s="154"/>
      <c r="AH57" s="198"/>
      <c r="AJ57" s="154"/>
    </row>
    <row r="58" spans="1:48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R58" s="185"/>
      <c r="S58" s="265">
        <f>SUM(S55:S57)</f>
        <v>1</v>
      </c>
      <c r="T58" s="271"/>
      <c r="U58" s="272"/>
      <c r="X58" s="199"/>
      <c r="Y58" s="199"/>
      <c r="Z58" s="199"/>
      <c r="AA58" s="214"/>
      <c r="AB58" s="154"/>
      <c r="AC58" s="199"/>
      <c r="AE58" s="199"/>
      <c r="AF58" s="199"/>
      <c r="AG58" s="154"/>
      <c r="AH58" s="198"/>
      <c r="AJ58" s="154"/>
    </row>
    <row r="59" spans="1:48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X59" s="273"/>
      <c r="Y59" s="273"/>
      <c r="Z59" s="273"/>
      <c r="AE59" s="199"/>
      <c r="AH59" s="198"/>
      <c r="AJ59" s="154"/>
      <c r="AN59" s="198"/>
      <c r="AO59" s="198"/>
      <c r="AP59" s="198"/>
      <c r="AQ59" s="198"/>
      <c r="AR59" s="198"/>
      <c r="AS59" s="198"/>
      <c r="AT59" s="198"/>
      <c r="AU59" s="198"/>
      <c r="AV59" s="198"/>
    </row>
    <row r="60" spans="1:48">
      <c r="A60" s="105"/>
      <c r="B60" s="105"/>
      <c r="C60" s="105"/>
      <c r="D60" s="105"/>
      <c r="E60" s="24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R60" s="115"/>
      <c r="S60" s="274"/>
      <c r="W60" s="250"/>
      <c r="X60" s="275" t="s">
        <v>449</v>
      </c>
      <c r="Y60" s="275" t="s">
        <v>483</v>
      </c>
      <c r="Z60" s="276" t="s">
        <v>375</v>
      </c>
      <c r="AE60" s="199"/>
      <c r="AJ60" s="154"/>
      <c r="AN60" s="198"/>
      <c r="AO60" s="198"/>
      <c r="AP60" s="198"/>
      <c r="AQ60" s="198"/>
      <c r="AR60" s="198"/>
      <c r="AS60" s="198"/>
      <c r="AT60" s="198"/>
      <c r="AU60" s="198"/>
      <c r="AV60" s="198"/>
    </row>
    <row r="61" spans="1:48">
      <c r="A61" s="105"/>
      <c r="B61" s="105"/>
      <c r="C61" s="105"/>
      <c r="D61" s="105"/>
      <c r="E61" s="105"/>
      <c r="F61" s="245"/>
      <c r="G61" s="245"/>
      <c r="H61" s="245"/>
      <c r="I61" s="245"/>
      <c r="J61" s="245"/>
      <c r="K61" s="245"/>
      <c r="L61" s="245"/>
      <c r="M61" s="245"/>
      <c r="N61" s="245"/>
      <c r="O61" s="105"/>
      <c r="P61" s="105"/>
      <c r="R61" s="115"/>
      <c r="W61" s="116"/>
      <c r="X61" s="277"/>
      <c r="Y61" s="277"/>
      <c r="Z61" s="278"/>
      <c r="AE61" s="199"/>
      <c r="AF61" s="199"/>
      <c r="AG61" s="154"/>
      <c r="AJ61" s="154"/>
      <c r="AN61" s="198"/>
      <c r="AO61" s="198"/>
      <c r="AP61" s="198"/>
      <c r="AQ61" s="198"/>
      <c r="AR61" s="198"/>
      <c r="AS61" s="198"/>
      <c r="AT61" s="198"/>
      <c r="AU61" s="198"/>
      <c r="AV61" s="198"/>
    </row>
    <row r="62" spans="1:48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R62" s="115"/>
      <c r="S62" s="274"/>
      <c r="W62" s="116"/>
      <c r="X62" s="231" t="s">
        <v>451</v>
      </c>
      <c r="Y62" s="232">
        <f t="shared" ref="Y62:Z67" ca="1" si="1">+J33</f>
        <v>0.16542185666195228</v>
      </c>
      <c r="Z62" s="232">
        <f t="shared" ca="1" si="1"/>
        <v>0.13371594598928541</v>
      </c>
      <c r="AE62" s="199"/>
      <c r="AF62" s="199"/>
      <c r="AG62" s="154"/>
      <c r="AH62" s="198"/>
      <c r="AJ62" s="154"/>
      <c r="AN62" s="198"/>
      <c r="AO62" s="198"/>
      <c r="AP62" s="198"/>
      <c r="AQ62" s="198"/>
      <c r="AR62" s="198"/>
      <c r="AS62" s="198"/>
      <c r="AT62" s="198"/>
      <c r="AU62" s="198"/>
      <c r="AV62" s="198"/>
    </row>
    <row r="63" spans="1:48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R63" s="115"/>
      <c r="W63" s="116"/>
      <c r="X63" s="231" t="s">
        <v>452</v>
      </c>
      <c r="Y63" s="232">
        <f t="shared" ca="1" si="1"/>
        <v>0.29736103250300816</v>
      </c>
      <c r="Z63" s="232">
        <f t="shared" ca="1" si="1"/>
        <v>0.23491521567737644</v>
      </c>
      <c r="AE63" s="199"/>
      <c r="AF63" s="199"/>
      <c r="AG63" s="154"/>
      <c r="AH63" s="198"/>
      <c r="AJ63" s="154"/>
    </row>
    <row r="64" spans="1:48">
      <c r="A64" s="115" t="b">
        <v>1</v>
      </c>
      <c r="B64" s="105"/>
      <c r="C64" s="105"/>
      <c r="F64" s="105"/>
      <c r="G64" s="105"/>
      <c r="H64" s="105"/>
      <c r="I64" s="105"/>
      <c r="J64" s="105"/>
      <c r="K64" s="105"/>
      <c r="L64" s="105"/>
      <c r="M64" s="105"/>
      <c r="N64" s="105"/>
      <c r="R64" s="115"/>
      <c r="S64" s="274"/>
      <c r="W64" s="116"/>
      <c r="X64" s="231" t="s">
        <v>398</v>
      </c>
      <c r="Y64" s="232">
        <f t="shared" ca="1" si="1"/>
        <v>0.916493</v>
      </c>
      <c r="Z64" s="232">
        <f t="shared" ca="1" si="1"/>
        <v>0.91638206513592546</v>
      </c>
      <c r="AE64" s="199"/>
      <c r="AF64" s="199"/>
      <c r="AG64" s="154"/>
      <c r="AH64" s="198"/>
      <c r="AJ64" s="154"/>
    </row>
    <row r="65" spans="8:40">
      <c r="H65" s="198"/>
      <c r="I65" s="198"/>
      <c r="J65" s="198"/>
      <c r="K65" s="198"/>
      <c r="L65" s="198"/>
      <c r="M65" s="198"/>
      <c r="N65" s="198"/>
      <c r="O65" s="198"/>
      <c r="R65" s="115"/>
      <c r="W65" s="116"/>
      <c r="X65" s="231" t="s">
        <v>454</v>
      </c>
      <c r="Y65" s="232">
        <f t="shared" ca="1" si="1"/>
        <v>8.3506999999999956E-2</v>
      </c>
      <c r="Z65" s="232">
        <f t="shared" ca="1" si="1"/>
        <v>8.3506999999999956E-2</v>
      </c>
      <c r="AE65" s="199"/>
      <c r="AH65" s="198"/>
      <c r="AJ65" s="154"/>
      <c r="AN65" s="198"/>
    </row>
    <row r="66" spans="8:40">
      <c r="H66" s="198"/>
      <c r="I66" s="198"/>
      <c r="J66" s="198"/>
      <c r="K66" s="198"/>
      <c r="L66" s="198"/>
      <c r="M66" s="198"/>
      <c r="N66" s="198"/>
      <c r="O66" s="198"/>
      <c r="R66" s="115"/>
      <c r="S66" s="274"/>
      <c r="W66" s="116"/>
      <c r="X66" s="231" t="s">
        <v>455</v>
      </c>
      <c r="Y66" s="232">
        <f t="shared" ca="1" si="1"/>
        <v>1.9783055968940466</v>
      </c>
      <c r="Z66" s="232">
        <f t="shared" ca="1" si="1"/>
        <v>1.9783055968940466</v>
      </c>
      <c r="AE66" s="199"/>
      <c r="AJ66" s="154"/>
    </row>
    <row r="67" spans="8:40">
      <c r="O67" s="198"/>
      <c r="W67" s="185"/>
      <c r="X67" s="280" t="s">
        <v>456</v>
      </c>
      <c r="Y67" s="281">
        <f t="shared" si="1"/>
        <v>0.21</v>
      </c>
      <c r="Z67" s="281">
        <f t="shared" si="1"/>
        <v>0.21</v>
      </c>
      <c r="AE67" s="199"/>
      <c r="AF67" s="199"/>
      <c r="AG67" s="154"/>
      <c r="AJ67" s="154"/>
    </row>
    <row r="68" spans="8:40">
      <c r="O68" s="198"/>
      <c r="W68" s="231"/>
      <c r="AE68" s="199"/>
      <c r="AF68" s="199"/>
      <c r="AG68" s="154"/>
      <c r="AH68" s="198"/>
      <c r="AJ68" s="154"/>
    </row>
    <row r="69" spans="8:40">
      <c r="O69" s="198"/>
      <c r="X69" s="199"/>
      <c r="Y69" s="199"/>
      <c r="Z69" s="199"/>
      <c r="AA69" s="214"/>
      <c r="AB69" s="154"/>
      <c r="AC69" s="199"/>
      <c r="AE69" s="199"/>
      <c r="AF69" s="199"/>
      <c r="AG69" s="154"/>
      <c r="AH69" s="198"/>
      <c r="AJ69" s="154"/>
    </row>
    <row r="70" spans="8:40">
      <c r="X70" s="199"/>
      <c r="Y70" s="199"/>
      <c r="Z70" s="199"/>
      <c r="AA70" s="214"/>
      <c r="AB70" s="154"/>
      <c r="AC70" s="199"/>
      <c r="AE70" s="199"/>
      <c r="AF70" s="199"/>
      <c r="AG70" s="154"/>
      <c r="AH70" s="198"/>
      <c r="AJ70" s="154"/>
    </row>
    <row r="71" spans="8:40">
      <c r="AE71" s="199"/>
      <c r="AH71" s="198"/>
      <c r="AJ71" s="154"/>
    </row>
    <row r="72" spans="8:40">
      <c r="AA72" s="125"/>
      <c r="AB72" s="125"/>
      <c r="AC72" s="125"/>
      <c r="AE72" s="199"/>
      <c r="AJ72" s="154"/>
    </row>
    <row r="73" spans="8:40">
      <c r="X73" s="199"/>
      <c r="Y73" s="199"/>
      <c r="Z73" s="199"/>
      <c r="AA73" s="214"/>
      <c r="AB73" s="154"/>
      <c r="AC73" s="199"/>
      <c r="AE73" s="199"/>
      <c r="AF73" s="199"/>
      <c r="AG73" s="154"/>
      <c r="AJ73" s="154"/>
    </row>
    <row r="74" spans="8:40">
      <c r="X74" s="199"/>
      <c r="Y74" s="199"/>
      <c r="Z74" s="199"/>
      <c r="AA74" s="214"/>
      <c r="AB74" s="154"/>
      <c r="AC74" s="199"/>
      <c r="AE74" s="199"/>
      <c r="AF74" s="199"/>
      <c r="AG74" s="154"/>
      <c r="AH74" s="198"/>
      <c r="AJ74" s="154"/>
    </row>
    <row r="75" spans="8:40">
      <c r="X75" s="199"/>
      <c r="Y75" s="199"/>
      <c r="Z75" s="199"/>
      <c r="AA75" s="214"/>
      <c r="AB75" s="154"/>
      <c r="AC75" s="199"/>
      <c r="AE75" s="199"/>
      <c r="AF75" s="199"/>
      <c r="AG75" s="154"/>
      <c r="AH75" s="198"/>
      <c r="AJ75" s="154"/>
    </row>
    <row r="76" spans="8:40">
      <c r="X76" s="199"/>
      <c r="Y76" s="199"/>
      <c r="Z76" s="199"/>
      <c r="AA76" s="214"/>
      <c r="AB76" s="154"/>
      <c r="AC76" s="199"/>
      <c r="AE76" s="199"/>
      <c r="AF76" s="199"/>
      <c r="AG76" s="154"/>
      <c r="AH76" s="198"/>
      <c r="AJ76" s="154"/>
    </row>
    <row r="77" spans="8:40">
      <c r="AE77" s="199"/>
      <c r="AH77" s="198"/>
      <c r="AJ77" s="154"/>
    </row>
    <row r="79" spans="8:40">
      <c r="X79" s="199"/>
      <c r="Y79" s="199"/>
      <c r="Z79" s="199"/>
      <c r="AA79" s="214"/>
      <c r="AB79" s="154"/>
      <c r="AC79" s="199"/>
      <c r="AF79" s="199"/>
      <c r="AG79" s="154"/>
    </row>
    <row r="80" spans="8:40">
      <c r="X80" s="199"/>
      <c r="Y80" s="199"/>
      <c r="Z80" s="199"/>
      <c r="AA80" s="214"/>
      <c r="AB80" s="154"/>
      <c r="AC80" s="199"/>
      <c r="AF80" s="199"/>
      <c r="AG80" s="154"/>
      <c r="AH80" s="198"/>
    </row>
    <row r="81" spans="24:34">
      <c r="X81" s="199"/>
      <c r="Y81" s="199"/>
      <c r="Z81" s="199"/>
      <c r="AA81" s="214"/>
      <c r="AB81" s="154"/>
      <c r="AC81" s="199"/>
      <c r="AF81" s="199"/>
      <c r="AG81" s="154"/>
      <c r="AH81" s="198"/>
    </row>
    <row r="82" spans="24:34">
      <c r="X82" s="199"/>
      <c r="Y82" s="199"/>
      <c r="Z82" s="199"/>
      <c r="AA82" s="214"/>
      <c r="AB82" s="154"/>
      <c r="AC82" s="199"/>
      <c r="AF82" s="199"/>
      <c r="AG82" s="154"/>
      <c r="AH82" s="198"/>
    </row>
    <row r="83" spans="24:34">
      <c r="AH83" s="198"/>
    </row>
    <row r="85" spans="24:34">
      <c r="X85" s="199"/>
      <c r="Y85" s="199"/>
      <c r="Z85" s="199"/>
      <c r="AA85" s="214"/>
      <c r="AB85" s="154"/>
      <c r="AC85" s="199"/>
      <c r="AF85" s="199"/>
      <c r="AG85" s="154"/>
    </row>
    <row r="86" spans="24:34">
      <c r="X86" s="199"/>
      <c r="Y86" s="199"/>
      <c r="Z86" s="199"/>
      <c r="AA86" s="214"/>
      <c r="AB86" s="154"/>
      <c r="AC86" s="199"/>
      <c r="AF86" s="199"/>
      <c r="AG86" s="154"/>
      <c r="AH86" s="198"/>
    </row>
    <row r="87" spans="24:34">
      <c r="X87" s="199"/>
      <c r="Y87" s="199"/>
      <c r="Z87" s="199"/>
      <c r="AA87" s="214"/>
      <c r="AB87" s="154"/>
      <c r="AC87" s="199"/>
      <c r="AF87" s="199"/>
      <c r="AG87" s="154"/>
      <c r="AH87" s="198"/>
    </row>
    <row r="88" spans="24:34">
      <c r="X88" s="199"/>
      <c r="Y88" s="199"/>
      <c r="Z88" s="199"/>
      <c r="AA88" s="214"/>
      <c r="AB88" s="154"/>
      <c r="AC88" s="199"/>
      <c r="AF88" s="199"/>
      <c r="AG88" s="154"/>
      <c r="AH88" s="198"/>
    </row>
    <row r="89" spans="24:34">
      <c r="AH89" s="198"/>
    </row>
    <row r="91" spans="24:34">
      <c r="X91" s="199"/>
      <c r="Y91" s="199"/>
      <c r="Z91" s="199"/>
      <c r="AA91" s="214"/>
      <c r="AB91" s="154"/>
      <c r="AC91" s="199"/>
      <c r="AF91" s="199"/>
      <c r="AG91" s="154"/>
    </row>
    <row r="92" spans="24:34">
      <c r="X92" s="199"/>
      <c r="Y92" s="199"/>
      <c r="Z92" s="199"/>
      <c r="AA92" s="214"/>
      <c r="AB92" s="154"/>
      <c r="AC92" s="199"/>
      <c r="AF92" s="199"/>
      <c r="AG92" s="154"/>
      <c r="AH92" s="198"/>
    </row>
    <row r="93" spans="24:34">
      <c r="X93" s="199"/>
      <c r="Y93" s="199"/>
      <c r="Z93" s="199"/>
      <c r="AA93" s="214"/>
      <c r="AB93" s="154"/>
      <c r="AC93" s="199"/>
      <c r="AF93" s="199"/>
      <c r="AG93" s="154"/>
      <c r="AH93" s="198"/>
    </row>
    <row r="94" spans="24:34">
      <c r="X94" s="199"/>
      <c r="Y94" s="199"/>
      <c r="Z94" s="199"/>
      <c r="AA94" s="214"/>
      <c r="AB94" s="154"/>
      <c r="AC94" s="199"/>
      <c r="AF94" s="199"/>
      <c r="AG94" s="154"/>
      <c r="AH94" s="198"/>
    </row>
    <row r="95" spans="24:34">
      <c r="AH95" s="198"/>
    </row>
    <row r="97" spans="24:34">
      <c r="X97" s="199"/>
      <c r="Y97" s="199"/>
      <c r="Z97" s="199"/>
      <c r="AA97" s="214"/>
      <c r="AB97" s="154"/>
      <c r="AC97" s="199"/>
      <c r="AF97" s="199"/>
      <c r="AG97" s="154"/>
    </row>
    <row r="98" spans="24:34">
      <c r="X98" s="199"/>
      <c r="Y98" s="199"/>
      <c r="Z98" s="199"/>
      <c r="AA98" s="214"/>
      <c r="AB98" s="154"/>
      <c r="AC98" s="199"/>
      <c r="AF98" s="199"/>
      <c r="AG98" s="154"/>
      <c r="AH98" s="198"/>
    </row>
    <row r="99" spans="24:34">
      <c r="X99" s="199"/>
      <c r="Y99" s="199"/>
      <c r="Z99" s="199"/>
      <c r="AA99" s="214"/>
      <c r="AB99" s="154"/>
      <c r="AC99" s="199"/>
      <c r="AF99" s="199"/>
      <c r="AG99" s="154"/>
      <c r="AH99" s="198"/>
    </row>
    <row r="100" spans="24:34">
      <c r="X100" s="199"/>
      <c r="Y100" s="199"/>
      <c r="Z100" s="199"/>
      <c r="AA100" s="214"/>
      <c r="AB100" s="154"/>
      <c r="AC100" s="199"/>
      <c r="AF100" s="199"/>
      <c r="AG100" s="154"/>
      <c r="AH100" s="198"/>
    </row>
    <row r="101" spans="24:34">
      <c r="AH101" s="198"/>
    </row>
    <row r="103" spans="24:34">
      <c r="X103" s="199"/>
      <c r="Y103" s="199"/>
      <c r="Z103" s="199"/>
      <c r="AA103" s="214"/>
      <c r="AB103" s="154"/>
      <c r="AC103" s="199"/>
      <c r="AF103" s="199"/>
      <c r="AG103" s="154"/>
    </row>
    <row r="104" spans="24:34">
      <c r="X104" s="199"/>
      <c r="Y104" s="199"/>
      <c r="Z104" s="199"/>
      <c r="AA104" s="214"/>
      <c r="AB104" s="154"/>
      <c r="AC104" s="199"/>
      <c r="AF104" s="199"/>
      <c r="AG104" s="154"/>
      <c r="AH104" s="198"/>
    </row>
    <row r="105" spans="24:34">
      <c r="X105" s="199"/>
      <c r="Y105" s="199"/>
      <c r="Z105" s="199"/>
      <c r="AA105" s="214"/>
      <c r="AB105" s="154"/>
      <c r="AC105" s="199"/>
      <c r="AF105" s="199"/>
      <c r="AG105" s="154"/>
      <c r="AH105" s="198"/>
    </row>
    <row r="106" spans="24:34">
      <c r="X106" s="199"/>
      <c r="Y106" s="199"/>
      <c r="Z106" s="199"/>
      <c r="AA106" s="214"/>
      <c r="AB106" s="154"/>
      <c r="AC106" s="199"/>
      <c r="AF106" s="199"/>
      <c r="AG106" s="154"/>
      <c r="AH106" s="198"/>
    </row>
    <row r="107" spans="24:34">
      <c r="AH107" s="198"/>
    </row>
    <row r="109" spans="24:34">
      <c r="X109" s="199"/>
      <c r="Y109" s="199"/>
      <c r="Z109" s="199"/>
      <c r="AA109" s="214"/>
      <c r="AB109" s="154"/>
      <c r="AC109" s="199"/>
      <c r="AF109" s="199"/>
      <c r="AG109" s="154"/>
    </row>
    <row r="110" spans="24:34">
      <c r="X110" s="199"/>
      <c r="Y110" s="199"/>
      <c r="Z110" s="199"/>
      <c r="AA110" s="214"/>
      <c r="AB110" s="154"/>
      <c r="AC110" s="199"/>
      <c r="AF110" s="199"/>
      <c r="AG110" s="154"/>
    </row>
    <row r="111" spans="24:34">
      <c r="X111" s="199"/>
      <c r="Y111" s="199"/>
      <c r="Z111" s="199"/>
      <c r="AA111" s="214"/>
      <c r="AB111" s="154"/>
      <c r="AC111" s="199"/>
      <c r="AF111" s="199"/>
      <c r="AG111" s="154"/>
    </row>
    <row r="112" spans="24:34">
      <c r="X112" s="199"/>
      <c r="Y112" s="199"/>
      <c r="Z112" s="199"/>
      <c r="AA112" s="214"/>
      <c r="AB112" s="154"/>
      <c r="AC112" s="199"/>
      <c r="AF112" s="199"/>
      <c r="AG112" s="154"/>
    </row>
  </sheetData>
  <mergeCells count="5">
    <mergeCell ref="B2:C2"/>
    <mergeCell ref="AH2:AK2"/>
    <mergeCell ref="B18:C18"/>
    <mergeCell ref="B19:C19"/>
    <mergeCell ref="L31:N31"/>
  </mergeCells>
  <pageMargins left="0.25" right="0.25" top="0.3" bottom="0.44" header="0.23" footer="0.21"/>
  <pageSetup scale="75" pageOrder="overThenDown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508E0214F23984418008372849431666" ma:contentTypeVersion="19" ma:contentTypeDescription="" ma:contentTypeScope="" ma:versionID="86292e3891c83a48343dcf345b67ab22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2025-08-22T07:00:00+00:00</OpenedDate>
    <SignificantOrder xmlns="dc463f71-b30c-4ab2-9473-d307f9d35888">false</SignificantOrder>
    <Date1 xmlns="dc463f71-b30c-4ab2-9473-d307f9d35888">2025-08-22T07:00:00+00:00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AMERICAN DISPOSAL COMPANY, INC.  </CaseCompanyNames>
    <Nickname xmlns="http://schemas.microsoft.com/sharepoint/v3" xsi:nil="true"/>
    <DocketNumber xmlns="dc463f71-b30c-4ab2-9473-d307f9d35888">250637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4A144399-994B-47F3-BF85-2CBC5AAAE324}"/>
</file>

<file path=customXml/itemProps2.xml><?xml version="1.0" encoding="utf-8"?>
<ds:datastoreItem xmlns:ds="http://schemas.openxmlformats.org/officeDocument/2006/customXml" ds:itemID="{E19207E6-4743-43E8-A8BD-82807B010594}"/>
</file>

<file path=customXml/itemProps3.xml><?xml version="1.0" encoding="utf-8"?>
<ds:datastoreItem xmlns:ds="http://schemas.openxmlformats.org/officeDocument/2006/customXml" ds:itemID="{84074D5A-26EA-474A-B9F8-276C5D005635}"/>
</file>

<file path=customXml/itemProps4.xml><?xml version="1.0" encoding="utf-8"?>
<ds:datastoreItem xmlns:ds="http://schemas.openxmlformats.org/officeDocument/2006/customXml" ds:itemID="{BDF43843-0808-4415-99AF-BF6A5125F3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36</vt:i4>
      </vt:variant>
    </vt:vector>
  </HeadingPairs>
  <TitlesOfParts>
    <vt:vector size="40" baseType="lpstr">
      <vt:lpstr>Vashon Rate Sheet</vt:lpstr>
      <vt:lpstr>Vashon Price Out</vt:lpstr>
      <vt:lpstr>LG BRG - Vashon MSW</vt:lpstr>
      <vt:lpstr>LG BRG -Vashon Recycle</vt:lpstr>
      <vt:lpstr>'LG BRG - Vashon MSW'!Debt_Rate</vt:lpstr>
      <vt:lpstr>'LG BRG -Vashon Recycle'!Debt_Rate</vt:lpstr>
      <vt:lpstr>'LG BRG - Vashon MSW'!debtP</vt:lpstr>
      <vt:lpstr>'LG BRG -Vashon Recycle'!debtP</vt:lpstr>
      <vt:lpstr>'LG BRG - Vashon MSW'!Equity_percent</vt:lpstr>
      <vt:lpstr>'LG BRG -Vashon Recycle'!Equity_percent</vt:lpstr>
      <vt:lpstr>'LG BRG - Vashon MSW'!equityP</vt:lpstr>
      <vt:lpstr>'LG BRG -Vashon Recycle'!equityP</vt:lpstr>
      <vt:lpstr>'LG BRG - Vashon MSW'!expenses</vt:lpstr>
      <vt:lpstr>'LG BRG -Vashon Recycle'!expenses</vt:lpstr>
      <vt:lpstr>'LG BRG - Vashon MSW'!Investment</vt:lpstr>
      <vt:lpstr>'LG BRG -Vashon Recycle'!Investment</vt:lpstr>
      <vt:lpstr>'LG BRG - Vashon MSW'!Pfd_weighted</vt:lpstr>
      <vt:lpstr>'LG BRG -Vashon Recycle'!Pfd_weighted</vt:lpstr>
      <vt:lpstr>'LG BRG - Vashon MSW'!Print_Area</vt:lpstr>
      <vt:lpstr>'LG BRG -Vashon Recycle'!Print_Area</vt:lpstr>
      <vt:lpstr>'Vashon Price Out'!Print_Area</vt:lpstr>
      <vt:lpstr>'Vashon Rate Sheet'!Print_Area</vt:lpstr>
      <vt:lpstr>'Vashon Price Out'!Print_Titles</vt:lpstr>
      <vt:lpstr>'Vashon Rate Sheet'!Print_Titles</vt:lpstr>
      <vt:lpstr>'LG BRG - Vashon MSW'!regDebt_weighted</vt:lpstr>
      <vt:lpstr>'LG BRG -Vashon Recycle'!regDebt_weighted</vt:lpstr>
      <vt:lpstr>'LG BRG - Vashon MSW'!Revenue</vt:lpstr>
      <vt:lpstr>'LG BRG -Vashon Recycle'!Revenue</vt:lpstr>
      <vt:lpstr>'LG BRG - Vashon MSW'!slope</vt:lpstr>
      <vt:lpstr>'LG BRG -Vashon Recycle'!slope</vt:lpstr>
      <vt:lpstr>'LG BRG - Vashon MSW'!taxrate</vt:lpstr>
      <vt:lpstr>'LG BRG -Vashon Recycle'!taxrate</vt:lpstr>
      <vt:lpstr>'LG BRG - Vashon MSW'!y_inter1</vt:lpstr>
      <vt:lpstr>'LG BRG -Vashon Recycle'!y_inter1</vt:lpstr>
      <vt:lpstr>'LG BRG - Vashon MSW'!y_inter2</vt:lpstr>
      <vt:lpstr>'LG BRG -Vashon Recycle'!y_inter2</vt:lpstr>
      <vt:lpstr>'LG BRG - Vashon MSW'!y_inter3</vt:lpstr>
      <vt:lpstr>'LG BRG -Vashon Recycle'!y_inter3</vt:lpstr>
      <vt:lpstr>'LG BRG - Vashon MSW'!y_inter4</vt:lpstr>
      <vt:lpstr>'LG BRG -Vashon Recycle'!y_inter4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Vandenburg</dc:creator>
  <cp:lastModifiedBy>Brian Vandenburg</cp:lastModifiedBy>
  <cp:lastPrinted>2025-08-22T00:01:49Z</cp:lastPrinted>
  <dcterms:created xsi:type="dcterms:W3CDTF">2025-08-15T19:21:59Z</dcterms:created>
  <dcterms:modified xsi:type="dcterms:W3CDTF">2025-08-22T00:01:56Z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0x0101006E56B4D1795A2E4DB2F0B01679ED314A00508E0214F23984418008372849431666</vt:lpwstr>
  </property>
</Properties>
</file>