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6A4F4CD8-26A3-402F-988A-2E93D91941D8}" xr6:coauthVersionLast="47" xr6:coauthVersionMax="47" xr10:uidLastSave="{00000000-0000-0000-0000-000000000000}"/>
  <bookViews>
    <workbookView xWindow="-120" yWindow="-120" windowWidth="11760" windowHeight="20130" firstSheet="3" activeTab="3" xr2:uid="{859B863E-1D3F-4643-9C7D-E35E308D06D0}"/>
  </bookViews>
  <sheets>
    <sheet name="Rate Sheet" sheetId="3" r:id="rId1"/>
    <sheet name="LG BRG - MSW" sheetId="1" r:id="rId2"/>
    <sheet name="LG BRG - Recycle" sheetId="2" r:id="rId3"/>
    <sheet name="Mason Co. Reg. - Price Out (C)" sheetId="4" r:id="rId4"/>
  </sheets>
  <definedNames>
    <definedName name="\6">#REF!</definedName>
    <definedName name="\7">#REF!</definedName>
    <definedName name="\A">#REF!</definedName>
    <definedName name="\c">#REF!</definedName>
    <definedName name="\D" localSheetId="1">#REF!</definedName>
    <definedName name="\D" localSheetId="2">#REF!</definedName>
    <definedName name="\D" localSheetId="0">#REF!</definedName>
    <definedName name="\D">#REF!</definedName>
    <definedName name="\E">#REF!</definedName>
    <definedName name="\M">#REF!</definedName>
    <definedName name="\p">#REF!</definedName>
    <definedName name="\R">#REF!</definedName>
    <definedName name="\S" localSheetId="1">#REF!</definedName>
    <definedName name="\S" localSheetId="2">#REF!</definedName>
    <definedName name="\S" localSheetId="0">#REF!</definedName>
    <definedName name="\S">#REF!</definedName>
    <definedName name="\Y" localSheetId="1">#REF!</definedName>
    <definedName name="\Y" localSheetId="2">#REF!</definedName>
    <definedName name="\Y" localSheetId="0">#REF!</definedName>
    <definedName name="\Y">#REF!</definedName>
    <definedName name="\z">#REF!</definedName>
    <definedName name="______________CYA1">#REF!</definedName>
    <definedName name="______________CYA10">#REF!</definedName>
    <definedName name="______________CYA11">#REF!</definedName>
    <definedName name="______________CYA2">#REF!</definedName>
    <definedName name="______________CYA3">#REF!</definedName>
    <definedName name="______________CYA4">#REF!</definedName>
    <definedName name="______________CYA5">#REF!</definedName>
    <definedName name="______________CYA6">#REF!</definedName>
    <definedName name="______________CYA7">#REF!</definedName>
    <definedName name="______________CYA8">#REF!</definedName>
    <definedName name="______________CYA9">#REF!</definedName>
    <definedName name="______________LYA12">#REF!</definedName>
    <definedName name="_____________CYA1">#REF!</definedName>
    <definedName name="_____________CYA10">#REF!</definedName>
    <definedName name="_____________CYA11">#REF!</definedName>
    <definedName name="_____________CYA2">#REF!</definedName>
    <definedName name="_____________CYA3">#REF!</definedName>
    <definedName name="_____________CYA4">#REF!</definedName>
    <definedName name="_____________CYA5">#REF!</definedName>
    <definedName name="_____________CYA6">#REF!</definedName>
    <definedName name="_____________CYA7">#REF!</definedName>
    <definedName name="_____________CYA8">#REF!</definedName>
    <definedName name="_____________CYA9">#REF!</definedName>
    <definedName name="_____________LYA12">#REF!</definedName>
    <definedName name="____________CYA1">#REF!</definedName>
    <definedName name="____________CYA10">#REF!</definedName>
    <definedName name="____________CYA11">#REF!</definedName>
    <definedName name="____________CYA2">#REF!</definedName>
    <definedName name="____________CYA3">#REF!</definedName>
    <definedName name="____________CYA4">#REF!</definedName>
    <definedName name="____________CYA5">#REF!</definedName>
    <definedName name="____________CYA6">#REF!</definedName>
    <definedName name="____________CYA7">#REF!</definedName>
    <definedName name="____________CYA8">#REF!</definedName>
    <definedName name="____________CYA9">#REF!</definedName>
    <definedName name="____________LYA12">#REF!</definedName>
    <definedName name="___________CYA1">#REF!</definedName>
    <definedName name="___________CYA10">#REF!</definedName>
    <definedName name="___________CYA11">#REF!</definedName>
    <definedName name="___________CYA2">#REF!</definedName>
    <definedName name="___________CYA3">#REF!</definedName>
    <definedName name="___________CYA4">#REF!</definedName>
    <definedName name="___________CYA5">#REF!</definedName>
    <definedName name="___________CYA6">#REF!</definedName>
    <definedName name="___________CYA7">#REF!</definedName>
    <definedName name="___________CYA8">#REF!</definedName>
    <definedName name="___________CYA9">#REF!</definedName>
    <definedName name="___________LYA12">#REF!</definedName>
    <definedName name="__________CYA1">#REF!</definedName>
    <definedName name="__________CYA10">#REF!</definedName>
    <definedName name="__________CYA11">#REF!</definedName>
    <definedName name="__________CYA2">#REF!</definedName>
    <definedName name="__________CYA3">#REF!</definedName>
    <definedName name="__________CYA4">#REF!</definedName>
    <definedName name="__________CYA5">#REF!</definedName>
    <definedName name="__________CYA6">#REF!</definedName>
    <definedName name="__________CYA7">#REF!</definedName>
    <definedName name="__________CYA8">#REF!</definedName>
    <definedName name="__________CYA9">#REF!</definedName>
    <definedName name="__________LYA12">#REF!</definedName>
    <definedName name="_________CYA1">#REF!</definedName>
    <definedName name="_________CYA10">#REF!</definedName>
    <definedName name="_________CYA11">#REF!</definedName>
    <definedName name="_________CYA2">#REF!</definedName>
    <definedName name="_________CYA3">#REF!</definedName>
    <definedName name="_________CYA4">#REF!</definedName>
    <definedName name="_________CYA5">#REF!</definedName>
    <definedName name="_________CYA6">#REF!</definedName>
    <definedName name="_________CYA7">#REF!</definedName>
    <definedName name="_________CYA8">#REF!</definedName>
    <definedName name="_________CYA9">#REF!</definedName>
    <definedName name="_________LYA12">#REF!</definedName>
    <definedName name="________CYA1">#REF!</definedName>
    <definedName name="________CYA10">#REF!</definedName>
    <definedName name="________CYA11">#REF!</definedName>
    <definedName name="________CYA2">#REF!</definedName>
    <definedName name="________CYA3">#REF!</definedName>
    <definedName name="________CYA4">#REF!</definedName>
    <definedName name="________CYA5">#REF!</definedName>
    <definedName name="________CYA6">#REF!</definedName>
    <definedName name="________CYA7">#REF!</definedName>
    <definedName name="________CYA8">#REF!</definedName>
    <definedName name="________CYA9">#REF!</definedName>
    <definedName name="________LYA12">#REF!</definedName>
    <definedName name="_______CYA1">#REF!</definedName>
    <definedName name="_______CYA10">#REF!</definedName>
    <definedName name="_______CYA11">#REF!</definedName>
    <definedName name="_______CYA2">#REF!</definedName>
    <definedName name="_______CYA3">#REF!</definedName>
    <definedName name="_______CYA4">#REF!</definedName>
    <definedName name="_______CYA5">#REF!</definedName>
    <definedName name="_______CYA6">#REF!</definedName>
    <definedName name="_______CYA7">#REF!</definedName>
    <definedName name="_______CYA8">#REF!</definedName>
    <definedName name="_______CYA9">#REF!</definedName>
    <definedName name="_______LYA12">#REF!</definedName>
    <definedName name="______ACT1">#REF!</definedName>
    <definedName name="______ACT2">#REF!</definedName>
    <definedName name="______ACT3">#REF!</definedName>
    <definedName name="______CYA1">#REF!</definedName>
    <definedName name="______CYA10">#REF!</definedName>
    <definedName name="______CYA11">#REF!</definedName>
    <definedName name="______CYA2">#REF!</definedName>
    <definedName name="______CYA3">#REF!</definedName>
    <definedName name="______CYA4">#REF!</definedName>
    <definedName name="______CYA5">#REF!</definedName>
    <definedName name="______CYA6">#REF!</definedName>
    <definedName name="______CYA7">#REF!</definedName>
    <definedName name="______CYA8">#REF!</definedName>
    <definedName name="______CYA9">#REF!</definedName>
    <definedName name="______LYA12">#REF!</definedName>
    <definedName name="_____ACT1">#REF!</definedName>
    <definedName name="_____ACT2">#REF!</definedName>
    <definedName name="_____ACT3">#REF!</definedName>
    <definedName name="_____CYA1">#REF!</definedName>
    <definedName name="_____CYA10">#REF!</definedName>
    <definedName name="_____CYA11">#REF!</definedName>
    <definedName name="_____CYA2">#REF!</definedName>
    <definedName name="_____CYA3">#REF!</definedName>
    <definedName name="_____CYA4">#REF!</definedName>
    <definedName name="_____CYA5">#REF!</definedName>
    <definedName name="_____CYA6">#REF!</definedName>
    <definedName name="_____CYA7">#REF!</definedName>
    <definedName name="_____CYA8">#REF!</definedName>
    <definedName name="_____CYA9">#REF!</definedName>
    <definedName name="_____LYA12">#REF!</definedName>
    <definedName name="_____MAS95">#REF!</definedName>
    <definedName name="_____Sub1">#REF!</definedName>
    <definedName name="_____Sub10">#REF!</definedName>
    <definedName name="_____Sub11">#REF!</definedName>
    <definedName name="_____Sub12">#REF!</definedName>
    <definedName name="_____Sub13">#REF!</definedName>
    <definedName name="_____Sub2">#REF!</definedName>
    <definedName name="_____Sub3">#REF!</definedName>
    <definedName name="_____Sub4">#REF!</definedName>
    <definedName name="_____Sub5">#REF!</definedName>
    <definedName name="_____Sub6">#REF!</definedName>
    <definedName name="_____Sub7">#REF!</definedName>
    <definedName name="_____Sub8">#REF!</definedName>
    <definedName name="_____Sub9">#REF!</definedName>
    <definedName name="____ACT1">#REF!</definedName>
    <definedName name="____ACT2">#REF!</definedName>
    <definedName name="____ACT3">#REF!</definedName>
    <definedName name="____CYA1">#REF!</definedName>
    <definedName name="____CYA10">#REF!</definedName>
    <definedName name="____CYA11">#REF!</definedName>
    <definedName name="____CYA2">#REF!</definedName>
    <definedName name="____CYA3">#REF!</definedName>
    <definedName name="____CYA4">#REF!</definedName>
    <definedName name="____CYA5">#REF!</definedName>
    <definedName name="____CYA6">#REF!</definedName>
    <definedName name="____CYA7">#REF!</definedName>
    <definedName name="____CYA8">#REF!</definedName>
    <definedName name="____CYA9">#REF!</definedName>
    <definedName name="____LYA12">#REF!</definedName>
    <definedName name="____MAS95">#REF!</definedName>
    <definedName name="____Sub1">#REF!</definedName>
    <definedName name="____Sub10">#REF!</definedName>
    <definedName name="____Sub11">#REF!</definedName>
    <definedName name="____Sub12">#REF!</definedName>
    <definedName name="____Sub13">#REF!</definedName>
    <definedName name="____Sub2">#REF!</definedName>
    <definedName name="____Sub3">#REF!</definedName>
    <definedName name="____Sub4">#REF!</definedName>
    <definedName name="____Sub5">#REF!</definedName>
    <definedName name="____Sub6">#REF!</definedName>
    <definedName name="____Sub7">#REF!</definedName>
    <definedName name="____Sub8">#REF!</definedName>
    <definedName name="____Sub9">#REF!</definedName>
    <definedName name="___ACT1">#REF!</definedName>
    <definedName name="___ACT2">#REF!</definedName>
    <definedName name="___ACT3">#REF!</definedName>
    <definedName name="___CYA1">#REF!</definedName>
    <definedName name="___CYA10">#REF!</definedName>
    <definedName name="___CYA11">#REF!</definedName>
    <definedName name="___CYA2">#REF!</definedName>
    <definedName name="___CYA3">#REF!</definedName>
    <definedName name="___CYA4">#REF!</definedName>
    <definedName name="___CYA5">#REF!</definedName>
    <definedName name="___CYA6">#REF!</definedName>
    <definedName name="___CYA7">#REF!</definedName>
    <definedName name="___CYA8">#REF!</definedName>
    <definedName name="___CYA9">#REF!</definedName>
    <definedName name="___LYA12">#REF!</definedName>
    <definedName name="___MAS95">#REF!</definedName>
    <definedName name="___Sub1">#REF!</definedName>
    <definedName name="___Sub10">#REF!</definedName>
    <definedName name="___Sub11">#REF!</definedName>
    <definedName name="___Sub12">#REF!</definedName>
    <definedName name="___Sub13">#REF!</definedName>
    <definedName name="___Sub2">#REF!</definedName>
    <definedName name="___Sub3">#REF!</definedName>
    <definedName name="___Sub4">#REF!</definedName>
    <definedName name="___Sub5">#REF!</definedName>
    <definedName name="___Sub6">#REF!</definedName>
    <definedName name="___Sub7">#REF!</definedName>
    <definedName name="___Sub8">#REF!</definedName>
    <definedName name="___Sub9">#REF!</definedName>
    <definedName name="__ACT1" localSheetId="1">#REF!</definedName>
    <definedName name="__ACT1" localSheetId="2">#REF!</definedName>
    <definedName name="__ACT1" localSheetId="0">#REF!</definedName>
    <definedName name="__ACT1">#REF!</definedName>
    <definedName name="__ACT2" localSheetId="1">#REF!</definedName>
    <definedName name="__ACT2" localSheetId="2">#REF!</definedName>
    <definedName name="__ACT2" localSheetId="0">#REF!</definedName>
    <definedName name="__ACT2">#REF!</definedName>
    <definedName name="__ACT3" localSheetId="1">#REF!</definedName>
    <definedName name="__ACT3" localSheetId="2">#REF!</definedName>
    <definedName name="__ACT3" localSheetId="0">#REF!</definedName>
    <definedName name="__ACT3">#REF!</definedName>
    <definedName name="__CYA1">#REF!</definedName>
    <definedName name="__CYA10">#REF!</definedName>
    <definedName name="__CYA11">#REF!</definedName>
    <definedName name="__CYA2">#REF!</definedName>
    <definedName name="__CYA3">#REF!</definedName>
    <definedName name="__CYA4">#REF!</definedName>
    <definedName name="__CYA5">#REF!</definedName>
    <definedName name="__CYA6">#REF!</definedName>
    <definedName name="__CYA7">#REF!</definedName>
    <definedName name="__CYA8">#REF!</definedName>
    <definedName name="__CYA9">#REF!</definedName>
    <definedName name="__IntlFixup" hidden="1">TRUE</definedName>
    <definedName name="__LYA1">#REF!</definedName>
    <definedName name="__LYA10">#REF!</definedName>
    <definedName name="__LYA11">#REF!</definedName>
    <definedName name="__LYA12">#REF!</definedName>
    <definedName name="__LYA2">#REF!</definedName>
    <definedName name="__LYA3">#REF!</definedName>
    <definedName name="__LYA4">#REF!</definedName>
    <definedName name="__LYA5">#REF!</definedName>
    <definedName name="__LYA6">#REF!</definedName>
    <definedName name="__LYA7">#REF!</definedName>
    <definedName name="__LYA8">#REF!</definedName>
    <definedName name="__LYA9">#REF!</definedName>
    <definedName name="__MAS95">#REF!</definedName>
    <definedName name="__Sub1">#REF!</definedName>
    <definedName name="__Sub10">#REF!</definedName>
    <definedName name="__Sub11">#REF!</definedName>
    <definedName name="__Sub12">#REF!</definedName>
    <definedName name="__Sub13">#REF!</definedName>
    <definedName name="__Sub2">#REF!</definedName>
    <definedName name="__Sub3">#REF!</definedName>
    <definedName name="__Sub4">#REF!</definedName>
    <definedName name="__Sub5">#REF!</definedName>
    <definedName name="__Sub6">#REF!</definedName>
    <definedName name="__Sub7">#REF!</definedName>
    <definedName name="__Sub8">#REF!</definedName>
    <definedName name="__Sub9">#REF!</definedName>
    <definedName name="_1">#REF!</definedName>
    <definedName name="_10">#REF!</definedName>
    <definedName name="_11">#REF!</definedName>
    <definedName name="_12">#REF!</definedName>
    <definedName name="_123Graph_g" hidden="1">#REF!</definedName>
    <definedName name="_13">#REF!</definedName>
    <definedName name="_13054">#REF!</definedName>
    <definedName name="_132" hidden="1">#REF!</definedName>
    <definedName name="_132Graph_h" localSheetId="1" hidden="1">#REF!</definedName>
    <definedName name="_132Graph_h" localSheetId="2" hidden="1">#REF!</definedName>
    <definedName name="_132Graph_h" localSheetId="0" hidden="1">#REF!</definedName>
    <definedName name="_132Graph_h" hidden="1">#REF!</definedName>
    <definedName name="_14">#REF!</definedName>
    <definedName name="_15">#REF!</definedName>
    <definedName name="_16">#REF!</definedName>
    <definedName name="_17">#REF!</definedName>
    <definedName name="_18">#REF!</definedName>
    <definedName name="_19">#REF!</definedName>
    <definedName name="_2">#REF!</definedName>
    <definedName name="_20">#REF!</definedName>
    <definedName name="_21">#REF!</definedName>
    <definedName name="_22">#REF!</definedName>
    <definedName name="_23">#REF!</definedName>
    <definedName name="_24">#REF!</definedName>
    <definedName name="_25">#REF!</definedName>
    <definedName name="_26">#REF!</definedName>
    <definedName name="_27">#REF!</definedName>
    <definedName name="_28">#REF!</definedName>
    <definedName name="_29">#REF!</definedName>
    <definedName name="_3">#REF!</definedName>
    <definedName name="_30">#REF!</definedName>
    <definedName name="_31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ACT1" localSheetId="1">#REF!</definedName>
    <definedName name="_ACT1" localSheetId="2">#REF!</definedName>
    <definedName name="_ACT1" localSheetId="0">#REF!</definedName>
    <definedName name="_ACT1">#REF!</definedName>
    <definedName name="_ACT2" localSheetId="1">#REF!</definedName>
    <definedName name="_ACT2" localSheetId="2">#REF!</definedName>
    <definedName name="_ACT2" localSheetId="0">#REF!</definedName>
    <definedName name="_ACT2">#REF!</definedName>
    <definedName name="_ACT3" localSheetId="1">#REF!</definedName>
    <definedName name="_ACT3" localSheetId="2">#REF!</definedName>
    <definedName name="_ACT3" localSheetId="0">#REF!</definedName>
    <definedName name="_ACT3">#REF!</definedName>
    <definedName name="_ACT4">#REF!</definedName>
    <definedName name="_BUN1">#REF!</definedName>
    <definedName name="_BUN3">#REF!</definedName>
    <definedName name="_COS1" localSheetId="1">#REF!</definedName>
    <definedName name="_COS1" localSheetId="2">#REF!</definedName>
    <definedName name="_COS1" localSheetId="0">#REF!</definedName>
    <definedName name="_COS1">#REF!</definedName>
    <definedName name="_COS2" localSheetId="1">#REF!</definedName>
    <definedName name="_COS2" localSheetId="2">#REF!</definedName>
    <definedName name="_COS2" localSheetId="0">#REF!</definedName>
    <definedName name="_COS2">#REF!</definedName>
    <definedName name="_CYA1">#REF!</definedName>
    <definedName name="_CYA10">#REF!</definedName>
    <definedName name="_CYA11">#REF!</definedName>
    <definedName name="_CYA2">#REF!</definedName>
    <definedName name="_CYA3">#REF!</definedName>
    <definedName name="_CYA4">#REF!</definedName>
    <definedName name="_CYA5">#REF!</definedName>
    <definedName name="_CYA6">#REF!</definedName>
    <definedName name="_CYA7">#REF!</definedName>
    <definedName name="_CYA8">#REF!</definedName>
    <definedName name="_CYA9">#REF!</definedName>
    <definedName name="_CYB4">#REF!</definedName>
    <definedName name="_CYB5">#REF!</definedName>
    <definedName name="_CYB6">#REF!</definedName>
    <definedName name="_Fill" localSheetId="1" hidden="1">#REF!</definedName>
    <definedName name="_Fill" localSheetId="2" hidden="1">#REF!</definedName>
    <definedName name="_Fill" localSheetId="0" hidden="1">#REF!</definedName>
    <definedName name="_Fill" hidden="1">#REF!</definedName>
    <definedName name="_xlnm._FilterDatabase" localSheetId="3" hidden="1">'Mason Co. Reg. - Price Out (C)'!$C$5:$H$175</definedName>
    <definedName name="_xlnm._FilterDatabase" localSheetId="0" hidden="1">'Rate Sheet'!$A$4:$G$308</definedName>
    <definedName name="_JV100">#REF!</definedName>
    <definedName name="_JV502">#REF!</definedName>
    <definedName name="_Key1" localSheetId="1" hidden="1">#REF!</definedName>
    <definedName name="_Key1" localSheetId="2" hidden="1">#REF!</definedName>
    <definedName name="_Key1" localSheetId="0" hidden="1">#REF!</definedName>
    <definedName name="_Key1" hidden="1">#REF!</definedName>
    <definedName name="_Key2" hidden="1">#REF!</definedName>
    <definedName name="_key5" hidden="1">#REF!</definedName>
    <definedName name="_LYA1">#REF!</definedName>
    <definedName name="_LYA10">#REF!</definedName>
    <definedName name="_LYA11">#REF!</definedName>
    <definedName name="_LYA12">#REF!</definedName>
    <definedName name="_LYA2">#REF!</definedName>
    <definedName name="_LYA3">#REF!</definedName>
    <definedName name="_LYA4">#REF!</definedName>
    <definedName name="_LYA5">#REF!</definedName>
    <definedName name="_LYA6">#REF!</definedName>
    <definedName name="_LYA7">#REF!</definedName>
    <definedName name="_LYA8">#REF!</definedName>
    <definedName name="_LYA9">#REF!</definedName>
    <definedName name="_MAS95">#REF!</definedName>
    <definedName name="_max" localSheetId="1" hidden="1">#REF!</definedName>
    <definedName name="_max" localSheetId="2" hidden="1">#REF!</definedName>
    <definedName name="_max" localSheetId="0" hidden="1">#REF!</definedName>
    <definedName name="_max" hidden="1">#REF!</definedName>
    <definedName name="_Mon" localSheetId="1" hidden="1">#REF!</definedName>
    <definedName name="_Mon" localSheetId="2" hidden="1">#REF!</definedName>
    <definedName name="_Mon" localSheetId="0" hidden="1">#REF!</definedName>
    <definedName name="_Mon" hidden="1">#REF!</definedName>
    <definedName name="_Order1" hidden="1">255</definedName>
    <definedName name="_Order2" hidden="1">255</definedName>
    <definedName name="_Order3" hidden="1">0</definedName>
    <definedName name="_PER1">#REF!</definedName>
    <definedName name="_PER2">#REF!</definedName>
    <definedName name="_PER3">#REF!</definedName>
    <definedName name="_PER4">#REF!</definedName>
    <definedName name="_PER5">#REF!</definedName>
    <definedName name="_Regression_Int">0</definedName>
    <definedName name="_res1">#REF!</definedName>
    <definedName name="_res2">#REF!</definedName>
    <definedName name="_res3">#REF!</definedName>
    <definedName name="_res4">#REF!</definedName>
    <definedName name="_res5">#REF!</definedName>
    <definedName name="_SFD1">#REF!</definedName>
    <definedName name="_SFD3">#REF!</definedName>
    <definedName name="_SFV1">#REF!</definedName>
    <definedName name="_SFV4">#REF!</definedName>
    <definedName name="_SHR1">#REF!</definedName>
    <definedName name="_Sort" localSheetId="1" hidden="1">#REF!</definedName>
    <definedName name="_Sort" localSheetId="2" hidden="1">#REF!</definedName>
    <definedName name="_Sort" localSheetId="0" hidden="1">#REF!</definedName>
    <definedName name="_Sort" hidden="1">#REF!</definedName>
    <definedName name="_Sort1" hidden="1">#REF!</definedName>
    <definedName name="_sort3" hidden="1">#REF!</definedName>
    <definedName name="_Sub1">#REF!</definedName>
    <definedName name="_Sub10">#REF!</definedName>
    <definedName name="_Sub11">#REF!</definedName>
    <definedName name="_Sub12">#REF!</definedName>
    <definedName name="_Sub13">#REF!</definedName>
    <definedName name="_Sub2">#REF!</definedName>
    <definedName name="_Sub3">#REF!</definedName>
    <definedName name="_Sub4">#REF!</definedName>
    <definedName name="_Sub5">#REF!</definedName>
    <definedName name="_Sub6">#REF!</definedName>
    <definedName name="_Sub7">#REF!</definedName>
    <definedName name="_Sub8">#REF!</definedName>
    <definedName name="_Sub9">#REF!</definedName>
    <definedName name="_tax1">#REF!</definedName>
    <definedName name="_tax2">#REF!</definedName>
    <definedName name="_tax3">#REF!</definedName>
    <definedName name="_tax4">#REF!</definedName>
    <definedName name="a" localSheetId="1">#REF!</definedName>
    <definedName name="a" localSheetId="2">#REF!</definedName>
    <definedName name="a" localSheetId="0">#REF!</definedName>
    <definedName name="a">#REF!</definedName>
    <definedName name="aaaaaaa">rank</definedName>
    <definedName name="Accounts" localSheetId="1">#REF!</definedName>
    <definedName name="Accounts" localSheetId="2">#REF!</definedName>
    <definedName name="Accounts" localSheetId="0">#REF!</definedName>
    <definedName name="Accounts">#REF!</definedName>
    <definedName name="AccrualThreshold">#REF!</definedName>
    <definedName name="ACCT" localSheetId="0">#REF!</definedName>
    <definedName name="ACCT">#REF!</definedName>
    <definedName name="ACCT.ConsolSum">#REF!</definedName>
    <definedName name="AcctName">#REF!</definedName>
    <definedName name="ACT_CUR" localSheetId="1">#REF!</definedName>
    <definedName name="ACT_CUR" localSheetId="2">#REF!</definedName>
    <definedName name="ACT_CUR" localSheetId="0">#REF!</definedName>
    <definedName name="ACT_CUR">#REF!</definedName>
    <definedName name="ACT_YTD" localSheetId="1">#REF!</definedName>
    <definedName name="ACT_YTD" localSheetId="2">#REF!</definedName>
    <definedName name="ACT_YTD" localSheetId="0">#REF!</definedName>
    <definedName name="ACT_YTD">#REF!</definedName>
    <definedName name="AD">#REF!</definedName>
    <definedName name="adfd">rank</definedName>
    <definedName name="Adjtot1">#REF!</definedName>
    <definedName name="Adjtot10">#REF!</definedName>
    <definedName name="Adjtot11">#REF!</definedName>
    <definedName name="Adjtot12">#REF!</definedName>
    <definedName name="Adjtot13">#REF!</definedName>
    <definedName name="Adjtot2">#REF!</definedName>
    <definedName name="Adjtot3">#REF!</definedName>
    <definedName name="Adjtot4">#REF!</definedName>
    <definedName name="Adjtot5">#REF!</definedName>
    <definedName name="Adjtot6">#REF!</definedName>
    <definedName name="Adjtot7">#REF!</definedName>
    <definedName name="Adjtot8">#REF!</definedName>
    <definedName name="Adjtot9">#REF!</definedName>
    <definedName name="ADK">#REF!</definedName>
    <definedName name="afsdfsdfsd" localSheetId="1">#REF!</definedName>
    <definedName name="afsdfsdfsd" localSheetId="2">#REF!</definedName>
    <definedName name="afsdfsdfsd">#REF!</definedName>
    <definedName name="ajeRow">#REF!</definedName>
    <definedName name="AmountCount" localSheetId="1">#REF!</definedName>
    <definedName name="AmountCount" localSheetId="2">#REF!</definedName>
    <definedName name="AmountCount" localSheetId="0">#REF!</definedName>
    <definedName name="AmountCount">#REF!</definedName>
    <definedName name="AmountCount1" localSheetId="1">#REF!</definedName>
    <definedName name="AmountCount1" localSheetId="2">#REF!</definedName>
    <definedName name="AmountCount1" localSheetId="0">#REF!</definedName>
    <definedName name="AmountCount1">#REF!</definedName>
    <definedName name="AmountFrom" localSheetId="1">#REF!</definedName>
    <definedName name="AmountFrom" localSheetId="2">#REF!</definedName>
    <definedName name="AmountFrom" localSheetId="0">#REF!</definedName>
    <definedName name="AmountFrom">#REF!</definedName>
    <definedName name="AmountTo" localSheetId="1">#REF!</definedName>
    <definedName name="AmountTo" localSheetId="2">#REF!</definedName>
    <definedName name="AmountTo" localSheetId="0">#REF!</definedName>
    <definedName name="AmountTo">#REF!</definedName>
    <definedName name="AmountTotal" localSheetId="1">#REF!</definedName>
    <definedName name="AmountTotal" localSheetId="2">#REF!</definedName>
    <definedName name="AmountTotal" localSheetId="0">#REF!</definedName>
    <definedName name="AmountTotal">#REF!</definedName>
    <definedName name="AmountTotal1" localSheetId="1">#REF!</definedName>
    <definedName name="AmountTotal1" localSheetId="2">#REF!</definedName>
    <definedName name="AmountTotal1" localSheetId="0">#REF!</definedName>
    <definedName name="AmountTotal1">#REF!</definedName>
    <definedName name="AOK">#REF!</definedName>
    <definedName name="APA">#REF!</definedName>
    <definedName name="APN">#REF!</definedName>
    <definedName name="ASD">#REF!</definedName>
    <definedName name="AST">#REF!</definedName>
    <definedName name="averaging">#REF!</definedName>
    <definedName name="BalanceCheck">#REF!</definedName>
    <definedName name="BaseMonthDate">#REF!</definedName>
    <definedName name="BaseMonthDate2">#REF!</definedName>
    <definedName name="BaseMonthDate3">#REF!</definedName>
    <definedName name="BaseYear">#REF!</definedName>
    <definedName name="BatchCode">#REF!</definedName>
    <definedName name="BEGCELL">#REF!</definedName>
    <definedName name="begin">#REF!</definedName>
    <definedName name="BIGFLUX">#REF!</definedName>
    <definedName name="BookRev" localSheetId="0">#REF!</definedName>
    <definedName name="BookRev">#REF!</definedName>
    <definedName name="BookRev_com" localSheetId="0">#REF!</definedName>
    <definedName name="BookRev_com">#REF!</definedName>
    <definedName name="BookRev_mfr" localSheetId="0">#REF!</definedName>
    <definedName name="BookRev_mfr">#REF!</definedName>
    <definedName name="BookRev_ro" localSheetId="0">#REF!</definedName>
    <definedName name="BookRev_ro">#REF!</definedName>
    <definedName name="BookRev_rr" localSheetId="0">#REF!</definedName>
    <definedName name="BookRev_rr">#REF!</definedName>
    <definedName name="BookRev_yw" localSheetId="0">#REF!</definedName>
    <definedName name="BookRev_yw">#REF!</definedName>
    <definedName name="BoolList">#REF!</definedName>
    <definedName name="boxes">#REF!</definedName>
    <definedName name="BREMAIR_COST_of_SERVICE_STUDY" localSheetId="1">#REF!</definedName>
    <definedName name="BREMAIR_COST_of_SERVICE_STUDY" localSheetId="2">#REF!</definedName>
    <definedName name="BREMAIR_COST_of_SERVICE_STUDY" localSheetId="0">#REF!</definedName>
    <definedName name="BREMAIR_COST_of_SERVICE_STUDY">#REF!</definedName>
    <definedName name="Brokerage">#REF!</definedName>
    <definedName name="BUD_CUR" localSheetId="1">#REF!</definedName>
    <definedName name="BUD_CUR" localSheetId="2">#REF!</definedName>
    <definedName name="BUD_CUR" localSheetId="0">#REF!</definedName>
    <definedName name="BUD_CUR">#REF!</definedName>
    <definedName name="BUD_YTD" localSheetId="1">#REF!</definedName>
    <definedName name="BUD_YTD" localSheetId="2">#REF!</definedName>
    <definedName name="BUD_YTD" localSheetId="0">#REF!</definedName>
    <definedName name="BUD_YTD">#REF!</definedName>
    <definedName name="BudYear">#REF!</definedName>
    <definedName name="BudYrs_Limit">#REF!</definedName>
    <definedName name="BUN">#REF!</definedName>
    <definedName name="BusUnitCode">#REF!</definedName>
    <definedName name="BusUnitName">#REF!</definedName>
    <definedName name="button_area_1">#REF!</definedName>
    <definedName name="BUV">#REF!</definedName>
    <definedName name="Calc">#REF!</definedName>
    <definedName name="Calc0">#REF!</definedName>
    <definedName name="Calc1">#REF!</definedName>
    <definedName name="Calc10">#REF!</definedName>
    <definedName name="Calc11">#REF!</definedName>
    <definedName name="Calc12">#REF!</definedName>
    <definedName name="Calc13">#REF!</definedName>
    <definedName name="Calc14">#REF!</definedName>
    <definedName name="Calc15">#REF!</definedName>
    <definedName name="Calc16">#REF!</definedName>
    <definedName name="Calc17">#REF!</definedName>
    <definedName name="Calc18">#REF!</definedName>
    <definedName name="Calc2">#REF!</definedName>
    <definedName name="Calc3">#REF!</definedName>
    <definedName name="Calc4">#REF!</definedName>
    <definedName name="Calc5">#REF!</definedName>
    <definedName name="Calc6">#REF!</definedName>
    <definedName name="Calc7">#REF!</definedName>
    <definedName name="Calc8">#REF!</definedName>
    <definedName name="Calc9">#REF!</definedName>
    <definedName name="CalRecyTons" localSheetId="0">#REF!</definedName>
    <definedName name="CalRecyTons">#REF!</definedName>
    <definedName name="CanCartTons">#REF!</definedName>
    <definedName name="CC">#REF!</definedName>
    <definedName name="CCT">#REF!</definedName>
    <definedName name="celltips_area">#REF!</definedName>
    <definedName name="CheckTotals" localSheetId="1">#REF!</definedName>
    <definedName name="CheckTotals" localSheetId="2">#REF!</definedName>
    <definedName name="CheckTotals" localSheetId="0">#REF!</definedName>
    <definedName name="CheckTotals">#REF!</definedName>
    <definedName name="ClassCode">#REF!</definedName>
    <definedName name="clear">#REF!</definedName>
    <definedName name="CloseDate">#REF!</definedName>
    <definedName name="CoCanTons">#REF!</definedName>
    <definedName name="CoComYd">#REF!</definedName>
    <definedName name="CoCustCnt" localSheetId="1">#REF!</definedName>
    <definedName name="CoCustCnt" localSheetId="2">#REF!</definedName>
    <definedName name="CoCustCnt" localSheetId="0">#REF!</definedName>
    <definedName name="CoCustCnt">#REF!</definedName>
    <definedName name="colgroup">#REF!</definedName>
    <definedName name="colsegment">#REF!</definedName>
    <definedName name="Comments">#REF!:INDEX(#REF!,SUMPRODUCT(--(#REF!&lt;&gt;"")))</definedName>
    <definedName name="CommlStaffPriceOut" localSheetId="1">#REF!</definedName>
    <definedName name="CommlStaffPriceOut" localSheetId="2">#REF!</definedName>
    <definedName name="CommlStaffPriceOut" localSheetId="0">#REF!</definedName>
    <definedName name="CommlStaffPriceOut">#REF!</definedName>
    <definedName name="Company">#REF!</definedName>
    <definedName name="CoMultiYd">#REF!</definedName>
    <definedName name="Consideration">#REF!</definedName>
    <definedName name="ContainerTons">#REF!</definedName>
    <definedName name="ControlNumber">#REF!</definedName>
    <definedName name="COST_OF_SERVICE_STUDY" localSheetId="1">#REF!</definedName>
    <definedName name="COST_OF_SERVICE_STUDY" localSheetId="2">#REF!</definedName>
    <definedName name="COST_OF_SERVICE_STUDY" localSheetId="0">#REF!</definedName>
    <definedName name="COST_OF_SERVICE_STUDY">#REF!</definedName>
    <definedName name="Coststudy">#REF!</definedName>
    <definedName name="CoXtraYds" localSheetId="1">#REF!</definedName>
    <definedName name="CoXtraYds" localSheetId="2">#REF!</definedName>
    <definedName name="CoXtraYds" localSheetId="0">#REF!</definedName>
    <definedName name="CoXtraYds">#REF!</definedName>
    <definedName name="CR" localSheetId="1">#REF!</definedName>
    <definedName name="CR" localSheetId="2">#REF!</definedName>
    <definedName name="CR" localSheetId="0">#REF!</definedName>
    <definedName name="CR">#REF!</definedName>
    <definedName name="CRCTable" localSheetId="1">#REF!</definedName>
    <definedName name="CRCTable" localSheetId="2">#REF!</definedName>
    <definedName name="CRCTable" localSheetId="0">#REF!</definedName>
    <definedName name="CRCTable">#REF!</definedName>
    <definedName name="CRCTableOLD" localSheetId="1">#REF!</definedName>
    <definedName name="CRCTableOLD" localSheetId="2">#REF!</definedName>
    <definedName name="CRCTableOLD" localSheetId="0">#REF!</definedName>
    <definedName name="CRCTableOLD">#REF!</definedName>
    <definedName name="CreateNewWorkbook">#REF!</definedName>
    <definedName name="_xlnm.Criteria">#REF!</definedName>
    <definedName name="CriteriaType">#REF!</definedName>
    <definedName name="CtyCanTons">#REF!</definedName>
    <definedName name="CtyComYd">#REF!</definedName>
    <definedName name="CtyCustCnt" localSheetId="1">#REF!</definedName>
    <definedName name="CtyCustCnt" localSheetId="2">#REF!</definedName>
    <definedName name="CtyCustCnt" localSheetId="0">#REF!</definedName>
    <definedName name="CtyCustCnt">#REF!</definedName>
    <definedName name="CtyMultiYd">#REF!</definedName>
    <definedName name="CtyXtraYds" localSheetId="1">#REF!</definedName>
    <definedName name="CtyXtraYds" localSheetId="2">#REF!</definedName>
    <definedName name="CtyXtraYds" localSheetId="0">#REF!</definedName>
    <definedName name="CtyXtraYds">#REF!</definedName>
    <definedName name="CUR">#REF!</definedName>
    <definedName name="Currency">#REF!</definedName>
    <definedName name="CurrentMonth" localSheetId="1">#REF!</definedName>
    <definedName name="CurrentMonth" localSheetId="2">#REF!</definedName>
    <definedName name="CurrentMonth" localSheetId="0">#REF!</definedName>
    <definedName name="CurrentMonth">#REF!</definedName>
    <definedName name="Cutomers" localSheetId="1">#REF!</definedName>
    <definedName name="Cutomers" localSheetId="2">#REF!</definedName>
    <definedName name="Cutomers" localSheetId="0">#REF!</definedName>
    <definedName name="Cutomers">#REF!</definedName>
    <definedName name="CWR">#REF!</definedName>
    <definedName name="CWRS">#REF!</definedName>
    <definedName name="CYear">#REF!</definedName>
    <definedName name="CYFApr1">#REF!</definedName>
    <definedName name="CYFApr2">#REF!</definedName>
    <definedName name="CYFApr3">#REF!</definedName>
    <definedName name="CYFMar2">#REF!</definedName>
    <definedName name="CYFMar3">#REF!</definedName>
    <definedName name="dasd">rank</definedName>
    <definedName name="Data_End_Test">#REF!</definedName>
    <definedName name="Data_Start_Test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 localSheetId="1">#REF!</definedName>
    <definedName name="_xlnm.Database" localSheetId="2">#REF!</definedName>
    <definedName name="_xlnm.Database" localSheetId="0">#REF!</definedName>
    <definedName name="_xlnm.Database">#REF!</definedName>
    <definedName name="Database_MI">#REF!</definedName>
    <definedName name="Database1" localSheetId="1">#REF!</definedName>
    <definedName name="Database1" localSheetId="2">#REF!</definedName>
    <definedName name="Database1" localSheetId="0">#REF!</definedName>
    <definedName name="Database1">#REF!</definedName>
    <definedName name="Database2">#REF!</definedName>
    <definedName name="DATE">#REF!</definedName>
    <definedName name="DateFrom" localSheetId="1">#REF!</definedName>
    <definedName name="DateFrom" localSheetId="2">#REF!</definedName>
    <definedName name="DateFrom" localSheetId="0">#REF!</definedName>
    <definedName name="DateFrom">#REF!</definedName>
    <definedName name="DateRange">#REF!</definedName>
    <definedName name="Dates">#REF!</definedName>
    <definedName name="DateTo" localSheetId="1">#REF!</definedName>
    <definedName name="DateTo" localSheetId="2">#REF!</definedName>
    <definedName name="DateTo" localSheetId="0">#REF!</definedName>
    <definedName name="DateTo">#REF!</definedName>
    <definedName name="DAY">#REF!</definedName>
    <definedName name="DBxStaffPriceOut" localSheetId="1">#REF!</definedName>
    <definedName name="DBxStaffPriceOut" localSheetId="2">#REF!</definedName>
    <definedName name="DBxStaffPriceOut" localSheetId="0">#REF!</definedName>
    <definedName name="DBxStaffPriceOut">#REF!</definedName>
    <definedName name="DEBITS">#REF!</definedName>
    <definedName name="Debt_Rate" localSheetId="1">'LG BRG - MSW'!$K$27</definedName>
    <definedName name="Debt_Rate" localSheetId="2">'LG BRG - Recycle'!$K$27</definedName>
    <definedName name="debtP" localSheetId="1">'LG BRG - MSW'!$I$27</definedName>
    <definedName name="debtP" localSheetId="2">'LG BRG - Recycle'!$I$27</definedName>
    <definedName name="debtP" localSheetId="0">#REF!</definedName>
    <definedName name="debtP">#REF!</definedName>
    <definedName name="DeleteCMReconBook">#REF!</definedName>
    <definedName name="deletion">#REF!</definedName>
    <definedName name="DEPRECIATION">#REF!</definedName>
    <definedName name="DEPT" localSheetId="1">#REF!</definedName>
    <definedName name="DEPT" localSheetId="2">#REF!</definedName>
    <definedName name="DEPT" localSheetId="0">#REF!</definedName>
    <definedName name="DEPT">#REF!</definedName>
    <definedName name="Detail">#REF!</definedName>
    <definedName name="DetailBudYear" localSheetId="1">#REF!</definedName>
    <definedName name="DetailBudYear" localSheetId="2">#REF!</definedName>
    <definedName name="DetailBudYear" localSheetId="0">#REF!</definedName>
    <definedName name="DetailBudYear">#REF!</definedName>
    <definedName name="DetailDistrict" localSheetId="1">#REF!</definedName>
    <definedName name="DetailDistrict" localSheetId="2">#REF!</definedName>
    <definedName name="DetailDistrict" localSheetId="0">#REF!</definedName>
    <definedName name="DetailDistrict">#REF!</definedName>
    <definedName name="dflt3">#REF!</definedName>
    <definedName name="dflt4">#REF!</definedName>
    <definedName name="dflt6">#REF!</definedName>
    <definedName name="display_area_2">#REF!</definedName>
    <definedName name="DispRates">#REF!</definedName>
    <definedName name="Dist" localSheetId="0">#REF!</definedName>
    <definedName name="Dist">#REF!</definedName>
    <definedName name="District" localSheetId="1">#REF!</definedName>
    <definedName name="District" localSheetId="2">#REF!</definedName>
    <definedName name="District" localSheetId="0">#REF!</definedName>
    <definedName name="District">#REF!</definedName>
    <definedName name="District_1">#REF!</definedName>
    <definedName name="DistrictCode">#REF!</definedName>
    <definedName name="DistrictName">#REF!</definedName>
    <definedName name="DistrictNum" localSheetId="1">#REF!</definedName>
    <definedName name="DistrictNum" localSheetId="2">#REF!</definedName>
    <definedName name="DistrictNum" localSheetId="0">#REF!</definedName>
    <definedName name="DistrictNum">#REF!</definedName>
    <definedName name="Districts" localSheetId="1">#REF!</definedName>
    <definedName name="Districts" localSheetId="2">#REF!</definedName>
    <definedName name="Districts" localSheetId="0">#REF!</definedName>
    <definedName name="Districts">#REF!</definedName>
    <definedName name="DistrictSelection">#REF!</definedName>
    <definedName name="DistStaffSignOffStatus">#REF!</definedName>
    <definedName name="DivisionSignOffReq">#REF!</definedName>
    <definedName name="DivSignOffStatus">#REF!</definedName>
    <definedName name="dOG" localSheetId="1">#REF!</definedName>
    <definedName name="dOG" localSheetId="2">#REF!</definedName>
    <definedName name="dOG" localSheetId="0">#REF!</definedName>
    <definedName name="dOG">#REF!</definedName>
    <definedName name="drlFilter">#REF!</definedName>
    <definedName name="End" localSheetId="1">#REF!</definedName>
    <definedName name="End" localSheetId="2">#REF!</definedName>
    <definedName name="End" localSheetId="0">#REF!</definedName>
    <definedName name="End">#REF!</definedName>
    <definedName name="EndOfEntry">#REF!</definedName>
    <definedName name="EndPoint">#REF!</definedName>
    <definedName name="EndTime">#REF!</definedName>
    <definedName name="EntrieShownLimit" localSheetId="1">#REF!</definedName>
    <definedName name="EntrieShownLimit" localSheetId="2">#REF!</definedName>
    <definedName name="EntrieShownLimit" localSheetId="0">#REF!</definedName>
    <definedName name="EntrieShownLimit">#REF!</definedName>
    <definedName name="Equity_percent" localSheetId="1">'LG BRG - MSW'!$S$57</definedName>
    <definedName name="Equity_percent" localSheetId="2">'LG BRG - Recycle'!$S$57</definedName>
    <definedName name="equityP" localSheetId="1">'LG BRG - MSW'!$I$26</definedName>
    <definedName name="equityP" localSheetId="2">'LG BRG - Recycle'!$I$26</definedName>
    <definedName name="error">#REF!</definedName>
    <definedName name="ewfw32a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ExcludeIC" localSheetId="1">#REF!</definedName>
    <definedName name="ExcludeIC" localSheetId="2">#REF!</definedName>
    <definedName name="ExcludeIC" localSheetId="0">#REF!</definedName>
    <definedName name="ExcludeIC">#REF!</definedName>
    <definedName name="ExcludeIC_1">#REF!</definedName>
    <definedName name="expenses" localSheetId="1">'LG BRG - MSW'!$I$8</definedName>
    <definedName name="expenses" localSheetId="2">'LG BRG - Recycle'!$I$8</definedName>
    <definedName name="expenses">#REF!</definedName>
    <definedName name="ExpensesPF1">#REF!</definedName>
    <definedName name="EXT" localSheetId="1">#REF!</definedName>
    <definedName name="EXT" localSheetId="2">#REF!</definedName>
    <definedName name="EXT" localSheetId="0">#REF!</definedName>
    <definedName name="EXT">#REF!</definedName>
    <definedName name="FBTable" localSheetId="1">#REF!</definedName>
    <definedName name="FBTable" localSheetId="2">#REF!</definedName>
    <definedName name="FBTable" localSheetId="0">#REF!</definedName>
    <definedName name="FBTable">#REF!</definedName>
    <definedName name="FBTableOld" localSheetId="1">#REF!</definedName>
    <definedName name="FBTableOld" localSheetId="2">#REF!</definedName>
    <definedName name="FBTableOld" localSheetId="0">#REF!</definedName>
    <definedName name="FBTableOld">#REF!</definedName>
    <definedName name="fences">#REF!</definedName>
    <definedName name="FICA">#REF!</definedName>
    <definedName name="filter">#REF!</definedName>
    <definedName name="Financial">#REF!</definedName>
    <definedName name="FIRST">#REF!</definedName>
    <definedName name="FirstColCriteria">#REF!</definedName>
    <definedName name="FirstHeaderCriteria">#REF!</definedName>
    <definedName name="flag">#REF!</definedName>
    <definedName name="FLUX">#REF!</definedName>
    <definedName name="Format_Column">#REF!</definedName>
    <definedName name="formata">#REF!</definedName>
    <definedName name="formatb">#REF!</definedName>
    <definedName name="Formula">#REF!</definedName>
    <definedName name="FROM">#REF!</definedName>
    <definedName name="FromMonth" localSheetId="1">#REF!</definedName>
    <definedName name="FromMonth" localSheetId="2">#REF!</definedName>
    <definedName name="FromMonth" localSheetId="0">#REF!</definedName>
    <definedName name="FromMonth">#REF!</definedName>
    <definedName name="FundsApprPend" localSheetId="1">#REF!</definedName>
    <definedName name="FundsApprPend" localSheetId="2">#REF!</definedName>
    <definedName name="FundsApprPend" localSheetId="0">#REF!</definedName>
    <definedName name="FundsApprPend">#REF!</definedName>
    <definedName name="FundsBudUnbud" localSheetId="1">#REF!</definedName>
    <definedName name="FundsBudUnbud" localSheetId="2">#REF!</definedName>
    <definedName name="FundsBudUnbud" localSheetId="0">#REF!</definedName>
    <definedName name="FundsBudUnbud">#REF!</definedName>
    <definedName name="FY">#REF!</definedName>
    <definedName name="GLAccount">#REF!</definedName>
    <definedName name="GLMappingStart" localSheetId="1">#REF!</definedName>
    <definedName name="GLMappingStart" localSheetId="2">#REF!</definedName>
    <definedName name="GLMappingStart" localSheetId="0">#REF!</definedName>
    <definedName name="GLMappingStart">#REF!</definedName>
    <definedName name="GLMappingStart1" localSheetId="1">#REF!</definedName>
    <definedName name="GLMappingStart1" localSheetId="2">#REF!</definedName>
    <definedName name="GLMappingStart1" localSheetId="0">#REF!</definedName>
    <definedName name="GLMappingStart1">#REF!</definedName>
    <definedName name="GRETABLE" localSheetId="0">#REF!</definedName>
    <definedName name="GRETABLE">#REF!</definedName>
    <definedName name="GrossWeightList">#REF!</definedName>
    <definedName name="HasBudAdd">#REF!</definedName>
    <definedName name="HeaderReturnMessage">#REF!</definedName>
    <definedName name="Heading1">#REF!</definedName>
    <definedName name="help">#REF!</definedName>
    <definedName name="IDN">#REF!</definedName>
    <definedName name="IFN">#REF!</definedName>
    <definedName name="Import_Range" localSheetId="1">#REF!</definedName>
    <definedName name="Import_Range" localSheetId="2">#REF!</definedName>
    <definedName name="Import_Range" localSheetId="0">#REF!</definedName>
    <definedName name="Import_Range">#REF!</definedName>
    <definedName name="IncomeStmnt" localSheetId="1">#REF!</definedName>
    <definedName name="IncomeStmnt" localSheetId="2">#REF!</definedName>
    <definedName name="IncomeStmnt" localSheetId="0">#REF!</definedName>
    <definedName name="IncomeStmnt">#REF!</definedName>
    <definedName name="Incomplete">#REF!</definedName>
    <definedName name="INPUT" localSheetId="1">'LG BRG - MSW'!#REF!</definedName>
    <definedName name="INPUT" localSheetId="2">'LG BRG - Recycle'!#REF!</definedName>
    <definedName name="INPUT" localSheetId="0">#REF!</definedName>
    <definedName name="INPUT">#REF!</definedName>
    <definedName name="INPUT1">#REF!</definedName>
    <definedName name="INPUTc" localSheetId="1">#REF!</definedName>
    <definedName name="INPUTc" localSheetId="2">#REF!</definedName>
    <definedName name="INPUTc">#REF!</definedName>
    <definedName name="InsertColRange">#REF!</definedName>
    <definedName name="Insurance" localSheetId="1">#REF!</definedName>
    <definedName name="Insurance" localSheetId="2">#REF!</definedName>
    <definedName name="Insurance" localSheetId="0">#REF!</definedName>
    <definedName name="Insurance">#REF!</definedName>
    <definedName name="INT">#REF!</definedName>
    <definedName name="inter2">#REF!</definedName>
    <definedName name="intercept">#REF!</definedName>
    <definedName name="Interject_LastPulledValues_BalanceRange" localSheetId="0">#REF!</definedName>
    <definedName name="Interject_LastPulledValues_BalanceRange">#REF!</definedName>
    <definedName name="Interject_LastPulledValues_DescriptionRange" localSheetId="0">#REF!</definedName>
    <definedName name="Interject_LastPulledValues_DescriptionRange">#REF!</definedName>
    <definedName name="Interject_LastPulledValues_LastChangeGUID" localSheetId="0">#REF!</definedName>
    <definedName name="Interject_LastPulledValues_LastChangeGUID">#REF!</definedName>
    <definedName name="Interject_LastPulledValues_PreviousLastChangeGUID" localSheetId="0">#REF!</definedName>
    <definedName name="Interject_LastPulledValues_PreviousLastChangeGUID">#REF!</definedName>
    <definedName name="Investment" localSheetId="1">'LG BRG - MSW'!$J$28</definedName>
    <definedName name="Investment" localSheetId="2">'LG BRG - Recycle'!$J$28</definedName>
    <definedName name="Invoice_Start" localSheetId="1">#REF!</definedName>
    <definedName name="Invoice_Start" localSheetId="2">#REF!</definedName>
    <definedName name="Invoice_Start" localSheetId="0">#REF!</definedName>
    <definedName name="Invoice_Start">#REF!</definedName>
    <definedName name="InvoiceNumber">#REF!</definedName>
    <definedName name="InvoiceStatu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temCount">#REF!</definedName>
    <definedName name="ItemDesc">#REF!</definedName>
    <definedName name="JECreateLink">#REF!</definedName>
    <definedName name="JEDetail" localSheetId="1">#REF!</definedName>
    <definedName name="JEDetail" localSheetId="2">#REF!</definedName>
    <definedName name="JEDetail" localSheetId="0">#REF!</definedName>
    <definedName name="JEDetail">#REF!</definedName>
    <definedName name="JEDetail1" localSheetId="1">#REF!</definedName>
    <definedName name="JEDetail1" localSheetId="2">#REF!</definedName>
    <definedName name="JEDetail1" localSheetId="0">#REF!</definedName>
    <definedName name="JEDetail1">#REF!</definedName>
    <definedName name="JEDetailLevel">#REF!</definedName>
    <definedName name="JESummaryIncomplete">#REF!</definedName>
    <definedName name="JEType" localSheetId="1">#REF!</definedName>
    <definedName name="JEType" localSheetId="2">#REF!</definedName>
    <definedName name="JEType" localSheetId="0">#REF!</definedName>
    <definedName name="JEType">#REF!</definedName>
    <definedName name="JEType1" localSheetId="1">#REF!</definedName>
    <definedName name="JEType1" localSheetId="2">#REF!</definedName>
    <definedName name="JEType1" localSheetId="0">#REF!</definedName>
    <definedName name="JEType1">#REF!</definedName>
    <definedName name="Juris1CanCount">#REF!</definedName>
    <definedName name="Juris1CanTons">#REF!</definedName>
    <definedName name="Juris1ComYd">#REF!</definedName>
    <definedName name="Juris1CustCnt">#REF!</definedName>
    <definedName name="Juris1MultiYd">#REF!</definedName>
    <definedName name="Juris1SeasonalYds">#REF!</definedName>
    <definedName name="Juris1XtraYds">#REF!</definedName>
    <definedName name="Juris2CanCount">#REF!</definedName>
    <definedName name="Juris2CanTons">#REF!</definedName>
    <definedName name="Juris2ComYd">#REF!</definedName>
    <definedName name="Juris2CustCnt">#REF!</definedName>
    <definedName name="Juris2MultiYd">#REF!</definedName>
    <definedName name="Juris2SeasonalYds">#REF!</definedName>
    <definedName name="Juris2XtraYds">#REF!</definedName>
    <definedName name="Juris3CanCount">#REF!</definedName>
    <definedName name="Juris3CanTons">#REF!</definedName>
    <definedName name="Juris3ComYd">#REF!</definedName>
    <definedName name="Juris3CustCnt">#REF!</definedName>
    <definedName name="Juris3MultiYd">#REF!</definedName>
    <definedName name="Juris3SeasonalYds">#REF!</definedName>
    <definedName name="Juris3XtraYds">#REF!</definedName>
    <definedName name="Juris4CanCount">#REF!</definedName>
    <definedName name="Juris4CanTons">#REF!</definedName>
    <definedName name="Juris4ComYd">#REF!</definedName>
    <definedName name="Juris4CustCnt">#REF!</definedName>
    <definedName name="Juris4MultiYd">#REF!</definedName>
    <definedName name="Juris4SeasonalYds">#REF!</definedName>
    <definedName name="Juris4XtraYds">#REF!</definedName>
    <definedName name="Juris5CanCount">#REF!</definedName>
    <definedName name="Juris5CanTons">#REF!</definedName>
    <definedName name="Juris5ComYD">#REF!</definedName>
    <definedName name="Juris5CustCnt">#REF!</definedName>
    <definedName name="Juris5MultiYd">#REF!</definedName>
    <definedName name="Juris5SeasonalYds">#REF!</definedName>
    <definedName name="Juris5XtraYds">#REF!</definedName>
    <definedName name="Jurisdiction_1">#REF!</definedName>
    <definedName name="Jurisdiction_2">#REF!</definedName>
    <definedName name="Jurisdiction_3">#REF!</definedName>
    <definedName name="Jurisdiction_4">#REF!</definedName>
    <definedName name="Jurisdiction_5">#REF!</definedName>
    <definedName name="JV100_2">#REF!</definedName>
    <definedName name="LAST_ROW">#REF!</definedName>
    <definedName name="LastExecutedFor">#REF!</definedName>
    <definedName name="LastSavedOn">#REF!</definedName>
    <definedName name="LastTranxDate">#REF!</definedName>
    <definedName name="lblBillAreaStatus" localSheetId="1">#REF!</definedName>
    <definedName name="lblBillAreaStatus" localSheetId="2">#REF!</definedName>
    <definedName name="lblBillAreaStatus" localSheetId="0">#REF!</definedName>
    <definedName name="lblBillAreaStatus">#REF!</definedName>
    <definedName name="lblBillCycleStatus" localSheetId="1">#REF!</definedName>
    <definedName name="lblBillCycleStatus" localSheetId="2">#REF!</definedName>
    <definedName name="lblBillCycleStatus" localSheetId="0">#REF!</definedName>
    <definedName name="lblBillCycleStatus">#REF!</definedName>
    <definedName name="lblCategoryStatus" localSheetId="1">#REF!</definedName>
    <definedName name="lblCategoryStatus" localSheetId="2">#REF!</definedName>
    <definedName name="lblCategoryStatus" localSheetId="0">#REF!</definedName>
    <definedName name="lblCategoryStatus">#REF!</definedName>
    <definedName name="lblCompanyStatus" localSheetId="1">#REF!</definedName>
    <definedName name="lblCompanyStatus" localSheetId="2">#REF!</definedName>
    <definedName name="lblCompanyStatus" localSheetId="0">#REF!</definedName>
    <definedName name="lblCompanyStatus">#REF!</definedName>
    <definedName name="lblDatabaseStatus" localSheetId="1">#REF!</definedName>
    <definedName name="lblDatabaseStatus" localSheetId="2">#REF!</definedName>
    <definedName name="lblDatabaseStatus" localSheetId="0">#REF!</definedName>
    <definedName name="lblDatabaseStatus">#REF!</definedName>
    <definedName name="lblPullStatus" localSheetId="1">#REF!</definedName>
    <definedName name="lblPullStatus" localSheetId="2">#REF!</definedName>
    <definedName name="lblPullStatus" localSheetId="0">#REF!</definedName>
    <definedName name="lblPullStatus">#REF!</definedName>
    <definedName name="level">#REF!</definedName>
    <definedName name="LITTLE">#REF!</definedName>
    <definedName name="LITTLE01">#REF!</definedName>
    <definedName name="lllllllllllllllllllll" localSheetId="1">#REF!</definedName>
    <definedName name="lllllllllllllllllllll" localSheetId="2">#REF!</definedName>
    <definedName name="lllllllllllllllllllll" localSheetId="0">#REF!</definedName>
    <definedName name="lllllllllllllllllllll">#REF!</definedName>
    <definedName name="LOB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U_Line" localSheetId="1">#REF!</definedName>
    <definedName name="LU_Line" localSheetId="2">#REF!</definedName>
    <definedName name="LU_Line">#REF!</definedName>
    <definedName name="Lurito">#REF!</definedName>
    <definedName name="LYN">#REF!</definedName>
    <definedName name="MainDataEnd" localSheetId="1">#REF!</definedName>
    <definedName name="MainDataEnd" localSheetId="2">#REF!</definedName>
    <definedName name="MainDataEnd" localSheetId="0">#REF!</definedName>
    <definedName name="MainDataEnd">#REF!</definedName>
    <definedName name="MainDataEnd2">#REF!</definedName>
    <definedName name="MainDataEnd3">#REF!</definedName>
    <definedName name="MainDataEnd4">#REF!</definedName>
    <definedName name="MainDataEnd5">#REF!</definedName>
    <definedName name="MainDataEndJ">#REF!</definedName>
    <definedName name="MainDataStart" localSheetId="1">#REF!</definedName>
    <definedName name="MainDataStart" localSheetId="2">#REF!</definedName>
    <definedName name="MainDataStart" localSheetId="0">#REF!</definedName>
    <definedName name="MainDataStart">#REF!</definedName>
    <definedName name="MainDataStart2">#REF!</definedName>
    <definedName name="MainDataStart3">#REF!</definedName>
    <definedName name="MainDataStart4">#REF!</definedName>
    <definedName name="MainDataStart5">#REF!</definedName>
    <definedName name="MainDataStartJ">#REF!</definedName>
    <definedName name="MapKeyStart" localSheetId="1">#REF!</definedName>
    <definedName name="MapKeyStart" localSheetId="2">#REF!</definedName>
    <definedName name="MapKeyStart" localSheetId="0">#REF!</definedName>
    <definedName name="MapKeyStart">#REF!</definedName>
    <definedName name="master_def" localSheetId="1">#REF!</definedName>
    <definedName name="master_def" localSheetId="2">#REF!</definedName>
    <definedName name="master_def" localSheetId="0">#REF!</definedName>
    <definedName name="master_def">#REF!</definedName>
    <definedName name="MASTERA">#REF!</definedName>
    <definedName name="MASTERD">#REF!</definedName>
    <definedName name="MATRIX" localSheetId="1">#REF!</definedName>
    <definedName name="MATRIX" localSheetId="2">#REF!</definedName>
    <definedName name="MATRIX" localSheetId="0">#REF!</definedName>
    <definedName name="MATRIX">#REF!</definedName>
    <definedName name="MemoAttachment" localSheetId="1">#REF!</definedName>
    <definedName name="MemoAttachment" localSheetId="2">#REF!</definedName>
    <definedName name="MemoAttachment" localSheetId="0">#REF!</definedName>
    <definedName name="MemoAttachment">#REF!</definedName>
    <definedName name="MetaSet">#REF!</definedName>
    <definedName name="MFStaffPriceOut" localSheetId="1">#REF!</definedName>
    <definedName name="MFStaffPriceOut" localSheetId="2">#REF!</definedName>
    <definedName name="MFStaffPriceOut" localSheetId="0">#REF!</definedName>
    <definedName name="MFStaffPriceOut">#REF!</definedName>
    <definedName name="MILTON" localSheetId="1">#REF!</definedName>
    <definedName name="MILTON" localSheetId="2">#REF!</definedName>
    <definedName name="MILTON" localSheetId="0">#REF!</definedName>
    <definedName name="MILTON">#REF!</definedName>
    <definedName name="MissingAccountList">#REF!</definedName>
    <definedName name="Month" localSheetId="1">#REF!</definedName>
    <definedName name="Month" localSheetId="2">#REF!</definedName>
    <definedName name="Month" localSheetId="0">#REF!</definedName>
    <definedName name="Month">#REF!</definedName>
    <definedName name="MONTH1">#REF!</definedName>
    <definedName name="MONTH2">#REF!</definedName>
    <definedName name="MONTH3">#REF!</definedName>
    <definedName name="MONTH4">#REF!</definedName>
    <definedName name="MONTH5">#REF!</definedName>
    <definedName name="MONTH6">#REF!</definedName>
    <definedName name="MonthList" localSheetId="0">#REF!</definedName>
    <definedName name="MonthList">#REF!</definedName>
    <definedName name="monthlyplcf">#REF!</definedName>
    <definedName name="MORESTUFF">#REF!</definedName>
    <definedName name="MthValue">#REF!</definedName>
    <definedName name="NarrThreshold_Doll">#REF!</definedName>
    <definedName name="NarrThreshold_Perc">#REF!</definedName>
    <definedName name="New">#REF!</definedName>
    <definedName name="NewAccountCheck">#REF!</definedName>
    <definedName name="NewLob">#REF!</definedName>
    <definedName name="NewOnlyOrg">#N/A</definedName>
    <definedName name="NewSource">#REF!</definedName>
    <definedName name="nn" localSheetId="1">#REF!</definedName>
    <definedName name="nn" localSheetId="2">#REF!</definedName>
    <definedName name="nn" localSheetId="0">#REF!</definedName>
    <definedName name="nn">#REF!</definedName>
    <definedName name="NO">#REF!</definedName>
    <definedName name="NONRECAP">#REF!</definedName>
    <definedName name="NOTES" localSheetId="1">#REF!</definedName>
    <definedName name="NOTES" localSheetId="2">#REF!</definedName>
    <definedName name="NOTES" localSheetId="0">#REF!</definedName>
    <definedName name="NOTES">#REF!</definedName>
    <definedName name="NR" localSheetId="1">#REF!</definedName>
    <definedName name="NR" localSheetId="2">#REF!</definedName>
    <definedName name="NR" localSheetId="0">#REF!</definedName>
    <definedName name="NR">#REF!</definedName>
    <definedName name="number">#REF!</definedName>
    <definedName name="NvsASD">"V2008-12-31"</definedName>
    <definedName name="NvsAutoDrillOk">"VN"</definedName>
    <definedName name="NvsElapsedTime">0.000729166669771075</definedName>
    <definedName name="NvsEndTime">39896.5868402778</definedName>
    <definedName name="NvsEndTime2">39823.1371643519</definedName>
    <definedName name="NvsEndTime3">39918.4137268519</definedName>
    <definedName name="NvsEndTime4">39825.0263078704</definedName>
    <definedName name="NvsEndTime5">39822.9425347222</definedName>
    <definedName name="NvsInstanceHook">rank</definedName>
    <definedName name="NvsInstanceHook1">rank</definedName>
    <definedName name="NvsInstLang">"VENG"</definedName>
    <definedName name="NvsInstSpec">"%,FBUSINESS_UNIT,V01815"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"V1950-01-01"</definedName>
    <definedName name="NvsPanelSetid">"VWASTE"</definedName>
    <definedName name="NvsReqBU">"V01815"</definedName>
    <definedName name="NvsReqBUOnly">"VY"</definedName>
    <definedName name="NvsTransLed">"VN"</definedName>
    <definedName name="NvsTreeASD">"V2008-12-31"</definedName>
    <definedName name="NvsValTbl.ACCOUNT">"GL_ACCOUNT_TBL"</definedName>
    <definedName name="NvsValTbl.ACCOUNT_SUM">"ZGL_SACCT_VW"</definedName>
    <definedName name="NvsValTbl.ASSET_CLASS">"ASSET_CLASS_TBL"</definedName>
    <definedName name="NvsValTbl.BUSINESS_UNIT">"BUS_UNIT_TBL_GL"</definedName>
    <definedName name="NvsValTbl.CURRENCY_CD">"CURRENCY_CD_TBL"</definedName>
    <definedName name="NvsValTbl.DEPTID">"DEPT_TBL"</definedName>
    <definedName name="NvsValTbl.OPERATING_UNIT">"OPER_UNIT_TBL"</definedName>
    <definedName name="NvsValTbl.PRODUCT">"PRODUCT_TBL"</definedName>
    <definedName name="observations">#REF!</definedName>
    <definedName name="OfficerSalary">#N/A</definedName>
    <definedName name="OffsetAcctBil">#REF!</definedName>
    <definedName name="OffsetAcctPmt">#REF!</definedName>
    <definedName name="Operations">#REF!</definedName>
    <definedName name="OPR">#REF!</definedName>
    <definedName name="Org11_13">#N/A</definedName>
    <definedName name="Org7_10">#N/A</definedName>
    <definedName name="ORIG2GALWT_">#REF!</definedName>
    <definedName name="ORIG2OH">#REF!</definedName>
    <definedName name="OthCanTons">#REF!</definedName>
    <definedName name="OthComYd">#REF!</definedName>
    <definedName name="OthCustCnt" localSheetId="1">#REF!</definedName>
    <definedName name="OthCustCnt" localSheetId="2">#REF!</definedName>
    <definedName name="OthCustCnt" localSheetId="0">#REF!</definedName>
    <definedName name="OthCustCnt">#REF!</definedName>
    <definedName name="OthMultiYd">#REF!</definedName>
    <definedName name="OthXtraYds" localSheetId="1">#REF!</definedName>
    <definedName name="OthXtraYds" localSheetId="2">#REF!</definedName>
    <definedName name="OthXtraYds" localSheetId="0">#REF!</definedName>
    <definedName name="OthXtraYds">#REF!</definedName>
    <definedName name="outliercut">#REF!</definedName>
    <definedName name="p" localSheetId="1">#REF!</definedName>
    <definedName name="p" localSheetId="2">#REF!</definedName>
    <definedName name="p" localSheetId="0">#REF!</definedName>
    <definedName name="p">#REF!</definedName>
    <definedName name="PAGE_1" localSheetId="1">#REF!</definedName>
    <definedName name="PAGE_1" localSheetId="2">#REF!</definedName>
    <definedName name="PAGE_1" localSheetId="0">#REF!</definedName>
    <definedName name="PAGE_1">#REF!</definedName>
    <definedName name="Page10" localSheetId="1">#REF!</definedName>
    <definedName name="Page10" localSheetId="2">#REF!</definedName>
    <definedName name="Page10">#REF!</definedName>
    <definedName name="Page10a" localSheetId="1">#REF!</definedName>
    <definedName name="Page10a" localSheetId="2">#REF!</definedName>
    <definedName name="Page10a">#REF!</definedName>
    <definedName name="page11" localSheetId="1">#REF!</definedName>
    <definedName name="page11" localSheetId="2">#REF!</definedName>
    <definedName name="page11">#REF!</definedName>
    <definedName name="page12" localSheetId="1">#REF!</definedName>
    <definedName name="page12" localSheetId="2">#REF!</definedName>
    <definedName name="page12">#REF!</definedName>
    <definedName name="Page16" localSheetId="1">#REF!</definedName>
    <definedName name="Page16" localSheetId="2">#REF!</definedName>
    <definedName name="Page16" localSheetId="0">#REF!</definedName>
    <definedName name="Page16">#REF!</definedName>
    <definedName name="Page17" localSheetId="1">#REF!</definedName>
    <definedName name="Page17" localSheetId="2">#REF!</definedName>
    <definedName name="Page17" localSheetId="0">#REF!</definedName>
    <definedName name="Page17">#REF!</definedName>
    <definedName name="Page18" localSheetId="1">#REF!</definedName>
    <definedName name="Page18" localSheetId="2">#REF!</definedName>
    <definedName name="Page18" localSheetId="0">#REF!</definedName>
    <definedName name="Page18">#REF!</definedName>
    <definedName name="Page20" localSheetId="1">#REF!</definedName>
    <definedName name="Page20" localSheetId="2">#REF!</definedName>
    <definedName name="Page20">#REF!</definedName>
    <definedName name="page7" localSheetId="1">#REF!</definedName>
    <definedName name="page7" localSheetId="2">#REF!</definedName>
    <definedName name="page7">#REF!</definedName>
    <definedName name="Page7a" localSheetId="1">#REF!</definedName>
    <definedName name="Page7a" localSheetId="2">#REF!</definedName>
    <definedName name="Page7a" localSheetId="0">#REF!</definedName>
    <definedName name="Page7a">#REF!</definedName>
    <definedName name="pBatchID" localSheetId="1">#REF!</definedName>
    <definedName name="pBatchID" localSheetId="2">#REF!</definedName>
    <definedName name="pBatchID" localSheetId="0">#REF!</definedName>
    <definedName name="pBatchID">#REF!</definedName>
    <definedName name="pBillArea" localSheetId="1">#REF!</definedName>
    <definedName name="pBillArea" localSheetId="2">#REF!</definedName>
    <definedName name="pBillArea" localSheetId="0">#REF!</definedName>
    <definedName name="pBillArea">#REF!</definedName>
    <definedName name="pBillCycle" localSheetId="1">#REF!</definedName>
    <definedName name="pBillCycle" localSheetId="2">#REF!</definedName>
    <definedName name="pBillCycle" localSheetId="0">#REF!</definedName>
    <definedName name="pBillCycle">#REF!</definedName>
    <definedName name="pCategory" localSheetId="1">#REF!</definedName>
    <definedName name="pCategory" localSheetId="2">#REF!</definedName>
    <definedName name="pCategory" localSheetId="0">#REF!</definedName>
    <definedName name="pCategory">#REF!</definedName>
    <definedName name="pCompany" localSheetId="1">#REF!</definedName>
    <definedName name="pCompany" localSheetId="2">#REF!</definedName>
    <definedName name="pCompany" localSheetId="0">#REF!</definedName>
    <definedName name="pCompany">#REF!</definedName>
    <definedName name="pCustomerNumber" localSheetId="1">#REF!</definedName>
    <definedName name="pCustomerNumber" localSheetId="2">#REF!</definedName>
    <definedName name="pCustomerNumber" localSheetId="0">#REF!</definedName>
    <definedName name="pCustomerNumber">#REF!</definedName>
    <definedName name="pDatabase" localSheetId="1">#REF!</definedName>
    <definedName name="pDatabase" localSheetId="2">#REF!</definedName>
    <definedName name="pDatabase" localSheetId="0">#REF!</definedName>
    <definedName name="pDatabase">#REF!</definedName>
    <definedName name="PED">#REF!</definedName>
    <definedName name="PendingStatus">#REF!</definedName>
    <definedName name="pEndPostDate" localSheetId="1">#REF!</definedName>
    <definedName name="pEndPostDate" localSheetId="2">#REF!</definedName>
    <definedName name="pEndPostDate" localSheetId="0">#REF!</definedName>
    <definedName name="pEndPostDate">#REF!</definedName>
    <definedName name="PER">#REF!</definedName>
    <definedName name="Period" localSheetId="1">#REF!</definedName>
    <definedName name="Period" localSheetId="2">#REF!</definedName>
    <definedName name="Period" localSheetId="0">#REF!</definedName>
    <definedName name="Period">#REF!</definedName>
    <definedName name="Pfd_weighted" localSheetId="1">'LG BRG - MSW'!$U$56</definedName>
    <definedName name="Pfd_weighted" localSheetId="2">'LG BRG - Recycle'!$U$56</definedName>
    <definedName name="PFREVB4">#REF!</definedName>
    <definedName name="PLANT1">#REF!</definedName>
    <definedName name="PLANT2">#REF!</definedName>
    <definedName name="PLANTAFTER">#REF!</definedName>
    <definedName name="PLANTAFTER01">#REF!</definedName>
    <definedName name="pMonth" localSheetId="1">#REF!</definedName>
    <definedName name="pMonth" localSheetId="2">#REF!</definedName>
    <definedName name="pMonth" localSheetId="0">#REF!</definedName>
    <definedName name="pMonth">#REF!</definedName>
    <definedName name="POApprPend">#REF!</definedName>
    <definedName name="POBudUnbud">#REF!</definedName>
    <definedName name="pOnlyShowLastTranx" localSheetId="1">#REF!</definedName>
    <definedName name="pOnlyShowLastTranx" localSheetId="2">#REF!</definedName>
    <definedName name="pOnlyShowLastTranx" localSheetId="0">#REF!</definedName>
    <definedName name="pOnlyShowLastTranx">#REF!</definedName>
    <definedName name="POSeqNum">#REF!</definedName>
    <definedName name="Posting" localSheetId="1">#REF!</definedName>
    <definedName name="Posting" localSheetId="2">#REF!</definedName>
    <definedName name="Posting" localSheetId="0">#REF!</definedName>
    <definedName name="Posting">#REF!</definedName>
    <definedName name="POTruckSubTypeLookup">#REF!</definedName>
    <definedName name="ppemeasurement">#REF!</definedName>
    <definedName name="Prepare">#REF!</definedName>
    <definedName name="primtbl">#REF!</definedName>
    <definedName name="_xlnm.Print_Area" localSheetId="1">'LG BRG - MSW'!$F$2:$N$49</definedName>
    <definedName name="_xlnm.Print_Area" localSheetId="2">'LG BRG - Recycle'!$F$2:$N$49</definedName>
    <definedName name="_xlnm.Print_Area" localSheetId="0">'Rate Sheet'!$A$1:$I$309</definedName>
    <definedName name="_xlnm.Print_Area">#REF!</definedName>
    <definedName name="Print_Area_MI" localSheetId="1">#REF!</definedName>
    <definedName name="Print_Area_MI" localSheetId="2">#REF!</definedName>
    <definedName name="Print_Area_MI" localSheetId="0">#REF!</definedName>
    <definedName name="Print_Area_MI">#REF!</definedName>
    <definedName name="Print_Area_MIc" localSheetId="1">#REF!</definedName>
    <definedName name="Print_Area_MIc" localSheetId="2">#REF!</definedName>
    <definedName name="Print_Area_MIc">#REF!</definedName>
    <definedName name="Print_Area1" localSheetId="1">#REF!</definedName>
    <definedName name="Print_Area1" localSheetId="2">#REF!</definedName>
    <definedName name="Print_Area1" localSheetId="0">#REF!</definedName>
    <definedName name="Print_Area1">#REF!</definedName>
    <definedName name="Print_Area11">#REF!</definedName>
    <definedName name="Print_Area2" localSheetId="1">#REF!</definedName>
    <definedName name="Print_Area2" localSheetId="2">#REF!</definedName>
    <definedName name="Print_Area2" localSheetId="0">#REF!</definedName>
    <definedName name="Print_Area2">#REF!</definedName>
    <definedName name="Print_Area3" localSheetId="1">#REF!</definedName>
    <definedName name="Print_Area3" localSheetId="2">#REF!</definedName>
    <definedName name="Print_Area3" localSheetId="0">#REF!</definedName>
    <definedName name="Print_Area3">#REF!</definedName>
    <definedName name="Print_Area5" localSheetId="1">#REF!</definedName>
    <definedName name="Print_Area5" localSheetId="2">#REF!</definedName>
    <definedName name="Print_Area5" localSheetId="0">#REF!</definedName>
    <definedName name="Print_Area5">#REF!</definedName>
    <definedName name="_xlnm.Print_Titles" localSheetId="0">'Rate Sheet'!$1:$9</definedName>
    <definedName name="_xlnm.Print_Titles">#REF!</definedName>
    <definedName name="Print_Titles_MI">#REF!</definedName>
    <definedName name="Print1" localSheetId="1">#REF!</definedName>
    <definedName name="Print1" localSheetId="2">#REF!</definedName>
    <definedName name="Print1" localSheetId="0">#REF!</definedName>
    <definedName name="Print1">#REF!</definedName>
    <definedName name="Print2" localSheetId="1">#REF!</definedName>
    <definedName name="Print2" localSheetId="2">#REF!</definedName>
    <definedName name="Print2" localSheetId="0">#REF!</definedName>
    <definedName name="Print2">#REF!</definedName>
    <definedName name="Print5" localSheetId="1">#REF!</definedName>
    <definedName name="Print5" localSheetId="2">#REF!</definedName>
    <definedName name="Print5" localSheetId="0">#REF!</definedName>
    <definedName name="Print5">#REF!</definedName>
    <definedName name="Prnit_Range">#REF!</definedName>
    <definedName name="ProRev" localSheetId="0">#REF!</definedName>
    <definedName name="ProRev">#REF!</definedName>
    <definedName name="ProRev_com" localSheetId="0">#REF!</definedName>
    <definedName name="ProRev_com">#REF!</definedName>
    <definedName name="ProRev_mfr" localSheetId="0">#REF!</definedName>
    <definedName name="ProRev_mfr">#REF!</definedName>
    <definedName name="ProRev_ro" localSheetId="0">#REF!</definedName>
    <definedName name="ProRev_ro">#REF!</definedName>
    <definedName name="ProRev_rr" localSheetId="0">#REF!</definedName>
    <definedName name="ProRev_rr">#REF!</definedName>
    <definedName name="ProRev_yw" localSheetId="0">#REF!</definedName>
    <definedName name="ProRev_yw">#REF!</definedName>
    <definedName name="pServer" localSheetId="1">#REF!</definedName>
    <definedName name="pServer" localSheetId="2">#REF!</definedName>
    <definedName name="pServer" localSheetId="0">#REF!</definedName>
    <definedName name="pServer">#REF!</definedName>
    <definedName name="pServiceCode" localSheetId="1">#REF!</definedName>
    <definedName name="pServiceCode" localSheetId="2">#REF!</definedName>
    <definedName name="pServiceCode" localSheetId="0">#REF!</definedName>
    <definedName name="pServiceCode">#REF!</definedName>
    <definedName name="pShowAllUnposted" localSheetId="1">#REF!</definedName>
    <definedName name="pShowAllUnposted" localSheetId="2">#REF!</definedName>
    <definedName name="pShowAllUnposted" localSheetId="0">#REF!</definedName>
    <definedName name="pShowAllUnposted">#REF!</definedName>
    <definedName name="pShowCustomerDetail" localSheetId="1">#REF!</definedName>
    <definedName name="pShowCustomerDetail" localSheetId="2">#REF!</definedName>
    <definedName name="pShowCustomerDetail" localSheetId="0">#REF!</definedName>
    <definedName name="pShowCustomerDetail">#REF!</definedName>
    <definedName name="pSortOption" localSheetId="1">#REF!</definedName>
    <definedName name="pSortOption" localSheetId="2">#REF!</definedName>
    <definedName name="pSortOption" localSheetId="0">#REF!</definedName>
    <definedName name="pSortOption">#REF!</definedName>
    <definedName name="pStartPostDate" localSheetId="1">#REF!</definedName>
    <definedName name="pStartPostDate" localSheetId="2">#REF!</definedName>
    <definedName name="pStartPostDate" localSheetId="0">#REF!</definedName>
    <definedName name="pStartPostDate">#REF!</definedName>
    <definedName name="pTransType" localSheetId="1">#REF!</definedName>
    <definedName name="pTransType" localSheetId="2">#REF!</definedName>
    <definedName name="pTransType" localSheetId="0">#REF!</definedName>
    <definedName name="pTransType">#REF!</definedName>
    <definedName name="PYear">#REF!</definedName>
    <definedName name="QtrValue">#REF!</definedName>
    <definedName name="Quarter_Budget">#REF!</definedName>
    <definedName name="Quarter_Month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ange">#REF!</definedName>
    <definedName name="Range1">#REF!</definedName>
    <definedName name="RBPROFORMAS">#REF!</definedName>
    <definedName name="RBU">#REF!</definedName>
    <definedName name="RCW_81.04.080">#N/A</definedName>
    <definedName name="RECAP">#REF!</definedName>
    <definedName name="RECAP2">#REF!</definedName>
    <definedName name="ReconMonth">#REF!</definedName>
    <definedName name="_xlnm.Recorder">#REF!</definedName>
    <definedName name="RecyDisposal">#N/A</definedName>
    <definedName name="Reg_Cust_Billed_Percent" localSheetId="0">#REF!</definedName>
    <definedName name="Reg_Cust_Billed_Percent">#REF!</definedName>
    <definedName name="Reg_Cust_Percent" localSheetId="0">#REF!</definedName>
    <definedName name="Reg_Cust_Percent">#REF!</definedName>
    <definedName name="Reg_Drive_Percent" localSheetId="0">#REF!</definedName>
    <definedName name="Reg_Drive_Percent">#REF!</definedName>
    <definedName name="Reg_Haul_Rev_Percent" localSheetId="0">#REF!</definedName>
    <definedName name="Reg_Haul_Rev_Percent">#REF!</definedName>
    <definedName name="Reg_Lab_Percent" localSheetId="0">#REF!</definedName>
    <definedName name="Reg_Lab_Percent">#REF!</definedName>
    <definedName name="Reg_Steel_Cont_Percent" localSheetId="0">#REF!</definedName>
    <definedName name="Reg_Steel_Cont_Percent">#REF!</definedName>
    <definedName name="regDebt_weighted" localSheetId="1">'LG BRG - MSW'!$U$55</definedName>
    <definedName name="regDebt_weighted" localSheetId="2">'LG BRG - Recycle'!$U$55</definedName>
    <definedName name="Region">#REF!</definedName>
    <definedName name="RegionSignOffReq">#REF!</definedName>
    <definedName name="RegionSignOffStatus">#REF!</definedName>
    <definedName name="RegulatedIS" localSheetId="0">#REF!</definedName>
    <definedName name="RegulatedIS">#REF!</definedName>
    <definedName name="RelatedSalary">#N/A</definedName>
    <definedName name="report_type">#REF!</definedName>
    <definedName name="ReportFormula">#REF!</definedName>
    <definedName name="ReportFormulas">#REF!</definedName>
    <definedName name="Reporting_Jurisdiction">#REF!</definedName>
    <definedName name="ReportNames">#REF!</definedName>
    <definedName name="ReportType">#REF!</definedName>
    <definedName name="ReportVersion">#REF!</definedName>
    <definedName name="residential">#REF!</definedName>
    <definedName name="ReslStaffPriceOut" localSheetId="1">#REF!</definedName>
    <definedName name="ReslStaffPriceOut" localSheetId="2">#REF!</definedName>
    <definedName name="ReslStaffPriceOut" localSheetId="0">#REF!</definedName>
    <definedName name="ReslStaffPriceOut">#REF!</definedName>
    <definedName name="RetainedEarnings" localSheetId="1">#REF!</definedName>
    <definedName name="RetainedEarnings" localSheetId="2">#REF!</definedName>
    <definedName name="RetainedEarnings" localSheetId="0">#REF!</definedName>
    <definedName name="RetainedEarnings">#REF!</definedName>
    <definedName name="RevCust" localSheetId="1">#REF!</definedName>
    <definedName name="RevCust" localSheetId="2">#REF!</definedName>
    <definedName name="RevCust" localSheetId="0">#REF!</definedName>
    <definedName name="RevCust">#REF!</definedName>
    <definedName name="RevCustomer" localSheetId="1">#REF!</definedName>
    <definedName name="RevCustomer" localSheetId="2">#REF!</definedName>
    <definedName name="RevCustomer" localSheetId="0">#REF!</definedName>
    <definedName name="RevCustomer">#REF!</definedName>
    <definedName name="REVDETAIL">#REF!</definedName>
    <definedName name="Revenue" localSheetId="1">'LG BRG - MSW'!$I$7</definedName>
    <definedName name="Revenue" localSheetId="2">'LG BRG - Recycle'!$I$7</definedName>
    <definedName name="Revenue">#REF!</definedName>
    <definedName name="RevenuePF1">#REF!</definedName>
    <definedName name="Reverse">#REF!</definedName>
    <definedName name="ReviewByMe">#REF!</definedName>
    <definedName name="REVMAT">#REF!</definedName>
    <definedName name="RID">#REF!</definedName>
    <definedName name="rngBodyText">#REF!</definedName>
    <definedName name="RngBottomRight">#REF!</definedName>
    <definedName name="rngColDelChars">#REF!</definedName>
    <definedName name="rngColumnDelete">#REF!</definedName>
    <definedName name="rngCreateLog">#REF!</definedName>
    <definedName name="rngDeleteColumns">#REF!</definedName>
    <definedName name="rngDeleteRows">#REF!</definedName>
    <definedName name="rngEmail">#REF!</definedName>
    <definedName name="rngFileDir">#REF!</definedName>
    <definedName name="rngFileFormat">#REF!</definedName>
    <definedName name="rngFileName">#REF!</definedName>
    <definedName name="rngFilePassword">#REF!</definedName>
    <definedName name="rngPassword">#REF!</definedName>
    <definedName name="rngPasswordProtect">#REF!</definedName>
    <definedName name="rngPrint">#REF!</definedName>
    <definedName name="rngRetainFormulas">#REF!</definedName>
    <definedName name="rngSaveFile">#REF!</definedName>
    <definedName name="rngSourceTab">#REF!</definedName>
    <definedName name="rngSubjectLine">#REF!</definedName>
    <definedName name="rngTabName">#REF!</definedName>
    <definedName name="rngTopLeft">#REF!</definedName>
    <definedName name="ROCE">#REF!,#REF!</definedName>
    <definedName name="rolloff1">#REF!</definedName>
    <definedName name="rolloff2">#REF!</definedName>
    <definedName name="rolloff3">#REF!</definedName>
    <definedName name="rolloff4">#REF!</definedName>
    <definedName name="rolloff5">#REF!</definedName>
    <definedName name="ROW_SUPRESS">#REF!</definedName>
    <definedName name="rowgroup">#REF!</definedName>
    <definedName name="rowsegment">#REF!</definedName>
    <definedName name="RptEmailAddress">#REF!</definedName>
    <definedName name="rtr">#REF!</definedName>
    <definedName name="RTT">#REF!</definedName>
    <definedName name="sale">#REF!</definedName>
    <definedName name="SALES_TAX_RETURN">#REF!</definedName>
    <definedName name="Sbst">#REF!</definedName>
    <definedName name="SCN">#REF!</definedName>
    <definedName name="seffasfasdfsd" localSheetId="1">#REF!</definedName>
    <definedName name="seffasfasdfsd" localSheetId="2">#REF!</definedName>
    <definedName name="seffasfasdfsd">#REF!</definedName>
    <definedName name="SEPARATE">#REF!</definedName>
    <definedName name="Separation">#REF!</definedName>
    <definedName name="Sequential_Group">#REF!</definedName>
    <definedName name="Sequential_Segment">#REF!</definedName>
    <definedName name="Sequential_sort">#REF!</definedName>
    <definedName name="Setting_DeprFactor">#REF!</definedName>
    <definedName name="Setting_LFDeplUnitAcct">#REF!</definedName>
    <definedName name="Setting_LFUnitCost">#REF!</definedName>
    <definedName name="Setting_LFUnitCostNY">#REF!</definedName>
    <definedName name="Setting_LFUnitRow">#REF!</definedName>
    <definedName name="SFD">#REF!</definedName>
    <definedName name="SFD_BU">#REF!</definedName>
    <definedName name="SFD_DEPTID">#REF!</definedName>
    <definedName name="SFD_OP">#REF!</definedName>
    <definedName name="SFD_PROD">#REF!</definedName>
    <definedName name="SFD_PROJ">#REF!</definedName>
    <definedName name="sfdbusunit">#REF!</definedName>
    <definedName name="SFV">#REF!</definedName>
    <definedName name="SFV_BU">#REF!</definedName>
    <definedName name="SFV_CUR">#REF!</definedName>
    <definedName name="SFV_CUR1">#REF!</definedName>
    <definedName name="SFV_CUR5">#REF!</definedName>
    <definedName name="SFV_DEPTID">#REF!</definedName>
    <definedName name="SFV_OP">#REF!</definedName>
    <definedName name="SFV_PROD">#REF!</definedName>
    <definedName name="SFV_PROJ">#REF!</definedName>
    <definedName name="ShowHundreds">#REF!</definedName>
    <definedName name="ShowSaved">#REF!</definedName>
    <definedName name="SIC_Table" localSheetId="1">#REF!</definedName>
    <definedName name="SIC_Table" localSheetId="2">#REF!</definedName>
    <definedName name="SIC_Table" localSheetId="0">#REF!</definedName>
    <definedName name="SIC_Table">#REF!</definedName>
    <definedName name="sics">#REF!</definedName>
    <definedName name="slope" localSheetId="1">'LG BRG - MSW'!$Y$57</definedName>
    <definedName name="slope" localSheetId="2">'LG BRG - Recycle'!$Y$57</definedName>
    <definedName name="slope">#REF!</definedName>
    <definedName name="SLOPE1">#REF!</definedName>
    <definedName name="sort">#REF!</definedName>
    <definedName name="Sort1">#REF!</definedName>
    <definedName name="sortcol" localSheetId="1">#REF!</definedName>
    <definedName name="sortcol" localSheetId="2">#REF!</definedName>
    <definedName name="sortcol" localSheetId="0">#REF!</definedName>
    <definedName name="sortcol">#REF!</definedName>
    <definedName name="Source">#REF!</definedName>
    <definedName name="SPWS_WBID">"115966228744984"</definedName>
    <definedName name="sSRCDate" localSheetId="0">#REF!</definedName>
    <definedName name="sSRCDate">#REF!</definedName>
    <definedName name="start">#REF!</definedName>
    <definedName name="StartOfEntry">#REF!</definedName>
    <definedName name="StartPoint">#REF!</definedName>
    <definedName name="Stop">#REF!</definedName>
    <definedName name="SubSystem" localSheetId="1">#REF!</definedName>
    <definedName name="SubSystem" localSheetId="2">#REF!</definedName>
    <definedName name="SubSystem" localSheetId="0">#REF!</definedName>
    <definedName name="SubSystem">#REF!</definedName>
    <definedName name="SubSystems" localSheetId="1">#REF!</definedName>
    <definedName name="SubSystems" localSheetId="2">#REF!</definedName>
    <definedName name="SubSystems" localSheetId="0">#REF!</definedName>
    <definedName name="SubSystems">#REF!</definedName>
    <definedName name="SubtypeToTruckType">#REF!</definedName>
    <definedName name="SUMM">#REF!</definedName>
    <definedName name="SUMMARY">#REF!</definedName>
    <definedName name="Summary_DistrictName">#REF!</definedName>
    <definedName name="Summary_DistrictNo">#REF!</definedName>
    <definedName name="SUMMARY01">#REF!</definedName>
    <definedName name="SUMMARY1">#REF!</definedName>
    <definedName name="Supplemental_filter">#REF!</definedName>
    <definedName name="SWDisposal">#N/A</definedName>
    <definedName name="Syst">#REF!</definedName>
    <definedName name="System" localSheetId="1">#REF!</definedName>
    <definedName name="System" localSheetId="2">#REF!</definedName>
    <definedName name="System" localSheetId="0">#REF!</definedName>
    <definedName name="System">#REF!</definedName>
    <definedName name="System_1">#REF!</definedName>
    <definedName name="Systems" localSheetId="1">#REF!</definedName>
    <definedName name="Systems" localSheetId="2">#REF!</definedName>
    <definedName name="Systems" localSheetId="0">#REF!</definedName>
    <definedName name="Systems">#REF!</definedName>
    <definedName name="Table_SIC" localSheetId="1">#REF!</definedName>
    <definedName name="Table_SIC" localSheetId="2">#REF!</definedName>
    <definedName name="Table_SIC" localSheetId="0">#REF!</definedName>
    <definedName name="Table_SIC">#REF!</definedName>
    <definedName name="TargetMonths">#REF!</definedName>
    <definedName name="taxrate" localSheetId="1">'LG BRG - MSW'!$J$38</definedName>
    <definedName name="taxrate" localSheetId="2">'LG BRG - Recycle'!$J$38</definedName>
    <definedName name="TemplateEnd" localSheetId="1">#REF!</definedName>
    <definedName name="TemplateEnd" localSheetId="2">#REF!</definedName>
    <definedName name="TemplateEnd" localSheetId="0">#REF!</definedName>
    <definedName name="TemplateEnd">#REF!</definedName>
    <definedName name="TemplateStart" localSheetId="1">#REF!</definedName>
    <definedName name="TemplateStart" localSheetId="2">#REF!</definedName>
    <definedName name="TemplateStart" localSheetId="0">#REF!</definedName>
    <definedName name="TemplateStart">#REF!</definedName>
    <definedName name="test">#REF!</definedName>
    <definedName name="TheTable" localSheetId="1">#REF!</definedName>
    <definedName name="TheTable" localSheetId="2">#REF!</definedName>
    <definedName name="TheTable" localSheetId="0">#REF!</definedName>
    <definedName name="TheTable">#REF!</definedName>
    <definedName name="TheTableOLD" localSheetId="1">#REF!</definedName>
    <definedName name="TheTableOLD" localSheetId="2">#REF!</definedName>
    <definedName name="TheTableOLD" localSheetId="0">#REF!</definedName>
    <definedName name="TheTableOLD">#REF!</definedName>
    <definedName name="Thousands1">#REF!</definedName>
    <definedName name="Thousands2">#REF!</definedName>
    <definedName name="Thousands3">#REF!</definedName>
    <definedName name="Thousands4">#REF!</definedName>
    <definedName name="timeseries">#REF!</definedName>
    <definedName name="Title2">#REF!</definedName>
    <definedName name="ToMonth" localSheetId="1">#REF!</definedName>
    <definedName name="ToMonth" localSheetId="2">#REF!</definedName>
    <definedName name="ToMonth" localSheetId="0">#REF!</definedName>
    <definedName name="ToMonth">#REF!</definedName>
    <definedName name="Tons" localSheetId="1">#REF!</definedName>
    <definedName name="Tons" localSheetId="2">#REF!</definedName>
    <definedName name="Tons" localSheetId="0">#REF!</definedName>
    <definedName name="Tons">#REF!</definedName>
    <definedName name="TOP">#REF!</definedName>
    <definedName name="TOT">#REF!</definedName>
    <definedName name="Total_Comm" localSheetId="0">#REF!</definedName>
    <definedName name="Total_Comm">#REF!</definedName>
    <definedName name="Total_DB" localSheetId="0">#REF!</definedName>
    <definedName name="Total_DB">#REF!</definedName>
    <definedName name="Total_Interest">#REF!</definedName>
    <definedName name="Total_Resi" localSheetId="0">#REF!</definedName>
    <definedName name="Total_Resi">#REF!</definedName>
    <definedName name="Totalcapacity">#REF!</definedName>
    <definedName name="TotalYards">#REF!</definedName>
    <definedName name="TOTCONT" localSheetId="0">#REF!</definedName>
    <definedName name="TOTCONT">#REF!</definedName>
    <definedName name="TOTCONTCONT">#REF!</definedName>
    <definedName name="TOTCONTCUST">#REF!</definedName>
    <definedName name="TOTCONTDH">#REF!</definedName>
    <definedName name="TOTCONTREV">#REF!</definedName>
    <definedName name="TOTCONTTH">#REF!</definedName>
    <definedName name="TOTCRECCONT" localSheetId="0">#REF!</definedName>
    <definedName name="TOTCRECCONT">#REF!</definedName>
    <definedName name="TOTCRECCUST" localSheetId="1">#REF!</definedName>
    <definedName name="TOTCRECCUST" localSheetId="2">#REF!</definedName>
    <definedName name="TOTCRECCUST" localSheetId="0">#REF!</definedName>
    <definedName name="TOTCRECCUST">#REF!</definedName>
    <definedName name="TOTCRECDH" localSheetId="1">#REF!</definedName>
    <definedName name="TOTCRECDH" localSheetId="2">#REF!</definedName>
    <definedName name="TOTCRECDH" localSheetId="0">#REF!</definedName>
    <definedName name="TOTCRECDH">#REF!</definedName>
    <definedName name="TOTCRECREV" localSheetId="1">#REF!</definedName>
    <definedName name="TOTCRECREV" localSheetId="2">#REF!</definedName>
    <definedName name="TOTCRECREV" localSheetId="0">#REF!</definedName>
    <definedName name="TOTCRECREV">#REF!</definedName>
    <definedName name="TOTCRECTDEP" localSheetId="1">#REF!</definedName>
    <definedName name="TOTCRECTDEP" localSheetId="2">#REF!</definedName>
    <definedName name="TOTCRECTDEP" localSheetId="0">#REF!</definedName>
    <definedName name="TOTCRECTDEP">#REF!</definedName>
    <definedName name="TOTCRECTH" localSheetId="0">#REF!</definedName>
    <definedName name="TOTCRECTH">#REF!</definedName>
    <definedName name="TOTCRECTV" localSheetId="1">#REF!</definedName>
    <definedName name="TOTCRECTV" localSheetId="2">#REF!</definedName>
    <definedName name="TOTCRECTV" localSheetId="0">#REF!</definedName>
    <definedName name="TOTCRECTV">#REF!</definedName>
    <definedName name="TOTCUST" localSheetId="1">#REF!</definedName>
    <definedName name="TOTCUST" localSheetId="2">#REF!</definedName>
    <definedName name="TOTCUST" localSheetId="0">#REF!</definedName>
    <definedName name="TOTCUST">#REF!</definedName>
    <definedName name="TOTDBCONT" localSheetId="1">#REF!</definedName>
    <definedName name="TOTDBCONT" localSheetId="2">#REF!</definedName>
    <definedName name="TOTDBCONT" localSheetId="0">#REF!</definedName>
    <definedName name="TOTDBCONT">#REF!</definedName>
    <definedName name="TOTDBCUST" localSheetId="1">#REF!</definedName>
    <definedName name="TOTDBCUST" localSheetId="2">#REF!</definedName>
    <definedName name="TOTDBCUST" localSheetId="0">#REF!</definedName>
    <definedName name="TOTDBCUST">#REF!</definedName>
    <definedName name="TOTDBDH" localSheetId="1">#REF!</definedName>
    <definedName name="TOTDBDH" localSheetId="2">#REF!</definedName>
    <definedName name="TOTDBDH" localSheetId="0">#REF!</definedName>
    <definedName name="TOTDBDH">#REF!</definedName>
    <definedName name="TOTDBREV" localSheetId="1">#REF!</definedName>
    <definedName name="TOTDBREV" localSheetId="2">#REF!</definedName>
    <definedName name="TOTDBREV" localSheetId="0">#REF!</definedName>
    <definedName name="TOTDBREV">#REF!</definedName>
    <definedName name="TOTDBTDEP" localSheetId="1">#REF!</definedName>
    <definedName name="TOTDBTDEP" localSheetId="2">#REF!</definedName>
    <definedName name="TOTDBTDEP" localSheetId="0">#REF!</definedName>
    <definedName name="TOTDBTDEP">#REF!</definedName>
    <definedName name="TOTDBTH" localSheetId="1">#REF!</definedName>
    <definedName name="TOTDBTH" localSheetId="2">#REF!</definedName>
    <definedName name="TOTDBTH" localSheetId="0">#REF!</definedName>
    <definedName name="TOTDBTH">#REF!</definedName>
    <definedName name="TOTDBTV" localSheetId="1">#REF!</definedName>
    <definedName name="TOTDBTV" localSheetId="2">#REF!</definedName>
    <definedName name="TOTDBTV" localSheetId="0">#REF!</definedName>
    <definedName name="TOTDBTV">#REF!</definedName>
    <definedName name="TOTDEBCONT" localSheetId="1">#REF!</definedName>
    <definedName name="TOTDEBCONT" localSheetId="2">#REF!</definedName>
    <definedName name="TOTDEBCONT" localSheetId="0">#REF!</definedName>
    <definedName name="TOTDEBCONT">#REF!</definedName>
    <definedName name="TOTDEBCUST" localSheetId="1">#REF!</definedName>
    <definedName name="TOTDEBCUST" localSheetId="2">#REF!</definedName>
    <definedName name="TOTDEBCUST" localSheetId="0">#REF!</definedName>
    <definedName name="TOTDEBCUST">#REF!</definedName>
    <definedName name="TOTDEBDH" localSheetId="1">#REF!</definedName>
    <definedName name="TOTDEBDH" localSheetId="2">#REF!</definedName>
    <definedName name="TOTDEBDH" localSheetId="0">#REF!</definedName>
    <definedName name="TOTDEBDH">#REF!</definedName>
    <definedName name="TOTDEBREV" localSheetId="1">#REF!</definedName>
    <definedName name="TOTDEBREV" localSheetId="2">#REF!</definedName>
    <definedName name="TOTDEBREV" localSheetId="0">#REF!</definedName>
    <definedName name="TOTDEBREV">#REF!</definedName>
    <definedName name="TOTDEBTH" localSheetId="0">#REF!</definedName>
    <definedName name="TOTDEBTH">#REF!</definedName>
    <definedName name="TOTDH" localSheetId="1">#REF!</definedName>
    <definedName name="TOTDH" localSheetId="2">#REF!</definedName>
    <definedName name="TOTDH" localSheetId="0">#REF!</definedName>
    <definedName name="TOTDH">#REF!</definedName>
    <definedName name="TOTFELCONT" localSheetId="1">#REF!</definedName>
    <definedName name="TOTFELCONT" localSheetId="2">#REF!</definedName>
    <definedName name="TOTFELCONT" localSheetId="0">#REF!</definedName>
    <definedName name="TOTFELCONT">#REF!</definedName>
    <definedName name="TOTFELCUST" localSheetId="1">#REF!</definedName>
    <definedName name="TOTFELCUST" localSheetId="2">#REF!</definedName>
    <definedName name="TOTFELCUST" localSheetId="0">#REF!</definedName>
    <definedName name="TOTFELCUST">#REF!</definedName>
    <definedName name="TOTFELDH" localSheetId="1">#REF!</definedName>
    <definedName name="TOTFELDH" localSheetId="2">#REF!</definedName>
    <definedName name="TOTFELDH" localSheetId="0">#REF!</definedName>
    <definedName name="TOTFELDH">#REF!</definedName>
    <definedName name="TOTFELREV" localSheetId="1">#REF!</definedName>
    <definedName name="TOTFELREV" localSheetId="2">#REF!</definedName>
    <definedName name="TOTFELREV" localSheetId="0">#REF!</definedName>
    <definedName name="TOTFELREV">#REF!</definedName>
    <definedName name="TOTFELTDEP" localSheetId="1">#REF!</definedName>
    <definedName name="TOTFELTDEP" localSheetId="2">#REF!</definedName>
    <definedName name="TOTFELTDEP" localSheetId="0">#REF!</definedName>
    <definedName name="TOTFELTDEP">#REF!</definedName>
    <definedName name="TOTFELTH" localSheetId="1">#REF!</definedName>
    <definedName name="TOTFELTH" localSheetId="2">#REF!</definedName>
    <definedName name="TOTFELTH" localSheetId="0">#REF!</definedName>
    <definedName name="TOTFELTH">#REF!</definedName>
    <definedName name="TOTFELTV" localSheetId="1">#REF!</definedName>
    <definedName name="TOTFELTV" localSheetId="2">#REF!</definedName>
    <definedName name="TOTFELTV" localSheetId="0">#REF!</definedName>
    <definedName name="TOTFELTV">#REF!</definedName>
    <definedName name="TOTRESCONT" localSheetId="1">#REF!</definedName>
    <definedName name="TOTRESCONT" localSheetId="2">#REF!</definedName>
    <definedName name="TOTRESCONT" localSheetId="0">#REF!</definedName>
    <definedName name="TOTRESCONT">#REF!</definedName>
    <definedName name="TOTRESCUST" localSheetId="1">#REF!</definedName>
    <definedName name="TOTRESCUST" localSheetId="2">#REF!</definedName>
    <definedName name="TOTRESCUST" localSheetId="0">#REF!</definedName>
    <definedName name="TOTRESCUST">#REF!</definedName>
    <definedName name="TOTRESDH" localSheetId="1">#REF!</definedName>
    <definedName name="TOTRESDH" localSheetId="2">#REF!</definedName>
    <definedName name="TOTRESDH" localSheetId="0">#REF!</definedName>
    <definedName name="TOTRESDH">#REF!</definedName>
    <definedName name="TOTRESRCONT" localSheetId="1">#REF!</definedName>
    <definedName name="TOTRESRCONT" localSheetId="2">#REF!</definedName>
    <definedName name="TOTRESRCONT" localSheetId="0">#REF!</definedName>
    <definedName name="TOTRESRCONT">#REF!</definedName>
    <definedName name="TOTRESRCUST" localSheetId="1">#REF!</definedName>
    <definedName name="TOTRESRCUST" localSheetId="2">#REF!</definedName>
    <definedName name="TOTRESRCUST" localSheetId="0">#REF!</definedName>
    <definedName name="TOTRESRCUST">#REF!</definedName>
    <definedName name="TOTRESRDH" localSheetId="1">#REF!</definedName>
    <definedName name="TOTRESRDH" localSheetId="2">#REF!</definedName>
    <definedName name="TOTRESRDH" localSheetId="0">#REF!</definedName>
    <definedName name="TOTRESRDH">#REF!</definedName>
    <definedName name="TOTRESREV" localSheetId="1">#REF!</definedName>
    <definedName name="TOTRESREV" localSheetId="2">#REF!</definedName>
    <definedName name="TOTRESREV" localSheetId="0">#REF!</definedName>
    <definedName name="TOTRESREV">#REF!</definedName>
    <definedName name="TOTRESRREV" localSheetId="1">#REF!</definedName>
    <definedName name="TOTRESRREV" localSheetId="2">#REF!</definedName>
    <definedName name="TOTRESRREV" localSheetId="0">#REF!</definedName>
    <definedName name="TOTRESRREV">#REF!</definedName>
    <definedName name="TOTRESRTDEP" localSheetId="1">#REF!</definedName>
    <definedName name="TOTRESRTDEP" localSheetId="2">#REF!</definedName>
    <definedName name="TOTRESRTDEP" localSheetId="0">#REF!</definedName>
    <definedName name="TOTRESRTDEP">#REF!</definedName>
    <definedName name="TOTRESRTH" localSheetId="1">#REF!</definedName>
    <definedName name="TOTRESRTH" localSheetId="2">#REF!</definedName>
    <definedName name="TOTRESRTH" localSheetId="0">#REF!</definedName>
    <definedName name="TOTRESRTH">#REF!</definedName>
    <definedName name="TOTRESRTV" localSheetId="1">#REF!</definedName>
    <definedName name="TOTRESRTV" localSheetId="2">#REF!</definedName>
    <definedName name="TOTRESRTV" localSheetId="0">#REF!</definedName>
    <definedName name="TOTRESRTV">#REF!</definedName>
    <definedName name="TOTRESTDEP" localSheetId="1">#REF!</definedName>
    <definedName name="TOTRESTDEP" localSheetId="2">#REF!</definedName>
    <definedName name="TOTRESTDEP" localSheetId="0">#REF!</definedName>
    <definedName name="TOTRESTDEP">#REF!</definedName>
    <definedName name="TOTRESTH" localSheetId="1">#REF!</definedName>
    <definedName name="TOTRESTH" localSheetId="2">#REF!</definedName>
    <definedName name="TOTRESTH" localSheetId="0">#REF!</definedName>
    <definedName name="TOTRESTH">#REF!</definedName>
    <definedName name="TOTRESTV" localSheetId="1">#REF!</definedName>
    <definedName name="TOTRESTV" localSheetId="2">#REF!</definedName>
    <definedName name="TOTRESTV" localSheetId="0">#REF!</definedName>
    <definedName name="TOTRESTV">#REF!</definedName>
    <definedName name="TOTREV" localSheetId="1">#REF!</definedName>
    <definedName name="TOTREV" localSheetId="2">#REF!</definedName>
    <definedName name="TOTREV" localSheetId="0">#REF!</definedName>
    <definedName name="TOTREV">#REF!</definedName>
    <definedName name="TOTTDEP" localSheetId="1">#REF!</definedName>
    <definedName name="TOTTDEP" localSheetId="2">#REF!</definedName>
    <definedName name="TOTTDEP" localSheetId="0">#REF!</definedName>
    <definedName name="TOTTDEP">#REF!</definedName>
    <definedName name="TOTTH" localSheetId="1">#REF!</definedName>
    <definedName name="TOTTH" localSheetId="2">#REF!</definedName>
    <definedName name="TOTTH" localSheetId="0">#REF!</definedName>
    <definedName name="TOTTH">#REF!</definedName>
    <definedName name="TOTTV" localSheetId="1">#REF!</definedName>
    <definedName name="TOTTV" localSheetId="2">#REF!</definedName>
    <definedName name="TOTTV" localSheetId="0">#REF!</definedName>
    <definedName name="TOTTV">#REF!</definedName>
    <definedName name="TOTUNREGCONT">#REF!</definedName>
    <definedName name="TOTUNREGCUST">#REF!</definedName>
    <definedName name="TOTUNREGDH">#REF!</definedName>
    <definedName name="TOTUNREGREV">#REF!</definedName>
    <definedName name="TOTUNREGTH">#REF!</definedName>
    <definedName name="Transactions" localSheetId="1">#REF!</definedName>
    <definedName name="Transactions" localSheetId="2">#REF!</definedName>
    <definedName name="Transactions" localSheetId="0">#REF!</definedName>
    <definedName name="Transactions">#REF!</definedName>
    <definedName name="TYPE">#REF!</definedName>
    <definedName name="TypeSelection">#REF!</definedName>
    <definedName name="UnformattedIS" localSheetId="1">#REF!</definedName>
    <definedName name="UnformattedIS" localSheetId="2">#REF!</definedName>
    <definedName name="UnformattedIS" localSheetId="0">#REF!</definedName>
    <definedName name="UnformattedIS">#REF!</definedName>
    <definedName name="UNID">#REF!</definedName>
    <definedName name="UnregulatedIS" localSheetId="0">#REF!</definedName>
    <definedName name="UnregulatedIS">#REF!</definedName>
    <definedName name="UserTestMode">#REF!</definedName>
    <definedName name="ValidFormats">#REF!</definedName>
    <definedName name="variable">#REF!</definedName>
    <definedName name="Variables">#REF!</definedName>
    <definedName name="VarianceStatus">#REF!</definedName>
    <definedName name="VarianceTolerance">#REF!</definedName>
    <definedName name="VendorCode" localSheetId="1">#REF!</definedName>
    <definedName name="VendorCode" localSheetId="2">#REF!</definedName>
    <definedName name="VendorCode" localSheetId="0">#REF!</definedName>
    <definedName name="VendorCode">#REF!</definedName>
    <definedName name="VendorName">#REF!</definedName>
    <definedName name="Version" localSheetId="1">#REF!</definedName>
    <definedName name="Version" localSheetId="2">#REF!</definedName>
    <definedName name="Version" localSheetId="0">#REF!</definedName>
    <definedName name="Version">#REF!</definedName>
    <definedName name="Waste_Connections__Inc.">#REF!</definedName>
    <definedName name="Waste_Management__Inc.">#REF!</definedName>
    <definedName name="WksInYr" localSheetId="1">#REF!</definedName>
    <definedName name="WksInYr" localSheetId="2">#REF!</definedName>
    <definedName name="WksInYr" localSheetId="0">#REF!</definedName>
    <definedName name="WksInYr">#REF!</definedName>
    <definedName name="WM">#REF!</definedName>
    <definedName name="wrn.PrintReview." localSheetId="0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.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2" localSheetId="0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2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PDXAM" localSheetId="0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PDXAM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nPg1_Pg11." localSheetId="0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wrn.PrnPg1_Pg11.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wrn.test." localSheetId="0" hidden="1">{"Page1",#N/A,TRUE,"SUMM";"Page2",#N/A,TRUE,"Rev";"Page3",#N/A,TRUE,"Dir_Costs"}</definedName>
    <definedName name="wrn.test." hidden="1">{"Page1",#N/A,TRUE,"SUMM";"Page2",#N/A,TRUE,"Rev";"Page3",#N/A,TRUE,"Dir_Costs"}</definedName>
    <definedName name="WTable" localSheetId="1">#REF!</definedName>
    <definedName name="WTable" localSheetId="2">#REF!</definedName>
    <definedName name="WTable" localSheetId="0">#REF!</definedName>
    <definedName name="WTable">#REF!</definedName>
    <definedName name="WTableOld" localSheetId="1">#REF!</definedName>
    <definedName name="WTableOld" localSheetId="2">#REF!</definedName>
    <definedName name="WTableOld" localSheetId="0">#REF!</definedName>
    <definedName name="WTableOld">#REF!</definedName>
    <definedName name="ww" localSheetId="1">#REF!</definedName>
    <definedName name="ww" localSheetId="2">#REF!</definedName>
    <definedName name="ww" localSheetId="0">#REF!</definedName>
    <definedName name="ww">#REF!</definedName>
    <definedName name="x">rank</definedName>
    <definedName name="xperiod">#REF!</definedName>
    <definedName name="xtabin" localSheetId="1">#REF!</definedName>
    <definedName name="xtabin" localSheetId="2">#REF!</definedName>
    <definedName name="xtabin" localSheetId="0">#REF!</definedName>
    <definedName name="xtabin">#REF!</definedName>
    <definedName name="xx" localSheetId="1">#REF!</definedName>
    <definedName name="xx" localSheetId="2">#REF!</definedName>
    <definedName name="xx" localSheetId="0">#REF!</definedName>
    <definedName name="xx">#REF!</definedName>
    <definedName name="xxx" localSheetId="1">#REF!</definedName>
    <definedName name="xxx" localSheetId="2">#REF!</definedName>
    <definedName name="xxx" localSheetId="0">#REF!</definedName>
    <definedName name="xxx">#REF!</definedName>
    <definedName name="xxxx" localSheetId="1">#REF!</definedName>
    <definedName name="xxxx" localSheetId="2">#REF!</definedName>
    <definedName name="xxxx" localSheetId="0">#REF!</definedName>
    <definedName name="xxxx">#REF!</definedName>
    <definedName name="y_inter1" localSheetId="1">'LG BRG - MSW'!$X$54</definedName>
    <definedName name="y_inter1" localSheetId="2">'LG BRG - Recycle'!$X$54</definedName>
    <definedName name="y_inter1">#REF!</definedName>
    <definedName name="y_inter2" localSheetId="1">'LG BRG - MSW'!$X$55</definedName>
    <definedName name="y_inter2" localSheetId="2">'LG BRG - Recycle'!$X$55</definedName>
    <definedName name="y_inter2">#REF!</definedName>
    <definedName name="y_inter3" localSheetId="1">'LG BRG - MSW'!$Z$54</definedName>
    <definedName name="y_inter3" localSheetId="2">'LG BRG - Recycle'!$Z$54</definedName>
    <definedName name="y_inter3">#REF!</definedName>
    <definedName name="y_inter4" localSheetId="1">'LG BRG - MSW'!$Z$55</definedName>
    <definedName name="y_inter4" localSheetId="2">'LG BRG - Recycle'!$Z$55</definedName>
    <definedName name="y_inter4">#REF!</definedName>
    <definedName name="Year" localSheetId="0">#REF!</definedName>
    <definedName name="Year">#REF!</definedName>
    <definedName name="Year_of_Review">#REF!</definedName>
    <definedName name="YEAR4">#REF!</definedName>
    <definedName name="yearlycf">#REF!</definedName>
    <definedName name="yearlypl">#REF!</definedName>
    <definedName name="YearMonth" localSheetId="1">#REF!</definedName>
    <definedName name="YearMonth" localSheetId="2">#REF!</definedName>
    <definedName name="YearMonth" localSheetId="0">#REF!</definedName>
    <definedName name="YearMonth">#REF!</definedName>
    <definedName name="YearMonth_1">#REF!</definedName>
    <definedName name="YearMonthDate">#REF!</definedName>
    <definedName name="YearMonthDate2">#REF!</definedName>
    <definedName name="YearMonthDate3">#REF!</definedName>
    <definedName name="YearMonthDate4">#REF!</definedName>
    <definedName name="YearMonthDate5">#REF!</definedName>
    <definedName name="years">#REF!</definedName>
    <definedName name="yrCur">#REF!</definedName>
    <definedName name="yrNext">#REF!</definedName>
    <definedName name="YTD">#REF!</definedName>
    <definedName name="ytd_95">#REF!</definedName>
    <definedName name="YWMedWasteDisp">#N/A</definedName>
    <definedName name="yy" localSheetId="1">#REF!</definedName>
    <definedName name="yy" localSheetId="2">#REF!</definedName>
    <definedName name="yy" localSheetId="0">#REF!</definedName>
    <definedName name="yy">#REF!</definedName>
    <definedName name="Zero_Format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3" i="3" l="1"/>
  <c r="K1" i="3" l="1"/>
  <c r="K2" i="3" l="1"/>
  <c r="K3" i="3" s="1"/>
  <c r="AR203" i="4" l="1"/>
  <c r="AV215" i="4"/>
  <c r="AS203" i="4"/>
  <c r="U177" i="4"/>
  <c r="T177" i="4"/>
  <c r="S177" i="4"/>
  <c r="R177" i="4"/>
  <c r="Q177" i="4"/>
  <c r="P177" i="4"/>
  <c r="O177" i="4"/>
  <c r="N177" i="4"/>
  <c r="M177" i="4"/>
  <c r="L177" i="4"/>
  <c r="K177" i="4"/>
  <c r="J177" i="4"/>
  <c r="V175" i="4"/>
  <c r="AR175" i="4" s="1"/>
  <c r="AS175" i="4" s="1"/>
  <c r="AU175" i="4" s="1"/>
  <c r="AV175" i="4" s="1"/>
  <c r="A175" i="4"/>
  <c r="AU174" i="4"/>
  <c r="AV174" i="4" s="1"/>
  <c r="AS174" i="4"/>
  <c r="AR174" i="4"/>
  <c r="V174" i="4"/>
  <c r="A174" i="4"/>
  <c r="AS173" i="4"/>
  <c r="AU173" i="4" s="1"/>
  <c r="AR173" i="4"/>
  <c r="V173" i="4"/>
  <c r="V177" i="4" s="1"/>
  <c r="A173" i="4"/>
  <c r="U169" i="4"/>
  <c r="T169" i="4"/>
  <c r="S169" i="4"/>
  <c r="R169" i="4"/>
  <c r="Q169" i="4"/>
  <c r="P169" i="4"/>
  <c r="O169" i="4"/>
  <c r="N169" i="4"/>
  <c r="M169" i="4"/>
  <c r="L169" i="4"/>
  <c r="K169" i="4"/>
  <c r="J169" i="4"/>
  <c r="AR167" i="4"/>
  <c r="AS167" i="4" s="1"/>
  <c r="AU167" i="4" s="1"/>
  <c r="AV167" i="4" s="1"/>
  <c r="AI167" i="4"/>
  <c r="AH167" i="4"/>
  <c r="AG167" i="4"/>
  <c r="AF167" i="4"/>
  <c r="AE167" i="4"/>
  <c r="AD167" i="4"/>
  <c r="AC167" i="4"/>
  <c r="AB167" i="4"/>
  <c r="AA167" i="4"/>
  <c r="Z167" i="4"/>
  <c r="Y167" i="4"/>
  <c r="X167" i="4"/>
  <c r="AJ167" i="4" s="1"/>
  <c r="V167" i="4"/>
  <c r="A167" i="4"/>
  <c r="AI166" i="4"/>
  <c r="AH166" i="4"/>
  <c r="AG166" i="4"/>
  <c r="AF166" i="4"/>
  <c r="AE166" i="4"/>
  <c r="AD166" i="4"/>
  <c r="AC166" i="4"/>
  <c r="AB166" i="4"/>
  <c r="AA166" i="4"/>
  <c r="Z166" i="4"/>
  <c r="Y166" i="4"/>
  <c r="X166" i="4"/>
  <c r="V166" i="4"/>
  <c r="AR166" i="4" s="1"/>
  <c r="A166" i="4"/>
  <c r="AI165" i="4"/>
  <c r="AH165" i="4"/>
  <c r="AG165" i="4"/>
  <c r="AF165" i="4"/>
  <c r="AE165" i="4"/>
  <c r="AD165" i="4"/>
  <c r="AC165" i="4"/>
  <c r="AB165" i="4"/>
  <c r="AA165" i="4"/>
  <c r="Z165" i="4"/>
  <c r="Y165" i="4"/>
  <c r="X165" i="4"/>
  <c r="V165" i="4"/>
  <c r="V169" i="4" s="1"/>
  <c r="A165" i="4"/>
  <c r="U161" i="4"/>
  <c r="T161" i="4"/>
  <c r="S161" i="4"/>
  <c r="R161" i="4"/>
  <c r="Q161" i="4"/>
  <c r="P161" i="4"/>
  <c r="O161" i="4"/>
  <c r="N161" i="4"/>
  <c r="M161" i="4"/>
  <c r="L161" i="4"/>
  <c r="K161" i="4"/>
  <c r="J161" i="4"/>
  <c r="AS159" i="4"/>
  <c r="AR159" i="4"/>
  <c r="AS158" i="4"/>
  <c r="AR158" i="4"/>
  <c r="AS157" i="4"/>
  <c r="AR157" i="4"/>
  <c r="AS156" i="4"/>
  <c r="AR156" i="4"/>
  <c r="AR155" i="4"/>
  <c r="AI155" i="4"/>
  <c r="AH155" i="4"/>
  <c r="AG155" i="4"/>
  <c r="AF155" i="4"/>
  <c r="AE155" i="4"/>
  <c r="AD155" i="4"/>
  <c r="AC155" i="4"/>
  <c r="AB155" i="4"/>
  <c r="AA155" i="4"/>
  <c r="Z155" i="4"/>
  <c r="Y155" i="4"/>
  <c r="X155" i="4"/>
  <c r="AJ155" i="4" s="1"/>
  <c r="AS155" i="4" s="1"/>
  <c r="V155" i="4"/>
  <c r="A155" i="4"/>
  <c r="AR154" i="4"/>
  <c r="AI154" i="4"/>
  <c r="AH154" i="4"/>
  <c r="AG154" i="4"/>
  <c r="AF154" i="4"/>
  <c r="AE154" i="4"/>
  <c r="AD154" i="4"/>
  <c r="AC154" i="4"/>
  <c r="AB154" i="4"/>
  <c r="AA154" i="4"/>
  <c r="Z154" i="4"/>
  <c r="Y154" i="4"/>
  <c r="X154" i="4"/>
  <c r="V154" i="4"/>
  <c r="A154" i="4"/>
  <c r="AI153" i="4"/>
  <c r="AH153" i="4"/>
  <c r="AG153" i="4"/>
  <c r="AF153" i="4"/>
  <c r="AE153" i="4"/>
  <c r="AD153" i="4"/>
  <c r="AC153" i="4"/>
  <c r="AB153" i="4"/>
  <c r="AA153" i="4"/>
  <c r="Z153" i="4"/>
  <c r="Y153" i="4"/>
  <c r="X153" i="4"/>
  <c r="AJ153" i="4" s="1"/>
  <c r="AS153" i="4" s="1"/>
  <c r="V153" i="4"/>
  <c r="AR153" i="4" s="1"/>
  <c r="A153" i="4"/>
  <c r="AI152" i="4"/>
  <c r="AH152" i="4"/>
  <c r="AG152" i="4"/>
  <c r="AF152" i="4"/>
  <c r="AE152" i="4"/>
  <c r="AD152" i="4"/>
  <c r="AC152" i="4"/>
  <c r="AB152" i="4"/>
  <c r="AA152" i="4"/>
  <c r="Z152" i="4"/>
  <c r="Y152" i="4"/>
  <c r="X152" i="4"/>
  <c r="AJ152" i="4" s="1"/>
  <c r="AS152" i="4" s="1"/>
  <c r="V152" i="4"/>
  <c r="AR152" i="4" s="1"/>
  <c r="A152" i="4"/>
  <c r="AR151" i="4"/>
  <c r="AI151" i="4"/>
  <c r="AH151" i="4"/>
  <c r="AG151" i="4"/>
  <c r="AF151" i="4"/>
  <c r="AE151" i="4"/>
  <c r="AD151" i="4"/>
  <c r="AC151" i="4"/>
  <c r="AB151" i="4"/>
  <c r="AA151" i="4"/>
  <c r="Z151" i="4"/>
  <c r="Y151" i="4"/>
  <c r="X151" i="4"/>
  <c r="AJ151" i="4" s="1"/>
  <c r="AS151" i="4" s="1"/>
  <c r="V151" i="4"/>
  <c r="A151" i="4"/>
  <c r="AR150" i="4"/>
  <c r="AI150" i="4"/>
  <c r="AH150" i="4"/>
  <c r="AG150" i="4"/>
  <c r="AF150" i="4"/>
  <c r="AE150" i="4"/>
  <c r="AD150" i="4"/>
  <c r="AC150" i="4"/>
  <c r="AB150" i="4"/>
  <c r="AA150" i="4"/>
  <c r="Z150" i="4"/>
  <c r="Y150" i="4"/>
  <c r="X150" i="4"/>
  <c r="V150" i="4"/>
  <c r="A150" i="4"/>
  <c r="AI149" i="4"/>
  <c r="AH149" i="4"/>
  <c r="AG149" i="4"/>
  <c r="AF149" i="4"/>
  <c r="AE149" i="4"/>
  <c r="AD149" i="4"/>
  <c r="AC149" i="4"/>
  <c r="AB149" i="4"/>
  <c r="AA149" i="4"/>
  <c r="Z149" i="4"/>
  <c r="Y149" i="4"/>
  <c r="X149" i="4"/>
  <c r="AJ149" i="4" s="1"/>
  <c r="AP149" i="4" s="1"/>
  <c r="V149" i="4"/>
  <c r="AR149" i="4" s="1"/>
  <c r="A149" i="4"/>
  <c r="AR148" i="4"/>
  <c r="AI148" i="4"/>
  <c r="AH148" i="4"/>
  <c r="AG148" i="4"/>
  <c r="AF148" i="4"/>
  <c r="AE148" i="4"/>
  <c r="AD148" i="4"/>
  <c r="AC148" i="4"/>
  <c r="AB148" i="4"/>
  <c r="AA148" i="4"/>
  <c r="Z148" i="4"/>
  <c r="Y148" i="4"/>
  <c r="X148" i="4"/>
  <c r="V148" i="4"/>
  <c r="A148" i="4"/>
  <c r="AI147" i="4"/>
  <c r="AH147" i="4"/>
  <c r="AG147" i="4"/>
  <c r="AF147" i="4"/>
  <c r="AE147" i="4"/>
  <c r="AD147" i="4"/>
  <c r="AC147" i="4"/>
  <c r="AB147" i="4"/>
  <c r="AA147" i="4"/>
  <c r="Z147" i="4"/>
  <c r="Y147" i="4"/>
  <c r="X147" i="4"/>
  <c r="AJ147" i="4" s="1"/>
  <c r="AP147" i="4" s="1"/>
  <c r="V147" i="4"/>
  <c r="AR147" i="4" s="1"/>
  <c r="A147" i="4"/>
  <c r="AR146" i="4"/>
  <c r="AI146" i="4"/>
  <c r="AH146" i="4"/>
  <c r="AG146" i="4"/>
  <c r="AF146" i="4"/>
  <c r="AE146" i="4"/>
  <c r="AD146" i="4"/>
  <c r="AC146" i="4"/>
  <c r="AB146" i="4"/>
  <c r="AA146" i="4"/>
  <c r="Z146" i="4"/>
  <c r="Y146" i="4"/>
  <c r="X146" i="4"/>
  <c r="V146" i="4"/>
  <c r="A146" i="4"/>
  <c r="AI145" i="4"/>
  <c r="AI161" i="4" s="1"/>
  <c r="AH145" i="4"/>
  <c r="AG145" i="4"/>
  <c r="AF145" i="4"/>
  <c r="AE145" i="4"/>
  <c r="AE161" i="4" s="1"/>
  <c r="AD145" i="4"/>
  <c r="AC145" i="4"/>
  <c r="AB145" i="4"/>
  <c r="AA145" i="4"/>
  <c r="AA161" i="4" s="1"/>
  <c r="Z145" i="4"/>
  <c r="Y145" i="4"/>
  <c r="X145" i="4"/>
  <c r="AJ145" i="4" s="1"/>
  <c r="V145" i="4"/>
  <c r="AR145" i="4" s="1"/>
  <c r="A145" i="4"/>
  <c r="AR144" i="4"/>
  <c r="AI144" i="4"/>
  <c r="AH144" i="4"/>
  <c r="AH161" i="4" s="1"/>
  <c r="AG144" i="4"/>
  <c r="AF144" i="4"/>
  <c r="AF161" i="4" s="1"/>
  <c r="AE144" i="4"/>
  <c r="AD144" i="4"/>
  <c r="AD161" i="4" s="1"/>
  <c r="AC144" i="4"/>
  <c r="AB144" i="4"/>
  <c r="AB161" i="4" s="1"/>
  <c r="AA144" i="4"/>
  <c r="Z144" i="4"/>
  <c r="Z161" i="4" s="1"/>
  <c r="Y144" i="4"/>
  <c r="X144" i="4"/>
  <c r="X161" i="4" s="1"/>
  <c r="V144" i="4"/>
  <c r="A144" i="4"/>
  <c r="AI143" i="4"/>
  <c r="AH143" i="4"/>
  <c r="AG143" i="4"/>
  <c r="AF143" i="4"/>
  <c r="AE143" i="4"/>
  <c r="AD143" i="4"/>
  <c r="AC143" i="4"/>
  <c r="AB143" i="4"/>
  <c r="AA143" i="4"/>
  <c r="Z143" i="4"/>
  <c r="Y143" i="4"/>
  <c r="X143" i="4"/>
  <c r="V143" i="4"/>
  <c r="AR143" i="4" s="1"/>
  <c r="A143" i="4"/>
  <c r="AI142" i="4"/>
  <c r="AH142" i="4"/>
  <c r="AG142" i="4"/>
  <c r="AF142" i="4"/>
  <c r="AE142" i="4"/>
  <c r="AD142" i="4"/>
  <c r="AC142" i="4"/>
  <c r="AB142" i="4"/>
  <c r="AA142" i="4"/>
  <c r="Z142" i="4"/>
  <c r="Y142" i="4"/>
  <c r="X142" i="4"/>
  <c r="AJ142" i="4" s="1"/>
  <c r="AS142" i="4" s="1"/>
  <c r="V142" i="4"/>
  <c r="AR142" i="4" s="1"/>
  <c r="A142" i="4"/>
  <c r="AR141" i="4"/>
  <c r="AI141" i="4"/>
  <c r="AH141" i="4"/>
  <c r="AG141" i="4"/>
  <c r="AF141" i="4"/>
  <c r="AE141" i="4"/>
  <c r="AD141" i="4"/>
  <c r="AC141" i="4"/>
  <c r="AB141" i="4"/>
  <c r="AA141" i="4"/>
  <c r="Z141" i="4"/>
  <c r="Y141" i="4"/>
  <c r="X141" i="4"/>
  <c r="AJ141" i="4" s="1"/>
  <c r="AS141" i="4" s="1"/>
  <c r="V141" i="4"/>
  <c r="A141" i="4"/>
  <c r="AR140" i="4"/>
  <c r="AI140" i="4"/>
  <c r="AH140" i="4"/>
  <c r="AG140" i="4"/>
  <c r="AF140" i="4"/>
  <c r="AE140" i="4"/>
  <c r="AD140" i="4"/>
  <c r="AC140" i="4"/>
  <c r="AB140" i="4"/>
  <c r="AA140" i="4"/>
  <c r="Z140" i="4"/>
  <c r="Y140" i="4"/>
  <c r="X140" i="4"/>
  <c r="AJ140" i="4" s="1"/>
  <c r="AS140" i="4" s="1"/>
  <c r="V140" i="4"/>
  <c r="A140" i="4"/>
  <c r="AI139" i="4"/>
  <c r="AH139" i="4"/>
  <c r="AG139" i="4"/>
  <c r="AF139" i="4"/>
  <c r="AE139" i="4"/>
  <c r="AD139" i="4"/>
  <c r="AC139" i="4"/>
  <c r="AB139" i="4"/>
  <c r="AA139" i="4"/>
  <c r="Z139" i="4"/>
  <c r="Y139" i="4"/>
  <c r="X139" i="4"/>
  <c r="V139" i="4"/>
  <c r="AR139" i="4" s="1"/>
  <c r="A139" i="4"/>
  <c r="AI138" i="4"/>
  <c r="AH138" i="4"/>
  <c r="AG138" i="4"/>
  <c r="AF138" i="4"/>
  <c r="AE138" i="4"/>
  <c r="AD138" i="4"/>
  <c r="AC138" i="4"/>
  <c r="AB138" i="4"/>
  <c r="AA138" i="4"/>
  <c r="Z138" i="4"/>
  <c r="Y138" i="4"/>
  <c r="X138" i="4"/>
  <c r="AJ138" i="4" s="1"/>
  <c r="AS138" i="4" s="1"/>
  <c r="V138" i="4"/>
  <c r="AR138" i="4" s="1"/>
  <c r="A138" i="4"/>
  <c r="AR137" i="4"/>
  <c r="AI137" i="4"/>
  <c r="AH137" i="4"/>
  <c r="AG137" i="4"/>
  <c r="AF137" i="4"/>
  <c r="AE137" i="4"/>
  <c r="AD137" i="4"/>
  <c r="AC137" i="4"/>
  <c r="AB137" i="4"/>
  <c r="AA137" i="4"/>
  <c r="Z137" i="4"/>
  <c r="Y137" i="4"/>
  <c r="X137" i="4"/>
  <c r="AJ137" i="4" s="1"/>
  <c r="AS137" i="4" s="1"/>
  <c r="V137" i="4"/>
  <c r="A137" i="4"/>
  <c r="AR136" i="4"/>
  <c r="AI136" i="4"/>
  <c r="AH136" i="4"/>
  <c r="AG136" i="4"/>
  <c r="AF136" i="4"/>
  <c r="AE136" i="4"/>
  <c r="AD136" i="4"/>
  <c r="AC136" i="4"/>
  <c r="AB136" i="4"/>
  <c r="AA136" i="4"/>
  <c r="Z136" i="4"/>
  <c r="Y136" i="4"/>
  <c r="X136" i="4"/>
  <c r="AJ136" i="4" s="1"/>
  <c r="AS136" i="4" s="1"/>
  <c r="V136" i="4"/>
  <c r="A136" i="4"/>
  <c r="AR135" i="4"/>
  <c r="AI135" i="4"/>
  <c r="AH135" i="4"/>
  <c r="AG135" i="4"/>
  <c r="AF135" i="4"/>
  <c r="AE135" i="4"/>
  <c r="AD135" i="4"/>
  <c r="AC135" i="4"/>
  <c r="AB135" i="4"/>
  <c r="AA135" i="4"/>
  <c r="Z135" i="4"/>
  <c r="Y135" i="4"/>
  <c r="X135" i="4"/>
  <c r="AJ135" i="4" s="1"/>
  <c r="AS135" i="4" s="1"/>
  <c r="V135" i="4"/>
  <c r="A135" i="4"/>
  <c r="AI134" i="4"/>
  <c r="AH134" i="4"/>
  <c r="AG134" i="4"/>
  <c r="AF134" i="4"/>
  <c r="AE134" i="4"/>
  <c r="AD134" i="4"/>
  <c r="AC134" i="4"/>
  <c r="AB134" i="4"/>
  <c r="AA134" i="4"/>
  <c r="Z134" i="4"/>
  <c r="Y134" i="4"/>
  <c r="X134" i="4"/>
  <c r="AJ134" i="4" s="1"/>
  <c r="AS134" i="4" s="1"/>
  <c r="V134" i="4"/>
  <c r="AR134" i="4" s="1"/>
  <c r="A134" i="4"/>
  <c r="AI133" i="4"/>
  <c r="AH133" i="4"/>
  <c r="AG133" i="4"/>
  <c r="AF133" i="4"/>
  <c r="AE133" i="4"/>
  <c r="AD133" i="4"/>
  <c r="AC133" i="4"/>
  <c r="AB133" i="4"/>
  <c r="AA133" i="4"/>
  <c r="Z133" i="4"/>
  <c r="Y133" i="4"/>
  <c r="X133" i="4"/>
  <c r="AJ133" i="4" s="1"/>
  <c r="AS133" i="4" s="1"/>
  <c r="V133" i="4"/>
  <c r="AR133" i="4" s="1"/>
  <c r="A133" i="4"/>
  <c r="AR132" i="4"/>
  <c r="AI132" i="4"/>
  <c r="AH132" i="4"/>
  <c r="AG132" i="4"/>
  <c r="AF132" i="4"/>
  <c r="AE132" i="4"/>
  <c r="AD132" i="4"/>
  <c r="AC132" i="4"/>
  <c r="AB132" i="4"/>
  <c r="AA132" i="4"/>
  <c r="Z132" i="4"/>
  <c r="Y132" i="4"/>
  <c r="X132" i="4"/>
  <c r="AJ132" i="4" s="1"/>
  <c r="AS132" i="4" s="1"/>
  <c r="V132" i="4"/>
  <c r="A132" i="4"/>
  <c r="AI131" i="4"/>
  <c r="AH131" i="4"/>
  <c r="AG131" i="4"/>
  <c r="AF131" i="4"/>
  <c r="AE131" i="4"/>
  <c r="AD131" i="4"/>
  <c r="AC131" i="4"/>
  <c r="AB131" i="4"/>
  <c r="AA131" i="4"/>
  <c r="Z131" i="4"/>
  <c r="Y131" i="4"/>
  <c r="X131" i="4"/>
  <c r="AJ131" i="4" s="1"/>
  <c r="AS131" i="4" s="1"/>
  <c r="V131" i="4"/>
  <c r="V161" i="4" s="1"/>
  <c r="A131" i="4"/>
  <c r="AR123" i="4"/>
  <c r="AR122" i="4"/>
  <c r="AR121" i="4"/>
  <c r="AR120" i="4"/>
  <c r="AR119" i="4"/>
  <c r="AR118" i="4"/>
  <c r="AR117" i="4"/>
  <c r="AR116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AR106" i="4"/>
  <c r="AI106" i="4"/>
  <c r="AH106" i="4"/>
  <c r="AG106" i="4"/>
  <c r="AF106" i="4"/>
  <c r="AE106" i="4"/>
  <c r="AD106" i="4"/>
  <c r="AC106" i="4"/>
  <c r="AB106" i="4"/>
  <c r="AA106" i="4"/>
  <c r="Z106" i="4"/>
  <c r="Y106" i="4"/>
  <c r="X106" i="4"/>
  <c r="AJ106" i="4" s="1"/>
  <c r="AS106" i="4" s="1"/>
  <c r="V106" i="4"/>
  <c r="A106" i="4"/>
  <c r="AI105" i="4"/>
  <c r="AH105" i="4"/>
  <c r="AG105" i="4"/>
  <c r="AF105" i="4"/>
  <c r="AE105" i="4"/>
  <c r="AD105" i="4"/>
  <c r="AC105" i="4"/>
  <c r="AB105" i="4"/>
  <c r="AA105" i="4"/>
  <c r="Z105" i="4"/>
  <c r="Y105" i="4"/>
  <c r="X105" i="4"/>
  <c r="AJ105" i="4" s="1"/>
  <c r="AS105" i="4" s="1"/>
  <c r="V105" i="4"/>
  <c r="AR105" i="4" s="1"/>
  <c r="A105" i="4"/>
  <c r="AI104" i="4"/>
  <c r="AH104" i="4"/>
  <c r="AG104" i="4"/>
  <c r="AF104" i="4"/>
  <c r="AE104" i="4"/>
  <c r="AD104" i="4"/>
  <c r="AC104" i="4"/>
  <c r="AB104" i="4"/>
  <c r="AA104" i="4"/>
  <c r="Z104" i="4"/>
  <c r="Y104" i="4"/>
  <c r="X104" i="4"/>
  <c r="AJ104" i="4" s="1"/>
  <c r="AS104" i="4" s="1"/>
  <c r="V104" i="4"/>
  <c r="AR104" i="4" s="1"/>
  <c r="A104" i="4"/>
  <c r="AR103" i="4"/>
  <c r="AI103" i="4"/>
  <c r="AH103" i="4"/>
  <c r="AG103" i="4"/>
  <c r="AF103" i="4"/>
  <c r="AE103" i="4"/>
  <c r="AD103" i="4"/>
  <c r="AC103" i="4"/>
  <c r="AB103" i="4"/>
  <c r="AA103" i="4"/>
  <c r="Z103" i="4"/>
  <c r="Y103" i="4"/>
  <c r="X103" i="4"/>
  <c r="AJ103" i="4" s="1"/>
  <c r="AS103" i="4" s="1"/>
  <c r="V103" i="4"/>
  <c r="A103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AJ102" i="4" s="1"/>
  <c r="AS102" i="4" s="1"/>
  <c r="V102" i="4"/>
  <c r="AR102" i="4" s="1"/>
  <c r="A102" i="4"/>
  <c r="AI101" i="4"/>
  <c r="AH101" i="4"/>
  <c r="AG101" i="4"/>
  <c r="AF101" i="4"/>
  <c r="AE101" i="4"/>
  <c r="AD101" i="4"/>
  <c r="AC101" i="4"/>
  <c r="AB101" i="4"/>
  <c r="AA101" i="4"/>
  <c r="Z101" i="4"/>
  <c r="Y101" i="4"/>
  <c r="X101" i="4"/>
  <c r="AJ101" i="4" s="1"/>
  <c r="AS101" i="4" s="1"/>
  <c r="V101" i="4"/>
  <c r="AR101" i="4" s="1"/>
  <c r="A101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AJ100" i="4" s="1"/>
  <c r="AS100" i="4" s="1"/>
  <c r="V100" i="4"/>
  <c r="AR100" i="4" s="1"/>
  <c r="A100" i="4"/>
  <c r="AR99" i="4"/>
  <c r="AI99" i="4"/>
  <c r="AH99" i="4"/>
  <c r="AG99" i="4"/>
  <c r="AF99" i="4"/>
  <c r="AE99" i="4"/>
  <c r="AD99" i="4"/>
  <c r="AC99" i="4"/>
  <c r="AB99" i="4"/>
  <c r="AA99" i="4"/>
  <c r="Z99" i="4"/>
  <c r="Y99" i="4"/>
  <c r="X99" i="4"/>
  <c r="AJ99" i="4" s="1"/>
  <c r="AS99" i="4" s="1"/>
  <c r="V99" i="4"/>
  <c r="A99" i="4"/>
  <c r="AI98" i="4"/>
  <c r="AH98" i="4"/>
  <c r="AG98" i="4"/>
  <c r="AF98" i="4"/>
  <c r="AE98" i="4"/>
  <c r="AD98" i="4"/>
  <c r="AC98" i="4"/>
  <c r="AB98" i="4"/>
  <c r="AA98" i="4"/>
  <c r="Z98" i="4"/>
  <c r="Y98" i="4"/>
  <c r="X98" i="4"/>
  <c r="AJ98" i="4" s="1"/>
  <c r="AS98" i="4" s="1"/>
  <c r="V98" i="4"/>
  <c r="AR98" i="4" s="1"/>
  <c r="A98" i="4"/>
  <c r="AI97" i="4"/>
  <c r="AH97" i="4"/>
  <c r="AG97" i="4"/>
  <c r="AF97" i="4"/>
  <c r="AE97" i="4"/>
  <c r="AD97" i="4"/>
  <c r="AC97" i="4"/>
  <c r="AB97" i="4"/>
  <c r="AA97" i="4"/>
  <c r="Z97" i="4"/>
  <c r="Y97" i="4"/>
  <c r="X97" i="4"/>
  <c r="AJ97" i="4" s="1"/>
  <c r="AS97" i="4" s="1"/>
  <c r="V97" i="4"/>
  <c r="AR97" i="4" s="1"/>
  <c r="A97" i="4"/>
  <c r="AI96" i="4"/>
  <c r="AH96" i="4"/>
  <c r="AG96" i="4"/>
  <c r="AF96" i="4"/>
  <c r="AE96" i="4"/>
  <c r="AD96" i="4"/>
  <c r="AC96" i="4"/>
  <c r="AB96" i="4"/>
  <c r="AA96" i="4"/>
  <c r="Z96" i="4"/>
  <c r="Y96" i="4"/>
  <c r="X96" i="4"/>
  <c r="AJ96" i="4" s="1"/>
  <c r="AS96" i="4" s="1"/>
  <c r="V96" i="4"/>
  <c r="AR96" i="4" s="1"/>
  <c r="A96" i="4"/>
  <c r="AR95" i="4"/>
  <c r="AI95" i="4"/>
  <c r="AH95" i="4"/>
  <c r="AG95" i="4"/>
  <c r="AF95" i="4"/>
  <c r="AE95" i="4"/>
  <c r="AD95" i="4"/>
  <c r="AC95" i="4"/>
  <c r="AB95" i="4"/>
  <c r="AA95" i="4"/>
  <c r="Z95" i="4"/>
  <c r="Y95" i="4"/>
  <c r="X95" i="4"/>
  <c r="AJ95" i="4" s="1"/>
  <c r="AS95" i="4" s="1"/>
  <c r="V95" i="4"/>
  <c r="A95" i="4"/>
  <c r="AI94" i="4"/>
  <c r="AH94" i="4"/>
  <c r="AG94" i="4"/>
  <c r="AF94" i="4"/>
  <c r="AE94" i="4"/>
  <c r="AD94" i="4"/>
  <c r="AC94" i="4"/>
  <c r="AB94" i="4"/>
  <c r="AA94" i="4"/>
  <c r="Z94" i="4"/>
  <c r="Y94" i="4"/>
  <c r="X94" i="4"/>
  <c r="AJ94" i="4" s="1"/>
  <c r="AS94" i="4" s="1"/>
  <c r="V94" i="4"/>
  <c r="AR94" i="4" s="1"/>
  <c r="A94" i="4"/>
  <c r="AI93" i="4"/>
  <c r="AH93" i="4"/>
  <c r="AG93" i="4"/>
  <c r="AF93" i="4"/>
  <c r="AE93" i="4"/>
  <c r="AD93" i="4"/>
  <c r="AC93" i="4"/>
  <c r="AB93" i="4"/>
  <c r="AA93" i="4"/>
  <c r="Z93" i="4"/>
  <c r="Y93" i="4"/>
  <c r="X93" i="4"/>
  <c r="AJ93" i="4" s="1"/>
  <c r="AS93" i="4" s="1"/>
  <c r="V93" i="4"/>
  <c r="AR93" i="4" s="1"/>
  <c r="A93" i="4"/>
  <c r="AI92" i="4"/>
  <c r="AH92" i="4"/>
  <c r="AG92" i="4"/>
  <c r="AF92" i="4"/>
  <c r="AE92" i="4"/>
  <c r="AD92" i="4"/>
  <c r="AC92" i="4"/>
  <c r="AB92" i="4"/>
  <c r="AA92" i="4"/>
  <c r="Z92" i="4"/>
  <c r="Y92" i="4"/>
  <c r="X92" i="4"/>
  <c r="AJ92" i="4" s="1"/>
  <c r="AS92" i="4" s="1"/>
  <c r="V92" i="4"/>
  <c r="AR92" i="4" s="1"/>
  <c r="A92" i="4"/>
  <c r="AR91" i="4"/>
  <c r="AI91" i="4"/>
  <c r="AH91" i="4"/>
  <c r="AG91" i="4"/>
  <c r="AF91" i="4"/>
  <c r="AE91" i="4"/>
  <c r="AD91" i="4"/>
  <c r="AC91" i="4"/>
  <c r="AB91" i="4"/>
  <c r="AA91" i="4"/>
  <c r="Z91" i="4"/>
  <c r="Y91" i="4"/>
  <c r="X91" i="4"/>
  <c r="AJ91" i="4" s="1"/>
  <c r="AS91" i="4" s="1"/>
  <c r="V91" i="4"/>
  <c r="A91" i="4"/>
  <c r="AI90" i="4"/>
  <c r="AH90" i="4"/>
  <c r="AG90" i="4"/>
  <c r="AF90" i="4"/>
  <c r="AE90" i="4"/>
  <c r="AD90" i="4"/>
  <c r="AC90" i="4"/>
  <c r="AB90" i="4"/>
  <c r="AA90" i="4"/>
  <c r="Z90" i="4"/>
  <c r="Y90" i="4"/>
  <c r="X90" i="4"/>
  <c r="V90" i="4"/>
  <c r="AR90" i="4" s="1"/>
  <c r="A90" i="4"/>
  <c r="AI89" i="4"/>
  <c r="AH89" i="4"/>
  <c r="AG89" i="4"/>
  <c r="AF89" i="4"/>
  <c r="AE89" i="4"/>
  <c r="AD89" i="4"/>
  <c r="AC89" i="4"/>
  <c r="AB89" i="4"/>
  <c r="AA89" i="4"/>
  <c r="Z89" i="4"/>
  <c r="Y89" i="4"/>
  <c r="X89" i="4"/>
  <c r="V89" i="4"/>
  <c r="AR89" i="4" s="1"/>
  <c r="A89" i="4"/>
  <c r="AI88" i="4"/>
  <c r="AH88" i="4"/>
  <c r="AG88" i="4"/>
  <c r="AF88" i="4"/>
  <c r="AE88" i="4"/>
  <c r="AD88" i="4"/>
  <c r="AC88" i="4"/>
  <c r="AB88" i="4"/>
  <c r="AA88" i="4"/>
  <c r="Z88" i="4"/>
  <c r="Y88" i="4"/>
  <c r="X88" i="4"/>
  <c r="AJ88" i="4" s="1"/>
  <c r="AS88" i="4" s="1"/>
  <c r="V88" i="4"/>
  <c r="AR88" i="4" s="1"/>
  <c r="A88" i="4"/>
  <c r="AR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AJ87" i="4" s="1"/>
  <c r="AS87" i="4" s="1"/>
  <c r="V87" i="4"/>
  <c r="A87" i="4"/>
  <c r="AI86" i="4"/>
  <c r="AH86" i="4"/>
  <c r="AG86" i="4"/>
  <c r="AF86" i="4"/>
  <c r="AE86" i="4"/>
  <c r="AD86" i="4"/>
  <c r="AC86" i="4"/>
  <c r="AB86" i="4"/>
  <c r="AA86" i="4"/>
  <c r="Z86" i="4"/>
  <c r="Y86" i="4"/>
  <c r="X86" i="4"/>
  <c r="V86" i="4"/>
  <c r="AR86" i="4" s="1"/>
  <c r="A86" i="4"/>
  <c r="AI85" i="4"/>
  <c r="AH85" i="4"/>
  <c r="AG85" i="4"/>
  <c r="AF85" i="4"/>
  <c r="AE85" i="4"/>
  <c r="AD85" i="4"/>
  <c r="AC85" i="4"/>
  <c r="AB85" i="4"/>
  <c r="AA85" i="4"/>
  <c r="Z85" i="4"/>
  <c r="Y85" i="4"/>
  <c r="X85" i="4"/>
  <c r="V85" i="4"/>
  <c r="AR85" i="4" s="1"/>
  <c r="A85" i="4"/>
  <c r="AI84" i="4"/>
  <c r="AH84" i="4"/>
  <c r="AG84" i="4"/>
  <c r="AF84" i="4"/>
  <c r="AE84" i="4"/>
  <c r="AD84" i="4"/>
  <c r="AC84" i="4"/>
  <c r="AB84" i="4"/>
  <c r="AA84" i="4"/>
  <c r="Z84" i="4"/>
  <c r="Y84" i="4"/>
  <c r="X84" i="4"/>
  <c r="AJ84" i="4" s="1"/>
  <c r="V84" i="4"/>
  <c r="AR84" i="4" s="1"/>
  <c r="A84" i="4"/>
  <c r="AR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AJ83" i="4" s="1"/>
  <c r="V83" i="4"/>
  <c r="A83" i="4"/>
  <c r="AI82" i="4"/>
  <c r="AH82" i="4"/>
  <c r="AG82" i="4"/>
  <c r="AF82" i="4"/>
  <c r="AE82" i="4"/>
  <c r="AD82" i="4"/>
  <c r="AC82" i="4"/>
  <c r="AB82" i="4"/>
  <c r="AA82" i="4"/>
  <c r="Z82" i="4"/>
  <c r="Y82" i="4"/>
  <c r="X82" i="4"/>
  <c r="AJ82" i="4" s="1"/>
  <c r="V82" i="4"/>
  <c r="AR82" i="4" s="1"/>
  <c r="A82" i="4"/>
  <c r="AR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AJ81" i="4" s="1"/>
  <c r="V81" i="4"/>
  <c r="A81" i="4"/>
  <c r="AI80" i="4"/>
  <c r="AH80" i="4"/>
  <c r="AG80" i="4"/>
  <c r="AF80" i="4"/>
  <c r="AE80" i="4"/>
  <c r="AD80" i="4"/>
  <c r="AC80" i="4"/>
  <c r="AB80" i="4"/>
  <c r="AA80" i="4"/>
  <c r="Z80" i="4"/>
  <c r="Y80" i="4"/>
  <c r="X80" i="4"/>
  <c r="AJ80" i="4" s="1"/>
  <c r="V80" i="4"/>
  <c r="AR80" i="4" s="1"/>
  <c r="A80" i="4"/>
  <c r="AR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AJ79" i="4" s="1"/>
  <c r="V79" i="4"/>
  <c r="A79" i="4"/>
  <c r="AI78" i="4"/>
  <c r="AH78" i="4"/>
  <c r="AG78" i="4"/>
  <c r="AF78" i="4"/>
  <c r="AE78" i="4"/>
  <c r="AD78" i="4"/>
  <c r="AC78" i="4"/>
  <c r="AB78" i="4"/>
  <c r="AA78" i="4"/>
  <c r="Z78" i="4"/>
  <c r="Y78" i="4"/>
  <c r="X78" i="4"/>
  <c r="AJ78" i="4" s="1"/>
  <c r="V78" i="4"/>
  <c r="AR78" i="4" s="1"/>
  <c r="A78" i="4"/>
  <c r="AR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AJ77" i="4" s="1"/>
  <c r="V77" i="4"/>
  <c r="A77" i="4"/>
  <c r="AI76" i="4"/>
  <c r="AH76" i="4"/>
  <c r="AG76" i="4"/>
  <c r="AF76" i="4"/>
  <c r="AE76" i="4"/>
  <c r="AD76" i="4"/>
  <c r="AC76" i="4"/>
  <c r="AB76" i="4"/>
  <c r="AA76" i="4"/>
  <c r="Z76" i="4"/>
  <c r="Y76" i="4"/>
  <c r="X76" i="4"/>
  <c r="AJ76" i="4" s="1"/>
  <c r="V76" i="4"/>
  <c r="AR76" i="4" s="1"/>
  <c r="A76" i="4"/>
  <c r="AR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AJ75" i="4" s="1"/>
  <c r="V75" i="4"/>
  <c r="A75" i="4"/>
  <c r="AI74" i="4"/>
  <c r="AH74" i="4"/>
  <c r="AG74" i="4"/>
  <c r="AF74" i="4"/>
  <c r="AE74" i="4"/>
  <c r="AD74" i="4"/>
  <c r="AC74" i="4"/>
  <c r="AB74" i="4"/>
  <c r="AA74" i="4"/>
  <c r="Z74" i="4"/>
  <c r="Y74" i="4"/>
  <c r="X74" i="4"/>
  <c r="AJ74" i="4" s="1"/>
  <c r="V74" i="4"/>
  <c r="AR74" i="4" s="1"/>
  <c r="A74" i="4"/>
  <c r="AR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AJ73" i="4" s="1"/>
  <c r="V73" i="4"/>
  <c r="A73" i="4"/>
  <c r="AI72" i="4"/>
  <c r="AI110" i="4" s="1"/>
  <c r="AH72" i="4"/>
  <c r="AG72" i="4"/>
  <c r="AF72" i="4"/>
  <c r="AF110" i="4" s="1"/>
  <c r="AE72" i="4"/>
  <c r="AE110" i="4" s="1"/>
  <c r="AD72" i="4"/>
  <c r="AC72" i="4"/>
  <c r="AB72" i="4"/>
  <c r="AB110" i="4" s="1"/>
  <c r="AA72" i="4"/>
  <c r="AA110" i="4" s="1"/>
  <c r="Z72" i="4"/>
  <c r="Y72" i="4"/>
  <c r="Y110" i="4" s="1"/>
  <c r="X72" i="4"/>
  <c r="X110" i="4" s="1"/>
  <c r="V72" i="4"/>
  <c r="V110" i="4" s="1"/>
  <c r="A72" i="4"/>
  <c r="AH66" i="4"/>
  <c r="AD66" i="4"/>
  <c r="Z66" i="4"/>
  <c r="U66" i="4"/>
  <c r="T66" i="4"/>
  <c r="S66" i="4"/>
  <c r="R66" i="4"/>
  <c r="Q66" i="4"/>
  <c r="P66" i="4"/>
  <c r="O66" i="4"/>
  <c r="N66" i="4"/>
  <c r="M66" i="4"/>
  <c r="L66" i="4"/>
  <c r="K66" i="4"/>
  <c r="J66" i="4"/>
  <c r="AR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AJ64" i="4" s="1"/>
  <c r="AS64" i="4" s="1"/>
  <c r="V64" i="4"/>
  <c r="A64" i="4"/>
  <c r="AI63" i="4"/>
  <c r="AH63" i="4"/>
  <c r="AG63" i="4"/>
  <c r="AF63" i="4"/>
  <c r="AE63" i="4"/>
  <c r="AD63" i="4"/>
  <c r="AC63" i="4"/>
  <c r="AB63" i="4"/>
  <c r="AA63" i="4"/>
  <c r="Z63" i="4"/>
  <c r="Y63" i="4"/>
  <c r="X63" i="4"/>
  <c r="AJ63" i="4" s="1"/>
  <c r="AS63" i="4" s="1"/>
  <c r="V63" i="4"/>
  <c r="AR63" i="4" s="1"/>
  <c r="A63" i="4"/>
  <c r="AI62" i="4"/>
  <c r="AH62" i="4"/>
  <c r="AG62" i="4"/>
  <c r="AF62" i="4"/>
  <c r="AE62" i="4"/>
  <c r="AD62" i="4"/>
  <c r="AC62" i="4"/>
  <c r="AB62" i="4"/>
  <c r="AA62" i="4"/>
  <c r="Z62" i="4"/>
  <c r="Y62" i="4"/>
  <c r="X62" i="4"/>
  <c r="AJ62" i="4" s="1"/>
  <c r="AS62" i="4" s="1"/>
  <c r="V62" i="4"/>
  <c r="AR62" i="4" s="1"/>
  <c r="A62" i="4"/>
  <c r="AR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AJ61" i="4" s="1"/>
  <c r="AS61" i="4" s="1"/>
  <c r="V61" i="4"/>
  <c r="A61" i="4"/>
  <c r="AI60" i="4"/>
  <c r="AH60" i="4"/>
  <c r="AG60" i="4"/>
  <c r="AF60" i="4"/>
  <c r="AE60" i="4"/>
  <c r="AD60" i="4"/>
  <c r="AC60" i="4"/>
  <c r="AB60" i="4"/>
  <c r="AA60" i="4"/>
  <c r="Z60" i="4"/>
  <c r="Y60" i="4"/>
  <c r="X60" i="4"/>
  <c r="AJ60" i="4" s="1"/>
  <c r="V60" i="4"/>
  <c r="AR60" i="4" s="1"/>
  <c r="A60" i="4"/>
  <c r="AI59" i="4"/>
  <c r="AI66" i="4" s="1"/>
  <c r="AH59" i="4"/>
  <c r="AG59" i="4"/>
  <c r="AG66" i="4" s="1"/>
  <c r="AF59" i="4"/>
  <c r="AF66" i="4" s="1"/>
  <c r="AE59" i="4"/>
  <c r="AE66" i="4" s="1"/>
  <c r="AD59" i="4"/>
  <c r="AC59" i="4"/>
  <c r="AC66" i="4" s="1"/>
  <c r="AB59" i="4"/>
  <c r="AB66" i="4" s="1"/>
  <c r="AA59" i="4"/>
  <c r="AA66" i="4" s="1"/>
  <c r="Z59" i="4"/>
  <c r="Y59" i="4"/>
  <c r="Y66" i="4" s="1"/>
  <c r="X59" i="4"/>
  <c r="AJ59" i="4" s="1"/>
  <c r="V59" i="4"/>
  <c r="AR59" i="4" s="1"/>
  <c r="A59" i="4"/>
  <c r="AI58" i="4"/>
  <c r="AH58" i="4"/>
  <c r="AG58" i="4"/>
  <c r="AF58" i="4"/>
  <c r="AE58" i="4"/>
  <c r="AD58" i="4"/>
  <c r="AC58" i="4"/>
  <c r="AB58" i="4"/>
  <c r="AA58" i="4"/>
  <c r="Z58" i="4"/>
  <c r="Y58" i="4"/>
  <c r="X58" i="4"/>
  <c r="AJ58" i="4" s="1"/>
  <c r="V58" i="4"/>
  <c r="AR58" i="4" s="1"/>
  <c r="A58" i="4"/>
  <c r="AI57" i="4"/>
  <c r="AH57" i="4"/>
  <c r="AG57" i="4"/>
  <c r="AF57" i="4"/>
  <c r="AE57" i="4"/>
  <c r="AD57" i="4"/>
  <c r="AC57" i="4"/>
  <c r="AB57" i="4"/>
  <c r="AA57" i="4"/>
  <c r="Z57" i="4"/>
  <c r="Y57" i="4"/>
  <c r="X57" i="4"/>
  <c r="AJ57" i="4" s="1"/>
  <c r="AS57" i="4" s="1"/>
  <c r="V57" i="4"/>
  <c r="AR57" i="4" s="1"/>
  <c r="A57" i="4"/>
  <c r="AR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AJ56" i="4" s="1"/>
  <c r="AS56" i="4" s="1"/>
  <c r="V56" i="4"/>
  <c r="A56" i="4"/>
  <c r="AR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AJ55" i="4" s="1"/>
  <c r="AS55" i="4" s="1"/>
  <c r="V55" i="4"/>
  <c r="A55" i="4"/>
  <c r="AI54" i="4"/>
  <c r="AH54" i="4"/>
  <c r="AG54" i="4"/>
  <c r="AF54" i="4"/>
  <c r="AE54" i="4"/>
  <c r="AD54" i="4"/>
  <c r="AC54" i="4"/>
  <c r="AB54" i="4"/>
  <c r="AA54" i="4"/>
  <c r="Z54" i="4"/>
  <c r="Y54" i="4"/>
  <c r="X54" i="4"/>
  <c r="AJ54" i="4" s="1"/>
  <c r="AS54" i="4" s="1"/>
  <c r="V54" i="4"/>
  <c r="AR54" i="4" s="1"/>
  <c r="A54" i="4"/>
  <c r="AI53" i="4"/>
  <c r="AH53" i="4"/>
  <c r="AG53" i="4"/>
  <c r="AF53" i="4"/>
  <c r="AE53" i="4"/>
  <c r="AD53" i="4"/>
  <c r="AC53" i="4"/>
  <c r="AB53" i="4"/>
  <c r="AA53" i="4"/>
  <c r="Z53" i="4"/>
  <c r="Y53" i="4"/>
  <c r="X53" i="4"/>
  <c r="AJ53" i="4" s="1"/>
  <c r="AS53" i="4" s="1"/>
  <c r="V53" i="4"/>
  <c r="V66" i="4" s="1"/>
  <c r="A53" i="4"/>
  <c r="U49" i="4"/>
  <c r="T49" i="4"/>
  <c r="S49" i="4"/>
  <c r="R49" i="4"/>
  <c r="Q49" i="4"/>
  <c r="P49" i="4"/>
  <c r="O49" i="4"/>
  <c r="N49" i="4"/>
  <c r="M49" i="4"/>
  <c r="L49" i="4"/>
  <c r="K49" i="4"/>
  <c r="J49" i="4"/>
  <c r="AR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V47" i="4"/>
  <c r="A47" i="4"/>
  <c r="AR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V46" i="4"/>
  <c r="A46" i="4"/>
  <c r="AI45" i="4"/>
  <c r="AH45" i="4"/>
  <c r="AG45" i="4"/>
  <c r="AF45" i="4"/>
  <c r="AE45" i="4"/>
  <c r="AD45" i="4"/>
  <c r="AC45" i="4"/>
  <c r="AB45" i="4"/>
  <c r="AA45" i="4"/>
  <c r="Z45" i="4"/>
  <c r="Y45" i="4"/>
  <c r="X45" i="4"/>
  <c r="AJ45" i="4" s="1"/>
  <c r="AS45" i="4" s="1"/>
  <c r="V45" i="4"/>
  <c r="AR45" i="4" s="1"/>
  <c r="A45" i="4"/>
  <c r="AR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V44" i="4"/>
  <c r="A44" i="4"/>
  <c r="AI43" i="4"/>
  <c r="AH43" i="4"/>
  <c r="AG43" i="4"/>
  <c r="AF43" i="4"/>
  <c r="AE43" i="4"/>
  <c r="AD43" i="4"/>
  <c r="AC43" i="4"/>
  <c r="AB43" i="4"/>
  <c r="AA43" i="4"/>
  <c r="Z43" i="4"/>
  <c r="Y43" i="4"/>
  <c r="X43" i="4"/>
  <c r="AJ43" i="4" s="1"/>
  <c r="AS43" i="4" s="1"/>
  <c r="V43" i="4"/>
  <c r="AR43" i="4" s="1"/>
  <c r="A43" i="4"/>
  <c r="AI42" i="4"/>
  <c r="AH42" i="4"/>
  <c r="AG42" i="4"/>
  <c r="AF42" i="4"/>
  <c r="AE42" i="4"/>
  <c r="AD42" i="4"/>
  <c r="AC42" i="4"/>
  <c r="AB42" i="4"/>
  <c r="AA42" i="4"/>
  <c r="Z42" i="4"/>
  <c r="Y42" i="4"/>
  <c r="X42" i="4"/>
  <c r="AJ42" i="4" s="1"/>
  <c r="AS42" i="4" s="1"/>
  <c r="V42" i="4"/>
  <c r="AR42" i="4" s="1"/>
  <c r="A42" i="4"/>
  <c r="AR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AJ41" i="4" s="1"/>
  <c r="AS41" i="4" s="1"/>
  <c r="V41" i="4"/>
  <c r="A41" i="4"/>
  <c r="AR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AJ40" i="4" s="1"/>
  <c r="AS40" i="4" s="1"/>
  <c r="V40" i="4"/>
  <c r="A40" i="4"/>
  <c r="AI39" i="4"/>
  <c r="AH39" i="4"/>
  <c r="AG39" i="4"/>
  <c r="AF39" i="4"/>
  <c r="AE39" i="4"/>
  <c r="AD39" i="4"/>
  <c r="AC39" i="4"/>
  <c r="AB39" i="4"/>
  <c r="AA39" i="4"/>
  <c r="Z39" i="4"/>
  <c r="Y39" i="4"/>
  <c r="X39" i="4"/>
  <c r="AJ39" i="4" s="1"/>
  <c r="AS39" i="4" s="1"/>
  <c r="V39" i="4"/>
  <c r="AR39" i="4" s="1"/>
  <c r="A39" i="4"/>
  <c r="AI38" i="4"/>
  <c r="AH38" i="4"/>
  <c r="AG38" i="4"/>
  <c r="AF38" i="4"/>
  <c r="AE38" i="4"/>
  <c r="AD38" i="4"/>
  <c r="AC38" i="4"/>
  <c r="AB38" i="4"/>
  <c r="AA38" i="4"/>
  <c r="Z38" i="4"/>
  <c r="Y38" i="4"/>
  <c r="X38" i="4"/>
  <c r="AJ38" i="4" s="1"/>
  <c r="AS38" i="4" s="1"/>
  <c r="V38" i="4"/>
  <c r="AR38" i="4" s="1"/>
  <c r="A38" i="4"/>
  <c r="AR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AJ37" i="4" s="1"/>
  <c r="AS37" i="4" s="1"/>
  <c r="V37" i="4"/>
  <c r="A37" i="4"/>
  <c r="AR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AJ36" i="4" s="1"/>
  <c r="AS36" i="4" s="1"/>
  <c r="V36" i="4"/>
  <c r="A36" i="4"/>
  <c r="AI35" i="4"/>
  <c r="AH35" i="4"/>
  <c r="AG35" i="4"/>
  <c r="AF35" i="4"/>
  <c r="AE35" i="4"/>
  <c r="AD35" i="4"/>
  <c r="AC35" i="4"/>
  <c r="AB35" i="4"/>
  <c r="AA35" i="4"/>
  <c r="Z35" i="4"/>
  <c r="Y35" i="4"/>
  <c r="X35" i="4"/>
  <c r="AJ35" i="4" s="1"/>
  <c r="AS35" i="4" s="1"/>
  <c r="V35" i="4"/>
  <c r="AR35" i="4" s="1"/>
  <c r="A35" i="4"/>
  <c r="AI34" i="4"/>
  <c r="AH34" i="4"/>
  <c r="AG34" i="4"/>
  <c r="AF34" i="4"/>
  <c r="AE34" i="4"/>
  <c r="AD34" i="4"/>
  <c r="AC34" i="4"/>
  <c r="AB34" i="4"/>
  <c r="AA34" i="4"/>
  <c r="Z34" i="4"/>
  <c r="Y34" i="4"/>
  <c r="X34" i="4"/>
  <c r="AJ34" i="4" s="1"/>
  <c r="AS34" i="4" s="1"/>
  <c r="V34" i="4"/>
  <c r="AR34" i="4" s="1"/>
  <c r="A34" i="4"/>
  <c r="AI33" i="4"/>
  <c r="AH33" i="4"/>
  <c r="AG33" i="4"/>
  <c r="AF33" i="4"/>
  <c r="AE33" i="4"/>
  <c r="AD33" i="4"/>
  <c r="AC33" i="4"/>
  <c r="AB33" i="4"/>
  <c r="AA33" i="4"/>
  <c r="Z33" i="4"/>
  <c r="Y33" i="4"/>
  <c r="X33" i="4"/>
  <c r="AJ33" i="4" s="1"/>
  <c r="AS33" i="4" s="1"/>
  <c r="V33" i="4"/>
  <c r="AR33" i="4" s="1"/>
  <c r="A33" i="4"/>
  <c r="AR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AJ32" i="4" s="1"/>
  <c r="AS32" i="4" s="1"/>
  <c r="V32" i="4"/>
  <c r="A32" i="4"/>
  <c r="AI31" i="4"/>
  <c r="AH31" i="4"/>
  <c r="AG31" i="4"/>
  <c r="AF31" i="4"/>
  <c r="AE31" i="4"/>
  <c r="AD31" i="4"/>
  <c r="AC31" i="4"/>
  <c r="AB31" i="4"/>
  <c r="AA31" i="4"/>
  <c r="Z31" i="4"/>
  <c r="Y31" i="4"/>
  <c r="X31" i="4"/>
  <c r="AJ31" i="4" s="1"/>
  <c r="AS31" i="4" s="1"/>
  <c r="V31" i="4"/>
  <c r="AR31" i="4" s="1"/>
  <c r="A31" i="4"/>
  <c r="AI30" i="4"/>
  <c r="AH30" i="4"/>
  <c r="AG30" i="4"/>
  <c r="AF30" i="4"/>
  <c r="AE30" i="4"/>
  <c r="AD30" i="4"/>
  <c r="AC30" i="4"/>
  <c r="AB30" i="4"/>
  <c r="AA30" i="4"/>
  <c r="Z30" i="4"/>
  <c r="Y30" i="4"/>
  <c r="X30" i="4"/>
  <c r="AJ30" i="4" s="1"/>
  <c r="AS30" i="4" s="1"/>
  <c r="V30" i="4"/>
  <c r="AR30" i="4" s="1"/>
  <c r="A30" i="4"/>
  <c r="AR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AJ29" i="4" s="1"/>
  <c r="AS29" i="4" s="1"/>
  <c r="V29" i="4"/>
  <c r="A29" i="4"/>
  <c r="AR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AJ28" i="4" s="1"/>
  <c r="V28" i="4"/>
  <c r="A28" i="4"/>
  <c r="AR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AJ27" i="4" s="1"/>
  <c r="V27" i="4"/>
  <c r="B27" i="4"/>
  <c r="A27" i="4"/>
  <c r="AR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AJ26" i="4" s="1"/>
  <c r="V26" i="4"/>
  <c r="A26" i="4"/>
  <c r="AR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AJ25" i="4" s="1"/>
  <c r="V25" i="4"/>
  <c r="B25" i="4"/>
  <c r="A25" i="4"/>
  <c r="AI24" i="4"/>
  <c r="AH24" i="4"/>
  <c r="AG24" i="4"/>
  <c r="AF24" i="4"/>
  <c r="AE24" i="4"/>
  <c r="AD24" i="4"/>
  <c r="AC24" i="4"/>
  <c r="AB24" i="4"/>
  <c r="AA24" i="4"/>
  <c r="Z24" i="4"/>
  <c r="Y24" i="4"/>
  <c r="X24" i="4"/>
  <c r="AJ24" i="4" s="1"/>
  <c r="AS24" i="4" s="1"/>
  <c r="V24" i="4"/>
  <c r="AR24" i="4" s="1"/>
  <c r="A24" i="4"/>
  <c r="AI23" i="4"/>
  <c r="AH23" i="4"/>
  <c r="AG23" i="4"/>
  <c r="AF23" i="4"/>
  <c r="AE23" i="4"/>
  <c r="AD23" i="4"/>
  <c r="AC23" i="4"/>
  <c r="AB23" i="4"/>
  <c r="AA23" i="4"/>
  <c r="Z23" i="4"/>
  <c r="Y23" i="4"/>
  <c r="X23" i="4"/>
  <c r="AJ23" i="4" s="1"/>
  <c r="AS23" i="4" s="1"/>
  <c r="V23" i="4"/>
  <c r="AR23" i="4" s="1"/>
  <c r="B23" i="4"/>
  <c r="A23" i="4"/>
  <c r="AR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AJ22" i="4" s="1"/>
  <c r="V22" i="4"/>
  <c r="B22" i="4"/>
  <c r="A22" i="4"/>
  <c r="AR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AJ21" i="4" s="1"/>
  <c r="V21" i="4"/>
  <c r="B21" i="4"/>
  <c r="A21" i="4"/>
  <c r="AR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AJ20" i="4" s="1"/>
  <c r="V20" i="4"/>
  <c r="B20" i="4"/>
  <c r="A20" i="4"/>
  <c r="AR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AJ19" i="4" s="1"/>
  <c r="V19" i="4"/>
  <c r="B19" i="4"/>
  <c r="A19" i="4"/>
  <c r="AR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AJ18" i="4" s="1"/>
  <c r="V18" i="4"/>
  <c r="B18" i="4"/>
  <c r="A18" i="4"/>
  <c r="AR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AJ17" i="4" s="1"/>
  <c r="V17" i="4"/>
  <c r="B17" i="4"/>
  <c r="A17" i="4"/>
  <c r="AR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AJ16" i="4" s="1"/>
  <c r="V16" i="4"/>
  <c r="B16" i="4"/>
  <c r="A16" i="4"/>
  <c r="AR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AJ15" i="4" s="1"/>
  <c r="V15" i="4"/>
  <c r="B15" i="4"/>
  <c r="A15" i="4"/>
  <c r="AR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AJ14" i="4" s="1"/>
  <c r="V14" i="4"/>
  <c r="B14" i="4"/>
  <c r="A14" i="4"/>
  <c r="AR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AJ13" i="4" s="1"/>
  <c r="V13" i="4"/>
  <c r="B13" i="4"/>
  <c r="A13" i="4"/>
  <c r="AR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AJ12" i="4" s="1"/>
  <c r="V12" i="4"/>
  <c r="B12" i="4"/>
  <c r="A12" i="4"/>
  <c r="AR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AJ11" i="4" s="1"/>
  <c r="V11" i="4"/>
  <c r="B11" i="4"/>
  <c r="A11" i="4"/>
  <c r="AI10" i="4"/>
  <c r="AI49" i="4" s="1"/>
  <c r="AH10" i="4"/>
  <c r="AG10" i="4"/>
  <c r="AG49" i="4" s="1"/>
  <c r="AF10" i="4"/>
  <c r="AE10" i="4"/>
  <c r="AE49" i="4" s="1"/>
  <c r="AD10" i="4"/>
  <c r="AC10" i="4"/>
  <c r="AC49" i="4" s="1"/>
  <c r="AB10" i="4"/>
  <c r="AA10" i="4"/>
  <c r="AA49" i="4" s="1"/>
  <c r="Z10" i="4"/>
  <c r="Y10" i="4"/>
  <c r="Y49" i="4" s="1"/>
  <c r="X10" i="4"/>
  <c r="V10" i="4"/>
  <c r="A10" i="4"/>
  <c r="X4" i="4"/>
  <c r="K4" i="4"/>
  <c r="L4" i="4" s="1"/>
  <c r="Z4" i="4" s="1"/>
  <c r="B55" i="4"/>
  <c r="G177" i="3"/>
  <c r="S58" i="2"/>
  <c r="U56" i="2"/>
  <c r="U55" i="2"/>
  <c r="J46" i="2"/>
  <c r="J45" i="2"/>
  <c r="J44" i="2"/>
  <c r="J43" i="2"/>
  <c r="V39" i="2"/>
  <c r="V38" i="2"/>
  <c r="J38" i="2"/>
  <c r="K38" i="2" s="1"/>
  <c r="Z67" i="2" s="1"/>
  <c r="V37" i="2"/>
  <c r="V36" i="2"/>
  <c r="V34" i="2"/>
  <c r="V33" i="2"/>
  <c r="V32" i="2"/>
  <c r="V31" i="2"/>
  <c r="V29" i="2"/>
  <c r="V28" i="2"/>
  <c r="AC27" i="2"/>
  <c r="V27" i="2"/>
  <c r="V26" i="2"/>
  <c r="V24" i="2"/>
  <c r="AC23" i="2"/>
  <c r="V23" i="2"/>
  <c r="V22" i="2"/>
  <c r="AC21" i="2"/>
  <c r="V21" i="2"/>
  <c r="V19" i="2"/>
  <c r="V18" i="2"/>
  <c r="V17" i="2"/>
  <c r="AC16" i="2"/>
  <c r="V16" i="2"/>
  <c r="V14" i="2"/>
  <c r="V13" i="2"/>
  <c r="V12" i="2"/>
  <c r="V11" i="2"/>
  <c r="V9" i="2"/>
  <c r="F9" i="2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K27" i="2"/>
  <c r="L27" i="2" s="1"/>
  <c r="V8" i="2"/>
  <c r="F8" i="2"/>
  <c r="I27" i="2"/>
  <c r="AC39" i="2" s="1"/>
  <c r="AC7" i="2"/>
  <c r="Y7" i="2"/>
  <c r="Y8" i="2" s="1"/>
  <c r="Y9" i="2" s="1"/>
  <c r="Y11" i="2" s="1"/>
  <c r="Y12" i="2" s="1"/>
  <c r="Y13" i="2" s="1"/>
  <c r="Y14" i="2" s="1"/>
  <c r="Y16" i="2" s="1"/>
  <c r="Y17" i="2" s="1"/>
  <c r="Y18" i="2" s="1"/>
  <c r="Y19" i="2" s="1"/>
  <c r="Y21" i="2" s="1"/>
  <c r="Y22" i="2" s="1"/>
  <c r="Y23" i="2" s="1"/>
  <c r="Y24" i="2" s="1"/>
  <c r="Y26" i="2" s="1"/>
  <c r="Y27" i="2" s="1"/>
  <c r="Y28" i="2" s="1"/>
  <c r="Y29" i="2" s="1"/>
  <c r="Y31" i="2" s="1"/>
  <c r="Y32" i="2" s="1"/>
  <c r="Y33" i="2" s="1"/>
  <c r="Y34" i="2" s="1"/>
  <c r="Y36" i="2" s="1"/>
  <c r="Y37" i="2" s="1"/>
  <c r="Y38" i="2" s="1"/>
  <c r="Y39" i="2" s="1"/>
  <c r="V7" i="2"/>
  <c r="J28" i="2"/>
  <c r="AC6" i="2"/>
  <c r="Y6" i="2"/>
  <c r="V6" i="2"/>
  <c r="I8" i="2"/>
  <c r="I7" i="2"/>
  <c r="S58" i="1"/>
  <c r="U56" i="1"/>
  <c r="U55" i="1"/>
  <c r="V33" i="1" s="1"/>
  <c r="J45" i="1"/>
  <c r="J44" i="1"/>
  <c r="J43" i="1"/>
  <c r="J38" i="1"/>
  <c r="V34" i="1"/>
  <c r="V32" i="1"/>
  <c r="V31" i="1"/>
  <c r="V28" i="1"/>
  <c r="V27" i="1"/>
  <c r="V24" i="1"/>
  <c r="V23" i="1"/>
  <c r="V22" i="1"/>
  <c r="V21" i="1"/>
  <c r="V18" i="1"/>
  <c r="V17" i="1"/>
  <c r="V16" i="1"/>
  <c r="V14" i="1"/>
  <c r="J46" i="1"/>
  <c r="V13" i="1"/>
  <c r="V12" i="1"/>
  <c r="V11" i="1"/>
  <c r="V9" i="1"/>
  <c r="K27" i="1"/>
  <c r="V8" i="1"/>
  <c r="I8" i="1"/>
  <c r="F8" i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I27" i="1"/>
  <c r="V7" i="1"/>
  <c r="J28" i="1"/>
  <c r="Y6" i="1"/>
  <c r="Y7" i="1" s="1"/>
  <c r="Y8" i="1" s="1"/>
  <c r="Y9" i="1" s="1"/>
  <c r="Y11" i="1" s="1"/>
  <c r="Y12" i="1" s="1"/>
  <c r="Y13" i="1" s="1"/>
  <c r="Y14" i="1" s="1"/>
  <c r="Y16" i="1" s="1"/>
  <c r="Y17" i="1" s="1"/>
  <c r="Y18" i="1" s="1"/>
  <c r="Y19" i="1" s="1"/>
  <c r="Y21" i="1" s="1"/>
  <c r="Y22" i="1" s="1"/>
  <c r="Y23" i="1" s="1"/>
  <c r="Y24" i="1" s="1"/>
  <c r="Y26" i="1" s="1"/>
  <c r="Y27" i="1" s="1"/>
  <c r="Y28" i="1" s="1"/>
  <c r="Y29" i="1" s="1"/>
  <c r="Y31" i="1" s="1"/>
  <c r="Y32" i="1" s="1"/>
  <c r="Y33" i="1" s="1"/>
  <c r="Y34" i="1" s="1"/>
  <c r="Y36" i="1" s="1"/>
  <c r="Y37" i="1" s="1"/>
  <c r="Y38" i="1" s="1"/>
  <c r="Y39" i="1" s="1"/>
  <c r="V6" i="1"/>
  <c r="I7" i="1"/>
  <c r="AC37" i="1" l="1"/>
  <c r="AC29" i="1"/>
  <c r="AC28" i="1"/>
  <c r="AC27" i="1"/>
  <c r="I26" i="1"/>
  <c r="AC21" i="1"/>
  <c r="AC33" i="1"/>
  <c r="AC26" i="1"/>
  <c r="AC19" i="1"/>
  <c r="AC39" i="1"/>
  <c r="AC34" i="1"/>
  <c r="AC32" i="1"/>
  <c r="AC31" i="1"/>
  <c r="AC24" i="1"/>
  <c r="AC22" i="1"/>
  <c r="AC17" i="1"/>
  <c r="AC12" i="1"/>
  <c r="AC11" i="1"/>
  <c r="AC9" i="1"/>
  <c r="AC8" i="1"/>
  <c r="AC36" i="1"/>
  <c r="J27" i="1"/>
  <c r="AC7" i="1"/>
  <c r="AC6" i="1"/>
  <c r="AC38" i="1"/>
  <c r="AC23" i="1"/>
  <c r="AC18" i="1"/>
  <c r="AC16" i="1"/>
  <c r="AC14" i="1"/>
  <c r="AC13" i="1"/>
  <c r="I9" i="1"/>
  <c r="J19" i="1"/>
  <c r="S9" i="1"/>
  <c r="S6" i="1"/>
  <c r="S8" i="1"/>
  <c r="S7" i="1"/>
  <c r="I16" i="1"/>
  <c r="K8" i="1"/>
  <c r="J47" i="1"/>
  <c r="Y67" i="1"/>
  <c r="K38" i="1"/>
  <c r="Z67" i="1" s="1"/>
  <c r="L27" i="1"/>
  <c r="M27" i="1"/>
  <c r="K11" i="1" s="1"/>
  <c r="J19" i="2"/>
  <c r="S7" i="2"/>
  <c r="S6" i="2"/>
  <c r="I9" i="2"/>
  <c r="S9" i="2"/>
  <c r="S8" i="2"/>
  <c r="I16" i="2"/>
  <c r="K8" i="2"/>
  <c r="V29" i="1"/>
  <c r="V37" i="1"/>
  <c r="J47" i="2"/>
  <c r="V36" i="1"/>
  <c r="V38" i="1"/>
  <c r="V39" i="1"/>
  <c r="AC33" i="2"/>
  <c r="AC26" i="2"/>
  <c r="AC19" i="2"/>
  <c r="AC37" i="2"/>
  <c r="AC36" i="2"/>
  <c r="AC34" i="2"/>
  <c r="AC31" i="2"/>
  <c r="AC29" i="2"/>
  <c r="AC28" i="2"/>
  <c r="J27" i="2"/>
  <c r="M27" i="2" s="1"/>
  <c r="K11" i="2" s="1"/>
  <c r="I26" i="2"/>
  <c r="AC24" i="2"/>
  <c r="AC8" i="2"/>
  <c r="AC9" i="2"/>
  <c r="AC11" i="2"/>
  <c r="AC12" i="2"/>
  <c r="AC13" i="2"/>
  <c r="AC14" i="2"/>
  <c r="AC18" i="2"/>
  <c r="AC32" i="2"/>
  <c r="AP11" i="4"/>
  <c r="AS11" i="4"/>
  <c r="V19" i="1"/>
  <c r="V26" i="1"/>
  <c r="AC17" i="2"/>
  <c r="AC22" i="2"/>
  <c r="AC38" i="2"/>
  <c r="AS14" i="4"/>
  <c r="AP14" i="4"/>
  <c r="AL45" i="4" s="1"/>
  <c r="AP15" i="4"/>
  <c r="AS15" i="4"/>
  <c r="AS12" i="4"/>
  <c r="AP12" i="4"/>
  <c r="AP13" i="4"/>
  <c r="AS13" i="4"/>
  <c r="V49" i="4"/>
  <c r="AR10" i="4"/>
  <c r="AR49" i="4" s="1"/>
  <c r="AR183" i="4" s="1"/>
  <c r="Y67" i="2"/>
  <c r="AS16" i="4"/>
  <c r="AP16" i="4"/>
  <c r="AP17" i="4"/>
  <c r="AS17" i="4"/>
  <c r="AS18" i="4"/>
  <c r="AP18" i="4"/>
  <c r="AP19" i="4"/>
  <c r="AS19" i="4"/>
  <c r="AS20" i="4"/>
  <c r="AP20" i="4"/>
  <c r="AP21" i="4"/>
  <c r="AS21" i="4"/>
  <c r="Y4" i="4"/>
  <c r="AS25" i="4"/>
  <c r="AP25" i="4"/>
  <c r="M4" i="4"/>
  <c r="AP28" i="4"/>
  <c r="AS28" i="4"/>
  <c r="AS22" i="4"/>
  <c r="AP22" i="4"/>
  <c r="AP26" i="4"/>
  <c r="AS26" i="4"/>
  <c r="AS27" i="4"/>
  <c r="AP27" i="4"/>
  <c r="B26" i="4"/>
  <c r="B28" i="4"/>
  <c r="B31" i="4"/>
  <c r="B35" i="4"/>
  <c r="B39" i="4"/>
  <c r="B44" i="4"/>
  <c r="AP58" i="4"/>
  <c r="AS58" i="4"/>
  <c r="AS66" i="4" s="1"/>
  <c r="AS184" i="4" s="1"/>
  <c r="AS211" i="4" s="1"/>
  <c r="AP60" i="4"/>
  <c r="AS60" i="4"/>
  <c r="AS74" i="4"/>
  <c r="AP74" i="4"/>
  <c r="AP79" i="4"/>
  <c r="AS79" i="4"/>
  <c r="AS82" i="4"/>
  <c r="AP82" i="4"/>
  <c r="B10" i="4"/>
  <c r="Z49" i="4"/>
  <c r="AD49" i="4"/>
  <c r="AH49" i="4"/>
  <c r="B24" i="4"/>
  <c r="B32" i="4"/>
  <c r="B36" i="4"/>
  <c r="B40" i="4"/>
  <c r="B46" i="4"/>
  <c r="B52" i="4"/>
  <c r="AP73" i="4"/>
  <c r="AS73" i="4"/>
  <c r="AS76" i="4"/>
  <c r="AP76" i="4"/>
  <c r="AP81" i="4"/>
  <c r="AS81" i="4"/>
  <c r="AS84" i="4"/>
  <c r="AP84" i="4"/>
  <c r="B29" i="4"/>
  <c r="B33" i="4"/>
  <c r="B37" i="4"/>
  <c r="AJ44" i="4"/>
  <c r="AS44" i="4" s="1"/>
  <c r="AJ66" i="4"/>
  <c r="AS59" i="4"/>
  <c r="AP59" i="4"/>
  <c r="AL65" i="4" s="1"/>
  <c r="AP75" i="4"/>
  <c r="AS75" i="4"/>
  <c r="AS78" i="4"/>
  <c r="AP78" i="4"/>
  <c r="AP83" i="4"/>
  <c r="AS83" i="4"/>
  <c r="B164" i="4"/>
  <c r="B155" i="4"/>
  <c r="B151" i="4"/>
  <c r="B141" i="4"/>
  <c r="B137" i="4"/>
  <c r="B133" i="4"/>
  <c r="B173" i="4"/>
  <c r="B169" i="4"/>
  <c r="B167" i="4"/>
  <c r="B154" i="4"/>
  <c r="B150" i="4"/>
  <c r="B148" i="4"/>
  <c r="B146" i="4"/>
  <c r="B175" i="4"/>
  <c r="B172" i="4"/>
  <c r="B161" i="4"/>
  <c r="B152" i="4"/>
  <c r="B149" i="4"/>
  <c r="B147" i="4"/>
  <c r="B145" i="4"/>
  <c r="B142" i="4"/>
  <c r="B143" i="4"/>
  <c r="B139" i="4"/>
  <c r="B134" i="4"/>
  <c r="B131" i="4"/>
  <c r="B105" i="4"/>
  <c r="B101" i="4"/>
  <c r="B97" i="4"/>
  <c r="B93" i="4"/>
  <c r="B89" i="4"/>
  <c r="B174" i="4"/>
  <c r="B140" i="4"/>
  <c r="B135" i="4"/>
  <c r="B104" i="4"/>
  <c r="B100" i="4"/>
  <c r="B96" i="4"/>
  <c r="B92" i="4"/>
  <c r="B88" i="4"/>
  <c r="B166" i="4"/>
  <c r="B165" i="4"/>
  <c r="B136" i="4"/>
  <c r="B130" i="4"/>
  <c r="B110" i="4"/>
  <c r="B106" i="4"/>
  <c r="B103" i="4"/>
  <c r="B99" i="4"/>
  <c r="B95" i="4"/>
  <c r="B91" i="4"/>
  <c r="B87" i="4"/>
  <c r="B153" i="4"/>
  <c r="B144" i="4"/>
  <c r="B138" i="4"/>
  <c r="B132" i="4"/>
  <c r="B128" i="4"/>
  <c r="B102" i="4"/>
  <c r="B98" i="4"/>
  <c r="B94" i="4"/>
  <c r="B90" i="4"/>
  <c r="B69" i="4"/>
  <c r="B63" i="4"/>
  <c r="B60" i="4"/>
  <c r="B58" i="4"/>
  <c r="B54" i="4"/>
  <c r="B43" i="4"/>
  <c r="B84" i="4"/>
  <c r="B82" i="4"/>
  <c r="B80" i="4"/>
  <c r="B78" i="4"/>
  <c r="B76" i="4"/>
  <c r="B74" i="4"/>
  <c r="B72" i="4"/>
  <c r="B62" i="4"/>
  <c r="B57" i="4"/>
  <c r="B53" i="4"/>
  <c r="B45" i="4"/>
  <c r="B42" i="4"/>
  <c r="B61" i="4"/>
  <c r="B59" i="4"/>
  <c r="B56" i="4"/>
  <c r="B49" i="4"/>
  <c r="B47" i="4"/>
  <c r="B41" i="4"/>
  <c r="B86" i="4"/>
  <c r="B85" i="4"/>
  <c r="B83" i="4"/>
  <c r="B81" i="4"/>
  <c r="B79" i="4"/>
  <c r="B77" i="4"/>
  <c r="B75" i="4"/>
  <c r="B73" i="4"/>
  <c r="B71" i="4"/>
  <c r="B64" i="4"/>
  <c r="B7" i="4"/>
  <c r="X49" i="4"/>
  <c r="AB49" i="4"/>
  <c r="AF49" i="4"/>
  <c r="AJ10" i="4"/>
  <c r="B30" i="4"/>
  <c r="B34" i="4"/>
  <c r="B38" i="4"/>
  <c r="AJ46" i="4"/>
  <c r="AS46" i="4" s="1"/>
  <c r="AJ47" i="4"/>
  <c r="AS47" i="4" s="1"/>
  <c r="AP77" i="4"/>
  <c r="AS77" i="4"/>
  <c r="AS80" i="4"/>
  <c r="AP80" i="4"/>
  <c r="AJ72" i="4"/>
  <c r="K179" i="4"/>
  <c r="K181" i="4" s="1"/>
  <c r="O179" i="4"/>
  <c r="S179" i="4"/>
  <c r="AP145" i="4"/>
  <c r="AS145" i="4"/>
  <c r="AR53" i="4"/>
  <c r="AR66" i="4" s="1"/>
  <c r="AR184" i="4" s="1"/>
  <c r="AR211" i="4" s="1"/>
  <c r="AC110" i="4"/>
  <c r="AG110" i="4"/>
  <c r="AJ89" i="4"/>
  <c r="AS89" i="4" s="1"/>
  <c r="AJ90" i="4"/>
  <c r="AS90" i="4" s="1"/>
  <c r="X66" i="4"/>
  <c r="Z110" i="4"/>
  <c r="AD110" i="4"/>
  <c r="AH110" i="4"/>
  <c r="AR72" i="4"/>
  <c r="AR110" i="4" s="1"/>
  <c r="AR185" i="4" s="1"/>
  <c r="AR212" i="4" s="1"/>
  <c r="AJ85" i="4"/>
  <c r="AS85" i="4" s="1"/>
  <c r="AJ86" i="4"/>
  <c r="AS86" i="4" s="1"/>
  <c r="J179" i="4"/>
  <c r="N179" i="4"/>
  <c r="N181" i="4" s="1"/>
  <c r="R179" i="4"/>
  <c r="R181" i="4" s="1"/>
  <c r="AV173" i="4"/>
  <c r="AV177" i="4" s="1"/>
  <c r="AU177" i="4"/>
  <c r="AU188" i="4" s="1"/>
  <c r="AU215" i="4" s="1"/>
  <c r="L179" i="4"/>
  <c r="L181" i="4" s="1"/>
  <c r="P179" i="4"/>
  <c r="P181" i="4" s="1"/>
  <c r="T179" i="4"/>
  <c r="AJ139" i="4"/>
  <c r="AS139" i="4" s="1"/>
  <c r="AJ143" i="4"/>
  <c r="AS143" i="4" s="1"/>
  <c r="AJ146" i="4"/>
  <c r="AJ148" i="4"/>
  <c r="AJ150" i="4"/>
  <c r="AS150" i="4" s="1"/>
  <c r="AJ154" i="4"/>
  <c r="AS154" i="4" s="1"/>
  <c r="M179" i="4"/>
  <c r="M181" i="4" s="1"/>
  <c r="Q179" i="4"/>
  <c r="U179" i="4"/>
  <c r="AR131" i="4"/>
  <c r="AR161" i="4" s="1"/>
  <c r="AR186" i="4" s="1"/>
  <c r="AR213" i="4" s="1"/>
  <c r="AS147" i="4"/>
  <c r="AS149" i="4"/>
  <c r="V179" i="4"/>
  <c r="AS177" i="4"/>
  <c r="AS188" i="4" s="1"/>
  <c r="AS215" i="4" s="1"/>
  <c r="Y161" i="4"/>
  <c r="AC161" i="4"/>
  <c r="AG161" i="4"/>
  <c r="AJ165" i="4"/>
  <c r="AJ166" i="4"/>
  <c r="AS166" i="4" s="1"/>
  <c r="AR177" i="4"/>
  <c r="AR188" i="4" s="1"/>
  <c r="AR215" i="4" s="1"/>
  <c r="AJ144" i="4"/>
  <c r="AR165" i="4"/>
  <c r="M11" i="2" l="1"/>
  <c r="I11" i="2"/>
  <c r="AD8" i="1"/>
  <c r="AE8" i="1" s="1"/>
  <c r="AF8" i="1" s="1"/>
  <c r="AG8" i="1" s="1"/>
  <c r="AH8" i="1" s="1"/>
  <c r="AS146" i="4"/>
  <c r="AP146" i="4"/>
  <c r="AR169" i="4"/>
  <c r="AR187" i="4" s="1"/>
  <c r="AR214" i="4" s="1"/>
  <c r="AS144" i="4"/>
  <c r="AS161" i="4" s="1"/>
  <c r="AS186" i="4" s="1"/>
  <c r="AS213" i="4" s="1"/>
  <c r="AJ161" i="4"/>
  <c r="AP144" i="4"/>
  <c r="AL160" i="4" s="1"/>
  <c r="U181" i="4"/>
  <c r="J181" i="4"/>
  <c r="S181" i="4"/>
  <c r="Q181" i="4"/>
  <c r="AS148" i="4"/>
  <c r="AP148" i="4"/>
  <c r="T181" i="4"/>
  <c r="O181" i="4"/>
  <c r="AJ49" i="4"/>
  <c r="AS10" i="4"/>
  <c r="AS49" i="4" s="1"/>
  <c r="AS183" i="4" s="1"/>
  <c r="AP10" i="4"/>
  <c r="AL44" i="4" s="1"/>
  <c r="N4" i="4"/>
  <c r="AA4" i="4"/>
  <c r="AR190" i="4"/>
  <c r="AR210" i="4"/>
  <c r="AR217" i="4" s="1"/>
  <c r="T6" i="2"/>
  <c r="U6" i="2"/>
  <c r="W6" i="2" s="1"/>
  <c r="X6" i="2" s="1"/>
  <c r="Z6" i="2" s="1"/>
  <c r="AA6" i="2" s="1"/>
  <c r="AB6" i="2" s="1"/>
  <c r="AD6" i="2" s="1"/>
  <c r="AE6" i="2" s="1"/>
  <c r="AF6" i="2" s="1"/>
  <c r="AG6" i="2" s="1"/>
  <c r="AH6" i="2" s="1"/>
  <c r="U8" i="1"/>
  <c r="W8" i="1" s="1"/>
  <c r="X8" i="1" s="1"/>
  <c r="Z8" i="1" s="1"/>
  <c r="AA8" i="1" s="1"/>
  <c r="AB8" i="1" s="1"/>
  <c r="T8" i="1"/>
  <c r="T8" i="2"/>
  <c r="U8" i="2" s="1"/>
  <c r="W8" i="2" s="1"/>
  <c r="X8" i="2" s="1"/>
  <c r="Z8" i="2" s="1"/>
  <c r="AA8" i="2" s="1"/>
  <c r="AB8" i="2" s="1"/>
  <c r="AD8" i="2" s="1"/>
  <c r="AE8" i="2" s="1"/>
  <c r="AF8" i="2" s="1"/>
  <c r="AG8" i="2" s="1"/>
  <c r="AH8" i="2" s="1"/>
  <c r="T7" i="2"/>
  <c r="U7" i="2" s="1"/>
  <c r="W7" i="2" s="1"/>
  <c r="X7" i="2" s="1"/>
  <c r="Z7" i="2" s="1"/>
  <c r="AA7" i="2" s="1"/>
  <c r="AB7" i="2" s="1"/>
  <c r="AD7" i="2" s="1"/>
  <c r="AE7" i="2" s="1"/>
  <c r="AF7" i="2" s="1"/>
  <c r="AG7" i="2" s="1"/>
  <c r="AH7" i="2" s="1"/>
  <c r="T6" i="1"/>
  <c r="U6" i="1"/>
  <c r="W6" i="1" s="1"/>
  <c r="X6" i="1" s="1"/>
  <c r="Z6" i="1" s="1"/>
  <c r="AA6" i="1" s="1"/>
  <c r="AB6" i="1" s="1"/>
  <c r="AD6" i="1" s="1"/>
  <c r="AE6" i="1" s="1"/>
  <c r="AF6" i="1" s="1"/>
  <c r="AG6" i="1" s="1"/>
  <c r="AH6" i="1" s="1"/>
  <c r="AJ110" i="4"/>
  <c r="AS72" i="4"/>
  <c r="AS110" i="4" s="1"/>
  <c r="AS185" i="4" s="1"/>
  <c r="AS212" i="4" s="1"/>
  <c r="AP72" i="4"/>
  <c r="AL105" i="4" s="1"/>
  <c r="J26" i="2"/>
  <c r="I28" i="2"/>
  <c r="T9" i="2"/>
  <c r="U9" i="2" s="1"/>
  <c r="W9" i="2" s="1"/>
  <c r="X9" i="2" s="1"/>
  <c r="Z9" i="2" s="1"/>
  <c r="AA9" i="2" s="1"/>
  <c r="AB9" i="2" s="1"/>
  <c r="AD9" i="2" s="1"/>
  <c r="AE9" i="2" s="1"/>
  <c r="AF9" i="2" s="1"/>
  <c r="AG9" i="2" s="1"/>
  <c r="AH9" i="2" s="1"/>
  <c r="I11" i="1"/>
  <c r="M11" i="1"/>
  <c r="T7" i="1"/>
  <c r="U7" i="1"/>
  <c r="W7" i="1" s="1"/>
  <c r="X7" i="1" s="1"/>
  <c r="Z7" i="1" s="1"/>
  <c r="AA7" i="1" s="1"/>
  <c r="AB7" i="1" s="1"/>
  <c r="AD7" i="1" s="1"/>
  <c r="AE7" i="1" s="1"/>
  <c r="AF7" i="1" s="1"/>
  <c r="AG7" i="1" s="1"/>
  <c r="AH7" i="1" s="1"/>
  <c r="T9" i="1"/>
  <c r="U9" i="1"/>
  <c r="W9" i="1" s="1"/>
  <c r="X9" i="1" s="1"/>
  <c r="Z9" i="1" s="1"/>
  <c r="AA9" i="1" s="1"/>
  <c r="AB9" i="1" s="1"/>
  <c r="AD9" i="1" s="1"/>
  <c r="AE9" i="1" s="1"/>
  <c r="AF9" i="1" s="1"/>
  <c r="AG9" i="1" s="1"/>
  <c r="AH9" i="1" s="1"/>
  <c r="I28" i="1"/>
  <c r="J26" i="1"/>
  <c r="AB4" i="4" l="1"/>
  <c r="O4" i="4"/>
  <c r="AU165" i="4"/>
  <c r="AS169" i="4"/>
  <c r="AS187" i="4" s="1"/>
  <c r="AS214" i="4" s="1"/>
  <c r="AS210" i="4"/>
  <c r="AS217" i="4" s="1"/>
  <c r="AV165" i="4" l="1"/>
  <c r="P4" i="4"/>
  <c r="AC4" i="4"/>
  <c r="AS190" i="4"/>
  <c r="AD4" i="4" l="1"/>
  <c r="Q4" i="4"/>
  <c r="R4" i="4" l="1"/>
  <c r="AE4" i="4"/>
  <c r="AF4" i="4" l="1"/>
  <c r="S4" i="4"/>
  <c r="T4" i="4" l="1"/>
  <c r="AG4" i="4"/>
  <c r="AH4" i="4" l="1"/>
  <c r="U4" i="4"/>
  <c r="AI4" i="4" s="1"/>
  <c r="AU203" i="4" l="1"/>
  <c r="AV203" i="4"/>
  <c r="AI6" i="1"/>
  <c r="AJ6" i="1"/>
  <c r="AK6" i="1"/>
  <c r="J7" i="1"/>
  <c r="K7" i="1"/>
  <c r="L7" i="1"/>
  <c r="M7" i="1"/>
  <c r="AI7" i="1"/>
  <c r="AJ7" i="1"/>
  <c r="AK7" i="1"/>
  <c r="L8" i="1"/>
  <c r="M8" i="1"/>
  <c r="AI8" i="1"/>
  <c r="AJ8" i="1"/>
  <c r="AK8" i="1"/>
  <c r="K9" i="1"/>
  <c r="M9" i="1"/>
  <c r="AI9" i="1"/>
  <c r="AJ9" i="1"/>
  <c r="AK9" i="1"/>
  <c r="S11" i="1"/>
  <c r="T11" i="1"/>
  <c r="U11" i="1"/>
  <c r="W11" i="1"/>
  <c r="X11" i="1"/>
  <c r="Z11" i="1"/>
  <c r="AA11" i="1"/>
  <c r="AB11" i="1"/>
  <c r="AD11" i="1"/>
  <c r="AE11" i="1"/>
  <c r="AF11" i="1"/>
  <c r="AG11" i="1"/>
  <c r="AH11" i="1"/>
  <c r="AI11" i="1"/>
  <c r="AJ11" i="1"/>
  <c r="AK11" i="1"/>
  <c r="I12" i="1"/>
  <c r="J12" i="1"/>
  <c r="K12" i="1"/>
  <c r="M12" i="1"/>
  <c r="S12" i="1"/>
  <c r="T12" i="1"/>
  <c r="U12" i="1"/>
  <c r="W12" i="1"/>
  <c r="X12" i="1"/>
  <c r="Z12" i="1"/>
  <c r="AA12" i="1"/>
  <c r="AB12" i="1"/>
  <c r="AD12" i="1"/>
  <c r="AE12" i="1"/>
  <c r="AF12" i="1"/>
  <c r="AG12" i="1"/>
  <c r="AH12" i="1"/>
  <c r="AI12" i="1"/>
  <c r="AJ12" i="1"/>
  <c r="AK12" i="1"/>
  <c r="S13" i="1"/>
  <c r="T13" i="1"/>
  <c r="U13" i="1"/>
  <c r="W13" i="1"/>
  <c r="X13" i="1"/>
  <c r="Z13" i="1"/>
  <c r="AA13" i="1"/>
  <c r="AB13" i="1"/>
  <c r="AD13" i="1"/>
  <c r="AE13" i="1"/>
  <c r="AF13" i="1"/>
  <c r="AG13" i="1"/>
  <c r="AH13" i="1"/>
  <c r="AI13" i="1"/>
  <c r="AJ13" i="1"/>
  <c r="AK13" i="1"/>
  <c r="I14" i="1"/>
  <c r="K14" i="1"/>
  <c r="M14" i="1"/>
  <c r="S14" i="1"/>
  <c r="T14" i="1"/>
  <c r="U14" i="1"/>
  <c r="W14" i="1"/>
  <c r="X14" i="1"/>
  <c r="Z14" i="1"/>
  <c r="AA14" i="1"/>
  <c r="AB14" i="1"/>
  <c r="AD14" i="1"/>
  <c r="AE14" i="1"/>
  <c r="AF14" i="1"/>
  <c r="AG14" i="1"/>
  <c r="AH14" i="1"/>
  <c r="AI14" i="1"/>
  <c r="AJ14" i="1"/>
  <c r="AK14" i="1"/>
  <c r="K16" i="1"/>
  <c r="M16" i="1"/>
  <c r="S16" i="1"/>
  <c r="T16" i="1"/>
  <c r="U16" i="1"/>
  <c r="W16" i="1"/>
  <c r="X16" i="1"/>
  <c r="Z16" i="1"/>
  <c r="AA16" i="1"/>
  <c r="AB16" i="1"/>
  <c r="AD16" i="1"/>
  <c r="AE16" i="1"/>
  <c r="AF16" i="1"/>
  <c r="AG16" i="1"/>
  <c r="AH16" i="1"/>
  <c r="AI16" i="1"/>
  <c r="AJ16" i="1"/>
  <c r="AK16" i="1"/>
  <c r="S17" i="1"/>
  <c r="T17" i="1"/>
  <c r="U17" i="1"/>
  <c r="W17" i="1"/>
  <c r="X17" i="1"/>
  <c r="Z17" i="1"/>
  <c r="AA17" i="1"/>
  <c r="AB17" i="1"/>
  <c r="AD17" i="1"/>
  <c r="AE17" i="1"/>
  <c r="AF17" i="1"/>
  <c r="AG17" i="1"/>
  <c r="AH17" i="1"/>
  <c r="AI17" i="1"/>
  <c r="AJ17" i="1"/>
  <c r="AK17" i="1"/>
  <c r="S18" i="1"/>
  <c r="T18" i="1"/>
  <c r="U18" i="1"/>
  <c r="W18" i="1"/>
  <c r="X18" i="1"/>
  <c r="Z18" i="1"/>
  <c r="AA18" i="1"/>
  <c r="AB18" i="1"/>
  <c r="AD18" i="1"/>
  <c r="AE18" i="1"/>
  <c r="AF18" i="1"/>
  <c r="AG18" i="1"/>
  <c r="AH18" i="1"/>
  <c r="AI18" i="1"/>
  <c r="AJ18" i="1"/>
  <c r="AK18" i="1"/>
  <c r="M19" i="1"/>
  <c r="S19" i="1"/>
  <c r="T19" i="1"/>
  <c r="U19" i="1"/>
  <c r="W19" i="1"/>
  <c r="X19" i="1"/>
  <c r="Z19" i="1"/>
  <c r="AA19" i="1"/>
  <c r="AB19" i="1"/>
  <c r="AD19" i="1"/>
  <c r="AE19" i="1"/>
  <c r="AF19" i="1"/>
  <c r="AG19" i="1"/>
  <c r="AH19" i="1"/>
  <c r="AI19" i="1"/>
  <c r="AJ19" i="1"/>
  <c r="AK19" i="1"/>
  <c r="J20" i="1"/>
  <c r="M20" i="1"/>
  <c r="J21" i="1"/>
  <c r="M21" i="1"/>
  <c r="S21" i="1"/>
  <c r="T21" i="1"/>
  <c r="U21" i="1"/>
  <c r="W21" i="1"/>
  <c r="X21" i="1"/>
  <c r="Z21" i="1"/>
  <c r="AA21" i="1"/>
  <c r="AB21" i="1"/>
  <c r="AD21" i="1"/>
  <c r="AE21" i="1"/>
  <c r="AF21" i="1"/>
  <c r="AG21" i="1"/>
  <c r="AH21" i="1"/>
  <c r="AI21" i="1"/>
  <c r="AJ21" i="1"/>
  <c r="AK21" i="1"/>
  <c r="K22" i="1"/>
  <c r="S22" i="1"/>
  <c r="T22" i="1"/>
  <c r="U22" i="1"/>
  <c r="W22" i="1"/>
  <c r="X22" i="1"/>
  <c r="Z22" i="1"/>
  <c r="AA22" i="1"/>
  <c r="AB22" i="1"/>
  <c r="AD22" i="1"/>
  <c r="AE22" i="1"/>
  <c r="AF22" i="1"/>
  <c r="AG22" i="1"/>
  <c r="AH22" i="1"/>
  <c r="AI22" i="1"/>
  <c r="AJ22" i="1"/>
  <c r="AK22" i="1"/>
  <c r="S23" i="1"/>
  <c r="T23" i="1"/>
  <c r="U23" i="1"/>
  <c r="W23" i="1"/>
  <c r="X23" i="1"/>
  <c r="Z23" i="1"/>
  <c r="AA23" i="1"/>
  <c r="AB23" i="1"/>
  <c r="AD23" i="1"/>
  <c r="AE23" i="1"/>
  <c r="AF23" i="1"/>
  <c r="AG23" i="1"/>
  <c r="AH23" i="1"/>
  <c r="AI23" i="1"/>
  <c r="AJ23" i="1"/>
  <c r="AK23" i="1"/>
  <c r="S24" i="1"/>
  <c r="T24" i="1"/>
  <c r="U24" i="1"/>
  <c r="W24" i="1"/>
  <c r="X24" i="1"/>
  <c r="Z24" i="1"/>
  <c r="AA24" i="1"/>
  <c r="AB24" i="1"/>
  <c r="AD24" i="1"/>
  <c r="AE24" i="1"/>
  <c r="AF24" i="1"/>
  <c r="AG24" i="1"/>
  <c r="AH24" i="1"/>
  <c r="AI24" i="1"/>
  <c r="AJ24" i="1"/>
  <c r="AK24" i="1"/>
  <c r="K26" i="1"/>
  <c r="L26" i="1"/>
  <c r="M26" i="1"/>
  <c r="S26" i="1"/>
  <c r="T26" i="1"/>
  <c r="U26" i="1"/>
  <c r="W26" i="1"/>
  <c r="X26" i="1"/>
  <c r="Z26" i="1"/>
  <c r="AA26" i="1"/>
  <c r="AB26" i="1"/>
  <c r="AD26" i="1"/>
  <c r="AE26" i="1"/>
  <c r="AF26" i="1"/>
  <c r="AG26" i="1"/>
  <c r="AH26" i="1"/>
  <c r="AI26" i="1"/>
  <c r="AJ26" i="1"/>
  <c r="AK26" i="1"/>
  <c r="S27" i="1"/>
  <c r="T27" i="1"/>
  <c r="U27" i="1"/>
  <c r="W27" i="1"/>
  <c r="X27" i="1"/>
  <c r="Z27" i="1"/>
  <c r="AA27" i="1"/>
  <c r="AB27" i="1"/>
  <c r="AD27" i="1"/>
  <c r="AE27" i="1"/>
  <c r="AF27" i="1"/>
  <c r="AG27" i="1"/>
  <c r="AH27" i="1"/>
  <c r="AI27" i="1"/>
  <c r="AJ27" i="1"/>
  <c r="AK27" i="1"/>
  <c r="L28" i="1"/>
  <c r="M28" i="1"/>
  <c r="S28" i="1"/>
  <c r="T28" i="1"/>
  <c r="U28" i="1"/>
  <c r="W28" i="1"/>
  <c r="X28" i="1"/>
  <c r="Z28" i="1"/>
  <c r="AA28" i="1"/>
  <c r="AB28" i="1"/>
  <c r="AD28" i="1"/>
  <c r="AE28" i="1"/>
  <c r="AF28" i="1"/>
  <c r="AG28" i="1"/>
  <c r="AH28" i="1"/>
  <c r="AI28" i="1"/>
  <c r="AJ28" i="1"/>
  <c r="AK28" i="1"/>
  <c r="S29" i="1"/>
  <c r="T29" i="1"/>
  <c r="U29" i="1"/>
  <c r="W29" i="1"/>
  <c r="X29" i="1"/>
  <c r="Z29" i="1"/>
  <c r="AA29" i="1"/>
  <c r="AB29" i="1"/>
  <c r="AD29" i="1"/>
  <c r="AE29" i="1"/>
  <c r="AF29" i="1"/>
  <c r="AG29" i="1"/>
  <c r="AH29" i="1"/>
  <c r="AI29" i="1"/>
  <c r="AJ29" i="1"/>
  <c r="AK29" i="1"/>
  <c r="S31" i="1"/>
  <c r="T31" i="1"/>
  <c r="U31" i="1"/>
  <c r="W31" i="1"/>
  <c r="X31" i="1"/>
  <c r="Z31" i="1"/>
  <c r="AA31" i="1"/>
  <c r="AB31" i="1"/>
  <c r="AD31" i="1"/>
  <c r="AE31" i="1"/>
  <c r="AF31" i="1"/>
  <c r="AG31" i="1"/>
  <c r="AH31" i="1"/>
  <c r="AI31" i="1"/>
  <c r="AJ31" i="1"/>
  <c r="AK31" i="1"/>
  <c r="S32" i="1"/>
  <c r="T32" i="1"/>
  <c r="U32" i="1"/>
  <c r="W32" i="1"/>
  <c r="X32" i="1"/>
  <c r="Z32" i="1"/>
  <c r="AA32" i="1"/>
  <c r="AB32" i="1"/>
  <c r="AD32" i="1"/>
  <c r="AE32" i="1"/>
  <c r="AF32" i="1"/>
  <c r="AG32" i="1"/>
  <c r="AH32" i="1"/>
  <c r="AI32" i="1"/>
  <c r="AJ32" i="1"/>
  <c r="AK32" i="1"/>
  <c r="J33" i="1"/>
  <c r="K33" i="1"/>
  <c r="S33" i="1"/>
  <c r="T33" i="1"/>
  <c r="U33" i="1"/>
  <c r="W33" i="1"/>
  <c r="X33" i="1"/>
  <c r="Z33" i="1"/>
  <c r="AA33" i="1"/>
  <c r="AB33" i="1"/>
  <c r="AD33" i="1"/>
  <c r="AE33" i="1"/>
  <c r="AF33" i="1"/>
  <c r="AG33" i="1"/>
  <c r="AH33" i="1"/>
  <c r="AI33" i="1"/>
  <c r="AJ33" i="1"/>
  <c r="AK33" i="1"/>
  <c r="J34" i="1"/>
  <c r="K34" i="1"/>
  <c r="S34" i="1"/>
  <c r="T34" i="1"/>
  <c r="U34" i="1"/>
  <c r="W34" i="1"/>
  <c r="X34" i="1"/>
  <c r="Z34" i="1"/>
  <c r="AA34" i="1"/>
  <c r="AB34" i="1"/>
  <c r="AD34" i="1"/>
  <c r="AE34" i="1"/>
  <c r="AF34" i="1"/>
  <c r="AG34" i="1"/>
  <c r="AH34" i="1"/>
  <c r="AI34" i="1"/>
  <c r="AJ34" i="1"/>
  <c r="AK34" i="1"/>
  <c r="J35" i="1"/>
  <c r="K35" i="1"/>
  <c r="J36" i="1"/>
  <c r="K36" i="1"/>
  <c r="S36" i="1"/>
  <c r="T36" i="1"/>
  <c r="U36" i="1"/>
  <c r="W36" i="1"/>
  <c r="X36" i="1"/>
  <c r="Z36" i="1"/>
  <c r="AA36" i="1"/>
  <c r="AB36" i="1"/>
  <c r="AD36" i="1"/>
  <c r="AE36" i="1"/>
  <c r="AF36" i="1"/>
  <c r="AG36" i="1"/>
  <c r="AH36" i="1"/>
  <c r="AI36" i="1"/>
  <c r="AJ36" i="1"/>
  <c r="AK36" i="1"/>
  <c r="J37" i="1"/>
  <c r="K37" i="1"/>
  <c r="S37" i="1"/>
  <c r="T37" i="1"/>
  <c r="U37" i="1"/>
  <c r="W37" i="1"/>
  <c r="X37" i="1"/>
  <c r="Z37" i="1"/>
  <c r="AA37" i="1"/>
  <c r="AB37" i="1"/>
  <c r="AD37" i="1"/>
  <c r="AE37" i="1"/>
  <c r="AF37" i="1"/>
  <c r="AG37" i="1"/>
  <c r="AH37" i="1"/>
  <c r="AI37" i="1"/>
  <c r="AJ37" i="1"/>
  <c r="AK37" i="1"/>
  <c r="S38" i="1"/>
  <c r="T38" i="1"/>
  <c r="U38" i="1"/>
  <c r="W38" i="1"/>
  <c r="X38" i="1"/>
  <c r="Z38" i="1"/>
  <c r="AA38" i="1"/>
  <c r="AB38" i="1"/>
  <c r="AD38" i="1"/>
  <c r="AE38" i="1"/>
  <c r="AF38" i="1"/>
  <c r="AG38" i="1"/>
  <c r="AH38" i="1"/>
  <c r="AI38" i="1"/>
  <c r="AJ38" i="1"/>
  <c r="AK38" i="1"/>
  <c r="S39" i="1"/>
  <c r="T39" i="1"/>
  <c r="U39" i="1"/>
  <c r="W39" i="1"/>
  <c r="X39" i="1"/>
  <c r="Z39" i="1"/>
  <c r="AA39" i="1"/>
  <c r="AB39" i="1"/>
  <c r="AD39" i="1"/>
  <c r="AE39" i="1"/>
  <c r="AF39" i="1"/>
  <c r="AG39" i="1"/>
  <c r="AH39" i="1"/>
  <c r="AI39" i="1"/>
  <c r="AJ39" i="1"/>
  <c r="AK39" i="1"/>
  <c r="K43" i="1"/>
  <c r="V43" i="1"/>
  <c r="K44" i="1"/>
  <c r="V44" i="1"/>
  <c r="K45" i="1"/>
  <c r="V45" i="1"/>
  <c r="K46" i="1"/>
  <c r="K47" i="1"/>
  <c r="R47" i="1"/>
  <c r="R48" i="1"/>
  <c r="J49" i="1"/>
  <c r="R50" i="1"/>
  <c r="Y62" i="1"/>
  <c r="Z62" i="1"/>
  <c r="Y63" i="1"/>
  <c r="Z63" i="1"/>
  <c r="Y64" i="1"/>
  <c r="Z64" i="1"/>
  <c r="Y65" i="1"/>
  <c r="Z65" i="1"/>
  <c r="Y66" i="1"/>
  <c r="Z66" i="1"/>
  <c r="AI6" i="2"/>
  <c r="AJ6" i="2"/>
  <c r="AK6" i="2"/>
  <c r="J7" i="2"/>
  <c r="K7" i="2"/>
  <c r="L7" i="2"/>
  <c r="M7" i="2"/>
  <c r="AI7" i="2"/>
  <c r="AJ7" i="2"/>
  <c r="AK7" i="2"/>
  <c r="L8" i="2"/>
  <c r="M8" i="2"/>
  <c r="AI8" i="2"/>
  <c r="AJ8" i="2"/>
  <c r="AK8" i="2"/>
  <c r="K9" i="2"/>
  <c r="M9" i="2"/>
  <c r="AI9" i="2"/>
  <c r="AJ9" i="2"/>
  <c r="AK9" i="2"/>
  <c r="S11" i="2"/>
  <c r="T11" i="2"/>
  <c r="U11" i="2"/>
  <c r="W11" i="2"/>
  <c r="X11" i="2"/>
  <c r="Z11" i="2"/>
  <c r="AA11" i="2"/>
  <c r="AB11" i="2"/>
  <c r="AD11" i="2"/>
  <c r="AE11" i="2"/>
  <c r="AF11" i="2"/>
  <c r="AG11" i="2"/>
  <c r="AH11" i="2"/>
  <c r="AI11" i="2"/>
  <c r="AJ11" i="2"/>
  <c r="AK11" i="2"/>
  <c r="I12" i="2"/>
  <c r="J12" i="2"/>
  <c r="K12" i="2"/>
  <c r="M12" i="2"/>
  <c r="S12" i="2"/>
  <c r="T12" i="2"/>
  <c r="U12" i="2"/>
  <c r="W12" i="2"/>
  <c r="X12" i="2"/>
  <c r="Z12" i="2"/>
  <c r="AA12" i="2"/>
  <c r="AB12" i="2"/>
  <c r="AD12" i="2"/>
  <c r="AE12" i="2"/>
  <c r="AF12" i="2"/>
  <c r="AG12" i="2"/>
  <c r="AH12" i="2"/>
  <c r="AI12" i="2"/>
  <c r="AJ12" i="2"/>
  <c r="AK12" i="2"/>
  <c r="S13" i="2"/>
  <c r="T13" i="2"/>
  <c r="U13" i="2"/>
  <c r="W13" i="2"/>
  <c r="X13" i="2"/>
  <c r="Z13" i="2"/>
  <c r="AA13" i="2"/>
  <c r="AB13" i="2"/>
  <c r="AD13" i="2"/>
  <c r="AE13" i="2"/>
  <c r="AF13" i="2"/>
  <c r="AG13" i="2"/>
  <c r="AH13" i="2"/>
  <c r="AI13" i="2"/>
  <c r="AJ13" i="2"/>
  <c r="AK13" i="2"/>
  <c r="I14" i="2"/>
  <c r="K14" i="2"/>
  <c r="M14" i="2"/>
  <c r="S14" i="2"/>
  <c r="T14" i="2"/>
  <c r="U14" i="2"/>
  <c r="W14" i="2"/>
  <c r="X14" i="2"/>
  <c r="Z14" i="2"/>
  <c r="AA14" i="2"/>
  <c r="AB14" i="2"/>
  <c r="AD14" i="2"/>
  <c r="AE14" i="2"/>
  <c r="AF14" i="2"/>
  <c r="AG14" i="2"/>
  <c r="AH14" i="2"/>
  <c r="AI14" i="2"/>
  <c r="AJ14" i="2"/>
  <c r="AK14" i="2"/>
  <c r="K16" i="2"/>
  <c r="M16" i="2"/>
  <c r="S16" i="2"/>
  <c r="T16" i="2"/>
  <c r="U16" i="2"/>
  <c r="W16" i="2"/>
  <c r="X16" i="2"/>
  <c r="Z16" i="2"/>
  <c r="AA16" i="2"/>
  <c r="AB16" i="2"/>
  <c r="AD16" i="2"/>
  <c r="AE16" i="2"/>
  <c r="AF16" i="2"/>
  <c r="AG16" i="2"/>
  <c r="AH16" i="2"/>
  <c r="AI16" i="2"/>
  <c r="AJ16" i="2"/>
  <c r="AK16" i="2"/>
  <c r="S17" i="2"/>
  <c r="T17" i="2"/>
  <c r="U17" i="2"/>
  <c r="W17" i="2"/>
  <c r="X17" i="2"/>
  <c r="Z17" i="2"/>
  <c r="AA17" i="2"/>
  <c r="AB17" i="2"/>
  <c r="AD17" i="2"/>
  <c r="AE17" i="2"/>
  <c r="AF17" i="2"/>
  <c r="AG17" i="2"/>
  <c r="AH17" i="2"/>
  <c r="AI17" i="2"/>
  <c r="AJ17" i="2"/>
  <c r="AK17" i="2"/>
  <c r="S18" i="2"/>
  <c r="T18" i="2"/>
  <c r="U18" i="2"/>
  <c r="W18" i="2"/>
  <c r="X18" i="2"/>
  <c r="Z18" i="2"/>
  <c r="AA18" i="2"/>
  <c r="AB18" i="2"/>
  <c r="AD18" i="2"/>
  <c r="AE18" i="2"/>
  <c r="AF18" i="2"/>
  <c r="AG18" i="2"/>
  <c r="AH18" i="2"/>
  <c r="AI18" i="2"/>
  <c r="AJ18" i="2"/>
  <c r="AK18" i="2"/>
  <c r="M19" i="2"/>
  <c r="S19" i="2"/>
  <c r="T19" i="2"/>
  <c r="U19" i="2"/>
  <c r="W19" i="2"/>
  <c r="X19" i="2"/>
  <c r="Z19" i="2"/>
  <c r="AA19" i="2"/>
  <c r="AB19" i="2"/>
  <c r="AD19" i="2"/>
  <c r="AE19" i="2"/>
  <c r="AF19" i="2"/>
  <c r="AG19" i="2"/>
  <c r="AH19" i="2"/>
  <c r="AI19" i="2"/>
  <c r="AJ19" i="2"/>
  <c r="AK19" i="2"/>
  <c r="J20" i="2"/>
  <c r="M20" i="2"/>
  <c r="J21" i="2"/>
  <c r="M21" i="2"/>
  <c r="S21" i="2"/>
  <c r="T21" i="2"/>
  <c r="U21" i="2"/>
  <c r="W21" i="2"/>
  <c r="X21" i="2"/>
  <c r="Z21" i="2"/>
  <c r="AA21" i="2"/>
  <c r="AB21" i="2"/>
  <c r="AD21" i="2"/>
  <c r="AE21" i="2"/>
  <c r="AF21" i="2"/>
  <c r="AG21" i="2"/>
  <c r="AH21" i="2"/>
  <c r="AI21" i="2"/>
  <c r="AJ21" i="2"/>
  <c r="AK21" i="2"/>
  <c r="K22" i="2"/>
  <c r="S22" i="2"/>
  <c r="T22" i="2"/>
  <c r="U22" i="2"/>
  <c r="W22" i="2"/>
  <c r="X22" i="2"/>
  <c r="Z22" i="2"/>
  <c r="AA22" i="2"/>
  <c r="AB22" i="2"/>
  <c r="AD22" i="2"/>
  <c r="AE22" i="2"/>
  <c r="AF22" i="2"/>
  <c r="AG22" i="2"/>
  <c r="AH22" i="2"/>
  <c r="AI22" i="2"/>
  <c r="AJ22" i="2"/>
  <c r="AK22" i="2"/>
  <c r="S23" i="2"/>
  <c r="T23" i="2"/>
  <c r="U23" i="2"/>
  <c r="W23" i="2"/>
  <c r="X23" i="2"/>
  <c r="Z23" i="2"/>
  <c r="AA23" i="2"/>
  <c r="AB23" i="2"/>
  <c r="AD23" i="2"/>
  <c r="AE23" i="2"/>
  <c r="AF23" i="2"/>
  <c r="AG23" i="2"/>
  <c r="AH23" i="2"/>
  <c r="AI23" i="2"/>
  <c r="AJ23" i="2"/>
  <c r="AK23" i="2"/>
  <c r="S24" i="2"/>
  <c r="T24" i="2"/>
  <c r="U24" i="2"/>
  <c r="W24" i="2"/>
  <c r="X24" i="2"/>
  <c r="Z24" i="2"/>
  <c r="AA24" i="2"/>
  <c r="AB24" i="2"/>
  <c r="AD24" i="2"/>
  <c r="AE24" i="2"/>
  <c r="AF24" i="2"/>
  <c r="AG24" i="2"/>
  <c r="AH24" i="2"/>
  <c r="AI24" i="2"/>
  <c r="AJ24" i="2"/>
  <c r="AK24" i="2"/>
  <c r="K26" i="2"/>
  <c r="L26" i="2"/>
  <c r="M26" i="2"/>
  <c r="S26" i="2"/>
  <c r="T26" i="2"/>
  <c r="U26" i="2"/>
  <c r="W26" i="2"/>
  <c r="X26" i="2"/>
  <c r="Z26" i="2"/>
  <c r="AA26" i="2"/>
  <c r="AB26" i="2"/>
  <c r="AD26" i="2"/>
  <c r="AE26" i="2"/>
  <c r="AF26" i="2"/>
  <c r="AG26" i="2"/>
  <c r="AH26" i="2"/>
  <c r="AI26" i="2"/>
  <c r="AJ26" i="2"/>
  <c r="AK26" i="2"/>
  <c r="S27" i="2"/>
  <c r="T27" i="2"/>
  <c r="U27" i="2"/>
  <c r="W27" i="2"/>
  <c r="X27" i="2"/>
  <c r="Z27" i="2"/>
  <c r="AA27" i="2"/>
  <c r="AB27" i="2"/>
  <c r="AD27" i="2"/>
  <c r="AE27" i="2"/>
  <c r="AF27" i="2"/>
  <c r="AG27" i="2"/>
  <c r="AH27" i="2"/>
  <c r="AI27" i="2"/>
  <c r="AJ27" i="2"/>
  <c r="AK27" i="2"/>
  <c r="L28" i="2"/>
  <c r="M28" i="2"/>
  <c r="S28" i="2"/>
  <c r="T28" i="2"/>
  <c r="U28" i="2"/>
  <c r="W28" i="2"/>
  <c r="X28" i="2"/>
  <c r="Z28" i="2"/>
  <c r="AA28" i="2"/>
  <c r="AB28" i="2"/>
  <c r="AD28" i="2"/>
  <c r="AE28" i="2"/>
  <c r="AF28" i="2"/>
  <c r="AG28" i="2"/>
  <c r="AH28" i="2"/>
  <c r="AI28" i="2"/>
  <c r="AJ28" i="2"/>
  <c r="AK28" i="2"/>
  <c r="S29" i="2"/>
  <c r="T29" i="2"/>
  <c r="U29" i="2"/>
  <c r="W29" i="2"/>
  <c r="X29" i="2"/>
  <c r="Z29" i="2"/>
  <c r="AA29" i="2"/>
  <c r="AB29" i="2"/>
  <c r="AD29" i="2"/>
  <c r="AE29" i="2"/>
  <c r="AF29" i="2"/>
  <c r="AG29" i="2"/>
  <c r="AH29" i="2"/>
  <c r="AI29" i="2"/>
  <c r="AJ29" i="2"/>
  <c r="AK29" i="2"/>
  <c r="S31" i="2"/>
  <c r="T31" i="2"/>
  <c r="U31" i="2"/>
  <c r="W31" i="2"/>
  <c r="X31" i="2"/>
  <c r="Z31" i="2"/>
  <c r="AA31" i="2"/>
  <c r="AB31" i="2"/>
  <c r="AD31" i="2"/>
  <c r="AE31" i="2"/>
  <c r="AF31" i="2"/>
  <c r="AG31" i="2"/>
  <c r="AH31" i="2"/>
  <c r="AI31" i="2"/>
  <c r="AJ31" i="2"/>
  <c r="AK31" i="2"/>
  <c r="S32" i="2"/>
  <c r="T32" i="2"/>
  <c r="U32" i="2"/>
  <c r="W32" i="2"/>
  <c r="X32" i="2"/>
  <c r="Z32" i="2"/>
  <c r="AA32" i="2"/>
  <c r="AB32" i="2"/>
  <c r="AD32" i="2"/>
  <c r="AE32" i="2"/>
  <c r="AF32" i="2"/>
  <c r="AG32" i="2"/>
  <c r="AH32" i="2"/>
  <c r="AI32" i="2"/>
  <c r="AJ32" i="2"/>
  <c r="AK32" i="2"/>
  <c r="J33" i="2"/>
  <c r="K33" i="2"/>
  <c r="S33" i="2"/>
  <c r="T33" i="2"/>
  <c r="U33" i="2"/>
  <c r="W33" i="2"/>
  <c r="X33" i="2"/>
  <c r="Z33" i="2"/>
  <c r="AA33" i="2"/>
  <c r="AB33" i="2"/>
  <c r="AD33" i="2"/>
  <c r="AE33" i="2"/>
  <c r="AF33" i="2"/>
  <c r="AG33" i="2"/>
  <c r="AH33" i="2"/>
  <c r="AI33" i="2"/>
  <c r="AJ33" i="2"/>
  <c r="AK33" i="2"/>
  <c r="J34" i="2"/>
  <c r="K34" i="2"/>
  <c r="S34" i="2"/>
  <c r="T34" i="2"/>
  <c r="U34" i="2"/>
  <c r="W34" i="2"/>
  <c r="X34" i="2"/>
  <c r="Z34" i="2"/>
  <c r="AA34" i="2"/>
  <c r="AB34" i="2"/>
  <c r="AD34" i="2"/>
  <c r="AE34" i="2"/>
  <c r="AF34" i="2"/>
  <c r="AG34" i="2"/>
  <c r="AH34" i="2"/>
  <c r="AI34" i="2"/>
  <c r="AJ34" i="2"/>
  <c r="AK34" i="2"/>
  <c r="J35" i="2"/>
  <c r="K35" i="2"/>
  <c r="J36" i="2"/>
  <c r="K36" i="2"/>
  <c r="S36" i="2"/>
  <c r="T36" i="2"/>
  <c r="U36" i="2"/>
  <c r="W36" i="2"/>
  <c r="X36" i="2"/>
  <c r="Z36" i="2"/>
  <c r="AA36" i="2"/>
  <c r="AB36" i="2"/>
  <c r="AD36" i="2"/>
  <c r="AE36" i="2"/>
  <c r="AF36" i="2"/>
  <c r="AG36" i="2"/>
  <c r="AH36" i="2"/>
  <c r="AI36" i="2"/>
  <c r="AJ36" i="2"/>
  <c r="AK36" i="2"/>
  <c r="J37" i="2"/>
  <c r="K37" i="2"/>
  <c r="S37" i="2"/>
  <c r="T37" i="2"/>
  <c r="U37" i="2"/>
  <c r="W37" i="2"/>
  <c r="X37" i="2"/>
  <c r="Z37" i="2"/>
  <c r="AA37" i="2"/>
  <c r="AB37" i="2"/>
  <c r="AD37" i="2"/>
  <c r="AE37" i="2"/>
  <c r="AF37" i="2"/>
  <c r="AG37" i="2"/>
  <c r="AH37" i="2"/>
  <c r="AI37" i="2"/>
  <c r="AJ37" i="2"/>
  <c r="AK37" i="2"/>
  <c r="S38" i="2"/>
  <c r="T38" i="2"/>
  <c r="U38" i="2"/>
  <c r="W38" i="2"/>
  <c r="X38" i="2"/>
  <c r="Z38" i="2"/>
  <c r="AA38" i="2"/>
  <c r="AB38" i="2"/>
  <c r="AD38" i="2"/>
  <c r="AE38" i="2"/>
  <c r="AF38" i="2"/>
  <c r="AG38" i="2"/>
  <c r="AH38" i="2"/>
  <c r="AI38" i="2"/>
  <c r="AJ38" i="2"/>
  <c r="AK38" i="2"/>
  <c r="S39" i="2"/>
  <c r="T39" i="2"/>
  <c r="U39" i="2"/>
  <c r="W39" i="2"/>
  <c r="X39" i="2"/>
  <c r="Z39" i="2"/>
  <c r="AA39" i="2"/>
  <c r="AB39" i="2"/>
  <c r="AD39" i="2"/>
  <c r="AE39" i="2"/>
  <c r="AF39" i="2"/>
  <c r="AG39" i="2"/>
  <c r="AH39" i="2"/>
  <c r="AI39" i="2"/>
  <c r="AJ39" i="2"/>
  <c r="AK39" i="2"/>
  <c r="K43" i="2"/>
  <c r="V43" i="2"/>
  <c r="K44" i="2"/>
  <c r="V44" i="2"/>
  <c r="K45" i="2"/>
  <c r="V45" i="2"/>
  <c r="K46" i="2"/>
  <c r="K47" i="2"/>
  <c r="R47" i="2"/>
  <c r="R48" i="2"/>
  <c r="J49" i="2"/>
  <c r="R50" i="2"/>
  <c r="Y62" i="2"/>
  <c r="Z62" i="2"/>
  <c r="Y63" i="2"/>
  <c r="Z63" i="2"/>
  <c r="Y64" i="2"/>
  <c r="Z64" i="2"/>
  <c r="Y65" i="2"/>
  <c r="Z65" i="2"/>
  <c r="Y66" i="2"/>
  <c r="Z66" i="2"/>
  <c r="AT1" i="4"/>
  <c r="AV1" i="4"/>
  <c r="AW1" i="4"/>
  <c r="AT2" i="4"/>
  <c r="AV2" i="4"/>
  <c r="AW2" i="4"/>
  <c r="AZ2" i="4"/>
  <c r="AZ3" i="4"/>
  <c r="AT10" i="4"/>
  <c r="AU10" i="4"/>
  <c r="AV10" i="4"/>
  <c r="AW10" i="4"/>
  <c r="AY10" i="4"/>
  <c r="AZ10" i="4"/>
  <c r="AT11" i="4"/>
  <c r="AU11" i="4"/>
  <c r="AV11" i="4"/>
  <c r="AY11" i="4"/>
  <c r="AZ11" i="4"/>
  <c r="AT12" i="4"/>
  <c r="AU12" i="4"/>
  <c r="AV12" i="4"/>
  <c r="AY12" i="4"/>
  <c r="AZ12" i="4"/>
  <c r="AT13" i="4"/>
  <c r="AU13" i="4"/>
  <c r="AV13" i="4"/>
  <c r="AY13" i="4"/>
  <c r="AZ13" i="4"/>
  <c r="AT14" i="4"/>
  <c r="AU14" i="4"/>
  <c r="AV14" i="4"/>
  <c r="AY14" i="4"/>
  <c r="AZ14" i="4"/>
  <c r="AT15" i="4"/>
  <c r="AU15" i="4"/>
  <c r="AV15" i="4"/>
  <c r="AY15" i="4"/>
  <c r="AZ15" i="4"/>
  <c r="AT16" i="4"/>
  <c r="AU16" i="4"/>
  <c r="AV16" i="4"/>
  <c r="AY16" i="4"/>
  <c r="AZ16" i="4"/>
  <c r="AT17" i="4"/>
  <c r="AU17" i="4"/>
  <c r="AV17" i="4"/>
  <c r="AY17" i="4"/>
  <c r="AZ17" i="4"/>
  <c r="AT18" i="4"/>
  <c r="AU18" i="4"/>
  <c r="AV18" i="4"/>
  <c r="AY18" i="4"/>
  <c r="AZ18" i="4"/>
  <c r="AT19" i="4"/>
  <c r="AU19" i="4"/>
  <c r="AV19" i="4"/>
  <c r="AY19" i="4"/>
  <c r="AZ19" i="4"/>
  <c r="AT20" i="4"/>
  <c r="AU20" i="4"/>
  <c r="AV20" i="4"/>
  <c r="AY20" i="4"/>
  <c r="AZ20" i="4"/>
  <c r="AT21" i="4"/>
  <c r="AU21" i="4"/>
  <c r="AV21" i="4"/>
  <c r="AY21" i="4"/>
  <c r="AZ21" i="4"/>
  <c r="AT22" i="4"/>
  <c r="AU22" i="4"/>
  <c r="AV22" i="4"/>
  <c r="AY22" i="4"/>
  <c r="AZ22" i="4"/>
  <c r="AT23" i="4"/>
  <c r="AU23" i="4"/>
  <c r="AV23" i="4"/>
  <c r="AY23" i="4"/>
  <c r="AZ23" i="4"/>
  <c r="AT24" i="4"/>
  <c r="AU24" i="4"/>
  <c r="AV24" i="4"/>
  <c r="AY24" i="4"/>
  <c r="AZ24" i="4"/>
  <c r="AT25" i="4"/>
  <c r="AU25" i="4"/>
  <c r="AV25" i="4"/>
  <c r="AY25" i="4"/>
  <c r="AZ25" i="4"/>
  <c r="AT26" i="4"/>
  <c r="AU26" i="4"/>
  <c r="AV26" i="4"/>
  <c r="AY26" i="4"/>
  <c r="AZ26" i="4"/>
  <c r="AT27" i="4"/>
  <c r="AU27" i="4"/>
  <c r="AV27" i="4"/>
  <c r="AY27" i="4"/>
  <c r="AZ27" i="4"/>
  <c r="AT28" i="4"/>
  <c r="AU28" i="4"/>
  <c r="AV28" i="4"/>
  <c r="AY28" i="4"/>
  <c r="AZ28" i="4"/>
  <c r="AT29" i="4"/>
  <c r="AU29" i="4"/>
  <c r="AV29" i="4"/>
  <c r="AY29" i="4"/>
  <c r="AZ29" i="4"/>
  <c r="AT30" i="4"/>
  <c r="AU30" i="4"/>
  <c r="AV30" i="4"/>
  <c r="AY30" i="4"/>
  <c r="AZ30" i="4"/>
  <c r="AT31" i="4"/>
  <c r="AU31" i="4"/>
  <c r="AV31" i="4"/>
  <c r="AY31" i="4"/>
  <c r="AZ31" i="4"/>
  <c r="AT32" i="4"/>
  <c r="AU32" i="4"/>
  <c r="AV32" i="4"/>
  <c r="AY32" i="4"/>
  <c r="AZ32" i="4"/>
  <c r="AT33" i="4"/>
  <c r="AU33" i="4"/>
  <c r="AV33" i="4"/>
  <c r="AY33" i="4"/>
  <c r="AZ33" i="4"/>
  <c r="AT34" i="4"/>
  <c r="AU34" i="4"/>
  <c r="AV34" i="4"/>
  <c r="AY34" i="4"/>
  <c r="AZ34" i="4"/>
  <c r="AT35" i="4"/>
  <c r="AU35" i="4"/>
  <c r="AV35" i="4"/>
  <c r="AY35" i="4"/>
  <c r="AZ35" i="4"/>
  <c r="AT36" i="4"/>
  <c r="AU36" i="4"/>
  <c r="AV36" i="4"/>
  <c r="AY36" i="4"/>
  <c r="AZ36" i="4"/>
  <c r="AT37" i="4"/>
  <c r="AU37" i="4"/>
  <c r="AV37" i="4"/>
  <c r="AY37" i="4"/>
  <c r="AZ37" i="4"/>
  <c r="AT38" i="4"/>
  <c r="AU38" i="4"/>
  <c r="AV38" i="4"/>
  <c r="AY38" i="4"/>
  <c r="AZ38" i="4"/>
  <c r="AT39" i="4"/>
  <c r="AU39" i="4"/>
  <c r="AV39" i="4"/>
  <c r="AY39" i="4"/>
  <c r="AZ39" i="4"/>
  <c r="AT40" i="4"/>
  <c r="AU40" i="4"/>
  <c r="AV40" i="4"/>
  <c r="AY40" i="4"/>
  <c r="AZ40" i="4"/>
  <c r="AT41" i="4"/>
  <c r="AU41" i="4"/>
  <c r="AV41" i="4"/>
  <c r="AY41" i="4"/>
  <c r="AZ41" i="4"/>
  <c r="AT42" i="4"/>
  <c r="AU42" i="4"/>
  <c r="AV42" i="4"/>
  <c r="AY42" i="4"/>
  <c r="AZ42" i="4"/>
  <c r="AT43" i="4"/>
  <c r="AU43" i="4"/>
  <c r="AV43" i="4"/>
  <c r="AY43" i="4"/>
  <c r="AZ43" i="4"/>
  <c r="AT44" i="4"/>
  <c r="AU44" i="4"/>
  <c r="AV44" i="4"/>
  <c r="AY44" i="4"/>
  <c r="AZ44" i="4"/>
  <c r="AT45" i="4"/>
  <c r="AU45" i="4"/>
  <c r="AV45" i="4"/>
  <c r="AY45" i="4"/>
  <c r="AZ45" i="4"/>
  <c r="AT46" i="4"/>
  <c r="AU46" i="4"/>
  <c r="AV46" i="4"/>
  <c r="AY46" i="4"/>
  <c r="AZ46" i="4"/>
  <c r="AT47" i="4"/>
  <c r="AU47" i="4"/>
  <c r="AV47" i="4"/>
  <c r="AY47" i="4"/>
  <c r="AZ47" i="4"/>
  <c r="AU49" i="4"/>
  <c r="AV49" i="4"/>
  <c r="AY49" i="4"/>
  <c r="AZ49" i="4"/>
  <c r="AU51" i="4"/>
  <c r="AT53" i="4"/>
  <c r="AU53" i="4"/>
  <c r="AV53" i="4"/>
  <c r="AY53" i="4"/>
  <c r="AZ53" i="4"/>
  <c r="AT54" i="4"/>
  <c r="AU54" i="4"/>
  <c r="AV54" i="4"/>
  <c r="AY54" i="4"/>
  <c r="AZ54" i="4"/>
  <c r="AT55" i="4"/>
  <c r="AU55" i="4"/>
  <c r="AV55" i="4"/>
  <c r="AY55" i="4"/>
  <c r="AZ55" i="4"/>
  <c r="AT56" i="4"/>
  <c r="AU56" i="4"/>
  <c r="AV56" i="4"/>
  <c r="AY56" i="4"/>
  <c r="AZ56" i="4"/>
  <c r="AT57" i="4"/>
  <c r="AU57" i="4"/>
  <c r="AV57" i="4"/>
  <c r="AY57" i="4"/>
  <c r="AZ57" i="4"/>
  <c r="AT58" i="4"/>
  <c r="AU58" i="4"/>
  <c r="AV58" i="4"/>
  <c r="AY58" i="4"/>
  <c r="AZ58" i="4"/>
  <c r="AT59" i="4"/>
  <c r="AU59" i="4"/>
  <c r="AV59" i="4"/>
  <c r="AY59" i="4"/>
  <c r="AZ59" i="4"/>
  <c r="AT60" i="4"/>
  <c r="AU60" i="4"/>
  <c r="AV60" i="4"/>
  <c r="AY60" i="4"/>
  <c r="AZ60" i="4"/>
  <c r="AT61" i="4"/>
  <c r="AU61" i="4"/>
  <c r="AV61" i="4"/>
  <c r="AY61" i="4"/>
  <c r="AZ61" i="4"/>
  <c r="AT62" i="4"/>
  <c r="AU62" i="4"/>
  <c r="AV62" i="4"/>
  <c r="AY62" i="4"/>
  <c r="AZ62" i="4"/>
  <c r="AT63" i="4"/>
  <c r="AU63" i="4"/>
  <c r="AV63" i="4"/>
  <c r="AY63" i="4"/>
  <c r="AZ63" i="4"/>
  <c r="AT64" i="4"/>
  <c r="AU64" i="4"/>
  <c r="AV64" i="4"/>
  <c r="AY64" i="4"/>
  <c r="AZ64" i="4"/>
  <c r="AU66" i="4"/>
  <c r="AV66" i="4"/>
  <c r="AY66" i="4"/>
  <c r="AZ66" i="4"/>
  <c r="AT72" i="4"/>
  <c r="AU72" i="4"/>
  <c r="AV72" i="4"/>
  <c r="AY72" i="4"/>
  <c r="AZ72" i="4"/>
  <c r="AT73" i="4"/>
  <c r="AU73" i="4"/>
  <c r="AV73" i="4"/>
  <c r="AY73" i="4"/>
  <c r="AZ73" i="4"/>
  <c r="AT74" i="4"/>
  <c r="AU74" i="4"/>
  <c r="AV74" i="4"/>
  <c r="AY74" i="4"/>
  <c r="AZ74" i="4"/>
  <c r="AT75" i="4"/>
  <c r="AU75" i="4"/>
  <c r="AV75" i="4"/>
  <c r="AY75" i="4"/>
  <c r="AZ75" i="4"/>
  <c r="AT76" i="4"/>
  <c r="AU76" i="4"/>
  <c r="AV76" i="4"/>
  <c r="AY76" i="4"/>
  <c r="AZ76" i="4"/>
  <c r="AT77" i="4"/>
  <c r="AU77" i="4"/>
  <c r="AV77" i="4"/>
  <c r="AY77" i="4"/>
  <c r="AZ77" i="4"/>
  <c r="AT78" i="4"/>
  <c r="AU78" i="4"/>
  <c r="AV78" i="4"/>
  <c r="AY78" i="4"/>
  <c r="AZ78" i="4"/>
  <c r="AT79" i="4"/>
  <c r="AU79" i="4"/>
  <c r="AV79" i="4"/>
  <c r="AY79" i="4"/>
  <c r="AZ79" i="4"/>
  <c r="AT80" i="4"/>
  <c r="AU80" i="4"/>
  <c r="AV80" i="4"/>
  <c r="AY80" i="4"/>
  <c r="AZ80" i="4"/>
  <c r="AT81" i="4"/>
  <c r="AU81" i="4"/>
  <c r="AV81" i="4"/>
  <c r="AY81" i="4"/>
  <c r="AZ81" i="4"/>
  <c r="AT82" i="4"/>
  <c r="AU82" i="4"/>
  <c r="AV82" i="4"/>
  <c r="AY82" i="4"/>
  <c r="AZ82" i="4"/>
  <c r="AT83" i="4"/>
  <c r="AU83" i="4"/>
  <c r="AV83" i="4"/>
  <c r="AY83" i="4"/>
  <c r="AZ83" i="4"/>
  <c r="AT84" i="4"/>
  <c r="AU84" i="4"/>
  <c r="AV84" i="4"/>
  <c r="AY84" i="4"/>
  <c r="AZ84" i="4"/>
  <c r="AT85" i="4"/>
  <c r="AU85" i="4"/>
  <c r="AV85" i="4"/>
  <c r="AY85" i="4"/>
  <c r="AZ85" i="4"/>
  <c r="AT86" i="4"/>
  <c r="AU86" i="4"/>
  <c r="AV86" i="4"/>
  <c r="AY86" i="4"/>
  <c r="AZ86" i="4"/>
  <c r="AT87" i="4"/>
  <c r="AU87" i="4"/>
  <c r="AV87" i="4"/>
  <c r="AY87" i="4"/>
  <c r="AZ87" i="4"/>
  <c r="AT88" i="4"/>
  <c r="AU88" i="4"/>
  <c r="AV88" i="4"/>
  <c r="AY88" i="4"/>
  <c r="AZ88" i="4"/>
  <c r="AT89" i="4"/>
  <c r="AU89" i="4"/>
  <c r="AV89" i="4"/>
  <c r="AY89" i="4"/>
  <c r="AZ89" i="4"/>
  <c r="AT90" i="4"/>
  <c r="AU90" i="4"/>
  <c r="AV90" i="4"/>
  <c r="AY90" i="4"/>
  <c r="AZ90" i="4"/>
  <c r="AT91" i="4"/>
  <c r="AU91" i="4"/>
  <c r="AV91" i="4"/>
  <c r="AY91" i="4"/>
  <c r="AZ91" i="4"/>
  <c r="AT92" i="4"/>
  <c r="AU92" i="4"/>
  <c r="AV92" i="4"/>
  <c r="AY92" i="4"/>
  <c r="AZ92" i="4"/>
  <c r="AT93" i="4"/>
  <c r="AU93" i="4"/>
  <c r="AV93" i="4"/>
  <c r="AY93" i="4"/>
  <c r="AZ93" i="4"/>
  <c r="AT94" i="4"/>
  <c r="AU94" i="4"/>
  <c r="AV94" i="4"/>
  <c r="AY94" i="4"/>
  <c r="AZ94" i="4"/>
  <c r="AT95" i="4"/>
  <c r="AU95" i="4"/>
  <c r="AV95" i="4"/>
  <c r="AY95" i="4"/>
  <c r="AZ95" i="4"/>
  <c r="AT96" i="4"/>
  <c r="AU96" i="4"/>
  <c r="AV96" i="4"/>
  <c r="AY96" i="4"/>
  <c r="AZ96" i="4"/>
  <c r="AT97" i="4"/>
  <c r="AU97" i="4"/>
  <c r="AV97" i="4"/>
  <c r="AY97" i="4"/>
  <c r="AZ97" i="4"/>
  <c r="AT98" i="4"/>
  <c r="AU98" i="4"/>
  <c r="AV98" i="4"/>
  <c r="AY98" i="4"/>
  <c r="AZ98" i="4"/>
  <c r="AT99" i="4"/>
  <c r="AU99" i="4"/>
  <c r="AV99" i="4"/>
  <c r="AY99" i="4"/>
  <c r="AZ99" i="4"/>
  <c r="AT100" i="4"/>
  <c r="AU100" i="4"/>
  <c r="AV100" i="4"/>
  <c r="AY100" i="4"/>
  <c r="AZ100" i="4"/>
  <c r="AT101" i="4"/>
  <c r="AU101" i="4"/>
  <c r="AV101" i="4"/>
  <c r="AY101" i="4"/>
  <c r="AZ101" i="4"/>
  <c r="AT102" i="4"/>
  <c r="AU102" i="4"/>
  <c r="AV102" i="4"/>
  <c r="AY102" i="4"/>
  <c r="AZ102" i="4"/>
  <c r="AT103" i="4"/>
  <c r="AU103" i="4"/>
  <c r="AV103" i="4"/>
  <c r="AY103" i="4"/>
  <c r="AZ103" i="4"/>
  <c r="AT104" i="4"/>
  <c r="AU104" i="4"/>
  <c r="AV104" i="4"/>
  <c r="AY104" i="4"/>
  <c r="AZ104" i="4"/>
  <c r="AT105" i="4"/>
  <c r="AU105" i="4"/>
  <c r="AV105" i="4"/>
  <c r="AY105" i="4"/>
  <c r="AZ105" i="4"/>
  <c r="AT106" i="4"/>
  <c r="AU106" i="4"/>
  <c r="AV106" i="4"/>
  <c r="AY106" i="4"/>
  <c r="AZ106" i="4"/>
  <c r="AU110" i="4"/>
  <c r="AV110" i="4"/>
  <c r="AY110" i="4"/>
  <c r="AZ110" i="4"/>
  <c r="AT131" i="4"/>
  <c r="AU131" i="4"/>
  <c r="AV131" i="4"/>
  <c r="AY131" i="4"/>
  <c r="AZ131" i="4"/>
  <c r="AT132" i="4"/>
  <c r="AU132" i="4"/>
  <c r="AV132" i="4"/>
  <c r="AY132" i="4"/>
  <c r="AZ132" i="4"/>
  <c r="AT133" i="4"/>
  <c r="AU133" i="4"/>
  <c r="AV133" i="4"/>
  <c r="AY133" i="4"/>
  <c r="AZ133" i="4"/>
  <c r="AT134" i="4"/>
  <c r="AU134" i="4"/>
  <c r="AV134" i="4"/>
  <c r="AY134" i="4"/>
  <c r="AZ134" i="4"/>
  <c r="AT135" i="4"/>
  <c r="AU135" i="4"/>
  <c r="AV135" i="4"/>
  <c r="AY135" i="4"/>
  <c r="AZ135" i="4"/>
  <c r="AT136" i="4"/>
  <c r="AU136" i="4"/>
  <c r="AV136" i="4"/>
  <c r="AY136" i="4"/>
  <c r="AZ136" i="4"/>
  <c r="AT137" i="4"/>
  <c r="AU137" i="4"/>
  <c r="AV137" i="4"/>
  <c r="AY137" i="4"/>
  <c r="AZ137" i="4"/>
  <c r="AT138" i="4"/>
  <c r="AU138" i="4"/>
  <c r="AV138" i="4"/>
  <c r="AY138" i="4"/>
  <c r="AZ138" i="4"/>
  <c r="AT139" i="4"/>
  <c r="AU139" i="4"/>
  <c r="AV139" i="4"/>
  <c r="AY139" i="4"/>
  <c r="AZ139" i="4"/>
  <c r="AT140" i="4"/>
  <c r="AU140" i="4"/>
  <c r="AV140" i="4"/>
  <c r="AY140" i="4"/>
  <c r="AZ140" i="4"/>
  <c r="AT141" i="4"/>
  <c r="AU141" i="4"/>
  <c r="AV141" i="4"/>
  <c r="AY141" i="4"/>
  <c r="AZ141" i="4"/>
  <c r="AT142" i="4"/>
  <c r="AU142" i="4"/>
  <c r="AV142" i="4"/>
  <c r="AY142" i="4"/>
  <c r="AZ142" i="4"/>
  <c r="AT143" i="4"/>
  <c r="AU143" i="4"/>
  <c r="AV143" i="4"/>
  <c r="AY143" i="4"/>
  <c r="AZ143" i="4"/>
  <c r="AT144" i="4"/>
  <c r="AU144" i="4"/>
  <c r="AV144" i="4"/>
  <c r="AY144" i="4"/>
  <c r="AZ144" i="4"/>
  <c r="AT145" i="4"/>
  <c r="AU145" i="4"/>
  <c r="AV145" i="4"/>
  <c r="AY145" i="4"/>
  <c r="AZ145" i="4"/>
  <c r="AT146" i="4"/>
  <c r="AU146" i="4"/>
  <c r="AV146" i="4"/>
  <c r="AY146" i="4"/>
  <c r="AZ146" i="4"/>
  <c r="AT147" i="4"/>
  <c r="AU147" i="4"/>
  <c r="AV147" i="4"/>
  <c r="AY147" i="4"/>
  <c r="AZ147" i="4"/>
  <c r="AT148" i="4"/>
  <c r="AU148" i="4"/>
  <c r="AV148" i="4"/>
  <c r="AY148" i="4"/>
  <c r="AZ148" i="4"/>
  <c r="AT149" i="4"/>
  <c r="AU149" i="4"/>
  <c r="AV149" i="4"/>
  <c r="AY149" i="4"/>
  <c r="AZ149" i="4"/>
  <c r="AT150" i="4"/>
  <c r="AU150" i="4"/>
  <c r="AV150" i="4"/>
  <c r="AY150" i="4"/>
  <c r="AZ150" i="4"/>
  <c r="AT151" i="4"/>
  <c r="AU151" i="4"/>
  <c r="AV151" i="4"/>
  <c r="AY151" i="4"/>
  <c r="AZ151" i="4"/>
  <c r="AT152" i="4"/>
  <c r="AU152" i="4"/>
  <c r="AV152" i="4"/>
  <c r="AY152" i="4"/>
  <c r="AZ152" i="4"/>
  <c r="AT153" i="4"/>
  <c r="AU153" i="4"/>
  <c r="AV153" i="4"/>
  <c r="AY153" i="4"/>
  <c r="AZ153" i="4"/>
  <c r="AT154" i="4"/>
  <c r="AU154" i="4"/>
  <c r="AV154" i="4"/>
  <c r="AY154" i="4"/>
  <c r="AZ154" i="4"/>
  <c r="AT155" i="4"/>
  <c r="AU155" i="4"/>
  <c r="AV155" i="4"/>
  <c r="AY155" i="4"/>
  <c r="AZ155" i="4"/>
  <c r="AT156" i="4"/>
  <c r="AU156" i="4"/>
  <c r="AV156" i="4"/>
  <c r="AY156" i="4"/>
  <c r="AZ156" i="4"/>
  <c r="AT157" i="4"/>
  <c r="AU157" i="4"/>
  <c r="AV157" i="4"/>
  <c r="AY157" i="4"/>
  <c r="AZ157" i="4"/>
  <c r="AT158" i="4"/>
  <c r="AU158" i="4"/>
  <c r="AV158" i="4"/>
  <c r="AY158" i="4"/>
  <c r="AZ158" i="4"/>
  <c r="AT159" i="4"/>
  <c r="AU159" i="4"/>
  <c r="AV159" i="4"/>
  <c r="AY159" i="4"/>
  <c r="AZ159" i="4"/>
  <c r="AU161" i="4"/>
  <c r="AV161" i="4"/>
  <c r="AY161" i="4"/>
  <c r="AZ161" i="4"/>
  <c r="AT166" i="4"/>
  <c r="AU166" i="4"/>
  <c r="AV166" i="4"/>
  <c r="AT167" i="4"/>
  <c r="AU169" i="4"/>
  <c r="AV169" i="4"/>
  <c r="AY173" i="4"/>
  <c r="AZ173" i="4"/>
  <c r="AY174" i="4"/>
  <c r="AZ174" i="4"/>
  <c r="AT175" i="4"/>
  <c r="AY175" i="4"/>
  <c r="AZ175" i="4"/>
  <c r="AU183" i="4"/>
  <c r="AV183" i="4"/>
  <c r="AU184" i="4"/>
  <c r="AV184" i="4"/>
  <c r="AU185" i="4"/>
  <c r="AV185" i="4"/>
  <c r="AU186" i="4"/>
  <c r="AV186" i="4"/>
  <c r="AU187" i="4"/>
  <c r="AV187" i="4"/>
  <c r="AU190" i="4"/>
  <c r="AV190" i="4"/>
  <c r="AU210" i="4"/>
  <c r="AV210" i="4"/>
  <c r="AU211" i="4"/>
  <c r="AV211" i="4"/>
  <c r="AU212" i="4"/>
  <c r="AV212" i="4"/>
  <c r="AU213" i="4"/>
  <c r="AV213" i="4"/>
  <c r="AU214" i="4"/>
  <c r="AV214" i="4"/>
  <c r="AU217" i="4"/>
  <c r="AV217" i="4"/>
  <c r="AU219" i="4"/>
  <c r="AR221" i="4"/>
  <c r="AS221" i="4"/>
  <c r="AT221" i="4"/>
  <c r="AR222" i="4"/>
  <c r="AS222" i="4"/>
  <c r="AT222" i="4"/>
  <c r="AS223" i="4"/>
  <c r="AT223" i="4"/>
  <c r="K4" i="3"/>
  <c r="K5" i="3"/>
  <c r="E11" i="3"/>
  <c r="G11" i="3"/>
  <c r="E14" i="3"/>
  <c r="G14" i="3"/>
  <c r="E15" i="3"/>
  <c r="G15" i="3"/>
  <c r="E19" i="3"/>
  <c r="G19" i="3"/>
  <c r="E20" i="3"/>
  <c r="G20" i="3"/>
  <c r="E22" i="3"/>
  <c r="G22" i="3"/>
  <c r="E23" i="3"/>
  <c r="G23" i="3"/>
  <c r="E26" i="3"/>
  <c r="G26" i="3"/>
  <c r="E29" i="3"/>
  <c r="G29" i="3"/>
  <c r="E30" i="3"/>
  <c r="G30" i="3"/>
  <c r="E34" i="3"/>
  <c r="G34" i="3"/>
  <c r="E35" i="3"/>
  <c r="G35" i="3"/>
  <c r="E36" i="3"/>
  <c r="G36" i="3"/>
  <c r="E37" i="3"/>
  <c r="G37" i="3"/>
  <c r="E38" i="3"/>
  <c r="G38" i="3"/>
  <c r="E39" i="3"/>
  <c r="G39" i="3"/>
  <c r="E40" i="3"/>
  <c r="G40" i="3"/>
  <c r="E41" i="3"/>
  <c r="G41" i="3"/>
  <c r="E46" i="3"/>
  <c r="G46" i="3"/>
  <c r="E47" i="3"/>
  <c r="G47" i="3"/>
  <c r="E50" i="3"/>
  <c r="G50" i="3"/>
  <c r="E51" i="3"/>
  <c r="G51" i="3"/>
  <c r="E54" i="3"/>
  <c r="G54" i="3"/>
  <c r="E55" i="3"/>
  <c r="G55" i="3"/>
  <c r="E56" i="3"/>
  <c r="G56" i="3"/>
  <c r="E59" i="3"/>
  <c r="G59" i="3"/>
  <c r="E60" i="3"/>
  <c r="G60" i="3"/>
  <c r="E61" i="3"/>
  <c r="G61" i="3"/>
  <c r="E64" i="3"/>
  <c r="G64" i="3"/>
  <c r="E65" i="3"/>
  <c r="G65" i="3"/>
  <c r="E66" i="3"/>
  <c r="G66" i="3"/>
  <c r="E69" i="3"/>
  <c r="G69" i="3"/>
  <c r="E70" i="3"/>
  <c r="G70" i="3"/>
  <c r="E71" i="3"/>
  <c r="G71" i="3"/>
  <c r="E75" i="3"/>
  <c r="G75" i="3"/>
  <c r="E76" i="3"/>
  <c r="G76" i="3"/>
  <c r="E77" i="3"/>
  <c r="G77" i="3"/>
  <c r="E78" i="3"/>
  <c r="G78" i="3"/>
  <c r="E79" i="3"/>
  <c r="G79" i="3"/>
  <c r="E82" i="3"/>
  <c r="G82" i="3"/>
  <c r="E83" i="3"/>
  <c r="G83" i="3"/>
  <c r="E84" i="3"/>
  <c r="G84" i="3"/>
  <c r="E85" i="3"/>
  <c r="G85" i="3"/>
  <c r="E88" i="3"/>
  <c r="G88" i="3"/>
  <c r="E89" i="3"/>
  <c r="G89" i="3"/>
  <c r="E90" i="3"/>
  <c r="G90" i="3"/>
  <c r="E91" i="3"/>
  <c r="G91" i="3"/>
  <c r="E94" i="3"/>
  <c r="G94" i="3"/>
  <c r="E95" i="3"/>
  <c r="G95" i="3"/>
  <c r="E99" i="3"/>
  <c r="G99" i="3"/>
  <c r="E100" i="3"/>
  <c r="G100" i="3"/>
  <c r="E101" i="3"/>
  <c r="G101" i="3"/>
  <c r="E102" i="3"/>
  <c r="G102" i="3"/>
  <c r="E103" i="3"/>
  <c r="G103" i="3"/>
  <c r="E106" i="3"/>
  <c r="G106" i="3"/>
  <c r="E107" i="3"/>
  <c r="G107" i="3"/>
  <c r="E108" i="3"/>
  <c r="G108" i="3"/>
  <c r="E109" i="3"/>
  <c r="G109" i="3"/>
  <c r="E110" i="3"/>
  <c r="G110" i="3"/>
  <c r="E113" i="3"/>
  <c r="G113" i="3"/>
  <c r="E114" i="3"/>
  <c r="G114" i="3"/>
  <c r="E115" i="3"/>
  <c r="G115" i="3"/>
  <c r="E116" i="3"/>
  <c r="G116" i="3"/>
  <c r="E121" i="3"/>
  <c r="G121" i="3"/>
  <c r="E122" i="3"/>
  <c r="G122" i="3"/>
  <c r="E123" i="3"/>
  <c r="G123" i="3"/>
  <c r="E126" i="3"/>
  <c r="G126" i="3"/>
  <c r="E127" i="3"/>
  <c r="G127" i="3"/>
  <c r="E128" i="3"/>
  <c r="G128" i="3"/>
  <c r="E131" i="3"/>
  <c r="G131" i="3"/>
  <c r="E132" i="3"/>
  <c r="G132" i="3"/>
  <c r="E133" i="3"/>
  <c r="G133" i="3"/>
  <c r="E137" i="3"/>
  <c r="G137" i="3"/>
  <c r="E138" i="3"/>
  <c r="G138" i="3"/>
  <c r="E139" i="3"/>
  <c r="G139" i="3"/>
  <c r="E142" i="3"/>
  <c r="G142" i="3"/>
  <c r="E143" i="3"/>
  <c r="G143" i="3"/>
  <c r="E144" i="3"/>
  <c r="G144" i="3"/>
  <c r="E147" i="3"/>
  <c r="G147" i="3"/>
  <c r="E148" i="3"/>
  <c r="G148" i="3"/>
  <c r="E149" i="3"/>
  <c r="G149" i="3"/>
  <c r="E153" i="3"/>
  <c r="G153" i="3"/>
  <c r="E154" i="3"/>
  <c r="G154" i="3"/>
  <c r="E155" i="3"/>
  <c r="G155" i="3"/>
  <c r="E156" i="3"/>
  <c r="G156" i="3"/>
  <c r="E157" i="3"/>
  <c r="G157" i="3"/>
  <c r="E158" i="3"/>
  <c r="G158" i="3"/>
  <c r="E162" i="3"/>
  <c r="G162" i="3"/>
  <c r="E164" i="3"/>
  <c r="G164" i="3"/>
  <c r="E168" i="3"/>
  <c r="G168" i="3"/>
  <c r="E169" i="3"/>
  <c r="G169" i="3"/>
  <c r="E170" i="3"/>
  <c r="G170" i="3"/>
  <c r="E171" i="3"/>
  <c r="G171" i="3"/>
  <c r="E172" i="3"/>
  <c r="G172" i="3"/>
  <c r="E173" i="3"/>
  <c r="G173" i="3"/>
  <c r="E181" i="3"/>
  <c r="G181" i="3"/>
  <c r="E182" i="3"/>
  <c r="G182" i="3"/>
  <c r="E183" i="3"/>
  <c r="G183" i="3"/>
  <c r="E186" i="3"/>
  <c r="G186" i="3"/>
  <c r="E187" i="3"/>
  <c r="G187" i="3"/>
  <c r="E188" i="3"/>
  <c r="G188" i="3"/>
  <c r="E191" i="3"/>
  <c r="G191" i="3"/>
  <c r="E192" i="3"/>
  <c r="G192" i="3"/>
  <c r="E193" i="3"/>
  <c r="G193" i="3"/>
  <c r="E197" i="3"/>
  <c r="G197" i="3"/>
  <c r="E198" i="3"/>
  <c r="G198" i="3"/>
  <c r="E199" i="3"/>
  <c r="G199" i="3"/>
  <c r="E202" i="3"/>
  <c r="G202" i="3"/>
  <c r="E203" i="3"/>
  <c r="G203" i="3"/>
  <c r="E204" i="3"/>
  <c r="G204" i="3"/>
  <c r="E207" i="3"/>
  <c r="G207" i="3"/>
  <c r="E208" i="3"/>
  <c r="G208" i="3"/>
  <c r="E209" i="3"/>
  <c r="G209" i="3"/>
  <c r="E212" i="3"/>
  <c r="G212" i="3"/>
  <c r="E213" i="3"/>
  <c r="G213" i="3"/>
  <c r="E214" i="3"/>
  <c r="G214" i="3"/>
  <c r="E217" i="3"/>
  <c r="G217" i="3"/>
  <c r="E218" i="3"/>
  <c r="G218" i="3"/>
  <c r="E219" i="3"/>
  <c r="G219" i="3"/>
  <c r="E222" i="3"/>
  <c r="G222" i="3"/>
  <c r="E224" i="3"/>
  <c r="G224" i="3"/>
  <c r="E227" i="3"/>
  <c r="G227" i="3"/>
  <c r="E228" i="3"/>
  <c r="G228" i="3"/>
  <c r="E229" i="3"/>
  <c r="G229" i="3"/>
  <c r="E230" i="3"/>
  <c r="G230" i="3"/>
  <c r="E233" i="3"/>
  <c r="G233" i="3"/>
  <c r="E234" i="3"/>
  <c r="G234" i="3"/>
  <c r="E235" i="3"/>
  <c r="G235" i="3"/>
  <c r="E236" i="3"/>
  <c r="G236" i="3"/>
  <c r="E239" i="3"/>
  <c r="G239" i="3"/>
  <c r="E240" i="3"/>
  <c r="G240" i="3"/>
  <c r="E241" i="3"/>
  <c r="G241" i="3"/>
  <c r="E242" i="3"/>
  <c r="G242" i="3"/>
  <c r="E244" i="3"/>
  <c r="G244" i="3"/>
  <c r="E245" i="3"/>
  <c r="G245" i="3"/>
  <c r="E248" i="3"/>
  <c r="G248" i="3"/>
  <c r="E249" i="3"/>
  <c r="G249" i="3"/>
  <c r="E250" i="3"/>
  <c r="G250" i="3"/>
  <c r="E251" i="3"/>
  <c r="G251" i="3"/>
  <c r="E253" i="3"/>
  <c r="G253" i="3"/>
  <c r="E257" i="3"/>
  <c r="G257" i="3"/>
  <c r="E258" i="3"/>
  <c r="G258" i="3"/>
  <c r="E259" i="3"/>
  <c r="G259" i="3"/>
  <c r="E263" i="3"/>
  <c r="G263" i="3"/>
  <c r="E264" i="3"/>
  <c r="G264" i="3"/>
  <c r="E265" i="3"/>
  <c r="G265" i="3"/>
  <c r="E268" i="3"/>
  <c r="G268" i="3"/>
  <c r="E269" i="3"/>
  <c r="G269" i="3"/>
  <c r="E270" i="3"/>
  <c r="G270" i="3"/>
  <c r="E274" i="3"/>
  <c r="G274" i="3"/>
  <c r="E275" i="3"/>
  <c r="G275" i="3"/>
  <c r="E276" i="3"/>
  <c r="G276" i="3"/>
  <c r="E279" i="3"/>
  <c r="G279" i="3"/>
  <c r="E280" i="3"/>
  <c r="G280" i="3"/>
  <c r="E281" i="3"/>
  <c r="G281" i="3"/>
  <c r="E283" i="3"/>
  <c r="G283" i="3"/>
  <c r="E284" i="3"/>
  <c r="G284" i="3"/>
  <c r="E285" i="3"/>
  <c r="G285" i="3"/>
  <c r="E290" i="3"/>
  <c r="G290" i="3"/>
  <c r="E294" i="3"/>
  <c r="G294" i="3"/>
  <c r="E299" i="3"/>
  <c r="G299" i="3"/>
  <c r="E300" i="3"/>
  <c r="G300" i="3"/>
  <c r="E301" i="3"/>
  <c r="G301" i="3"/>
  <c r="E302" i="3"/>
  <c r="G302" i="3"/>
  <c r="E303" i="3"/>
  <c r="G303" i="3"/>
  <c r="E304" i="3"/>
  <c r="G304" i="3"/>
  <c r="E305" i="3"/>
  <c r="G305" i="3"/>
  <c r="E307" i="3"/>
  <c r="G307" i="3"/>
  <c r="E308" i="3"/>
  <c r="G30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tc={659834A8-6510-400E-9AEC-78858EE3C788}</author>
    <author>Lindsay Waldram</author>
  </authors>
  <commentList>
    <comment ref="F5" authorId="0" shapeId="0" xr:uid="{659834A8-6510-400E-9AEC-78858EE3C788}">
      <text>
        <t>[Threaded comment]
Your version of Excel allows you to read this threaded comment; however, any edits to it will get removed if the file is opened in a newer version of Excel. Learn more: https://go.microsoft.com/fwlink/?linkid=870924
Comment:
    UTC Covid Rate Decrease</t>
      </text>
    </comment>
    <comment ref="C60" authorId="1" shapeId="0" xr:uid="{81ECDEF3-D79C-48C6-859B-F6E941E8743E}">
      <text>
        <r>
          <rPr>
            <b/>
            <sz val="9"/>
            <color indexed="81"/>
            <rFont val="Tahoma"/>
            <family val="2"/>
          </rPr>
          <t>Lindsay Waldram:</t>
        </r>
        <r>
          <rPr>
            <sz val="9"/>
            <color indexed="81"/>
            <rFont val="Tahoma"/>
            <family val="2"/>
          </rPr>
          <t xml:space="preserve">
Confirmed regulated</t>
        </r>
      </text>
    </comment>
  </commentList>
</comments>
</file>

<file path=xl/sharedStrings.xml><?xml version="1.0" encoding="utf-8"?>
<sst xmlns="http://schemas.openxmlformats.org/spreadsheetml/2006/main" count="987" uniqueCount="562">
  <si>
    <t>Public Companies</t>
  </si>
  <si>
    <t>Public Co</t>
  </si>
  <si>
    <r>
      <t xml:space="preserve">LURITO - GALLAGHER FORMULA  MODEL 2018  </t>
    </r>
    <r>
      <rPr>
        <sz val="8"/>
        <color indexed="9"/>
        <rFont val="Calibri"/>
        <family val="2"/>
      </rPr>
      <t>V5.2c</t>
    </r>
  </si>
  <si>
    <t>CALCULATION TABLES</t>
  </si>
  <si>
    <t>Revenue Senstive Taxes (RevS)</t>
  </si>
  <si>
    <t>(b) + (c)</t>
  </si>
  <si>
    <t>(d) + (e)</t>
  </si>
  <si>
    <t>Regession</t>
  </si>
  <si>
    <t>Adjusted</t>
  </si>
  <si>
    <t>Hauler</t>
  </si>
  <si>
    <t>Revenue Req</t>
  </si>
  <si>
    <t>Revenue</t>
  </si>
  <si>
    <t xml:space="preserve">Revenue </t>
  </si>
  <si>
    <t>INPUTS - Test Year</t>
  </si>
  <si>
    <t>(a)</t>
  </si>
  <si>
    <t>(b)</t>
  </si>
  <si>
    <t>(c)</t>
  </si>
  <si>
    <t>(d)</t>
  </si>
  <si>
    <t>(e)</t>
  </si>
  <si>
    <t>(f)</t>
  </si>
  <si>
    <t>Before Tax</t>
  </si>
  <si>
    <t>Less</t>
  </si>
  <si>
    <t>After Tax</t>
  </si>
  <si>
    <t>Flotation Costs</t>
  </si>
  <si>
    <t>Weighted Cost</t>
  </si>
  <si>
    <t>Before RevS</t>
  </si>
  <si>
    <t xml:space="preserve"> Increase Before</t>
  </si>
  <si>
    <t>Increase After</t>
  </si>
  <si>
    <t xml:space="preserve">RevS </t>
  </si>
  <si>
    <t xml:space="preserve">Total </t>
  </si>
  <si>
    <t>Operating Revenue</t>
  </si>
  <si>
    <t>Line</t>
  </si>
  <si>
    <t>Historical</t>
  </si>
  <si>
    <t>Proforma</t>
  </si>
  <si>
    <t xml:space="preserve">Add: Revenue </t>
  </si>
  <si>
    <t>Profit Ratio</t>
  </si>
  <si>
    <t>BTROI</t>
  </si>
  <si>
    <t>WCDebt</t>
  </si>
  <si>
    <t>BTROE</t>
  </si>
  <si>
    <t>ROE</t>
  </si>
  <si>
    <t>Basis Points</t>
  </si>
  <si>
    <t>Equity</t>
  </si>
  <si>
    <t>Equity BFT</t>
  </si>
  <si>
    <t>Debt</t>
  </si>
  <si>
    <t>BTROR</t>
  </si>
  <si>
    <t>Operating Ratio</t>
  </si>
  <si>
    <t>Taxes</t>
  </si>
  <si>
    <t>RevS Taxes</t>
  </si>
  <si>
    <t>Operating Expenses</t>
  </si>
  <si>
    <t>No.</t>
  </si>
  <si>
    <t>Change</t>
  </si>
  <si>
    <t>Sensitive Taxes</t>
  </si>
  <si>
    <t>Requirement</t>
  </si>
  <si>
    <t>Investment</t>
  </si>
  <si>
    <t>Capital Structure-Debt %</t>
  </si>
  <si>
    <t>Capital Structure-Debt Rate</t>
  </si>
  <si>
    <t>Operating Income</t>
  </si>
  <si>
    <t>Federal Income Tax Rate</t>
  </si>
  <si>
    <t>2nd Iteration</t>
  </si>
  <si>
    <t>B&amp;O Tax Rate</t>
  </si>
  <si>
    <t>Interest Expense</t>
  </si>
  <si>
    <t>WUTC Fee</t>
  </si>
  <si>
    <t>Income Tax Expense</t>
  </si>
  <si>
    <t>City Tax</t>
  </si>
  <si>
    <t>Bad Debts</t>
  </si>
  <si>
    <t>Net Income</t>
  </si>
  <si>
    <t>Basis Points - Flotation</t>
  </si>
  <si>
    <t>3rd Iteration</t>
  </si>
  <si>
    <t>Yes</t>
  </si>
  <si>
    <t xml:space="preserve">Operating Ratio </t>
  </si>
  <si>
    <t>Check when input is complete</t>
  </si>
  <si>
    <t>No</t>
  </si>
  <si>
    <t>Revenue Requirement</t>
  </si>
  <si>
    <t>For Intial input: Uncheck Checkbox Until Completed</t>
  </si>
  <si>
    <t>Historical Revenue</t>
  </si>
  <si>
    <t>Revenue Increase before taxes</t>
  </si>
  <si>
    <t>Rate Increase</t>
  </si>
  <si>
    <t>Rev Sensitive Taxes</t>
  </si>
  <si>
    <t>4th Iteration</t>
  </si>
  <si>
    <t>Percent Increase</t>
  </si>
  <si>
    <t>2018 Version Update Changes</t>
  </si>
  <si>
    <t>● Allows Income Tax Rate Changes,</t>
  </si>
  <si>
    <t>Captial Structure Financing Investment</t>
  </si>
  <si>
    <t>Financing Cost</t>
  </si>
  <si>
    <t>● Minimizes impact of changes in test-year revenue from</t>
  </si>
  <si>
    <t>Type</t>
  </si>
  <si>
    <t>Percent</t>
  </si>
  <si>
    <t>Amount</t>
  </si>
  <si>
    <t>Cost of Capital</t>
  </si>
  <si>
    <t>Weighted</t>
  </si>
  <si>
    <t>5th Iteration</t>
  </si>
  <si>
    <t xml:space="preserve">   resulting revenue requirment,</t>
  </si>
  <si>
    <t>● Corrects interest rate transposition in LG.</t>
  </si>
  <si>
    <t>Total</t>
  </si>
  <si>
    <t>Before</t>
  </si>
  <si>
    <t>After</t>
  </si>
  <si>
    <t>6th Iteration</t>
  </si>
  <si>
    <t>Operating Statistics</t>
  </si>
  <si>
    <t>Income Tax</t>
  </si>
  <si>
    <t>Return on Investment</t>
  </si>
  <si>
    <t>Return on Equity</t>
  </si>
  <si>
    <t>7th Iteration</t>
  </si>
  <si>
    <t>Profit Margin</t>
  </si>
  <si>
    <t>Final turnover</t>
  </si>
  <si>
    <t>Tax Rate</t>
  </si>
  <si>
    <t>Revenue Sensitive Taxes Charges</t>
  </si>
  <si>
    <t>Curve</t>
  </si>
  <si>
    <t>Rate</t>
  </si>
  <si>
    <t>Lookup Table</t>
  </si>
  <si>
    <t xml:space="preserve"> B &amp; O Tax</t>
  </si>
  <si>
    <t xml:space="preserve"> WUTC Fee</t>
  </si>
  <si>
    <t xml:space="preserve"> City Tax</t>
  </si>
  <si>
    <t>Percent Chg</t>
  </si>
  <si>
    <t xml:space="preserve"> Bad Debts</t>
  </si>
  <si>
    <t>Revenue Sensitive</t>
  </si>
  <si>
    <t>Curve turnover</t>
  </si>
  <si>
    <t>@EXP(5.72260-(.68367*@LN(T)))</t>
  </si>
  <si>
    <t>Curve No. Used</t>
  </si>
  <si>
    <t>@EXP(5.70827-(.68367*@LN(T)))</t>
  </si>
  <si>
    <t>Conversion Factor</t>
  </si>
  <si>
    <t>@EXP(5.69850-(.68367*@LN(T)))</t>
  </si>
  <si>
    <t>@EXP(5.69220-(.68367*@LN(T)))</t>
  </si>
  <si>
    <t>Base Utility from LG Sample Study</t>
  </si>
  <si>
    <t>Regression Results</t>
  </si>
  <si>
    <t>Cost</t>
  </si>
  <si>
    <t>Y intercept (1)</t>
  </si>
  <si>
    <t>Y intercept (3)</t>
  </si>
  <si>
    <t>Y intercept (2)</t>
  </si>
  <si>
    <t>Y intercept (4)</t>
  </si>
  <si>
    <t>Pfd.</t>
  </si>
  <si>
    <t>Slope</t>
  </si>
  <si>
    <t>Pre-tax</t>
  </si>
  <si>
    <t>Mason County Garbage Co. G-88</t>
  </si>
  <si>
    <t>Recycling</t>
  </si>
  <si>
    <t>Current</t>
  </si>
  <si>
    <t xml:space="preserve">Proposed </t>
  </si>
  <si>
    <t>Tariff</t>
  </si>
  <si>
    <t>Rates</t>
  </si>
  <si>
    <t>Increase</t>
  </si>
  <si>
    <t>Item 50, pg 14</t>
  </si>
  <si>
    <t>Returned check charge:</t>
  </si>
  <si>
    <t>Item 51, pg 15</t>
  </si>
  <si>
    <t xml:space="preserve">  Restart fees</t>
  </si>
  <si>
    <t xml:space="preserve">  Recycling Restart Fees</t>
  </si>
  <si>
    <t>Item 52, pg 15</t>
  </si>
  <si>
    <t>Redelivery, containers:</t>
  </si>
  <si>
    <t xml:space="preserve">  Up to 8 Yards</t>
  </si>
  <si>
    <t xml:space="preserve">  Over 8 Yards</t>
  </si>
  <si>
    <t>Redelivery, Automated Carts:</t>
  </si>
  <si>
    <t>Redelivery, Recycling</t>
  </si>
  <si>
    <t>Item 55, pg 16 - Mason County</t>
  </si>
  <si>
    <t xml:space="preserve"> Oversized can</t>
  </si>
  <si>
    <t>Item 60, pg 16 - Mason County</t>
  </si>
  <si>
    <t>Overtime charge per hr:</t>
  </si>
  <si>
    <t>Minimum</t>
  </si>
  <si>
    <t>Item 70, pg 17</t>
  </si>
  <si>
    <t>Return Trip:</t>
  </si>
  <si>
    <t>Cans</t>
  </si>
  <si>
    <t>Drum</t>
  </si>
  <si>
    <t>Bale</t>
  </si>
  <si>
    <t>Litter Receptacle</t>
  </si>
  <si>
    <t>Drop Box</t>
  </si>
  <si>
    <t>Container</t>
  </si>
  <si>
    <t>Garbage Cart</t>
  </si>
  <si>
    <t>Recycling Cart</t>
  </si>
  <si>
    <t>Item 80, pg 19</t>
  </si>
  <si>
    <t>Carry-Out:</t>
  </si>
  <si>
    <t>Residential:</t>
  </si>
  <si>
    <t>5-25 feet</t>
  </si>
  <si>
    <t>25- plus add</t>
  </si>
  <si>
    <t>Commercial:</t>
  </si>
  <si>
    <t>Drive-in:</t>
  </si>
  <si>
    <t>50 Feet - 250 Feet</t>
  </si>
  <si>
    <t>250 feet - 1/10 mile</t>
  </si>
  <si>
    <t>Additional 1/10 mile</t>
  </si>
  <si>
    <t>Drive-in Recycling:</t>
  </si>
  <si>
    <t>Item 90, pg 20</t>
  </si>
  <si>
    <t>Stairs - each step</t>
  </si>
  <si>
    <t>Overhead Obstruction</t>
  </si>
  <si>
    <t>Sunken</t>
  </si>
  <si>
    <t>Item 100, pg 21 - Mason County</t>
  </si>
  <si>
    <t>Weekly:</t>
  </si>
  <si>
    <t xml:space="preserve"> Mini</t>
  </si>
  <si>
    <t>35 Gallon</t>
  </si>
  <si>
    <t>48 Gallon</t>
  </si>
  <si>
    <t>64 Gallon</t>
  </si>
  <si>
    <t>96 Gallon</t>
  </si>
  <si>
    <t>EOW</t>
  </si>
  <si>
    <t>Monthly:</t>
  </si>
  <si>
    <t>Recycle Rate</t>
  </si>
  <si>
    <t>EOW with Garbage Service</t>
  </si>
  <si>
    <t>Item 100, pg 22 - Mason County</t>
  </si>
  <si>
    <t>Occasional Extra</t>
  </si>
  <si>
    <t>35 Gal</t>
  </si>
  <si>
    <t>48 Gal</t>
  </si>
  <si>
    <t>64 Gal</t>
  </si>
  <si>
    <t>96 Gal</t>
  </si>
  <si>
    <t>Bag</t>
  </si>
  <si>
    <t>On Call</t>
  </si>
  <si>
    <t>Item 150, pg 28 - Mason County</t>
  </si>
  <si>
    <t>Loose and Bulky</t>
  </si>
  <si>
    <t>Additional</t>
  </si>
  <si>
    <t>Carry Chrg</t>
  </si>
  <si>
    <t>Item 160, pg 29</t>
  </si>
  <si>
    <t>Single Rear Drive Axle:</t>
  </si>
  <si>
    <t>Truck and Driver:</t>
  </si>
  <si>
    <t>Non-packer</t>
  </si>
  <si>
    <t>Packer</t>
  </si>
  <si>
    <t>Each Extra Person:</t>
  </si>
  <si>
    <t>Minimum Charge:</t>
  </si>
  <si>
    <t>Tandem Rear Drive Axle:</t>
  </si>
  <si>
    <t>Non-Packer</t>
  </si>
  <si>
    <t>RO</t>
  </si>
  <si>
    <t>Item 205, pg 31</t>
  </si>
  <si>
    <t>Roll-Out:</t>
  </si>
  <si>
    <t>Over 25 feet</t>
  </si>
  <si>
    <t>Automated Carts/Toters</t>
  </si>
  <si>
    <t>Automated Recycling Carts</t>
  </si>
  <si>
    <t>Item 207, pg 32 Mason County</t>
  </si>
  <si>
    <t>Excess Weight:</t>
  </si>
  <si>
    <t>All Containers</t>
  </si>
  <si>
    <t>All Dop Boxes</t>
  </si>
  <si>
    <t>Item 210, pg 33</t>
  </si>
  <si>
    <t>Washing:</t>
  </si>
  <si>
    <t>Per yard</t>
  </si>
  <si>
    <t>Steam Cleaning</t>
  </si>
  <si>
    <t>Washing - Automated Carts</t>
  </si>
  <si>
    <t>Item 230, pg 34</t>
  </si>
  <si>
    <t>Disposal Fees:</t>
  </si>
  <si>
    <t>Mason County TS - MSW</t>
  </si>
  <si>
    <t>Item 240, pg 35 - Mason County</t>
  </si>
  <si>
    <t>Permanent Container Rent:</t>
  </si>
  <si>
    <t>1 yard</t>
  </si>
  <si>
    <t xml:space="preserve"> 1.5 yard</t>
  </si>
  <si>
    <t>2 yard</t>
  </si>
  <si>
    <t>Pickups:</t>
  </si>
  <si>
    <t xml:space="preserve">Special Pickups: </t>
  </si>
  <si>
    <t>Temporary:</t>
  </si>
  <si>
    <t>Container Delivery:</t>
  </si>
  <si>
    <t>Rent per Day:</t>
  </si>
  <si>
    <t>Rent per Month:</t>
  </si>
  <si>
    <t>Lost Container</t>
  </si>
  <si>
    <t>Unlocking/Unlatching:</t>
  </si>
  <si>
    <t>Per pickup</t>
  </si>
  <si>
    <t>Additional Items (per Yard)</t>
  </si>
  <si>
    <t>Item 245, pg 36 - Mason County</t>
  </si>
  <si>
    <t>35 gal</t>
  </si>
  <si>
    <t>48 gal</t>
  </si>
  <si>
    <t>64 gal</t>
  </si>
  <si>
    <t>96 gal</t>
  </si>
  <si>
    <t>Special Pickups</t>
  </si>
  <si>
    <t xml:space="preserve"> 32-gal</t>
  </si>
  <si>
    <t>Minimum charge;</t>
  </si>
  <si>
    <t>Each additional unit</t>
  </si>
  <si>
    <t>Automated Carts Minimum:</t>
  </si>
  <si>
    <t>Latching, Unlocking</t>
  </si>
  <si>
    <t>Item 260, pg 39</t>
  </si>
  <si>
    <t>Permanent Rent;</t>
  </si>
  <si>
    <t>10 yard</t>
  </si>
  <si>
    <t>20 yard</t>
  </si>
  <si>
    <t>30 yard</t>
  </si>
  <si>
    <t>40 yard</t>
  </si>
  <si>
    <t>Hauls:</t>
  </si>
  <si>
    <t>First, Additional, Special</t>
  </si>
  <si>
    <t>Temporary Delivery Fee:</t>
  </si>
  <si>
    <t>Perm/Temp Drop Box</t>
  </si>
  <si>
    <t>Temporary DB (rent per day)</t>
  </si>
  <si>
    <t>Mileage</t>
  </si>
  <si>
    <t>Lid charge (per month)</t>
  </si>
  <si>
    <t>Tarp fee</t>
  </si>
  <si>
    <t>Item 265, pg 40</t>
  </si>
  <si>
    <t>Customer owned non-comp</t>
  </si>
  <si>
    <t>Item 270, pg 41</t>
  </si>
  <si>
    <t>Company owned comp</t>
  </si>
  <si>
    <t>Item 275, pg 42</t>
  </si>
  <si>
    <t>Customer owned comp</t>
  </si>
  <si>
    <t>15 Yard</t>
  </si>
  <si>
    <t>25 yard</t>
  </si>
  <si>
    <t>35 yard</t>
  </si>
  <si>
    <t>Disconnect/reconnect compactor</t>
  </si>
  <si>
    <t xml:space="preserve"> </t>
  </si>
  <si>
    <t>MASON CO-REGULATED</t>
  </si>
  <si>
    <t>Mason County</t>
  </si>
  <si>
    <t>Increase per LG:</t>
  </si>
  <si>
    <t>MSW</t>
  </si>
  <si>
    <t>Mason Co. Regulated - Price Out</t>
  </si>
  <si>
    <t>Recycle</t>
  </si>
  <si>
    <t>Tariff Rate</t>
  </si>
  <si>
    <t>Container Counts</t>
  </si>
  <si>
    <t>Service Code</t>
  </si>
  <si>
    <t>Service Code Description</t>
  </si>
  <si>
    <t>Page</t>
  </si>
  <si>
    <t>Customers</t>
  </si>
  <si>
    <t>Mason Average</t>
  </si>
  <si>
    <t>Cart Size</t>
  </si>
  <si>
    <t>Can Size</t>
  </si>
  <si>
    <t>Container Size</t>
  </si>
  <si>
    <t>Quantity</t>
  </si>
  <si>
    <t>Count</t>
  </si>
  <si>
    <t>Total Beginning Revenue</t>
  </si>
  <si>
    <t>12 months @ current rates</t>
  </si>
  <si>
    <t>Proposed Tariff Rate</t>
  </si>
  <si>
    <t>Proposed Annual Revenue</t>
  </si>
  <si>
    <t>Change in Annual Revenue</t>
  </si>
  <si>
    <t>RESIDENTIAL SERVICES</t>
  </si>
  <si>
    <t>Concatenate (Area &amp;LOB &amp; Service Code)</t>
  </si>
  <si>
    <t>Count (ensures no duplicates)</t>
  </si>
  <si>
    <t>RESIDENTIAL GARBAGE</t>
  </si>
  <si>
    <t>35RE1</t>
  </si>
  <si>
    <t>1-35 GAL CART EOW SVC</t>
  </si>
  <si>
    <t>48RE1</t>
  </si>
  <si>
    <t>1-48 GAL EOW</t>
  </si>
  <si>
    <t>64RE1</t>
  </si>
  <si>
    <t>1-64 GAL EOW</t>
  </si>
  <si>
    <t>96RE1</t>
  </si>
  <si>
    <t>1-96 GAL EOW</t>
  </si>
  <si>
    <t>20RW1</t>
  </si>
  <si>
    <t>1-20 GAL CART WEEKLY SVC</t>
  </si>
  <si>
    <t>35RW1</t>
  </si>
  <si>
    <t>1-35 GAL CART WEEKLY SVC</t>
  </si>
  <si>
    <t>48RW1</t>
  </si>
  <si>
    <t>1-48 GAL WEEKLY</t>
  </si>
  <si>
    <t>64RW1</t>
  </si>
  <si>
    <t>1-64 GAL CART WEEKLY SVC</t>
  </si>
  <si>
    <t>96RW1</t>
  </si>
  <si>
    <t>1-96 GAL CART WEEKLY SVC</t>
  </si>
  <si>
    <t>35RM1</t>
  </si>
  <si>
    <t>1-35 GAL MONTHLY</t>
  </si>
  <si>
    <t>48RM1</t>
  </si>
  <si>
    <t>1-48 GAL MONTHLY</t>
  </si>
  <si>
    <t>64RM1</t>
  </si>
  <si>
    <t>1-64 GAL MONTHLY</t>
  </si>
  <si>
    <t>96RM1</t>
  </si>
  <si>
    <t>1-96 GAL MONTHLY</t>
  </si>
  <si>
    <t>EXPUR</t>
  </si>
  <si>
    <t>EXTRA PICKUP</t>
  </si>
  <si>
    <t>EXTRAR</t>
  </si>
  <si>
    <t>EXTRA CAN/BAGS</t>
  </si>
  <si>
    <t>35ROC1</t>
  </si>
  <si>
    <t>1-35 GAL ON CALL PICKUP</t>
  </si>
  <si>
    <t>48ROC1</t>
  </si>
  <si>
    <t>1-48 GAL ON CALL PICKUP</t>
  </si>
  <si>
    <t>64ROC1</t>
  </si>
  <si>
    <t>1-64 GAL ON CALL PICKUP</t>
  </si>
  <si>
    <t>96ROC1</t>
  </si>
  <si>
    <t>1-96 GAL ON CALL PICKUP</t>
  </si>
  <si>
    <t>DRVNRE1</t>
  </si>
  <si>
    <t>DRIVE IN UP TO 250-EOW</t>
  </si>
  <si>
    <t>DRVNRW1</t>
  </si>
  <si>
    <t>DRIVE IN UP TO 250</t>
  </si>
  <si>
    <t>DRVNRM2</t>
  </si>
  <si>
    <t>DRIVE IN OVER 250-MTHLY</t>
  </si>
  <si>
    <t>DRVNRW2</t>
  </si>
  <si>
    <t>DRIVE IN OVER 250</t>
  </si>
  <si>
    <t>DRVNRM1</t>
  </si>
  <si>
    <t>DRIVE IN UP TO 250-MTHLY</t>
  </si>
  <si>
    <t>DRVNROC1</t>
  </si>
  <si>
    <t>DRIVE IN UP TO 250-OC</t>
  </si>
  <si>
    <t>DRVNRE2</t>
  </si>
  <si>
    <t>DRIVE IN OVER 250-EOW</t>
  </si>
  <si>
    <t>WLKNRE1</t>
  </si>
  <si>
    <t>WALK IN 5-25-EOW</t>
  </si>
  <si>
    <t>WLKNRM1</t>
  </si>
  <si>
    <t>WALK IN 5-25-MTHLY</t>
  </si>
  <si>
    <t>WLKNRW1</t>
  </si>
  <si>
    <t>WALK IN 5-25</t>
  </si>
  <si>
    <t>WLKNRW2</t>
  </si>
  <si>
    <t>WALK IN OVER 25</t>
  </si>
  <si>
    <t>REDELIVER</t>
  </si>
  <si>
    <t>DELIVERY CHARGE</t>
  </si>
  <si>
    <t>RESTART</t>
  </si>
  <si>
    <t>SERVICE RESTART FEE</t>
  </si>
  <si>
    <t>ROLLOUT 5-25</t>
  </si>
  <si>
    <t>ROLL OUT FEE 5 - 25 FT</t>
  </si>
  <si>
    <t>TRIPRCARTS</t>
  </si>
  <si>
    <t>RESI TRIP CHARGE - CARTS</t>
  </si>
  <si>
    <t>STAIR-RES</t>
  </si>
  <si>
    <t>PER STAIR - RES</t>
  </si>
  <si>
    <t>Carts</t>
  </si>
  <si>
    <t>OFOWR</t>
  </si>
  <si>
    <t>OVERFILL/OVERWEIGHT CHG</t>
  </si>
  <si>
    <t>ADJOTHR</t>
  </si>
  <si>
    <t>ADJUSTMENT</t>
  </si>
  <si>
    <t>LOOSE-RES</t>
  </si>
  <si>
    <t>LOOSE MATERIAL -RES</t>
  </si>
  <si>
    <t>TOTAL RESIDENTIAL GARBAGE</t>
  </si>
  <si>
    <t>RESIDENTIAL RECYCLING</t>
  </si>
  <si>
    <t>DRVNRE1RECY</t>
  </si>
  <si>
    <t>DRIVE IN UP TO 250 EOW-RE</t>
  </si>
  <si>
    <t>DRVNRE1RECYMA</t>
  </si>
  <si>
    <t>DRVNRE2RECY</t>
  </si>
  <si>
    <t>DRIVE IN OVER 250 EOW-REC</t>
  </si>
  <si>
    <t>DRVNRE2RECYMA</t>
  </si>
  <si>
    <t>DRVNRM1RECYMA</t>
  </si>
  <si>
    <t>DRIVE IN UP TO 125 MONTHL</t>
  </si>
  <si>
    <t>RECYONLY</t>
  </si>
  <si>
    <t>RECYCLE SERVICE ONLY</t>
  </si>
  <si>
    <t>RECYR</t>
  </si>
  <si>
    <t>RESIDENTIAL RECYCLE</t>
  </si>
  <si>
    <t>RECYCRMA</t>
  </si>
  <si>
    <t>RECYCLE MONTHLY ARREARS</t>
  </si>
  <si>
    <t>RECYRNB</t>
  </si>
  <si>
    <t>RECYCLE PROGRAM W/O BINS</t>
  </si>
  <si>
    <t>RECYRNBMA</t>
  </si>
  <si>
    <t>RECYCLE NO BIN MONTHLY AR</t>
  </si>
  <si>
    <t>REDELIVERRECY</t>
  </si>
  <si>
    <t>RESTARTRECY</t>
  </si>
  <si>
    <t>TOTAL RESIDENTIAL RECYCLING</t>
  </si>
  <si>
    <t xml:space="preserve">COMMERCIAL SERVICES </t>
  </si>
  <si>
    <t>COMMERCIAL GARBAGE</t>
  </si>
  <si>
    <t>R1YDEM</t>
  </si>
  <si>
    <t>1 YD 1X EOW</t>
  </si>
  <si>
    <t>R1YDEK</t>
  </si>
  <si>
    <t>R1YDWK</t>
  </si>
  <si>
    <t>1 YD 1X WEEKLY</t>
  </si>
  <si>
    <t>R1YDWM</t>
  </si>
  <si>
    <t>R1.5YDEM</t>
  </si>
  <si>
    <t>1.5 YD 1X EOW</t>
  </si>
  <si>
    <t>R1.5YDEK</t>
  </si>
  <si>
    <t>R1.5YDWM</t>
  </si>
  <si>
    <t>1.5 YD 1X WEEKLY</t>
  </si>
  <si>
    <t>R1.5YDWK</t>
  </si>
  <si>
    <t>R1.5YD1W</t>
  </si>
  <si>
    <t>1.5YD CONT 1xWEEKLY SVC</t>
  </si>
  <si>
    <t>R2YDEM</t>
  </si>
  <si>
    <t>2 YD 1X EOW</t>
  </si>
  <si>
    <t>R2YDEK</t>
  </si>
  <si>
    <t>R2YDWK</t>
  </si>
  <si>
    <t>2 YD 1X WEEKLY</t>
  </si>
  <si>
    <t>R2YDWM</t>
  </si>
  <si>
    <t>R1YDRENTM</t>
  </si>
  <si>
    <t>1YD CONTAINER RENT-MTHLY</t>
  </si>
  <si>
    <t>R1.5YDRENTM</t>
  </si>
  <si>
    <t>1.5YD CONTAINER RENT-MTH</t>
  </si>
  <si>
    <t>R2YDRENTM</t>
  </si>
  <si>
    <t>2YD CONTAINER RENT-MTHLY</t>
  </si>
  <si>
    <t>R2YDRENTTM</t>
  </si>
  <si>
    <t>2 YD TEMP CONT RENT MONTH</t>
  </si>
  <si>
    <t>R2YDRENTT</t>
  </si>
  <si>
    <t>2YD TEMP CONTAINER RENT</t>
  </si>
  <si>
    <t>R1.5YDRENTT</t>
  </si>
  <si>
    <t>1.5YD TEMP CONTAINER RENT</t>
  </si>
  <si>
    <t>R1.5YDRENTTM</t>
  </si>
  <si>
    <t>1.5 YD TEMP CONT RENT MON</t>
  </si>
  <si>
    <t>R1YDPU</t>
  </si>
  <si>
    <t>1YD CONTAINER PICKUP</t>
  </si>
  <si>
    <t>R1.5YDPU</t>
  </si>
  <si>
    <t>1.5YD CONTAINER PICKUP</t>
  </si>
  <si>
    <t>R2YDPU</t>
  </si>
  <si>
    <t>2YD CONTAINER PICKUP</t>
  </si>
  <si>
    <t>R1YDRENTT</t>
  </si>
  <si>
    <t>1YD TEMP CONT RENT</t>
  </si>
  <si>
    <t>R1YDRENTTM</t>
  </si>
  <si>
    <t>1 YD TEMP CONT RENT MONTH</t>
  </si>
  <si>
    <t>R2YDTPU</t>
  </si>
  <si>
    <t>2YD TEMP CONTAINER PU</t>
  </si>
  <si>
    <t>CDELC</t>
  </si>
  <si>
    <t>CONTAINER DELIVERY CHARGE</t>
  </si>
  <si>
    <t>COMCAN</t>
  </si>
  <si>
    <t>COMMERCIAL CAN EXTRA</t>
  </si>
  <si>
    <t>ROLLOUTOC</t>
  </si>
  <si>
    <t>ROLL OUT</t>
  </si>
  <si>
    <t>CTRIPCAN</t>
  </si>
  <si>
    <t>RETURN TRIP CHG - CANS</t>
  </si>
  <si>
    <t>CTRIP</t>
  </si>
  <si>
    <t>RETURN TRIP CHARGE - CONT</t>
  </si>
  <si>
    <t>CEXYD</t>
  </si>
  <si>
    <t>CMML EXTRA YARDAGE</t>
  </si>
  <si>
    <t>CLSECOL</t>
  </si>
  <si>
    <t>LOOSE MATERIAL-COLLECTOR</t>
  </si>
  <si>
    <t>CLSE1COL</t>
  </si>
  <si>
    <t>ADDT'L LOOSE-COLLECTOR</t>
  </si>
  <si>
    <t>UNLOCKREF</t>
  </si>
  <si>
    <t>UNLOCK / UNLATCH REFUSE</t>
  </si>
  <si>
    <t>Cart</t>
  </si>
  <si>
    <t>TOTAL COMMERCIAL GARBAGE</t>
  </si>
  <si>
    <t>DROP BOX SERVICES</t>
  </si>
  <si>
    <t>DROP BOX HAULS/RENTAL</t>
  </si>
  <si>
    <t>ROHAUL10</t>
  </si>
  <si>
    <t>10YD ROLL OFF HAUL</t>
  </si>
  <si>
    <t>ROHAUL10T</t>
  </si>
  <si>
    <t>ROHAUL20</t>
  </si>
  <si>
    <t>20YD ROLL OFF-HAUL</t>
  </si>
  <si>
    <t>ROHAUL20T</t>
  </si>
  <si>
    <t>20YD ROLL OFF TEMP HAUL</t>
  </si>
  <si>
    <t>ROHAUL30</t>
  </si>
  <si>
    <t>30YD ROLL OFF-HAUL</t>
  </si>
  <si>
    <t>ROHAUL40</t>
  </si>
  <si>
    <t>40YD ROLL OFF-HAUL</t>
  </si>
  <si>
    <t>ROHAUL40T</t>
  </si>
  <si>
    <t>40YD ROLL OFF TEMP HAUL</t>
  </si>
  <si>
    <t>CPHAUL10</t>
  </si>
  <si>
    <t>10YD COMPACTOR-HAUL</t>
  </si>
  <si>
    <t>CPHAUL15</t>
  </si>
  <si>
    <t>15YD COMPACTOR-HAUL</t>
  </si>
  <si>
    <t>CPHAUL20</t>
  </si>
  <si>
    <t>20YD COMPACTOR-HAUL</t>
  </si>
  <si>
    <t>CPHAUL25</t>
  </si>
  <si>
    <t>25YD COMPACTOR-HAUL</t>
  </si>
  <si>
    <t>CPHAUL30</t>
  </si>
  <si>
    <t>30YD COMPACTOR-HAUL</t>
  </si>
  <si>
    <t>CPHAUL35</t>
  </si>
  <si>
    <t>35YD COMPACTOR-HAUL</t>
  </si>
  <si>
    <t>RORENT10D</t>
  </si>
  <si>
    <t>10YD ROLL OFF DAILY RENT</t>
  </si>
  <si>
    <t>RORENT20D</t>
  </si>
  <si>
    <t>20YD ROLL OFF-DAILY RENT</t>
  </si>
  <si>
    <t>RORENT40D</t>
  </si>
  <si>
    <t>40YD ROLL OFF-DAILY RENT</t>
  </si>
  <si>
    <t>RORENT10M</t>
  </si>
  <si>
    <t>10YD ROLL OFF MTHLY RENT</t>
  </si>
  <si>
    <t>RORENT20M</t>
  </si>
  <si>
    <t>20YD ROLL OFF-MNTHLY RENT</t>
  </si>
  <si>
    <t>RORENT40M</t>
  </si>
  <si>
    <t>40YD ROLL OFF-MNTHLY RENT</t>
  </si>
  <si>
    <t>ROLID</t>
  </si>
  <si>
    <t>ROLL OFF-LID</t>
  </si>
  <si>
    <t>RODEL</t>
  </si>
  <si>
    <t>ROLL OFF-DELIVERY</t>
  </si>
  <si>
    <t>ROMILE</t>
  </si>
  <si>
    <t>ROLL OFF-MILEAGE</t>
  </si>
  <si>
    <t>ROWAIT</t>
  </si>
  <si>
    <t>TIME/STANDBY CHARGE</t>
  </si>
  <si>
    <t>WASHREF</t>
  </si>
  <si>
    <t>WASHING AUTOMATED REFUSE</t>
  </si>
  <si>
    <t>SP</t>
  </si>
  <si>
    <t>SPECIAL PICKUP</t>
  </si>
  <si>
    <t>TOTAL DROP BOX HAULS/RENTAL</t>
  </si>
  <si>
    <t>PASSTHROUGH DISPOSAL</t>
  </si>
  <si>
    <t>DISPMC-TON</t>
  </si>
  <si>
    <t>MC LANDFILL PER TON</t>
  </si>
  <si>
    <t>DISPOLY-TON</t>
  </si>
  <si>
    <t>DISPOSAL MISCELLANOUS</t>
  </si>
  <si>
    <t>DISPMCMISC</t>
  </si>
  <si>
    <t>TOTAL PASSTHROUGH DISPOSAL</t>
  </si>
  <si>
    <t>Service Charges</t>
  </si>
  <si>
    <t>FINCHG</t>
  </si>
  <si>
    <t>FINANCE CHARGE</t>
  </si>
  <si>
    <t>C19-ADJFIN</t>
  </si>
  <si>
    <t>NSF FEES</t>
  </si>
  <si>
    <t>COLLECTION AGENCY FEE</t>
  </si>
  <si>
    <t>TOTAL SERVICE CHARGES</t>
  </si>
  <si>
    <t>TOTAL REVENUE</t>
  </si>
  <si>
    <t>Mason County Regulated</t>
  </si>
  <si>
    <t>Total Mason</t>
  </si>
  <si>
    <t>Shelton Regulated</t>
  </si>
  <si>
    <t>Total Regulated</t>
  </si>
  <si>
    <t>LS Rev Req.</t>
  </si>
  <si>
    <t>Variance</t>
  </si>
  <si>
    <t>Price Increase</t>
  </si>
  <si>
    <t>Increase Per LG</t>
  </si>
  <si>
    <t>Per Price Out</t>
  </si>
  <si>
    <t>Check</t>
  </si>
  <si>
    <t>March 1st, 2023 - February 29th, 2024</t>
  </si>
  <si>
    <t>Effective Date October 1, 2025</t>
  </si>
  <si>
    <t>B&amp;O Increase Percentage</t>
  </si>
  <si>
    <t>Gross Up Factor</t>
  </si>
  <si>
    <t>Gross Up B&amp;O Increase Percentage</t>
  </si>
  <si>
    <t>Grossed Up for MSW Operating Margin</t>
  </si>
  <si>
    <t>Grossed Up for Recycling Operating Margin</t>
  </si>
  <si>
    <t>B&amp;O Increase With Gross Up</t>
  </si>
  <si>
    <t>Revenue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</si>
</sst>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#,##0.0000_);\(#,##0.0000\)"/>
    <numFmt numFmtId="166" formatCode="#,##0.000_);\(#,##0.000\)"/>
    <numFmt numFmtId="167" formatCode="0.000%"/>
    <numFmt numFmtId="168" formatCode="_(* #,##0_);_(* \(#,##0\);_(* &quot;-&quot;??_);_(@_)"/>
    <numFmt numFmtId="169" formatCode="#,##0.00000_);\(#,##0.00000\)"/>
    <numFmt numFmtId="170" formatCode="0.00000"/>
    <numFmt numFmtId="171" formatCode="&quot;$&quot;#,##0"/>
    <numFmt numFmtId="172" formatCode="&quot;$&quot;#,##0.00"/>
    <numFmt numFmtId="173" formatCode="0.0000%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SWISS"/>
    </font>
    <font>
      <sz val="12"/>
      <color indexed="12"/>
      <name val="SWISS"/>
    </font>
    <font>
      <sz val="12"/>
      <name val="Helv"/>
    </font>
    <font>
      <b/>
      <sz val="12"/>
      <name val="SWISS"/>
    </font>
    <font>
      <sz val="8"/>
      <color indexed="9"/>
      <name val="Calibri"/>
      <family val="2"/>
    </font>
    <font>
      <sz val="14"/>
      <color indexed="9"/>
      <name val="Calibri"/>
      <family val="2"/>
    </font>
    <font>
      <sz val="9"/>
      <color indexed="9"/>
      <name val="Calibri"/>
      <family val="2"/>
    </font>
    <font>
      <b/>
      <sz val="14"/>
      <name val="SWISS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i/>
      <sz val="8"/>
      <color indexed="12"/>
      <name val="Times New Roman"/>
      <family val="1"/>
    </font>
    <font>
      <sz val="12"/>
      <color indexed="39"/>
      <name val="SWISS"/>
    </font>
    <font>
      <sz val="12"/>
      <color indexed="39"/>
      <name val="Times New Roman"/>
      <family val="1"/>
    </font>
    <font>
      <sz val="10"/>
      <name val="Times New Roman"/>
      <family val="1"/>
    </font>
    <font>
      <b/>
      <sz val="12"/>
      <color indexed="39"/>
      <name val="Times New Roman"/>
      <family val="1"/>
    </font>
    <font>
      <sz val="12"/>
      <color indexed="10"/>
      <name val="SWISS"/>
    </font>
    <font>
      <sz val="12"/>
      <color indexed="8"/>
      <name val="SWISS"/>
    </font>
    <font>
      <sz val="9"/>
      <color indexed="39"/>
      <name val="Times New Roman"/>
      <family val="1"/>
    </font>
    <font>
      <b/>
      <sz val="12"/>
      <name val="Times New Roman"/>
      <family val="1"/>
    </font>
    <font>
      <u/>
      <sz val="12"/>
      <color indexed="12"/>
      <name val="Times New Roman"/>
      <family val="1"/>
    </font>
    <font>
      <b/>
      <u/>
      <sz val="12"/>
      <color indexed="39"/>
      <name val="Times New Roman"/>
      <family val="1"/>
    </font>
    <font>
      <sz val="12"/>
      <color indexed="18"/>
      <name val="Times New Roman"/>
      <family val="1"/>
    </font>
    <font>
      <u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32"/>
      <name val="SWISS"/>
    </font>
    <font>
      <sz val="12"/>
      <color indexed="18"/>
      <name val="SWISS"/>
    </font>
    <font>
      <sz val="10"/>
      <name val="SWISS"/>
    </font>
    <font>
      <sz val="12"/>
      <color indexed="56"/>
      <name val="SWISS"/>
    </font>
    <font>
      <i/>
      <sz val="12"/>
      <name val="SWISS"/>
    </font>
    <font>
      <sz val="11"/>
      <name val="Times New Roman"/>
      <family val="1"/>
    </font>
    <font>
      <u/>
      <sz val="12"/>
      <name val="SWISS"/>
    </font>
    <font>
      <sz val="10"/>
      <color indexed="39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color indexed="8"/>
      <name val="Arial"/>
      <family val="2"/>
    </font>
    <font>
      <b/>
      <sz val="10"/>
      <color indexed="8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name val="Helv"/>
    </font>
    <font>
      <sz val="10"/>
      <name val="Helv"/>
    </font>
    <font>
      <b/>
      <sz val="10"/>
      <name val="Helv"/>
    </font>
    <font>
      <b/>
      <sz val="10"/>
      <name val="SWISS"/>
    </font>
    <font>
      <sz val="8"/>
      <name val="SWISS"/>
    </font>
    <font>
      <b/>
      <sz val="8"/>
      <name val="SWISS"/>
    </font>
    <font>
      <b/>
      <sz val="8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u/>
      <sz val="9"/>
      <color indexed="8"/>
      <name val="Calibri"/>
      <family val="2"/>
    </font>
    <font>
      <b/>
      <sz val="9"/>
      <color indexed="50"/>
      <name val="Calibri"/>
      <family val="2"/>
    </font>
    <font>
      <sz val="9"/>
      <color theme="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i/>
      <sz val="9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indexed="9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</patternFill>
    </fill>
    <fill>
      <patternFill patternType="solid">
        <fgColor rgb="FF4BC95D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3" fillId="3" borderId="0"/>
    <xf numFmtId="164" fontId="5" fillId="0" borderId="0"/>
    <xf numFmtId="0" fontId="2" fillId="2" borderId="0" applyNumberFormat="0" applyBorder="0" applyAlignment="0" applyProtection="0"/>
    <xf numFmtId="41" fontId="16" fillId="7" borderId="0">
      <alignment horizontal="left"/>
    </xf>
    <xf numFmtId="10" fontId="16" fillId="7" borderId="0"/>
    <xf numFmtId="9" fontId="5" fillId="0" borderId="0" applyFont="0" applyFill="0" applyBorder="0" applyAlignment="0" applyProtection="0"/>
    <xf numFmtId="164" fontId="5" fillId="0" borderId="0"/>
    <xf numFmtId="0" fontId="38" fillId="0" borderId="0"/>
    <xf numFmtId="0" fontId="41" fillId="0" borderId="0"/>
    <xf numFmtId="0" fontId="45" fillId="11" borderId="0" applyNumberFormat="0" applyBorder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>
      <alignment wrapText="1"/>
    </xf>
    <xf numFmtId="0" fontId="45" fillId="0" borderId="0"/>
    <xf numFmtId="43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41" fillId="0" borderId="0"/>
  </cellStyleXfs>
  <cellXfs count="368">
    <xf numFmtId="0" fontId="0" fillId="0" borderId="0" xfId="0"/>
    <xf numFmtId="0" fontId="3" fillId="4" borderId="0" xfId="4" applyFill="1"/>
    <xf numFmtId="0" fontId="4" fillId="4" borderId="0" xfId="4" applyFont="1" applyFill="1"/>
    <xf numFmtId="0" fontId="4" fillId="4" borderId="1" xfId="4" applyFont="1" applyFill="1" applyBorder="1"/>
    <xf numFmtId="0" fontId="4" fillId="0" borderId="2" xfId="4" applyFont="1" applyFill="1" applyBorder="1"/>
    <xf numFmtId="0" fontId="4" fillId="0" borderId="0" xfId="4" applyFont="1" applyFill="1" applyAlignment="1">
      <alignment horizontal="center"/>
    </xf>
    <xf numFmtId="0" fontId="4" fillId="0" borderId="0" xfId="4" applyFont="1" applyFill="1"/>
    <xf numFmtId="0" fontId="7" fillId="2" borderId="3" xfId="6" applyNumberFormat="1" applyFont="1" applyBorder="1" applyAlignment="1">
      <alignment horizontal="centerContinuous"/>
    </xf>
    <xf numFmtId="0" fontId="8" fillId="2" borderId="4" xfId="6" applyNumberFormat="1" applyFont="1" applyBorder="1" applyAlignment="1">
      <alignment horizontal="centerContinuous"/>
    </xf>
    <xf numFmtId="0" fontId="8" fillId="2" borderId="4" xfId="6" applyNumberFormat="1" applyFont="1" applyBorder="1" applyAlignment="1">
      <alignment horizontal="left"/>
    </xf>
    <xf numFmtId="0" fontId="9" fillId="2" borderId="5" xfId="6" applyNumberFormat="1" applyFont="1" applyBorder="1" applyAlignment="1">
      <alignment horizontal="centerContinuous"/>
    </xf>
    <xf numFmtId="0" fontId="3" fillId="3" borderId="0" xfId="4"/>
    <xf numFmtId="0" fontId="3" fillId="3" borderId="2" xfId="4" applyBorder="1"/>
    <xf numFmtId="0" fontId="10" fillId="3" borderId="6" xfId="4" applyFont="1" applyBorder="1" applyAlignment="1">
      <alignment horizontal="centerContinuous"/>
    </xf>
    <xf numFmtId="0" fontId="10" fillId="3" borderId="7" xfId="4" applyFont="1" applyBorder="1" applyAlignment="1">
      <alignment horizontal="centerContinuous"/>
    </xf>
    <xf numFmtId="0" fontId="3" fillId="3" borderId="7" xfId="4" applyBorder="1" applyAlignment="1">
      <alignment horizontal="centerContinuous"/>
    </xf>
    <xf numFmtId="0" fontId="11" fillId="3" borderId="8" xfId="4" applyFont="1" applyBorder="1"/>
    <xf numFmtId="0" fontId="11" fillId="3" borderId="0" xfId="4" applyFont="1"/>
    <xf numFmtId="0" fontId="12" fillId="5" borderId="0" xfId="4" applyFont="1" applyFill="1" applyAlignment="1">
      <alignment horizontal="center"/>
    </xf>
    <xf numFmtId="0" fontId="13" fillId="5" borderId="0" xfId="4" applyFont="1" applyFill="1" applyAlignment="1">
      <alignment horizontal="center"/>
    </xf>
    <xf numFmtId="0" fontId="3" fillId="3" borderId="0" xfId="4" applyAlignment="1">
      <alignment horizontal="center"/>
    </xf>
    <xf numFmtId="0" fontId="8" fillId="2" borderId="9" xfId="6" applyNumberFormat="1" applyFont="1" applyBorder="1" applyAlignment="1">
      <alignment horizontal="left"/>
    </xf>
    <xf numFmtId="0" fontId="3" fillId="6" borderId="0" xfId="4" applyFill="1"/>
    <xf numFmtId="0" fontId="11" fillId="3" borderId="2" xfId="4" applyFont="1" applyBorder="1"/>
    <xf numFmtId="0" fontId="14" fillId="4" borderId="0" xfId="4" applyFont="1" applyFill="1"/>
    <xf numFmtId="0" fontId="15" fillId="3" borderId="10" xfId="4" applyFont="1" applyBorder="1" applyAlignment="1">
      <alignment horizontal="right"/>
    </xf>
    <xf numFmtId="41" fontId="11" fillId="0" borderId="11" xfId="7" applyFont="1" applyFill="1" applyBorder="1">
      <alignment horizontal="left"/>
    </xf>
    <xf numFmtId="0" fontId="15" fillId="3" borderId="2" xfId="4" applyFont="1" applyBorder="1"/>
    <xf numFmtId="0" fontId="15" fillId="3" borderId="0" xfId="4" applyFont="1"/>
    <xf numFmtId="0" fontId="17" fillId="5" borderId="0" xfId="4" applyFont="1" applyFill="1" applyAlignment="1">
      <alignment horizontal="center"/>
    </xf>
    <xf numFmtId="0" fontId="17" fillId="5" borderId="0" xfId="5" applyNumberFormat="1" applyFont="1" applyFill="1" applyAlignment="1">
      <alignment horizontal="center"/>
    </xf>
    <xf numFmtId="41" fontId="3" fillId="4" borderId="0" xfId="4" applyNumberFormat="1" applyFill="1"/>
    <xf numFmtId="0" fontId="16" fillId="3" borderId="0" xfId="4" applyFont="1"/>
    <xf numFmtId="0" fontId="15" fillId="3" borderId="12" xfId="4" applyFont="1" applyBorder="1"/>
    <xf numFmtId="0" fontId="12" fillId="5" borderId="13" xfId="4" applyFont="1" applyFill="1" applyBorder="1"/>
    <xf numFmtId="0" fontId="17" fillId="5" borderId="13" xfId="4" applyFont="1" applyFill="1" applyBorder="1" applyAlignment="1">
      <alignment horizontal="center"/>
    </xf>
    <xf numFmtId="0" fontId="17" fillId="5" borderId="13" xfId="4" applyFont="1" applyFill="1" applyBorder="1"/>
    <xf numFmtId="0" fontId="3" fillId="3" borderId="14" xfId="4" applyBorder="1" applyAlignment="1">
      <alignment horizontal="center"/>
    </xf>
    <xf numFmtId="2" fontId="3" fillId="3" borderId="14" xfId="4" applyNumberFormat="1" applyBorder="1" applyAlignment="1">
      <alignment horizontal="center"/>
    </xf>
    <xf numFmtId="165" fontId="3" fillId="3" borderId="15" xfId="4" applyNumberFormat="1" applyBorder="1"/>
    <xf numFmtId="10" fontId="18" fillId="3" borderId="15" xfId="4" applyNumberFormat="1" applyFont="1" applyBorder="1"/>
    <xf numFmtId="41" fontId="3" fillId="3" borderId="16" xfId="4" applyNumberFormat="1" applyBorder="1"/>
    <xf numFmtId="41" fontId="3" fillId="3" borderId="14" xfId="4" applyNumberFormat="1" applyBorder="1"/>
    <xf numFmtId="41" fontId="3" fillId="3" borderId="15" xfId="4" applyNumberFormat="1" applyBorder="1"/>
    <xf numFmtId="0" fontId="15" fillId="3" borderId="17" xfId="4" applyFont="1" applyBorder="1" applyAlignment="1">
      <alignment horizontal="center"/>
    </xf>
    <xf numFmtId="0" fontId="15" fillId="3" borderId="0" xfId="4" applyFont="1" applyAlignment="1">
      <alignment horizontal="right"/>
    </xf>
    <xf numFmtId="41" fontId="15" fillId="3" borderId="0" xfId="4" applyNumberFormat="1" applyFont="1"/>
    <xf numFmtId="0" fontId="19" fillId="3" borderId="2" xfId="4" applyFont="1" applyBorder="1" applyAlignment="1">
      <alignment horizontal="center"/>
    </xf>
    <xf numFmtId="2" fontId="3" fillId="3" borderId="2" xfId="4" applyNumberFormat="1" applyBorder="1" applyAlignment="1">
      <alignment horizontal="center"/>
    </xf>
    <xf numFmtId="165" fontId="3" fillId="3" borderId="0" xfId="4" applyNumberFormat="1"/>
    <xf numFmtId="10" fontId="18" fillId="3" borderId="0" xfId="4" applyNumberFormat="1" applyFont="1"/>
    <xf numFmtId="41" fontId="3" fillId="3" borderId="18" xfId="4" applyNumberFormat="1" applyBorder="1"/>
    <xf numFmtId="41" fontId="3" fillId="3" borderId="2" xfId="4" applyNumberFormat="1" applyBorder="1"/>
    <xf numFmtId="41" fontId="3" fillId="3" borderId="0" xfId="4" applyNumberFormat="1"/>
    <xf numFmtId="10" fontId="11" fillId="0" borderId="11" xfId="7" applyNumberFormat="1" applyFont="1" applyFill="1" applyBorder="1" applyAlignment="1">
      <alignment horizontal="right"/>
    </xf>
    <xf numFmtId="0" fontId="15" fillId="3" borderId="10" xfId="4" applyFont="1" applyBorder="1" applyAlignment="1">
      <alignment horizontal="center"/>
    </xf>
    <xf numFmtId="0" fontId="3" fillId="3" borderId="2" xfId="4" applyBorder="1" applyAlignment="1">
      <alignment horizontal="center"/>
    </xf>
    <xf numFmtId="41" fontId="15" fillId="3" borderId="19" xfId="4" applyNumberFormat="1" applyFont="1" applyBorder="1"/>
    <xf numFmtId="5" fontId="15" fillId="3" borderId="19" xfId="4" applyNumberFormat="1" applyFont="1" applyBorder="1"/>
    <xf numFmtId="0" fontId="3" fillId="3" borderId="12" xfId="4" applyBorder="1" applyAlignment="1">
      <alignment horizontal="center"/>
    </xf>
    <xf numFmtId="0" fontId="17" fillId="3" borderId="10" xfId="4" applyFont="1" applyBorder="1" applyAlignment="1">
      <alignment horizontal="right"/>
    </xf>
    <xf numFmtId="165" fontId="19" fillId="3" borderId="0" xfId="4" applyNumberFormat="1" applyFont="1"/>
    <xf numFmtId="0" fontId="15" fillId="3" borderId="20" xfId="4" applyFont="1" applyBorder="1" applyAlignment="1">
      <alignment horizontal="right"/>
    </xf>
    <xf numFmtId="41" fontId="15" fillId="3" borderId="21" xfId="4" applyNumberFormat="1" applyFont="1" applyBorder="1"/>
    <xf numFmtId="165" fontId="3" fillId="3" borderId="13" xfId="4" applyNumberFormat="1" applyBorder="1"/>
    <xf numFmtId="41" fontId="11" fillId="3" borderId="0" xfId="4" applyNumberFormat="1" applyFont="1"/>
    <xf numFmtId="10" fontId="15" fillId="3" borderId="0" xfId="4" applyNumberFormat="1" applyFont="1" applyAlignment="1">
      <alignment horizontal="right"/>
    </xf>
    <xf numFmtId="41" fontId="11" fillId="7" borderId="0" xfId="7" applyFont="1" applyAlignment="1">
      <alignment horizontal="right"/>
    </xf>
    <xf numFmtId="0" fontId="3" fillId="3" borderId="0" xfId="4" applyAlignment="1">
      <alignment horizontal="right"/>
    </xf>
    <xf numFmtId="0" fontId="15" fillId="3" borderId="22" xfId="4" applyFont="1" applyBorder="1" applyAlignment="1">
      <alignment horizontal="right"/>
    </xf>
    <xf numFmtId="0" fontId="11" fillId="4" borderId="0" xfId="4" applyFont="1" applyFill="1"/>
    <xf numFmtId="0" fontId="12" fillId="5" borderId="14" xfId="4" applyFont="1" applyFill="1" applyBorder="1" applyAlignment="1">
      <alignment horizontal="left"/>
    </xf>
    <xf numFmtId="0" fontId="3" fillId="3" borderId="15" xfId="4" applyBorder="1"/>
    <xf numFmtId="0" fontId="3" fillId="3" borderId="16" xfId="4" applyBorder="1"/>
    <xf numFmtId="0" fontId="20" fillId="3" borderId="0" xfId="4" applyFont="1" applyAlignment="1">
      <alignment horizontal="left"/>
    </xf>
    <xf numFmtId="41" fontId="15" fillId="3" borderId="18" xfId="4" applyNumberFormat="1" applyFont="1" applyBorder="1"/>
    <xf numFmtId="43" fontId="20" fillId="3" borderId="0" xfId="1" applyFont="1" applyFill="1" applyBorder="1" applyAlignment="1">
      <alignment horizontal="left"/>
    </xf>
    <xf numFmtId="0" fontId="17" fillId="3" borderId="0" xfId="4" applyFont="1" applyAlignment="1">
      <alignment horizontal="right"/>
    </xf>
    <xf numFmtId="41" fontId="17" fillId="3" borderId="23" xfId="4" applyNumberFormat="1" applyFont="1" applyBorder="1"/>
    <xf numFmtId="43" fontId="3" fillId="3" borderId="0" xfId="4" applyNumberFormat="1"/>
    <xf numFmtId="41" fontId="17" fillId="3" borderId="24" xfId="4" applyNumberFormat="1" applyFont="1" applyBorder="1"/>
    <xf numFmtId="0" fontId="3" fillId="3" borderId="12" xfId="4" applyBorder="1"/>
    <xf numFmtId="0" fontId="3" fillId="3" borderId="13" xfId="4" applyBorder="1"/>
    <xf numFmtId="0" fontId="15" fillId="3" borderId="13" xfId="4" applyFont="1" applyBorder="1" applyAlignment="1">
      <alignment horizontal="right" vertical="center"/>
    </xf>
    <xf numFmtId="10" fontId="17" fillId="3" borderId="13" xfId="4" applyNumberFormat="1" applyFont="1" applyBorder="1" applyAlignment="1">
      <alignment horizontal="center" vertical="center"/>
    </xf>
    <xf numFmtId="0" fontId="3" fillId="3" borderId="11" xfId="4" applyBorder="1"/>
    <xf numFmtId="0" fontId="21" fillId="4" borderId="0" xfId="5" applyNumberFormat="1" applyFont="1" applyFill="1"/>
    <xf numFmtId="0" fontId="5" fillId="4" borderId="0" xfId="5" applyNumberFormat="1" applyFill="1"/>
    <xf numFmtId="0" fontId="11" fillId="4" borderId="0" xfId="5" applyNumberFormat="1" applyFont="1" applyFill="1"/>
    <xf numFmtId="0" fontId="12" fillId="5" borderId="0" xfId="4" applyFont="1" applyFill="1" applyAlignment="1">
      <alignment horizontal="left"/>
    </xf>
    <xf numFmtId="0" fontId="12" fillId="7" borderId="0" xfId="4" applyFont="1" applyFill="1" applyAlignment="1">
      <alignment horizontal="centerContinuous"/>
    </xf>
    <xf numFmtId="0" fontId="22" fillId="3" borderId="0" xfId="4" applyFont="1" applyAlignment="1">
      <alignment horizontal="right"/>
    </xf>
    <xf numFmtId="41" fontId="22" fillId="3" borderId="0" xfId="4" applyNumberFormat="1" applyFont="1" applyAlignment="1">
      <alignment horizontal="center"/>
    </xf>
    <xf numFmtId="0" fontId="22" fillId="3" borderId="0" xfId="4" applyFont="1" applyAlignment="1">
      <alignment horizontal="center"/>
    </xf>
    <xf numFmtId="37" fontId="3" fillId="3" borderId="0" xfId="4" applyNumberFormat="1"/>
    <xf numFmtId="39" fontId="3" fillId="3" borderId="0" xfId="4" applyNumberFormat="1"/>
    <xf numFmtId="10" fontId="15" fillId="3" borderId="0" xfId="4" applyNumberFormat="1" applyFont="1" applyAlignment="1">
      <alignment horizontal="center"/>
    </xf>
    <xf numFmtId="41" fontId="15" fillId="3" borderId="0" xfId="4" applyNumberFormat="1" applyFont="1" applyProtection="1">
      <protection locked="0"/>
    </xf>
    <xf numFmtId="41" fontId="15" fillId="3" borderId="13" xfId="4" applyNumberFormat="1" applyFont="1" applyBorder="1" applyProtection="1">
      <protection locked="0"/>
    </xf>
    <xf numFmtId="41" fontId="15" fillId="3" borderId="25" xfId="4" applyNumberFormat="1" applyFont="1" applyBorder="1"/>
    <xf numFmtId="0" fontId="11" fillId="3" borderId="0" xfId="4" applyFont="1" applyAlignment="1">
      <alignment horizontal="right"/>
    </xf>
    <xf numFmtId="10" fontId="15" fillId="3" borderId="25" xfId="4" applyNumberFormat="1" applyFont="1" applyBorder="1" applyAlignment="1">
      <alignment horizontal="center"/>
    </xf>
    <xf numFmtId="5" fontId="3" fillId="4" borderId="0" xfId="4" applyNumberFormat="1" applyFill="1"/>
    <xf numFmtId="0" fontId="17" fillId="3" borderId="0" xfId="4" applyFont="1" applyAlignment="1">
      <alignment horizontal="center"/>
    </xf>
    <xf numFmtId="0" fontId="23" fillId="3" borderId="0" xfId="4" applyFont="1"/>
    <xf numFmtId="0" fontId="17" fillId="3" borderId="0" xfId="4" applyFont="1"/>
    <xf numFmtId="0" fontId="23" fillId="3" borderId="0" xfId="4" applyFont="1" applyAlignment="1">
      <alignment horizontal="right"/>
    </xf>
    <xf numFmtId="10" fontId="15" fillId="3" borderId="0" xfId="4" applyNumberFormat="1" applyFont="1"/>
    <xf numFmtId="10" fontId="3" fillId="4" borderId="0" xfId="4" applyNumberFormat="1" applyFill="1"/>
    <xf numFmtId="0" fontId="15" fillId="3" borderId="0" xfId="4" quotePrefix="1" applyFont="1" applyAlignment="1">
      <alignment horizontal="left"/>
    </xf>
    <xf numFmtId="166" fontId="3" fillId="3" borderId="0" xfId="4" applyNumberFormat="1"/>
    <xf numFmtId="0" fontId="24" fillId="3" borderId="0" xfId="4" applyFont="1"/>
    <xf numFmtId="39" fontId="15" fillId="3" borderId="0" xfId="4" applyNumberFormat="1" applyFont="1"/>
    <xf numFmtId="0" fontId="3" fillId="3" borderId="10" xfId="4" applyBorder="1"/>
    <xf numFmtId="0" fontId="25" fillId="3" borderId="0" xfId="4" applyFont="1"/>
    <xf numFmtId="0" fontId="3" fillId="3" borderId="14" xfId="4" applyBorder="1" applyAlignment="1">
      <alignment horizontal="centerContinuous"/>
    </xf>
    <xf numFmtId="0" fontId="3" fillId="3" borderId="16" xfId="4" applyBorder="1" applyAlignment="1">
      <alignment horizontal="centerContinuous"/>
    </xf>
    <xf numFmtId="10" fontId="16" fillId="7" borderId="0" xfId="8"/>
    <xf numFmtId="0" fontId="17" fillId="3" borderId="13" xfId="4" applyFont="1" applyBorder="1" applyAlignment="1">
      <alignment horizontal="right"/>
    </xf>
    <xf numFmtId="0" fontId="17" fillId="3" borderId="13" xfId="4" applyFont="1" applyBorder="1" applyAlignment="1">
      <alignment horizontal="center"/>
    </xf>
    <xf numFmtId="0" fontId="3" fillId="3" borderId="2" xfId="4" applyBorder="1" applyAlignment="1">
      <alignment horizontal="centerContinuous"/>
    </xf>
    <xf numFmtId="0" fontId="3" fillId="3" borderId="18" xfId="4" applyBorder="1" applyAlignment="1">
      <alignment horizontal="centerContinuous"/>
    </xf>
    <xf numFmtId="0" fontId="3" fillId="3" borderId="18" xfId="4" applyBorder="1"/>
    <xf numFmtId="0" fontId="26" fillId="3" borderId="0" xfId="4" applyFont="1"/>
    <xf numFmtId="167" fontId="15" fillId="3" borderId="0" xfId="4" applyNumberFormat="1" applyFont="1"/>
    <xf numFmtId="168" fontId="15" fillId="3" borderId="0" xfId="4" applyNumberFormat="1" applyFont="1" applyProtection="1">
      <protection locked="0"/>
    </xf>
    <xf numFmtId="0" fontId="3" fillId="3" borderId="18" xfId="4" applyBorder="1" applyAlignment="1">
      <alignment horizontal="center"/>
    </xf>
    <xf numFmtId="0" fontId="3" fillId="3" borderId="0" xfId="4" quotePrefix="1" applyAlignment="1">
      <alignment horizontal="right"/>
    </xf>
    <xf numFmtId="10" fontId="3" fillId="3" borderId="18" xfId="4" applyNumberFormat="1" applyBorder="1"/>
    <xf numFmtId="10" fontId="3" fillId="3" borderId="0" xfId="4" applyNumberFormat="1" applyAlignment="1">
      <alignment horizontal="center"/>
    </xf>
    <xf numFmtId="10" fontId="3" fillId="3" borderId="18" xfId="9" applyNumberFormat="1" applyFont="1" applyFill="1" applyBorder="1"/>
    <xf numFmtId="0" fontId="3" fillId="3" borderId="11" xfId="4" applyBorder="1" applyAlignment="1">
      <alignment horizontal="center"/>
    </xf>
    <xf numFmtId="167" fontId="15" fillId="3" borderId="25" xfId="4" applyNumberFormat="1" applyFont="1" applyBorder="1"/>
    <xf numFmtId="0" fontId="3" fillId="3" borderId="15" xfId="4" quotePrefix="1" applyBorder="1" applyAlignment="1">
      <alignment horizontal="left"/>
    </xf>
    <xf numFmtId="167" fontId="11" fillId="3" borderId="0" xfId="4" applyNumberFormat="1" applyFont="1"/>
    <xf numFmtId="0" fontId="3" fillId="3" borderId="0" xfId="4" quotePrefix="1" applyAlignment="1">
      <alignment horizontal="left"/>
    </xf>
    <xf numFmtId="0" fontId="27" fillId="4" borderId="0" xfId="4" applyFont="1" applyFill="1"/>
    <xf numFmtId="2" fontId="27" fillId="4" borderId="0" xfId="4" applyNumberFormat="1" applyFont="1" applyFill="1"/>
    <xf numFmtId="10" fontId="3" fillId="3" borderId="12" xfId="4" applyNumberFormat="1" applyBorder="1" applyAlignment="1">
      <alignment horizontal="center"/>
    </xf>
    <xf numFmtId="0" fontId="3" fillId="3" borderId="13" xfId="4" quotePrefix="1" applyBorder="1" applyAlignment="1">
      <alignment horizontal="left"/>
    </xf>
    <xf numFmtId="0" fontId="28" fillId="3" borderId="11" xfId="4" applyFont="1" applyBorder="1"/>
    <xf numFmtId="0" fontId="3" fillId="8" borderId="0" xfId="4" applyFill="1"/>
    <xf numFmtId="165" fontId="3" fillId="8" borderId="0" xfId="4" applyNumberFormat="1" applyFill="1"/>
    <xf numFmtId="0" fontId="28" fillId="4" borderId="0" xfId="4" applyFont="1" applyFill="1"/>
    <xf numFmtId="169" fontId="3" fillId="3" borderId="0" xfId="4" applyNumberFormat="1"/>
    <xf numFmtId="0" fontId="6" fillId="8" borderId="0" xfId="4" applyFont="1" applyFill="1" applyAlignment="1">
      <alignment horizontal="centerContinuous"/>
    </xf>
    <xf numFmtId="0" fontId="3" fillId="8" borderId="0" xfId="4" applyFill="1" applyAlignment="1">
      <alignment horizontal="centerContinuous"/>
    </xf>
    <xf numFmtId="0" fontId="3" fillId="4" borderId="0" xfId="4" applyFill="1" applyAlignment="1">
      <alignment horizontal="right"/>
    </xf>
    <xf numFmtId="0" fontId="3" fillId="3" borderId="14" xfId="4" applyBorder="1"/>
    <xf numFmtId="0" fontId="29" fillId="3" borderId="15" xfId="4" applyFont="1" applyBorder="1" applyAlignment="1">
      <alignment horizontal="center"/>
    </xf>
    <xf numFmtId="0" fontId="29" fillId="3" borderId="16" xfId="4" applyFont="1" applyBorder="1" applyAlignment="1">
      <alignment horizontal="center"/>
    </xf>
    <xf numFmtId="0" fontId="3" fillId="8" borderId="14" xfId="4" applyFill="1" applyBorder="1" applyAlignment="1">
      <alignment horizontal="left"/>
    </xf>
    <xf numFmtId="170" fontId="30" fillId="8" borderId="15" xfId="4" applyNumberFormat="1" applyFont="1" applyFill="1" applyBorder="1" applyAlignment="1">
      <alignment horizontal="center"/>
    </xf>
    <xf numFmtId="0" fontId="3" fillId="8" borderId="15" xfId="4" applyFill="1" applyBorder="1" applyAlignment="1">
      <alignment horizontal="left"/>
    </xf>
    <xf numFmtId="170" fontId="30" fillId="8" borderId="16" xfId="4" applyNumberFormat="1" applyFont="1" applyFill="1" applyBorder="1" applyAlignment="1">
      <alignment horizontal="center"/>
    </xf>
    <xf numFmtId="10" fontId="3" fillId="3" borderId="18" xfId="4" applyNumberFormat="1" applyBorder="1" applyAlignment="1">
      <alignment horizontal="center"/>
    </xf>
    <xf numFmtId="0" fontId="3" fillId="8" borderId="2" xfId="4" applyFill="1" applyBorder="1" applyAlignment="1">
      <alignment horizontal="left"/>
    </xf>
    <xf numFmtId="170" fontId="30" fillId="8" borderId="0" xfId="4" applyNumberFormat="1" applyFont="1" applyFill="1" applyAlignment="1">
      <alignment horizontal="center"/>
    </xf>
    <xf numFmtId="0" fontId="3" fillId="8" borderId="0" xfId="4" applyFill="1" applyAlignment="1">
      <alignment horizontal="left"/>
    </xf>
    <xf numFmtId="170" fontId="30" fillId="8" borderId="18" xfId="4" applyNumberFormat="1" applyFont="1" applyFill="1" applyBorder="1" applyAlignment="1">
      <alignment horizontal="center"/>
    </xf>
    <xf numFmtId="0" fontId="3" fillId="8" borderId="2" xfId="4" applyFill="1" applyBorder="1"/>
    <xf numFmtId="0" fontId="31" fillId="8" borderId="0" xfId="4" applyFont="1" applyFill="1" applyAlignment="1">
      <alignment horizontal="centerContinuous"/>
    </xf>
    <xf numFmtId="170" fontId="3" fillId="8" borderId="18" xfId="4" applyNumberFormat="1" applyFill="1" applyBorder="1" applyAlignment="1">
      <alignment horizontal="center"/>
    </xf>
    <xf numFmtId="0" fontId="28" fillId="4" borderId="0" xfId="4" applyFont="1" applyFill="1" applyAlignment="1">
      <alignment horizontal="fill"/>
    </xf>
    <xf numFmtId="10" fontId="3" fillId="3" borderId="13" xfId="4" applyNumberFormat="1" applyBorder="1" applyAlignment="1">
      <alignment horizontal="center"/>
    </xf>
    <xf numFmtId="10" fontId="32" fillId="7" borderId="0" xfId="8" applyFont="1"/>
    <xf numFmtId="167" fontId="32" fillId="7" borderId="18" xfId="8" applyNumberFormat="1" applyFont="1" applyBorder="1"/>
    <xf numFmtId="0" fontId="3" fillId="8" borderId="12" xfId="4" applyFill="1" applyBorder="1"/>
    <xf numFmtId="0" fontId="3" fillId="8" borderId="13" xfId="4" applyFill="1" applyBorder="1" applyAlignment="1">
      <alignment horizontal="right"/>
    </xf>
    <xf numFmtId="170" fontId="30" fillId="8" borderId="13" xfId="4" applyNumberFormat="1" applyFont="1" applyFill="1" applyBorder="1" applyAlignment="1">
      <alignment horizontal="left"/>
    </xf>
    <xf numFmtId="170" fontId="3" fillId="8" borderId="11" xfId="4" applyNumberFormat="1" applyFill="1" applyBorder="1" applyAlignment="1">
      <alignment horizontal="center"/>
    </xf>
    <xf numFmtId="10" fontId="32" fillId="7" borderId="13" xfId="8" applyFont="1" applyBorder="1"/>
    <xf numFmtId="10" fontId="32" fillId="7" borderId="11" xfId="8" applyFont="1" applyBorder="1"/>
    <xf numFmtId="39" fontId="3" fillId="8" borderId="0" xfId="4" applyNumberFormat="1" applyFill="1"/>
    <xf numFmtId="166" fontId="3" fillId="8" borderId="0" xfId="4" applyNumberFormat="1" applyFill="1"/>
    <xf numFmtId="170" fontId="3" fillId="8" borderId="0" xfId="4" applyNumberFormat="1" applyFill="1"/>
    <xf numFmtId="0" fontId="33" fillId="3" borderId="0" xfId="4" applyFont="1"/>
    <xf numFmtId="0" fontId="3" fillId="3" borderId="15" xfId="4" quotePrefix="1" applyBorder="1" applyAlignment="1">
      <alignment horizontal="right"/>
    </xf>
    <xf numFmtId="0" fontId="3" fillId="3" borderId="16" xfId="4" quotePrefix="1" applyBorder="1" applyAlignment="1">
      <alignment horizontal="right"/>
    </xf>
    <xf numFmtId="0" fontId="34" fillId="3" borderId="0" xfId="4" applyFont="1"/>
    <xf numFmtId="0" fontId="34" fillId="3" borderId="18" xfId="4" applyFont="1" applyBorder="1"/>
    <xf numFmtId="0" fontId="3" fillId="7" borderId="0" xfId="4" applyFill="1"/>
    <xf numFmtId="0" fontId="3" fillId="3" borderId="13" xfId="4" quotePrefix="1" applyBorder="1" applyAlignment="1">
      <alignment horizontal="right"/>
    </xf>
    <xf numFmtId="10" fontId="3" fillId="3" borderId="11" xfId="4" applyNumberFormat="1" applyBorder="1"/>
    <xf numFmtId="0" fontId="3" fillId="3" borderId="0" xfId="4" applyAlignment="1">
      <alignment horizontal="centerContinuous"/>
    </xf>
    <xf numFmtId="1" fontId="35" fillId="8" borderId="0" xfId="0" applyNumberFormat="1" applyFont="1" applyFill="1"/>
    <xf numFmtId="4" fontId="36" fillId="8" borderId="0" xfId="10" applyNumberFormat="1" applyFont="1" applyFill="1"/>
    <xf numFmtId="164" fontId="36" fillId="8" borderId="0" xfId="10" applyFont="1" applyFill="1"/>
    <xf numFmtId="4" fontId="37" fillId="8" borderId="0" xfId="10" applyNumberFormat="1" applyFont="1" applyFill="1"/>
    <xf numFmtId="1" fontId="39" fillId="8" borderId="0" xfId="11" applyNumberFormat="1" applyFont="1" applyFill="1"/>
    <xf numFmtId="10" fontId="36" fillId="8" borderId="0" xfId="3" quotePrefix="1" applyNumberFormat="1" applyFont="1" applyFill="1" applyAlignment="1">
      <alignment horizontal="center"/>
    </xf>
    <xf numFmtId="4" fontId="36" fillId="8" borderId="0" xfId="10" applyNumberFormat="1" applyFont="1" applyFill="1" applyAlignment="1">
      <alignment horizontal="center"/>
    </xf>
    <xf numFmtId="4" fontId="36" fillId="8" borderId="0" xfId="10" applyNumberFormat="1" applyFont="1" applyFill="1" applyAlignment="1">
      <alignment horizontal="left"/>
    </xf>
    <xf numFmtId="4" fontId="42" fillId="8" borderId="0" xfId="12" applyNumberFormat="1" applyFont="1" applyFill="1"/>
    <xf numFmtId="4" fontId="36" fillId="8" borderId="0" xfId="10" quotePrefix="1" applyNumberFormat="1" applyFont="1" applyFill="1" applyAlignment="1">
      <alignment horizontal="center"/>
    </xf>
    <xf numFmtId="4" fontId="36" fillId="8" borderId="0" xfId="10" quotePrefix="1" applyNumberFormat="1" applyFont="1" applyFill="1" applyAlignment="1">
      <alignment horizontal="left"/>
    </xf>
    <xf numFmtId="164" fontId="43" fillId="8" borderId="0" xfId="10" applyFont="1" applyFill="1"/>
    <xf numFmtId="4" fontId="36" fillId="9" borderId="0" xfId="12" applyNumberFormat="1" applyFont="1" applyFill="1"/>
    <xf numFmtId="14" fontId="44" fillId="9" borderId="0" xfId="10" applyNumberFormat="1" applyFont="1" applyFill="1" applyAlignment="1">
      <alignment horizontal="center"/>
    </xf>
    <xf numFmtId="164" fontId="44" fillId="9" borderId="0" xfId="10" applyFont="1" applyFill="1"/>
    <xf numFmtId="0" fontId="36" fillId="9" borderId="0" xfId="12" applyFont="1" applyFill="1" applyAlignment="1">
      <alignment horizontal="center"/>
    </xf>
    <xf numFmtId="4" fontId="44" fillId="9" borderId="0" xfId="10" applyNumberFormat="1" applyFont="1" applyFill="1" applyAlignment="1">
      <alignment horizontal="center"/>
    </xf>
    <xf numFmtId="43" fontId="42" fillId="9" borderId="0" xfId="12" applyNumberFormat="1" applyFont="1" applyFill="1"/>
    <xf numFmtId="43" fontId="42" fillId="10" borderId="0" xfId="12" applyNumberFormat="1" applyFont="1" applyFill="1"/>
    <xf numFmtId="4" fontId="42" fillId="10" borderId="0" xfId="10" applyNumberFormat="1" applyFont="1" applyFill="1" applyAlignment="1">
      <alignment horizontal="center"/>
    </xf>
    <xf numFmtId="164" fontId="42" fillId="10" borderId="0" xfId="10" applyFont="1" applyFill="1"/>
    <xf numFmtId="43" fontId="36" fillId="8" borderId="0" xfId="12" applyNumberFormat="1" applyFont="1" applyFill="1"/>
    <xf numFmtId="4" fontId="45" fillId="12" borderId="0" xfId="13" applyNumberFormat="1" applyFill="1" applyAlignment="1">
      <alignment horizontal="right"/>
    </xf>
    <xf numFmtId="4" fontId="36" fillId="8" borderId="0" xfId="10" applyNumberFormat="1" applyFont="1" applyFill="1" applyAlignment="1">
      <alignment horizontal="right"/>
    </xf>
    <xf numFmtId="164" fontId="42" fillId="8" borderId="0" xfId="10" applyFont="1" applyFill="1"/>
    <xf numFmtId="43" fontId="42" fillId="8" borderId="0" xfId="12" applyNumberFormat="1" applyFont="1" applyFill="1"/>
    <xf numFmtId="4" fontId="42" fillId="8" borderId="0" xfId="10" applyNumberFormat="1" applyFont="1" applyFill="1" applyAlignment="1">
      <alignment horizontal="center"/>
    </xf>
    <xf numFmtId="4" fontId="36" fillId="10" borderId="0" xfId="10" applyNumberFormat="1" applyFont="1" applyFill="1" applyAlignment="1">
      <alignment horizontal="right"/>
    </xf>
    <xf numFmtId="4" fontId="36" fillId="13" borderId="0" xfId="10" applyNumberFormat="1" applyFont="1" applyFill="1" applyAlignment="1">
      <alignment horizontal="right"/>
    </xf>
    <xf numFmtId="43" fontId="42" fillId="14" borderId="0" xfId="12" applyNumberFormat="1" applyFont="1" applyFill="1"/>
    <xf numFmtId="4" fontId="42" fillId="14" borderId="0" xfId="10" applyNumberFormat="1" applyFont="1" applyFill="1" applyAlignment="1">
      <alignment horizontal="center"/>
    </xf>
    <xf numFmtId="164" fontId="42" fillId="14" borderId="0" xfId="10" applyFont="1" applyFill="1"/>
    <xf numFmtId="164" fontId="36" fillId="8" borderId="0" xfId="10" applyFont="1" applyFill="1" applyAlignment="1">
      <alignment horizontal="right"/>
    </xf>
    <xf numFmtId="4" fontId="36" fillId="14" borderId="0" xfId="10" applyNumberFormat="1" applyFont="1" applyFill="1" applyAlignment="1">
      <alignment horizontal="right"/>
    </xf>
    <xf numFmtId="164" fontId="36" fillId="14" borderId="0" xfId="10" applyFont="1" applyFill="1" applyAlignment="1">
      <alignment horizontal="right"/>
    </xf>
    <xf numFmtId="4" fontId="36" fillId="12" borderId="0" xfId="10" applyNumberFormat="1" applyFont="1" applyFill="1" applyAlignment="1">
      <alignment horizontal="right"/>
    </xf>
    <xf numFmtId="164" fontId="36" fillId="10" borderId="0" xfId="10" applyFont="1" applyFill="1" applyAlignment="1">
      <alignment horizontal="right"/>
    </xf>
    <xf numFmtId="4" fontId="42" fillId="8" borderId="0" xfId="10" applyNumberFormat="1" applyFont="1" applyFill="1" applyAlignment="1">
      <alignment horizontal="right"/>
    </xf>
    <xf numFmtId="164" fontId="42" fillId="8" borderId="0" xfId="10" applyFont="1" applyFill="1" applyAlignment="1">
      <alignment horizontal="right"/>
    </xf>
    <xf numFmtId="43" fontId="36" fillId="8" borderId="0" xfId="1" applyFont="1" applyFill="1"/>
    <xf numFmtId="4" fontId="36" fillId="12" borderId="0" xfId="10" applyNumberFormat="1" applyFont="1" applyFill="1"/>
    <xf numFmtId="10" fontId="36" fillId="8" borderId="0" xfId="3" applyNumberFormat="1" applyFont="1" applyFill="1"/>
    <xf numFmtId="4" fontId="36" fillId="14" borderId="0" xfId="10" applyNumberFormat="1" applyFont="1" applyFill="1"/>
    <xf numFmtId="164" fontId="36" fillId="10" borderId="0" xfId="10" applyFont="1" applyFill="1"/>
    <xf numFmtId="4" fontId="36" fillId="0" borderId="0" xfId="10" applyNumberFormat="1" applyFont="1"/>
    <xf numFmtId="4" fontId="36" fillId="10" borderId="0" xfId="10" applyNumberFormat="1" applyFont="1" applyFill="1"/>
    <xf numFmtId="4" fontId="42" fillId="8" borderId="0" xfId="10" applyNumberFormat="1" applyFont="1" applyFill="1"/>
    <xf numFmtId="164" fontId="46" fillId="8" borderId="0" xfId="10" applyFont="1" applyFill="1"/>
    <xf numFmtId="4" fontId="46" fillId="8" borderId="0" xfId="10" applyNumberFormat="1" applyFont="1" applyFill="1"/>
    <xf numFmtId="164" fontId="36" fillId="14" borderId="0" xfId="10" applyFont="1" applyFill="1"/>
    <xf numFmtId="44" fontId="36" fillId="8" borderId="0" xfId="2" applyFont="1" applyFill="1" applyBorder="1"/>
    <xf numFmtId="2" fontId="36" fillId="8" borderId="0" xfId="10" applyNumberFormat="1" applyFont="1" applyFill="1"/>
    <xf numFmtId="2" fontId="42" fillId="8" borderId="0" xfId="10" applyNumberFormat="1" applyFont="1" applyFill="1"/>
    <xf numFmtId="2" fontId="36" fillId="12" borderId="0" xfId="10" applyNumberFormat="1" applyFont="1" applyFill="1"/>
    <xf numFmtId="4" fontId="47" fillId="8" borderId="0" xfId="10" applyNumberFormat="1" applyFont="1" applyFill="1"/>
    <xf numFmtId="43" fontId="29" fillId="8" borderId="0" xfId="12" applyNumberFormat="1" applyFont="1" applyFill="1"/>
    <xf numFmtId="164" fontId="47" fillId="8" borderId="0" xfId="10" applyFont="1" applyFill="1"/>
    <xf numFmtId="164" fontId="48" fillId="8" borderId="0" xfId="10" applyFont="1" applyFill="1"/>
    <xf numFmtId="43" fontId="49" fillId="8" borderId="0" xfId="12" applyNumberFormat="1" applyFont="1" applyFill="1"/>
    <xf numFmtId="43" fontId="29" fillId="8" borderId="0" xfId="12" applyNumberFormat="1" applyFont="1" applyFill="1" applyAlignment="1">
      <alignment horizontal="left"/>
    </xf>
    <xf numFmtId="4" fontId="29" fillId="8" borderId="0" xfId="12" applyNumberFormat="1" applyFont="1" applyFill="1"/>
    <xf numFmtId="43" fontId="50" fillId="8" borderId="0" xfId="12" applyNumberFormat="1" applyFont="1" applyFill="1"/>
    <xf numFmtId="4" fontId="50" fillId="8" borderId="0" xfId="12" applyNumberFormat="1" applyFont="1" applyFill="1"/>
    <xf numFmtId="4" fontId="51" fillId="8" borderId="0" xfId="12" applyNumberFormat="1" applyFont="1" applyFill="1"/>
    <xf numFmtId="43" fontId="51" fillId="8" borderId="0" xfId="12" applyNumberFormat="1" applyFont="1" applyFill="1"/>
    <xf numFmtId="43" fontId="50" fillId="8" borderId="0" xfId="12" applyNumberFormat="1" applyFont="1" applyFill="1" applyAlignment="1">
      <alignment horizontal="left"/>
    </xf>
    <xf numFmtId="0" fontId="52" fillId="8" borderId="0" xfId="12" applyFont="1" applyFill="1"/>
    <xf numFmtId="0" fontId="53" fillId="8" borderId="0" xfId="12" applyFont="1" applyFill="1"/>
    <xf numFmtId="0" fontId="54" fillId="0" borderId="0" xfId="11" applyFont="1"/>
    <xf numFmtId="0" fontId="55" fillId="0" borderId="0" xfId="11" applyFont="1" applyAlignment="1">
      <alignment horizontal="center"/>
    </xf>
    <xf numFmtId="0" fontId="54" fillId="0" borderId="0" xfId="14" applyNumberFormat="1" applyFont="1" applyFill="1" applyAlignment="1">
      <alignment horizontal="center"/>
    </xf>
    <xf numFmtId="0" fontId="55" fillId="0" borderId="0" xfId="11" applyFont="1"/>
    <xf numFmtId="0" fontId="54" fillId="0" borderId="0" xfId="11" applyFont="1" applyAlignment="1">
      <alignment horizontal="right"/>
    </xf>
    <xf numFmtId="10" fontId="55" fillId="0" borderId="0" xfId="15" applyNumberFormat="1" applyFont="1" applyFill="1" applyAlignment="1"/>
    <xf numFmtId="10" fontId="55" fillId="0" borderId="0" xfId="11" applyNumberFormat="1" applyFont="1"/>
    <xf numFmtId="168" fontId="55" fillId="0" borderId="0" xfId="1" applyNumberFormat="1" applyFont="1" applyFill="1"/>
    <xf numFmtId="10" fontId="55" fillId="0" borderId="0" xfId="14" applyNumberFormat="1" applyFont="1" applyFill="1"/>
    <xf numFmtId="2" fontId="55" fillId="0" borderId="0" xfId="11" applyNumberFormat="1" applyFont="1"/>
    <xf numFmtId="43" fontId="55" fillId="0" borderId="0" xfId="11" applyNumberFormat="1" applyFont="1"/>
    <xf numFmtId="0" fontId="54" fillId="0" borderId="0" xfId="11" applyFont="1" applyAlignment="1">
      <alignment horizontal="center" wrapText="1"/>
    </xf>
    <xf numFmtId="0" fontId="54" fillId="0" borderId="0" xfId="11" applyFont="1" applyAlignment="1">
      <alignment horizontal="center"/>
    </xf>
    <xf numFmtId="0" fontId="54" fillId="0" borderId="0" xfId="14" applyNumberFormat="1" applyFont="1" applyFill="1" applyAlignment="1">
      <alignment horizontal="center" vertical="center" wrapText="1"/>
    </xf>
    <xf numFmtId="17" fontId="54" fillId="0" borderId="0" xfId="11" applyNumberFormat="1" applyFont="1" applyAlignment="1">
      <alignment horizontal="center"/>
    </xf>
    <xf numFmtId="14" fontId="54" fillId="0" borderId="0" xfId="11" applyNumberFormat="1" applyFont="1" applyAlignment="1">
      <alignment horizontal="center" wrapText="1"/>
    </xf>
    <xf numFmtId="0" fontId="54" fillId="15" borderId="0" xfId="11" applyFont="1" applyFill="1" applyAlignment="1">
      <alignment horizontal="center" wrapText="1"/>
    </xf>
    <xf numFmtId="0" fontId="55" fillId="15" borderId="0" xfId="11" applyFont="1" applyFill="1"/>
    <xf numFmtId="0" fontId="56" fillId="0" borderId="0" xfId="11" applyFont="1" applyAlignment="1">
      <alignment horizontal="left"/>
    </xf>
    <xf numFmtId="0" fontId="57" fillId="0" borderId="0" xfId="11" applyFont="1" applyAlignment="1">
      <alignment horizontal="center"/>
    </xf>
    <xf numFmtId="0" fontId="56" fillId="0" borderId="0" xfId="11" applyFont="1" applyAlignment="1">
      <alignment horizontal="center"/>
    </xf>
    <xf numFmtId="168" fontId="55" fillId="0" borderId="0" xfId="11" applyNumberFormat="1" applyFont="1"/>
    <xf numFmtId="0" fontId="0" fillId="15" borderId="0" xfId="0" applyFill="1"/>
    <xf numFmtId="0" fontId="54" fillId="0" borderId="0" xfId="11" applyFont="1" applyAlignment="1">
      <alignment horizontal="left"/>
    </xf>
    <xf numFmtId="0" fontId="54" fillId="15" borderId="0" xfId="11" applyFont="1" applyFill="1" applyAlignment="1">
      <alignment horizontal="center"/>
    </xf>
    <xf numFmtId="0" fontId="55" fillId="0" borderId="0" xfId="16" applyFont="1"/>
    <xf numFmtId="43" fontId="55" fillId="0" borderId="0" xfId="1" applyFont="1" applyFill="1"/>
    <xf numFmtId="2" fontId="55" fillId="0" borderId="0" xfId="16" applyNumberFormat="1" applyFont="1"/>
    <xf numFmtId="43" fontId="55" fillId="0" borderId="0" xfId="17" applyFont="1" applyFill="1" applyAlignment="1">
      <alignment horizontal="center"/>
    </xf>
    <xf numFmtId="171" fontId="55" fillId="0" borderId="0" xfId="17" applyNumberFormat="1" applyFont="1" applyFill="1"/>
    <xf numFmtId="168" fontId="55" fillId="0" borderId="0" xfId="17" applyNumberFormat="1" applyFont="1" applyFill="1"/>
    <xf numFmtId="171" fontId="55" fillId="0" borderId="0" xfId="11" applyNumberFormat="1" applyFont="1"/>
    <xf numFmtId="37" fontId="55" fillId="0" borderId="0" xfId="11" applyNumberFormat="1" applyFont="1" applyAlignment="1">
      <alignment horizontal="center"/>
    </xf>
    <xf numFmtId="4" fontId="55" fillId="15" borderId="0" xfId="17" applyNumberFormat="1" applyFont="1" applyFill="1" applyAlignment="1">
      <alignment horizontal="center"/>
    </xf>
    <xf numFmtId="3" fontId="55" fillId="0" borderId="0" xfId="17" applyNumberFormat="1" applyFont="1" applyFill="1" applyAlignment="1">
      <alignment horizontal="center"/>
    </xf>
    <xf numFmtId="10" fontId="0" fillId="0" borderId="0" xfId="3" applyNumberFormat="1" applyFont="1" applyFill="1"/>
    <xf numFmtId="0" fontId="58" fillId="0" borderId="0" xfId="0" applyFont="1"/>
    <xf numFmtId="172" fontId="55" fillId="0" borderId="0" xfId="17" applyNumberFormat="1" applyFont="1" applyFill="1"/>
    <xf numFmtId="2" fontId="55" fillId="0" borderId="0" xfId="17" applyNumberFormat="1" applyFont="1" applyFill="1"/>
    <xf numFmtId="172" fontId="0" fillId="0" borderId="0" xfId="0" applyNumberFormat="1"/>
    <xf numFmtId="0" fontId="58" fillId="0" borderId="0" xfId="0" applyFont="1" applyAlignment="1">
      <alignment horizontal="left"/>
    </xf>
    <xf numFmtId="3" fontId="55" fillId="0" borderId="0" xfId="11" applyNumberFormat="1" applyFont="1"/>
    <xf numFmtId="172" fontId="55" fillId="0" borderId="0" xfId="17" applyNumberFormat="1" applyFont="1" applyFill="1" applyAlignment="1">
      <alignment horizontal="center"/>
    </xf>
    <xf numFmtId="171" fontId="59" fillId="0" borderId="19" xfId="18" applyNumberFormat="1" applyFont="1" applyFill="1" applyBorder="1"/>
    <xf numFmtId="43" fontId="59" fillId="0" borderId="19" xfId="17" applyFont="1" applyFill="1" applyBorder="1"/>
    <xf numFmtId="168" fontId="59" fillId="0" borderId="19" xfId="17" applyNumberFormat="1" applyFont="1" applyFill="1" applyBorder="1"/>
    <xf numFmtId="37" fontId="59" fillId="0" borderId="19" xfId="18" applyNumberFormat="1" applyFont="1" applyFill="1" applyBorder="1" applyAlignment="1">
      <alignment horizontal="center"/>
    </xf>
    <xf numFmtId="37" fontId="59" fillId="15" borderId="19" xfId="18" applyNumberFormat="1" applyFont="1" applyFill="1" applyBorder="1" applyAlignment="1">
      <alignment horizontal="center"/>
    </xf>
    <xf numFmtId="3" fontId="59" fillId="0" borderId="19" xfId="18" applyNumberFormat="1" applyFont="1" applyFill="1" applyBorder="1" applyAlignment="1">
      <alignment horizontal="center"/>
    </xf>
    <xf numFmtId="171" fontId="59" fillId="0" borderId="0" xfId="18" applyNumberFormat="1" applyFont="1" applyFill="1" applyBorder="1"/>
    <xf numFmtId="171" fontId="60" fillId="0" borderId="0" xfId="18" applyNumberFormat="1" applyFont="1" applyFill="1" applyBorder="1"/>
    <xf numFmtId="0" fontId="60" fillId="0" borderId="0" xfId="11" applyFont="1"/>
    <xf numFmtId="0" fontId="60" fillId="0" borderId="0" xfId="16" applyFont="1"/>
    <xf numFmtId="172" fontId="60" fillId="0" borderId="0" xfId="17" applyNumberFormat="1" applyFont="1" applyFill="1"/>
    <xf numFmtId="43" fontId="60" fillId="0" borderId="0" xfId="17" applyFont="1" applyFill="1" applyAlignment="1">
      <alignment horizontal="center"/>
    </xf>
    <xf numFmtId="171" fontId="60" fillId="0" borderId="0" xfId="17" applyNumberFormat="1" applyFont="1" applyFill="1"/>
    <xf numFmtId="168" fontId="60" fillId="0" borderId="0" xfId="17" applyNumberFormat="1" applyFont="1" applyFill="1"/>
    <xf numFmtId="44" fontId="55" fillId="0" borderId="0" xfId="11" applyNumberFormat="1" applyFont="1"/>
    <xf numFmtId="43" fontId="55" fillId="0" borderId="0" xfId="17" applyFont="1" applyFill="1"/>
    <xf numFmtId="43" fontId="57" fillId="0" borderId="0" xfId="17" applyFont="1" applyFill="1" applyAlignment="1">
      <alignment horizontal="center"/>
    </xf>
    <xf numFmtId="171" fontId="57" fillId="0" borderId="0" xfId="11" applyNumberFormat="1" applyFont="1" applyAlignment="1">
      <alignment horizontal="center"/>
    </xf>
    <xf numFmtId="168" fontId="60" fillId="0" borderId="0" xfId="11" applyNumberFormat="1" applyFont="1"/>
    <xf numFmtId="37" fontId="55" fillId="15" borderId="0" xfId="11" applyNumberFormat="1" applyFont="1" applyFill="1" applyAlignment="1">
      <alignment horizontal="center"/>
    </xf>
    <xf numFmtId="3" fontId="55" fillId="0" borderId="0" xfId="11" applyNumberFormat="1" applyFont="1" applyAlignment="1">
      <alignment horizontal="center"/>
    </xf>
    <xf numFmtId="171" fontId="55" fillId="0" borderId="0" xfId="17" applyNumberFormat="1" applyFont="1" applyFill="1" applyBorder="1"/>
    <xf numFmtId="43" fontId="59" fillId="0" borderId="0" xfId="17" applyFont="1" applyFill="1" applyBorder="1"/>
    <xf numFmtId="171" fontId="55" fillId="0" borderId="0" xfId="18" applyNumberFormat="1" applyFont="1" applyFill="1"/>
    <xf numFmtId="3" fontId="0" fillId="0" borderId="0" xfId="0" applyNumberFormat="1"/>
    <xf numFmtId="1" fontId="55" fillId="0" borderId="0" xfId="11" applyNumberFormat="1" applyFont="1"/>
    <xf numFmtId="14" fontId="55" fillId="0" borderId="0" xfId="17" applyNumberFormat="1" applyFont="1" applyFill="1" applyAlignment="1">
      <alignment horizontal="center"/>
    </xf>
    <xf numFmtId="172" fontId="55" fillId="0" borderId="0" xfId="17" applyNumberFormat="1" applyFont="1" applyFill="1" applyAlignment="1">
      <alignment horizontal="right"/>
    </xf>
    <xf numFmtId="43" fontId="55" fillId="0" borderId="0" xfId="11" applyNumberFormat="1" applyFont="1" applyAlignment="1">
      <alignment horizontal="center"/>
    </xf>
    <xf numFmtId="172" fontId="55" fillId="0" borderId="0" xfId="11" applyNumberFormat="1" applyFont="1" applyAlignment="1">
      <alignment horizontal="center"/>
    </xf>
    <xf numFmtId="171" fontId="54" fillId="0" borderId="23" xfId="11" applyNumberFormat="1" applyFont="1" applyBorder="1"/>
    <xf numFmtId="168" fontId="54" fillId="0" borderId="0" xfId="11" applyNumberFormat="1" applyFont="1" applyAlignment="1">
      <alignment horizontal="right"/>
    </xf>
    <xf numFmtId="168" fontId="54" fillId="0" borderId="0" xfId="11" applyNumberFormat="1" applyFont="1"/>
    <xf numFmtId="3" fontId="54" fillId="0" borderId="0" xfId="11" applyNumberFormat="1" applyFont="1"/>
    <xf numFmtId="9" fontId="54" fillId="0" borderId="0" xfId="14" applyFont="1" applyFill="1" applyAlignment="1">
      <alignment horizontal="right"/>
    </xf>
    <xf numFmtId="0" fontId="55" fillId="0" borderId="0" xfId="11" applyFont="1" applyAlignment="1">
      <alignment horizontal="centerContinuous"/>
    </xf>
    <xf numFmtId="168" fontId="54" fillId="0" borderId="0" xfId="17" applyNumberFormat="1" applyFont="1" applyFill="1" applyAlignment="1">
      <alignment horizontal="right"/>
    </xf>
    <xf numFmtId="168" fontId="54" fillId="0" borderId="0" xfId="17" applyNumberFormat="1" applyFont="1" applyFill="1"/>
    <xf numFmtId="44" fontId="55" fillId="0" borderId="0" xfId="11" applyNumberFormat="1" applyFont="1" applyAlignment="1">
      <alignment horizontal="center"/>
    </xf>
    <xf numFmtId="10" fontId="55" fillId="0" borderId="0" xfId="3" applyNumberFormat="1" applyFont="1" applyFill="1"/>
    <xf numFmtId="0" fontId="55" fillId="16" borderId="0" xfId="11" applyFont="1" applyFill="1"/>
    <xf numFmtId="41" fontId="55" fillId="16" borderId="0" xfId="11" applyNumberFormat="1" applyFont="1" applyFill="1"/>
    <xf numFmtId="43" fontId="55" fillId="16" borderId="0" xfId="11" applyNumberFormat="1" applyFont="1" applyFill="1"/>
    <xf numFmtId="0" fontId="54" fillId="0" borderId="26" xfId="11" applyFont="1" applyBorder="1"/>
    <xf numFmtId="0" fontId="54" fillId="0" borderId="27" xfId="11" applyFont="1" applyBorder="1" applyAlignment="1">
      <alignment horizontal="center" wrapText="1"/>
    </xf>
    <xf numFmtId="0" fontId="54" fillId="0" borderId="27" xfId="11" applyFont="1" applyBorder="1" applyAlignment="1">
      <alignment horizontal="center"/>
    </xf>
    <xf numFmtId="0" fontId="61" fillId="0" borderId="28" xfId="11" applyFont="1" applyBorder="1" applyAlignment="1">
      <alignment horizontal="center"/>
    </xf>
    <xf numFmtId="0" fontId="55" fillId="0" borderId="29" xfId="11" applyFont="1" applyBorder="1" applyAlignment="1">
      <alignment horizontal="right"/>
    </xf>
    <xf numFmtId="168" fontId="55" fillId="0" borderId="30" xfId="1" applyNumberFormat="1" applyFont="1" applyFill="1" applyBorder="1"/>
    <xf numFmtId="0" fontId="55" fillId="0" borderId="31" xfId="11" applyFont="1" applyBorder="1"/>
    <xf numFmtId="168" fontId="55" fillId="0" borderId="1" xfId="1" applyNumberFormat="1" applyFont="1" applyFill="1" applyBorder="1"/>
    <xf numFmtId="168" fontId="55" fillId="0" borderId="32" xfId="1" applyNumberFormat="1" applyFont="1" applyFill="1" applyBorder="1"/>
    <xf numFmtId="167" fontId="64" fillId="17" borderId="0" xfId="19" applyNumberFormat="1" applyFont="1" applyFill="1"/>
    <xf numFmtId="0" fontId="64" fillId="17" borderId="0" xfId="19" applyFont="1" applyFill="1"/>
    <xf numFmtId="173" fontId="64" fillId="17" borderId="0" xfId="14" applyNumberFormat="1" applyFont="1" applyFill="1" applyBorder="1"/>
    <xf numFmtId="2" fontId="36" fillId="0" borderId="0" xfId="10" applyNumberFormat="1" applyFont="1"/>
    <xf numFmtId="4" fontId="42" fillId="0" borderId="0" xfId="10" applyNumberFormat="1" applyFont="1"/>
    <xf numFmtId="2" fontId="42" fillId="0" borderId="0" xfId="10" applyNumberFormat="1" applyFont="1"/>
    <xf numFmtId="0" fontId="0" fillId="14" borderId="0" xfId="0" applyFill="1"/>
    <xf numFmtId="0" fontId="65" fillId="14" borderId="0" xfId="0" applyFont="1" applyFill="1" applyAlignment="1">
      <alignment wrapText="1"/>
    </xf>
    <xf numFmtId="0" fontId="65" fillId="14" borderId="0" xfId="0" applyFont="1" applyFill="1"/>
    <xf numFmtId="10" fontId="65" fillId="14" borderId="0" xfId="3" applyNumberFormat="1" applyFont="1" applyFill="1"/>
    <xf numFmtId="44" fontId="0" fillId="14" borderId="0" xfId="2" applyFont="1" applyFill="1"/>
    <xf numFmtId="44" fontId="59" fillId="14" borderId="19" xfId="2" applyFont="1" applyFill="1" applyBorder="1" applyAlignment="1">
      <alignment horizontal="center"/>
    </xf>
    <xf numFmtId="0" fontId="6" fillId="4" borderId="0" xfId="5" applyNumberFormat="1" applyFont="1" applyFill="1" applyAlignment="1">
      <alignment horizontal="center"/>
    </xf>
    <xf numFmtId="0" fontId="3" fillId="3" borderId="3" xfId="4" applyBorder="1" applyAlignment="1">
      <alignment horizontal="center"/>
    </xf>
    <xf numFmtId="0" fontId="3" fillId="3" borderId="4" xfId="4" applyBorder="1" applyAlignment="1">
      <alignment horizontal="center"/>
    </xf>
    <xf numFmtId="0" fontId="3" fillId="3" borderId="5" xfId="4" applyBorder="1" applyAlignment="1">
      <alignment horizontal="center"/>
    </xf>
    <xf numFmtId="0" fontId="11" fillId="4" borderId="0" xfId="5" applyNumberFormat="1" applyFont="1" applyFill="1" applyAlignment="1">
      <alignment horizontal="center"/>
    </xf>
    <xf numFmtId="0" fontId="11" fillId="4" borderId="19" xfId="5" applyNumberFormat="1" applyFont="1" applyFill="1" applyBorder="1" applyAlignment="1">
      <alignment horizontal="center"/>
    </xf>
    <xf numFmtId="0" fontId="23" fillId="3" borderId="0" xfId="4" applyFont="1" applyAlignment="1">
      <alignment horizontal="center"/>
    </xf>
    <xf numFmtId="0" fontId="54" fillId="0" borderId="0" xfId="11" applyFont="1" applyAlignment="1">
      <alignment horizontal="center"/>
    </xf>
  </cellXfs>
  <cellStyles count="20">
    <cellStyle name="20% - Accent3 4" xfId="13" xr:uid="{778C66F9-92AD-4083-B5D1-4D886720F580}"/>
    <cellStyle name="Accent5 2 2" xfId="6" xr:uid="{9E873DDE-15C0-4A23-8987-A757374C572F}"/>
    <cellStyle name="Comma" xfId="1" builtinId="3"/>
    <cellStyle name="Comma 10" xfId="17" xr:uid="{BBAA186C-ADE5-41C5-B7FE-01EDF7F2A93A}"/>
    <cellStyle name="Comma 2 8" xfId="7" xr:uid="{22A72D6B-0CEA-4D1B-9550-019576C1DD75}"/>
    <cellStyle name="Currency" xfId="2" builtinId="4"/>
    <cellStyle name="Currency 10 5" xfId="18" xr:uid="{FD865694-1B73-46AD-AC4D-0F3F42BB82BB}"/>
    <cellStyle name="Normal" xfId="0" builtinId="0"/>
    <cellStyle name="Normal 2 11 2" xfId="4" xr:uid="{D8CD0637-B7A9-4709-A700-DD640C3729A6}"/>
    <cellStyle name="Normal 3 4" xfId="5" xr:uid="{1894EC3C-D860-4880-99AB-E242755F3796}"/>
    <cellStyle name="Normal_2183 Regulated Price Out Final 6-7-2012" xfId="16" xr:uid="{1E909018-9DE5-4381-B1F5-EC58DDF4D9C8}"/>
    <cellStyle name="Normal_M-A DF Calculation 3-1-2013-Final" xfId="19" xr:uid="{1B8DF085-3648-4446-929B-6DA0FD4048E9}"/>
    <cellStyle name="Normal_Proforma Yakima UTC-Nicki 2009" xfId="10" xr:uid="{436E1C4C-BD2C-4FA0-8ED0-3CEE1D5CAF82}"/>
    <cellStyle name="Normal_Regulated Price Out 9-6-2011 Final HL" xfId="11" xr:uid="{39C85B39-D2C2-4D37-9D7A-AF06FE300C3B}"/>
    <cellStyle name="Normal_Regulated-Non-Regulated Revenue" xfId="12" xr:uid="{C10839E2-5B59-496D-9E5E-4E2219D6BD20}"/>
    <cellStyle name="Percent" xfId="3" builtinId="5"/>
    <cellStyle name="Percent 11" xfId="14" xr:uid="{06390E26-9809-4160-AE39-7A14E4269682}"/>
    <cellStyle name="Percent 11 7" xfId="15" xr:uid="{0A9A0F2E-745A-4FEC-9409-5AE30C324785}"/>
    <cellStyle name="Percent 2 3 7" xfId="8" xr:uid="{10D127B8-2F7B-49DE-9CAE-BDD791000814}"/>
    <cellStyle name="Percent 5 14" xfId="9" xr:uid="{FF3BF236-4F19-4032-A066-8ACB45E520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15</xdr:row>
      <xdr:rowOff>180975</xdr:rowOff>
    </xdr:from>
    <xdr:to>
      <xdr:col>2</xdr:col>
      <xdr:colOff>342900</xdr:colOff>
      <xdr:row>17</xdr:row>
      <xdr:rowOff>9525</xdr:rowOff>
    </xdr:to>
    <xdr:sp macro="" textlink="">
      <xdr:nvSpPr>
        <xdr:cNvPr id="2" name="DataCompleted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56E01A75-FE5D-4220-9B36-542BD9E9C04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2</xdr:col>
      <xdr:colOff>114300</xdr:colOff>
      <xdr:row>15</xdr:row>
      <xdr:rowOff>180975</xdr:rowOff>
    </xdr:from>
    <xdr:to>
      <xdr:col>2</xdr:col>
      <xdr:colOff>342900</xdr:colOff>
      <xdr:row>17</xdr:row>
      <xdr:rowOff>9525</xdr:rowOff>
    </xdr:to>
    <xdr:pic>
      <xdr:nvPicPr>
        <xdr:cNvPr id="1025" name="DataCompleted">
          <a:extLst>
            <a:ext uri="{FF2B5EF4-FFF2-40B4-BE49-F238E27FC236}">
              <a16:creationId xmlns:a16="http://schemas.microsoft.com/office/drawing/2014/main" id="{67548FAF-331C-D3BC-AD12-5F537337E2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3305175"/>
          <a:ext cx="228600" cy="2286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15</xdr:row>
      <xdr:rowOff>180975</xdr:rowOff>
    </xdr:from>
    <xdr:to>
      <xdr:col>2</xdr:col>
      <xdr:colOff>342900</xdr:colOff>
      <xdr:row>17</xdr:row>
      <xdr:rowOff>9525</xdr:rowOff>
    </xdr:to>
    <xdr:sp macro="" textlink="">
      <xdr:nvSpPr>
        <xdr:cNvPr id="2" name="DataCompleted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4A0061B0-588F-40F4-B556-732287992BA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2</xdr:col>
      <xdr:colOff>114300</xdr:colOff>
      <xdr:row>15</xdr:row>
      <xdr:rowOff>180975</xdr:rowOff>
    </xdr:from>
    <xdr:to>
      <xdr:col>2</xdr:col>
      <xdr:colOff>342900</xdr:colOff>
      <xdr:row>17</xdr:row>
      <xdr:rowOff>9525</xdr:rowOff>
    </xdr:to>
    <xdr:pic>
      <xdr:nvPicPr>
        <xdr:cNvPr id="2049" name="DataCompleted">
          <a:extLst>
            <a:ext uri="{FF2B5EF4-FFF2-40B4-BE49-F238E27FC236}">
              <a16:creationId xmlns:a16="http://schemas.microsoft.com/office/drawing/2014/main" id="{D48BAE21-0D5C-5EEB-1616-1240A0C3418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3305175"/>
          <a:ext cx="228600" cy="2286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ony Schmucker" id="{81806439-0D49-49D6-B414-D73D2908BAFF}" userId="S::tschmucker@wcnx.org::8033c423-f13c-4c09-b61b-a49df8c60d4e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" dT="2024-04-16T20:58:16.52" personId="{81806439-0D49-49D6-B414-D73D2908BAFF}" id="{659834A8-6510-400E-9AEC-78858EE3C788}">
    <text>UTC Covid Rate Decrease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807C6-29D7-4130-9FCB-CC9734B3D193}">
  <sheetPr>
    <tabColor rgb="FF00B050"/>
  </sheetPr>
  <dimension ref="A1:BOL456"/>
  <sheetViews>
    <sheetView tabSelected="1" zoomScale="130" zoomScaleNormal="130" zoomScaleSheetLayoutView="100" workbookViewId="0">
      <selection activeCell="AY49" sqref="AY49:AZ49"/>
    </sheetView>
  </sheetViews>
  <sheetFormatPr defaultColWidth="11.42578125" defaultRowHeight="10.5"/>
  <cols>
    <col min="1" max="1" width="26" style="232" customWidth="1"/>
    <col min="2" max="2" width="10.7109375" style="233" bestFit="1" customWidth="1"/>
    <col min="3" max="3" width="0.7109375" style="233" customWidth="1"/>
    <col min="4" max="4" width="0.7109375" style="232" customWidth="1"/>
    <col min="5" max="5" width="7.28515625" style="233" customWidth="1"/>
    <col min="6" max="6" width="1.28515625" style="233" customWidth="1"/>
    <col min="7" max="7" width="9.5703125" style="233" customWidth="1"/>
    <col min="8" max="8" width="2.7109375" style="232" customWidth="1"/>
    <col min="9" max="9" width="3.28515625" style="232" customWidth="1"/>
    <col min="10" max="10" width="7.5703125" style="232" bestFit="1" customWidth="1"/>
    <col min="11" max="11" width="8.5703125" style="232" bestFit="1" customWidth="1"/>
    <col min="12" max="12" width="9" style="232" customWidth="1"/>
    <col min="13" max="248" width="11.42578125" style="232"/>
    <col min="249" max="249" width="24.28515625" style="232" customWidth="1"/>
    <col min="250" max="250" width="11.42578125" style="232" customWidth="1"/>
    <col min="251" max="251" width="1.5703125" style="232" customWidth="1"/>
    <col min="252" max="252" width="10.7109375" style="232" customWidth="1"/>
    <col min="253" max="253" width="1.5703125" style="232" customWidth="1"/>
    <col min="254" max="254" width="11.42578125" style="232" customWidth="1"/>
    <col min="255" max="255" width="11.7109375" style="232" customWidth="1"/>
    <col min="256" max="256" width="10.28515625" style="232" customWidth="1"/>
    <col min="257" max="257" width="10.7109375" style="232" customWidth="1"/>
    <col min="258" max="258" width="10.5703125" style="232" customWidth="1"/>
    <col min="259" max="259" width="8.7109375" style="232" customWidth="1"/>
    <col min="260" max="268" width="4.5703125" style="232" customWidth="1"/>
    <col min="269" max="504" width="11.42578125" style="232"/>
    <col min="505" max="505" width="24.28515625" style="232" customWidth="1"/>
    <col min="506" max="506" width="11.42578125" style="232" customWidth="1"/>
    <col min="507" max="507" width="1.5703125" style="232" customWidth="1"/>
    <col min="508" max="508" width="10.7109375" style="232" customWidth="1"/>
    <col min="509" max="509" width="1.5703125" style="232" customWidth="1"/>
    <col min="510" max="510" width="11.42578125" style="232" customWidth="1"/>
    <col min="511" max="511" width="11.7109375" style="232" customWidth="1"/>
    <col min="512" max="512" width="10.28515625" style="232" customWidth="1"/>
    <col min="513" max="513" width="10.7109375" style="232" customWidth="1"/>
    <col min="514" max="514" width="10.5703125" style="232" customWidth="1"/>
    <col min="515" max="515" width="8.7109375" style="232" customWidth="1"/>
    <col min="516" max="524" width="4.5703125" style="232" customWidth="1"/>
    <col min="525" max="760" width="11.42578125" style="232"/>
    <col min="761" max="761" width="24.28515625" style="232" customWidth="1"/>
    <col min="762" max="762" width="11.42578125" style="232" customWidth="1"/>
    <col min="763" max="763" width="1.5703125" style="232" customWidth="1"/>
    <col min="764" max="764" width="10.7109375" style="232" customWidth="1"/>
    <col min="765" max="765" width="1.5703125" style="232" customWidth="1"/>
    <col min="766" max="766" width="11.42578125" style="232" customWidth="1"/>
    <col min="767" max="767" width="11.7109375" style="232" customWidth="1"/>
    <col min="768" max="768" width="10.28515625" style="232" customWidth="1"/>
    <col min="769" max="769" width="10.7109375" style="232" customWidth="1"/>
    <col min="770" max="770" width="10.5703125" style="232" customWidth="1"/>
    <col min="771" max="771" width="8.7109375" style="232" customWidth="1"/>
    <col min="772" max="780" width="4.5703125" style="232" customWidth="1"/>
    <col min="781" max="1016" width="11.42578125" style="232"/>
    <col min="1017" max="1017" width="24.28515625" style="232" customWidth="1"/>
    <col min="1018" max="1018" width="11.42578125" style="232" customWidth="1"/>
    <col min="1019" max="1019" width="1.5703125" style="232" customWidth="1"/>
    <col min="1020" max="1020" width="10.7109375" style="232" customWidth="1"/>
    <col min="1021" max="1021" width="1.5703125" style="232" customWidth="1"/>
    <col min="1022" max="1022" width="11.42578125" style="232" customWidth="1"/>
    <col min="1023" max="1023" width="11.7109375" style="232" customWidth="1"/>
    <col min="1024" max="1024" width="10.28515625" style="232" customWidth="1"/>
    <col min="1025" max="1025" width="10.7109375" style="232" customWidth="1"/>
    <col min="1026" max="1026" width="10.5703125" style="232" customWidth="1"/>
    <col min="1027" max="1027" width="8.7109375" style="232" customWidth="1"/>
    <col min="1028" max="1036" width="4.5703125" style="232" customWidth="1"/>
    <col min="1037" max="1272" width="11.42578125" style="232"/>
    <col min="1273" max="1273" width="24.28515625" style="232" customWidth="1"/>
    <col min="1274" max="1274" width="11.42578125" style="232" customWidth="1"/>
    <col min="1275" max="1275" width="1.5703125" style="232" customWidth="1"/>
    <col min="1276" max="1276" width="10.7109375" style="232" customWidth="1"/>
    <col min="1277" max="1277" width="1.5703125" style="232" customWidth="1"/>
    <col min="1278" max="1278" width="11.42578125" style="232" customWidth="1"/>
    <col min="1279" max="1279" width="11.7109375" style="232" customWidth="1"/>
    <col min="1280" max="1280" width="10.28515625" style="232" customWidth="1"/>
    <col min="1281" max="1281" width="10.7109375" style="232" customWidth="1"/>
    <col min="1282" max="1282" width="10.5703125" style="232" customWidth="1"/>
    <col min="1283" max="1283" width="8.7109375" style="232" customWidth="1"/>
    <col min="1284" max="1292" width="4.5703125" style="232" customWidth="1"/>
    <col min="1293" max="1528" width="11.42578125" style="232"/>
    <col min="1529" max="1529" width="24.28515625" style="232" customWidth="1"/>
    <col min="1530" max="1530" width="11.42578125" style="232" customWidth="1"/>
    <col min="1531" max="1531" width="1.5703125" style="232" customWidth="1"/>
    <col min="1532" max="1532" width="10.7109375" style="232" customWidth="1"/>
    <col min="1533" max="1533" width="1.5703125" style="232" customWidth="1"/>
    <col min="1534" max="1534" width="11.42578125" style="232" customWidth="1"/>
    <col min="1535" max="1535" width="11.7109375" style="232" customWidth="1"/>
    <col min="1536" max="1536" width="10.28515625" style="232" customWidth="1"/>
    <col min="1537" max="1537" width="10.7109375" style="232" customWidth="1"/>
    <col min="1538" max="1538" width="10.5703125" style="232" customWidth="1"/>
    <col min="1539" max="1539" width="8.7109375" style="232" customWidth="1"/>
    <col min="1540" max="1548" width="4.5703125" style="232" customWidth="1"/>
    <col min="1549" max="1784" width="11.42578125" style="232"/>
    <col min="1785" max="1785" width="24.28515625" style="232" customWidth="1"/>
    <col min="1786" max="1786" width="11.42578125" style="232" customWidth="1"/>
    <col min="1787" max="1787" width="1.5703125" style="232" customWidth="1"/>
    <col min="1788" max="1788" width="10.7109375" style="232" customWidth="1"/>
    <col min="1789" max="1789" width="1.5703125" style="232" customWidth="1"/>
    <col min="1790" max="1790" width="11.42578125" style="232" customWidth="1"/>
    <col min="1791" max="1791" width="11.7109375" style="232" customWidth="1"/>
    <col min="1792" max="1792" width="10.28515625" style="232" customWidth="1"/>
    <col min="1793" max="1793" width="10.7109375" style="232" customWidth="1"/>
    <col min="1794" max="1794" width="10.5703125" style="232" customWidth="1"/>
    <col min="1795" max="1795" width="8.7109375" style="232" customWidth="1"/>
    <col min="1796" max="1804" width="4.5703125" style="232" customWidth="1"/>
    <col min="1805" max="2040" width="11.42578125" style="232"/>
    <col min="2041" max="2041" width="24.28515625" style="232" customWidth="1"/>
    <col min="2042" max="2042" width="11.42578125" style="232" customWidth="1"/>
    <col min="2043" max="2043" width="1.5703125" style="232" customWidth="1"/>
    <col min="2044" max="2044" width="10.7109375" style="232" customWidth="1"/>
    <col min="2045" max="2045" width="1.5703125" style="232" customWidth="1"/>
    <col min="2046" max="2046" width="11.42578125" style="232" customWidth="1"/>
    <col min="2047" max="2047" width="11.7109375" style="232" customWidth="1"/>
    <col min="2048" max="2048" width="10.28515625" style="232" customWidth="1"/>
    <col min="2049" max="2049" width="10.7109375" style="232" customWidth="1"/>
    <col min="2050" max="2050" width="10.5703125" style="232" customWidth="1"/>
    <col min="2051" max="2051" width="8.7109375" style="232" customWidth="1"/>
    <col min="2052" max="2060" width="4.5703125" style="232" customWidth="1"/>
    <col min="2061" max="2296" width="11.42578125" style="232"/>
    <col min="2297" max="2297" width="24.28515625" style="232" customWidth="1"/>
    <col min="2298" max="2298" width="11.42578125" style="232" customWidth="1"/>
    <col min="2299" max="2299" width="1.5703125" style="232" customWidth="1"/>
    <col min="2300" max="2300" width="10.7109375" style="232" customWidth="1"/>
    <col min="2301" max="2301" width="1.5703125" style="232" customWidth="1"/>
    <col min="2302" max="2302" width="11.42578125" style="232" customWidth="1"/>
    <col min="2303" max="2303" width="11.7109375" style="232" customWidth="1"/>
    <col min="2304" max="2304" width="10.28515625" style="232" customWidth="1"/>
    <col min="2305" max="2305" width="10.7109375" style="232" customWidth="1"/>
    <col min="2306" max="2306" width="10.5703125" style="232" customWidth="1"/>
    <col min="2307" max="2307" width="8.7109375" style="232" customWidth="1"/>
    <col min="2308" max="2316" width="4.5703125" style="232" customWidth="1"/>
    <col min="2317" max="2552" width="11.42578125" style="232"/>
    <col min="2553" max="2553" width="24.28515625" style="232" customWidth="1"/>
    <col min="2554" max="2554" width="11.42578125" style="232" customWidth="1"/>
    <col min="2555" max="2555" width="1.5703125" style="232" customWidth="1"/>
    <col min="2556" max="2556" width="10.7109375" style="232" customWidth="1"/>
    <col min="2557" max="2557" width="1.5703125" style="232" customWidth="1"/>
    <col min="2558" max="2558" width="11.42578125" style="232" customWidth="1"/>
    <col min="2559" max="2559" width="11.7109375" style="232" customWidth="1"/>
    <col min="2560" max="2560" width="10.28515625" style="232" customWidth="1"/>
    <col min="2561" max="2561" width="10.7109375" style="232" customWidth="1"/>
    <col min="2562" max="2562" width="10.5703125" style="232" customWidth="1"/>
    <col min="2563" max="2563" width="8.7109375" style="232" customWidth="1"/>
    <col min="2564" max="2572" width="4.5703125" style="232" customWidth="1"/>
    <col min="2573" max="2808" width="11.42578125" style="232"/>
    <col min="2809" max="2809" width="24.28515625" style="232" customWidth="1"/>
    <col min="2810" max="2810" width="11.42578125" style="232" customWidth="1"/>
    <col min="2811" max="2811" width="1.5703125" style="232" customWidth="1"/>
    <col min="2812" max="2812" width="10.7109375" style="232" customWidth="1"/>
    <col min="2813" max="2813" width="1.5703125" style="232" customWidth="1"/>
    <col min="2814" max="2814" width="11.42578125" style="232" customWidth="1"/>
    <col min="2815" max="2815" width="11.7109375" style="232" customWidth="1"/>
    <col min="2816" max="2816" width="10.28515625" style="232" customWidth="1"/>
    <col min="2817" max="2817" width="10.7109375" style="232" customWidth="1"/>
    <col min="2818" max="2818" width="10.5703125" style="232" customWidth="1"/>
    <col min="2819" max="2819" width="8.7109375" style="232" customWidth="1"/>
    <col min="2820" max="2828" width="4.5703125" style="232" customWidth="1"/>
    <col min="2829" max="3064" width="11.42578125" style="232"/>
    <col min="3065" max="3065" width="24.28515625" style="232" customWidth="1"/>
    <col min="3066" max="3066" width="11.42578125" style="232" customWidth="1"/>
    <col min="3067" max="3067" width="1.5703125" style="232" customWidth="1"/>
    <col min="3068" max="3068" width="10.7109375" style="232" customWidth="1"/>
    <col min="3069" max="3069" width="1.5703125" style="232" customWidth="1"/>
    <col min="3070" max="3070" width="11.42578125" style="232" customWidth="1"/>
    <col min="3071" max="3071" width="11.7109375" style="232" customWidth="1"/>
    <col min="3072" max="3072" width="10.28515625" style="232" customWidth="1"/>
    <col min="3073" max="3073" width="10.7109375" style="232" customWidth="1"/>
    <col min="3074" max="3074" width="10.5703125" style="232" customWidth="1"/>
    <col min="3075" max="3075" width="8.7109375" style="232" customWidth="1"/>
    <col min="3076" max="3084" width="4.5703125" style="232" customWidth="1"/>
    <col min="3085" max="3320" width="11.42578125" style="232"/>
    <col min="3321" max="3321" width="24.28515625" style="232" customWidth="1"/>
    <col min="3322" max="3322" width="11.42578125" style="232" customWidth="1"/>
    <col min="3323" max="3323" width="1.5703125" style="232" customWidth="1"/>
    <col min="3324" max="3324" width="10.7109375" style="232" customWidth="1"/>
    <col min="3325" max="3325" width="1.5703125" style="232" customWidth="1"/>
    <col min="3326" max="3326" width="11.42578125" style="232" customWidth="1"/>
    <col min="3327" max="3327" width="11.7109375" style="232" customWidth="1"/>
    <col min="3328" max="3328" width="10.28515625" style="232" customWidth="1"/>
    <col min="3329" max="3329" width="10.7109375" style="232" customWidth="1"/>
    <col min="3330" max="3330" width="10.5703125" style="232" customWidth="1"/>
    <col min="3331" max="3331" width="8.7109375" style="232" customWidth="1"/>
    <col min="3332" max="3340" width="4.5703125" style="232" customWidth="1"/>
    <col min="3341" max="3576" width="11.42578125" style="232"/>
    <col min="3577" max="3577" width="24.28515625" style="232" customWidth="1"/>
    <col min="3578" max="3578" width="11.42578125" style="232" customWidth="1"/>
    <col min="3579" max="3579" width="1.5703125" style="232" customWidth="1"/>
    <col min="3580" max="3580" width="10.7109375" style="232" customWidth="1"/>
    <col min="3581" max="3581" width="1.5703125" style="232" customWidth="1"/>
    <col min="3582" max="3582" width="11.42578125" style="232" customWidth="1"/>
    <col min="3583" max="3583" width="11.7109375" style="232" customWidth="1"/>
    <col min="3584" max="3584" width="10.28515625" style="232" customWidth="1"/>
    <col min="3585" max="3585" width="10.7109375" style="232" customWidth="1"/>
    <col min="3586" max="3586" width="10.5703125" style="232" customWidth="1"/>
    <col min="3587" max="3587" width="8.7109375" style="232" customWidth="1"/>
    <col min="3588" max="3596" width="4.5703125" style="232" customWidth="1"/>
    <col min="3597" max="3832" width="11.42578125" style="232"/>
    <col min="3833" max="3833" width="24.28515625" style="232" customWidth="1"/>
    <col min="3834" max="3834" width="11.42578125" style="232" customWidth="1"/>
    <col min="3835" max="3835" width="1.5703125" style="232" customWidth="1"/>
    <col min="3836" max="3836" width="10.7109375" style="232" customWidth="1"/>
    <col min="3837" max="3837" width="1.5703125" style="232" customWidth="1"/>
    <col min="3838" max="3838" width="11.42578125" style="232" customWidth="1"/>
    <col min="3839" max="3839" width="11.7109375" style="232" customWidth="1"/>
    <col min="3840" max="3840" width="10.28515625" style="232" customWidth="1"/>
    <col min="3841" max="3841" width="10.7109375" style="232" customWidth="1"/>
    <col min="3842" max="3842" width="10.5703125" style="232" customWidth="1"/>
    <col min="3843" max="3843" width="8.7109375" style="232" customWidth="1"/>
    <col min="3844" max="3852" width="4.5703125" style="232" customWidth="1"/>
    <col min="3853" max="4088" width="11.42578125" style="232"/>
    <col min="4089" max="4089" width="24.28515625" style="232" customWidth="1"/>
    <col min="4090" max="4090" width="11.42578125" style="232" customWidth="1"/>
    <col min="4091" max="4091" width="1.5703125" style="232" customWidth="1"/>
    <col min="4092" max="4092" width="10.7109375" style="232" customWidth="1"/>
    <col min="4093" max="4093" width="1.5703125" style="232" customWidth="1"/>
    <col min="4094" max="4094" width="11.42578125" style="232" customWidth="1"/>
    <col min="4095" max="4095" width="11.7109375" style="232" customWidth="1"/>
    <col min="4096" max="4096" width="10.28515625" style="232" customWidth="1"/>
    <col min="4097" max="4097" width="10.7109375" style="232" customWidth="1"/>
    <col min="4098" max="4098" width="10.5703125" style="232" customWidth="1"/>
    <col min="4099" max="4099" width="8.7109375" style="232" customWidth="1"/>
    <col min="4100" max="4108" width="4.5703125" style="232" customWidth="1"/>
    <col min="4109" max="4344" width="11.42578125" style="232"/>
    <col min="4345" max="4345" width="24.28515625" style="232" customWidth="1"/>
    <col min="4346" max="4346" width="11.42578125" style="232" customWidth="1"/>
    <col min="4347" max="4347" width="1.5703125" style="232" customWidth="1"/>
    <col min="4348" max="4348" width="10.7109375" style="232" customWidth="1"/>
    <col min="4349" max="4349" width="1.5703125" style="232" customWidth="1"/>
    <col min="4350" max="4350" width="11.42578125" style="232" customWidth="1"/>
    <col min="4351" max="4351" width="11.7109375" style="232" customWidth="1"/>
    <col min="4352" max="4352" width="10.28515625" style="232" customWidth="1"/>
    <col min="4353" max="4353" width="10.7109375" style="232" customWidth="1"/>
    <col min="4354" max="4354" width="10.5703125" style="232" customWidth="1"/>
    <col min="4355" max="4355" width="8.7109375" style="232" customWidth="1"/>
    <col min="4356" max="4364" width="4.5703125" style="232" customWidth="1"/>
    <col min="4365" max="4600" width="11.42578125" style="232"/>
    <col min="4601" max="4601" width="24.28515625" style="232" customWidth="1"/>
    <col min="4602" max="4602" width="11.42578125" style="232" customWidth="1"/>
    <col min="4603" max="4603" width="1.5703125" style="232" customWidth="1"/>
    <col min="4604" max="4604" width="10.7109375" style="232" customWidth="1"/>
    <col min="4605" max="4605" width="1.5703125" style="232" customWidth="1"/>
    <col min="4606" max="4606" width="11.42578125" style="232" customWidth="1"/>
    <col min="4607" max="4607" width="11.7109375" style="232" customWidth="1"/>
    <col min="4608" max="4608" width="10.28515625" style="232" customWidth="1"/>
    <col min="4609" max="4609" width="10.7109375" style="232" customWidth="1"/>
    <col min="4610" max="4610" width="10.5703125" style="232" customWidth="1"/>
    <col min="4611" max="4611" width="8.7109375" style="232" customWidth="1"/>
    <col min="4612" max="4620" width="4.5703125" style="232" customWidth="1"/>
    <col min="4621" max="4856" width="11.42578125" style="232"/>
    <col min="4857" max="4857" width="24.28515625" style="232" customWidth="1"/>
    <col min="4858" max="4858" width="11.42578125" style="232" customWidth="1"/>
    <col min="4859" max="4859" width="1.5703125" style="232" customWidth="1"/>
    <col min="4860" max="4860" width="10.7109375" style="232" customWidth="1"/>
    <col min="4861" max="4861" width="1.5703125" style="232" customWidth="1"/>
    <col min="4862" max="4862" width="11.42578125" style="232" customWidth="1"/>
    <col min="4863" max="4863" width="11.7109375" style="232" customWidth="1"/>
    <col min="4864" max="4864" width="10.28515625" style="232" customWidth="1"/>
    <col min="4865" max="4865" width="10.7109375" style="232" customWidth="1"/>
    <col min="4866" max="4866" width="10.5703125" style="232" customWidth="1"/>
    <col min="4867" max="4867" width="8.7109375" style="232" customWidth="1"/>
    <col min="4868" max="4876" width="4.5703125" style="232" customWidth="1"/>
    <col min="4877" max="5112" width="11.42578125" style="232"/>
    <col min="5113" max="5113" width="24.28515625" style="232" customWidth="1"/>
    <col min="5114" max="5114" width="11.42578125" style="232" customWidth="1"/>
    <col min="5115" max="5115" width="1.5703125" style="232" customWidth="1"/>
    <col min="5116" max="5116" width="10.7109375" style="232" customWidth="1"/>
    <col min="5117" max="5117" width="1.5703125" style="232" customWidth="1"/>
    <col min="5118" max="5118" width="11.42578125" style="232" customWidth="1"/>
    <col min="5119" max="5119" width="11.7109375" style="232" customWidth="1"/>
    <col min="5120" max="5120" width="10.28515625" style="232" customWidth="1"/>
    <col min="5121" max="5121" width="10.7109375" style="232" customWidth="1"/>
    <col min="5122" max="5122" width="10.5703125" style="232" customWidth="1"/>
    <col min="5123" max="5123" width="8.7109375" style="232" customWidth="1"/>
    <col min="5124" max="5132" width="4.5703125" style="232" customWidth="1"/>
    <col min="5133" max="5368" width="11.42578125" style="232"/>
    <col min="5369" max="5369" width="24.28515625" style="232" customWidth="1"/>
    <col min="5370" max="5370" width="11.42578125" style="232" customWidth="1"/>
    <col min="5371" max="5371" width="1.5703125" style="232" customWidth="1"/>
    <col min="5372" max="5372" width="10.7109375" style="232" customWidth="1"/>
    <col min="5373" max="5373" width="1.5703125" style="232" customWidth="1"/>
    <col min="5374" max="5374" width="11.42578125" style="232" customWidth="1"/>
    <col min="5375" max="5375" width="11.7109375" style="232" customWidth="1"/>
    <col min="5376" max="5376" width="10.28515625" style="232" customWidth="1"/>
    <col min="5377" max="5377" width="10.7109375" style="232" customWidth="1"/>
    <col min="5378" max="5378" width="10.5703125" style="232" customWidth="1"/>
    <col min="5379" max="5379" width="8.7109375" style="232" customWidth="1"/>
    <col min="5380" max="5388" width="4.5703125" style="232" customWidth="1"/>
    <col min="5389" max="5624" width="11.42578125" style="232"/>
    <col min="5625" max="5625" width="24.28515625" style="232" customWidth="1"/>
    <col min="5626" max="5626" width="11.42578125" style="232" customWidth="1"/>
    <col min="5627" max="5627" width="1.5703125" style="232" customWidth="1"/>
    <col min="5628" max="5628" width="10.7109375" style="232" customWidth="1"/>
    <col min="5629" max="5629" width="1.5703125" style="232" customWidth="1"/>
    <col min="5630" max="5630" width="11.42578125" style="232" customWidth="1"/>
    <col min="5631" max="5631" width="11.7109375" style="232" customWidth="1"/>
    <col min="5632" max="5632" width="10.28515625" style="232" customWidth="1"/>
    <col min="5633" max="5633" width="10.7109375" style="232" customWidth="1"/>
    <col min="5634" max="5634" width="10.5703125" style="232" customWidth="1"/>
    <col min="5635" max="5635" width="8.7109375" style="232" customWidth="1"/>
    <col min="5636" max="5644" width="4.5703125" style="232" customWidth="1"/>
    <col min="5645" max="5880" width="11.42578125" style="232"/>
    <col min="5881" max="5881" width="24.28515625" style="232" customWidth="1"/>
    <col min="5882" max="5882" width="11.42578125" style="232" customWidth="1"/>
    <col min="5883" max="5883" width="1.5703125" style="232" customWidth="1"/>
    <col min="5884" max="5884" width="10.7109375" style="232" customWidth="1"/>
    <col min="5885" max="5885" width="1.5703125" style="232" customWidth="1"/>
    <col min="5886" max="5886" width="11.42578125" style="232" customWidth="1"/>
    <col min="5887" max="5887" width="11.7109375" style="232" customWidth="1"/>
    <col min="5888" max="5888" width="10.28515625" style="232" customWidth="1"/>
    <col min="5889" max="5889" width="10.7109375" style="232" customWidth="1"/>
    <col min="5890" max="5890" width="10.5703125" style="232" customWidth="1"/>
    <col min="5891" max="5891" width="8.7109375" style="232" customWidth="1"/>
    <col min="5892" max="5900" width="4.5703125" style="232" customWidth="1"/>
    <col min="5901" max="6136" width="11.42578125" style="232"/>
    <col min="6137" max="6137" width="24.28515625" style="232" customWidth="1"/>
    <col min="6138" max="6138" width="11.42578125" style="232" customWidth="1"/>
    <col min="6139" max="6139" width="1.5703125" style="232" customWidth="1"/>
    <col min="6140" max="6140" width="10.7109375" style="232" customWidth="1"/>
    <col min="6141" max="6141" width="1.5703125" style="232" customWidth="1"/>
    <col min="6142" max="6142" width="11.42578125" style="232" customWidth="1"/>
    <col min="6143" max="6143" width="11.7109375" style="232" customWidth="1"/>
    <col min="6144" max="6144" width="10.28515625" style="232" customWidth="1"/>
    <col min="6145" max="6145" width="10.7109375" style="232" customWidth="1"/>
    <col min="6146" max="6146" width="10.5703125" style="232" customWidth="1"/>
    <col min="6147" max="6147" width="8.7109375" style="232" customWidth="1"/>
    <col min="6148" max="6156" width="4.5703125" style="232" customWidth="1"/>
    <col min="6157" max="6392" width="11.42578125" style="232"/>
    <col min="6393" max="6393" width="24.28515625" style="232" customWidth="1"/>
    <col min="6394" max="6394" width="11.42578125" style="232" customWidth="1"/>
    <col min="6395" max="6395" width="1.5703125" style="232" customWidth="1"/>
    <col min="6396" max="6396" width="10.7109375" style="232" customWidth="1"/>
    <col min="6397" max="6397" width="1.5703125" style="232" customWidth="1"/>
    <col min="6398" max="6398" width="11.42578125" style="232" customWidth="1"/>
    <col min="6399" max="6399" width="11.7109375" style="232" customWidth="1"/>
    <col min="6400" max="6400" width="10.28515625" style="232" customWidth="1"/>
    <col min="6401" max="6401" width="10.7109375" style="232" customWidth="1"/>
    <col min="6402" max="6402" width="10.5703125" style="232" customWidth="1"/>
    <col min="6403" max="6403" width="8.7109375" style="232" customWidth="1"/>
    <col min="6404" max="6412" width="4.5703125" style="232" customWidth="1"/>
    <col min="6413" max="6648" width="11.42578125" style="232"/>
    <col min="6649" max="6649" width="24.28515625" style="232" customWidth="1"/>
    <col min="6650" max="6650" width="11.42578125" style="232" customWidth="1"/>
    <col min="6651" max="6651" width="1.5703125" style="232" customWidth="1"/>
    <col min="6652" max="6652" width="10.7109375" style="232" customWidth="1"/>
    <col min="6653" max="6653" width="1.5703125" style="232" customWidth="1"/>
    <col min="6654" max="6654" width="11.42578125" style="232" customWidth="1"/>
    <col min="6655" max="6655" width="11.7109375" style="232" customWidth="1"/>
    <col min="6656" max="6656" width="10.28515625" style="232" customWidth="1"/>
    <col min="6657" max="6657" width="10.7109375" style="232" customWidth="1"/>
    <col min="6658" max="6658" width="10.5703125" style="232" customWidth="1"/>
    <col min="6659" max="6659" width="8.7109375" style="232" customWidth="1"/>
    <col min="6660" max="6668" width="4.5703125" style="232" customWidth="1"/>
    <col min="6669" max="6904" width="11.42578125" style="232"/>
    <col min="6905" max="6905" width="24.28515625" style="232" customWidth="1"/>
    <col min="6906" max="6906" width="11.42578125" style="232" customWidth="1"/>
    <col min="6907" max="6907" width="1.5703125" style="232" customWidth="1"/>
    <col min="6908" max="6908" width="10.7109375" style="232" customWidth="1"/>
    <col min="6909" max="6909" width="1.5703125" style="232" customWidth="1"/>
    <col min="6910" max="6910" width="11.42578125" style="232" customWidth="1"/>
    <col min="6911" max="6911" width="11.7109375" style="232" customWidth="1"/>
    <col min="6912" max="6912" width="10.28515625" style="232" customWidth="1"/>
    <col min="6913" max="6913" width="10.7109375" style="232" customWidth="1"/>
    <col min="6914" max="6914" width="10.5703125" style="232" customWidth="1"/>
    <col min="6915" max="6915" width="8.7109375" style="232" customWidth="1"/>
    <col min="6916" max="6924" width="4.5703125" style="232" customWidth="1"/>
    <col min="6925" max="7160" width="11.42578125" style="232"/>
    <col min="7161" max="7161" width="24.28515625" style="232" customWidth="1"/>
    <col min="7162" max="7162" width="11.42578125" style="232" customWidth="1"/>
    <col min="7163" max="7163" width="1.5703125" style="232" customWidth="1"/>
    <col min="7164" max="7164" width="10.7109375" style="232" customWidth="1"/>
    <col min="7165" max="7165" width="1.5703125" style="232" customWidth="1"/>
    <col min="7166" max="7166" width="11.42578125" style="232" customWidth="1"/>
    <col min="7167" max="7167" width="11.7109375" style="232" customWidth="1"/>
    <col min="7168" max="7168" width="10.28515625" style="232" customWidth="1"/>
    <col min="7169" max="7169" width="10.7109375" style="232" customWidth="1"/>
    <col min="7170" max="7170" width="10.5703125" style="232" customWidth="1"/>
    <col min="7171" max="7171" width="8.7109375" style="232" customWidth="1"/>
    <col min="7172" max="7180" width="4.5703125" style="232" customWidth="1"/>
    <col min="7181" max="7416" width="11.42578125" style="232"/>
    <col min="7417" max="7417" width="24.28515625" style="232" customWidth="1"/>
    <col min="7418" max="7418" width="11.42578125" style="232" customWidth="1"/>
    <col min="7419" max="7419" width="1.5703125" style="232" customWidth="1"/>
    <col min="7420" max="7420" width="10.7109375" style="232" customWidth="1"/>
    <col min="7421" max="7421" width="1.5703125" style="232" customWidth="1"/>
    <col min="7422" max="7422" width="11.42578125" style="232" customWidth="1"/>
    <col min="7423" max="7423" width="11.7109375" style="232" customWidth="1"/>
    <col min="7424" max="7424" width="10.28515625" style="232" customWidth="1"/>
    <col min="7425" max="7425" width="10.7109375" style="232" customWidth="1"/>
    <col min="7426" max="7426" width="10.5703125" style="232" customWidth="1"/>
    <col min="7427" max="7427" width="8.7109375" style="232" customWidth="1"/>
    <col min="7428" max="7436" width="4.5703125" style="232" customWidth="1"/>
    <col min="7437" max="7672" width="11.42578125" style="232"/>
    <col min="7673" max="7673" width="24.28515625" style="232" customWidth="1"/>
    <col min="7674" max="7674" width="11.42578125" style="232" customWidth="1"/>
    <col min="7675" max="7675" width="1.5703125" style="232" customWidth="1"/>
    <col min="7676" max="7676" width="10.7109375" style="232" customWidth="1"/>
    <col min="7677" max="7677" width="1.5703125" style="232" customWidth="1"/>
    <col min="7678" max="7678" width="11.42578125" style="232" customWidth="1"/>
    <col min="7679" max="7679" width="11.7109375" style="232" customWidth="1"/>
    <col min="7680" max="7680" width="10.28515625" style="232" customWidth="1"/>
    <col min="7681" max="7681" width="10.7109375" style="232" customWidth="1"/>
    <col min="7682" max="7682" width="10.5703125" style="232" customWidth="1"/>
    <col min="7683" max="7683" width="8.7109375" style="232" customWidth="1"/>
    <col min="7684" max="7692" width="4.5703125" style="232" customWidth="1"/>
    <col min="7693" max="7928" width="11.42578125" style="232"/>
    <col min="7929" max="7929" width="24.28515625" style="232" customWidth="1"/>
    <col min="7930" max="7930" width="11.42578125" style="232" customWidth="1"/>
    <col min="7931" max="7931" width="1.5703125" style="232" customWidth="1"/>
    <col min="7932" max="7932" width="10.7109375" style="232" customWidth="1"/>
    <col min="7933" max="7933" width="1.5703125" style="232" customWidth="1"/>
    <col min="7934" max="7934" width="11.42578125" style="232" customWidth="1"/>
    <col min="7935" max="7935" width="11.7109375" style="232" customWidth="1"/>
    <col min="7936" max="7936" width="10.28515625" style="232" customWidth="1"/>
    <col min="7937" max="7937" width="10.7109375" style="232" customWidth="1"/>
    <col min="7938" max="7938" width="10.5703125" style="232" customWidth="1"/>
    <col min="7939" max="7939" width="8.7109375" style="232" customWidth="1"/>
    <col min="7940" max="7948" width="4.5703125" style="232" customWidth="1"/>
    <col min="7949" max="8184" width="11.42578125" style="232"/>
    <col min="8185" max="8185" width="24.28515625" style="232" customWidth="1"/>
    <col min="8186" max="8186" width="11.42578125" style="232" customWidth="1"/>
    <col min="8187" max="8187" width="1.5703125" style="232" customWidth="1"/>
    <col min="8188" max="8188" width="10.7109375" style="232" customWidth="1"/>
    <col min="8189" max="8189" width="1.5703125" style="232" customWidth="1"/>
    <col min="8190" max="8190" width="11.42578125" style="232" customWidth="1"/>
    <col min="8191" max="8191" width="11.7109375" style="232" customWidth="1"/>
    <col min="8192" max="8192" width="10.28515625" style="232" customWidth="1"/>
    <col min="8193" max="8193" width="10.7109375" style="232" customWidth="1"/>
    <col min="8194" max="8194" width="10.5703125" style="232" customWidth="1"/>
    <col min="8195" max="8195" width="8.7109375" style="232" customWidth="1"/>
    <col min="8196" max="8204" width="4.5703125" style="232" customWidth="1"/>
    <col min="8205" max="8440" width="11.42578125" style="232"/>
    <col min="8441" max="8441" width="24.28515625" style="232" customWidth="1"/>
    <col min="8442" max="8442" width="11.42578125" style="232" customWidth="1"/>
    <col min="8443" max="8443" width="1.5703125" style="232" customWidth="1"/>
    <col min="8444" max="8444" width="10.7109375" style="232" customWidth="1"/>
    <col min="8445" max="8445" width="1.5703125" style="232" customWidth="1"/>
    <col min="8446" max="8446" width="11.42578125" style="232" customWidth="1"/>
    <col min="8447" max="8447" width="11.7109375" style="232" customWidth="1"/>
    <col min="8448" max="8448" width="10.28515625" style="232" customWidth="1"/>
    <col min="8449" max="8449" width="10.7109375" style="232" customWidth="1"/>
    <col min="8450" max="8450" width="10.5703125" style="232" customWidth="1"/>
    <col min="8451" max="8451" width="8.7109375" style="232" customWidth="1"/>
    <col min="8452" max="8460" width="4.5703125" style="232" customWidth="1"/>
    <col min="8461" max="8696" width="11.42578125" style="232"/>
    <col min="8697" max="8697" width="24.28515625" style="232" customWidth="1"/>
    <col min="8698" max="8698" width="11.42578125" style="232" customWidth="1"/>
    <col min="8699" max="8699" width="1.5703125" style="232" customWidth="1"/>
    <col min="8700" max="8700" width="10.7109375" style="232" customWidth="1"/>
    <col min="8701" max="8701" width="1.5703125" style="232" customWidth="1"/>
    <col min="8702" max="8702" width="11.42578125" style="232" customWidth="1"/>
    <col min="8703" max="8703" width="11.7109375" style="232" customWidth="1"/>
    <col min="8704" max="8704" width="10.28515625" style="232" customWidth="1"/>
    <col min="8705" max="8705" width="10.7109375" style="232" customWidth="1"/>
    <col min="8706" max="8706" width="10.5703125" style="232" customWidth="1"/>
    <col min="8707" max="8707" width="8.7109375" style="232" customWidth="1"/>
    <col min="8708" max="8716" width="4.5703125" style="232" customWidth="1"/>
    <col min="8717" max="8952" width="11.42578125" style="232"/>
    <col min="8953" max="8953" width="24.28515625" style="232" customWidth="1"/>
    <col min="8954" max="8954" width="11.42578125" style="232" customWidth="1"/>
    <col min="8955" max="8955" width="1.5703125" style="232" customWidth="1"/>
    <col min="8956" max="8956" width="10.7109375" style="232" customWidth="1"/>
    <col min="8957" max="8957" width="1.5703125" style="232" customWidth="1"/>
    <col min="8958" max="8958" width="11.42578125" style="232" customWidth="1"/>
    <col min="8959" max="8959" width="11.7109375" style="232" customWidth="1"/>
    <col min="8960" max="8960" width="10.28515625" style="232" customWidth="1"/>
    <col min="8961" max="8961" width="10.7109375" style="232" customWidth="1"/>
    <col min="8962" max="8962" width="10.5703125" style="232" customWidth="1"/>
    <col min="8963" max="8963" width="8.7109375" style="232" customWidth="1"/>
    <col min="8964" max="8972" width="4.5703125" style="232" customWidth="1"/>
    <col min="8973" max="9208" width="11.42578125" style="232"/>
    <col min="9209" max="9209" width="24.28515625" style="232" customWidth="1"/>
    <col min="9210" max="9210" width="11.42578125" style="232" customWidth="1"/>
    <col min="9211" max="9211" width="1.5703125" style="232" customWidth="1"/>
    <col min="9212" max="9212" width="10.7109375" style="232" customWidth="1"/>
    <col min="9213" max="9213" width="1.5703125" style="232" customWidth="1"/>
    <col min="9214" max="9214" width="11.42578125" style="232" customWidth="1"/>
    <col min="9215" max="9215" width="11.7109375" style="232" customWidth="1"/>
    <col min="9216" max="9216" width="10.28515625" style="232" customWidth="1"/>
    <col min="9217" max="9217" width="10.7109375" style="232" customWidth="1"/>
    <col min="9218" max="9218" width="10.5703125" style="232" customWidth="1"/>
    <col min="9219" max="9219" width="8.7109375" style="232" customWidth="1"/>
    <col min="9220" max="9228" width="4.5703125" style="232" customWidth="1"/>
    <col min="9229" max="9464" width="11.42578125" style="232"/>
    <col min="9465" max="9465" width="24.28515625" style="232" customWidth="1"/>
    <col min="9466" max="9466" width="11.42578125" style="232" customWidth="1"/>
    <col min="9467" max="9467" width="1.5703125" style="232" customWidth="1"/>
    <col min="9468" max="9468" width="10.7109375" style="232" customWidth="1"/>
    <col min="9469" max="9469" width="1.5703125" style="232" customWidth="1"/>
    <col min="9470" max="9470" width="11.42578125" style="232" customWidth="1"/>
    <col min="9471" max="9471" width="11.7109375" style="232" customWidth="1"/>
    <col min="9472" max="9472" width="10.28515625" style="232" customWidth="1"/>
    <col min="9473" max="9473" width="10.7109375" style="232" customWidth="1"/>
    <col min="9474" max="9474" width="10.5703125" style="232" customWidth="1"/>
    <col min="9475" max="9475" width="8.7109375" style="232" customWidth="1"/>
    <col min="9476" max="9484" width="4.5703125" style="232" customWidth="1"/>
    <col min="9485" max="9720" width="11.42578125" style="232"/>
    <col min="9721" max="9721" width="24.28515625" style="232" customWidth="1"/>
    <col min="9722" max="9722" width="11.42578125" style="232" customWidth="1"/>
    <col min="9723" max="9723" width="1.5703125" style="232" customWidth="1"/>
    <col min="9724" max="9724" width="10.7109375" style="232" customWidth="1"/>
    <col min="9725" max="9725" width="1.5703125" style="232" customWidth="1"/>
    <col min="9726" max="9726" width="11.42578125" style="232" customWidth="1"/>
    <col min="9727" max="9727" width="11.7109375" style="232" customWidth="1"/>
    <col min="9728" max="9728" width="10.28515625" style="232" customWidth="1"/>
    <col min="9729" max="9729" width="10.7109375" style="232" customWidth="1"/>
    <col min="9730" max="9730" width="10.5703125" style="232" customWidth="1"/>
    <col min="9731" max="9731" width="8.7109375" style="232" customWidth="1"/>
    <col min="9732" max="9740" width="4.5703125" style="232" customWidth="1"/>
    <col min="9741" max="9976" width="11.42578125" style="232"/>
    <col min="9977" max="9977" width="24.28515625" style="232" customWidth="1"/>
    <col min="9978" max="9978" width="11.42578125" style="232" customWidth="1"/>
    <col min="9979" max="9979" width="1.5703125" style="232" customWidth="1"/>
    <col min="9980" max="9980" width="10.7109375" style="232" customWidth="1"/>
    <col min="9981" max="9981" width="1.5703125" style="232" customWidth="1"/>
    <col min="9982" max="9982" width="11.42578125" style="232" customWidth="1"/>
    <col min="9983" max="9983" width="11.7109375" style="232" customWidth="1"/>
    <col min="9984" max="9984" width="10.28515625" style="232" customWidth="1"/>
    <col min="9985" max="9985" width="10.7109375" style="232" customWidth="1"/>
    <col min="9986" max="9986" width="10.5703125" style="232" customWidth="1"/>
    <col min="9987" max="9987" width="8.7109375" style="232" customWidth="1"/>
    <col min="9988" max="9996" width="4.5703125" style="232" customWidth="1"/>
    <col min="9997" max="10232" width="11.42578125" style="232"/>
    <col min="10233" max="10233" width="24.28515625" style="232" customWidth="1"/>
    <col min="10234" max="10234" width="11.42578125" style="232" customWidth="1"/>
    <col min="10235" max="10235" width="1.5703125" style="232" customWidth="1"/>
    <col min="10236" max="10236" width="10.7109375" style="232" customWidth="1"/>
    <col min="10237" max="10237" width="1.5703125" style="232" customWidth="1"/>
    <col min="10238" max="10238" width="11.42578125" style="232" customWidth="1"/>
    <col min="10239" max="10239" width="11.7109375" style="232" customWidth="1"/>
    <col min="10240" max="10240" width="10.28515625" style="232" customWidth="1"/>
    <col min="10241" max="10241" width="10.7109375" style="232" customWidth="1"/>
    <col min="10242" max="10242" width="10.5703125" style="232" customWidth="1"/>
    <col min="10243" max="10243" width="8.7109375" style="232" customWidth="1"/>
    <col min="10244" max="10252" width="4.5703125" style="232" customWidth="1"/>
    <col min="10253" max="10488" width="11.42578125" style="232"/>
    <col min="10489" max="10489" width="24.28515625" style="232" customWidth="1"/>
    <col min="10490" max="10490" width="11.42578125" style="232" customWidth="1"/>
    <col min="10491" max="10491" width="1.5703125" style="232" customWidth="1"/>
    <col min="10492" max="10492" width="10.7109375" style="232" customWidth="1"/>
    <col min="10493" max="10493" width="1.5703125" style="232" customWidth="1"/>
    <col min="10494" max="10494" width="11.42578125" style="232" customWidth="1"/>
    <col min="10495" max="10495" width="11.7109375" style="232" customWidth="1"/>
    <col min="10496" max="10496" width="10.28515625" style="232" customWidth="1"/>
    <col min="10497" max="10497" width="10.7109375" style="232" customWidth="1"/>
    <col min="10498" max="10498" width="10.5703125" style="232" customWidth="1"/>
    <col min="10499" max="10499" width="8.7109375" style="232" customWidth="1"/>
    <col min="10500" max="10508" width="4.5703125" style="232" customWidth="1"/>
    <col min="10509" max="10744" width="11.42578125" style="232"/>
    <col min="10745" max="10745" width="24.28515625" style="232" customWidth="1"/>
    <col min="10746" max="10746" width="11.42578125" style="232" customWidth="1"/>
    <col min="10747" max="10747" width="1.5703125" style="232" customWidth="1"/>
    <col min="10748" max="10748" width="10.7109375" style="232" customWidth="1"/>
    <col min="10749" max="10749" width="1.5703125" style="232" customWidth="1"/>
    <col min="10750" max="10750" width="11.42578125" style="232" customWidth="1"/>
    <col min="10751" max="10751" width="11.7109375" style="232" customWidth="1"/>
    <col min="10752" max="10752" width="10.28515625" style="232" customWidth="1"/>
    <col min="10753" max="10753" width="10.7109375" style="232" customWidth="1"/>
    <col min="10754" max="10754" width="10.5703125" style="232" customWidth="1"/>
    <col min="10755" max="10755" width="8.7109375" style="232" customWidth="1"/>
    <col min="10756" max="10764" width="4.5703125" style="232" customWidth="1"/>
    <col min="10765" max="11000" width="11.42578125" style="232"/>
    <col min="11001" max="11001" width="24.28515625" style="232" customWidth="1"/>
    <col min="11002" max="11002" width="11.42578125" style="232" customWidth="1"/>
    <col min="11003" max="11003" width="1.5703125" style="232" customWidth="1"/>
    <col min="11004" max="11004" width="10.7109375" style="232" customWidth="1"/>
    <col min="11005" max="11005" width="1.5703125" style="232" customWidth="1"/>
    <col min="11006" max="11006" width="11.42578125" style="232" customWidth="1"/>
    <col min="11007" max="11007" width="11.7109375" style="232" customWidth="1"/>
    <col min="11008" max="11008" width="10.28515625" style="232" customWidth="1"/>
    <col min="11009" max="11009" width="10.7109375" style="232" customWidth="1"/>
    <col min="11010" max="11010" width="10.5703125" style="232" customWidth="1"/>
    <col min="11011" max="11011" width="8.7109375" style="232" customWidth="1"/>
    <col min="11012" max="11020" width="4.5703125" style="232" customWidth="1"/>
    <col min="11021" max="11256" width="11.42578125" style="232"/>
    <col min="11257" max="11257" width="24.28515625" style="232" customWidth="1"/>
    <col min="11258" max="11258" width="11.42578125" style="232" customWidth="1"/>
    <col min="11259" max="11259" width="1.5703125" style="232" customWidth="1"/>
    <col min="11260" max="11260" width="10.7109375" style="232" customWidth="1"/>
    <col min="11261" max="11261" width="1.5703125" style="232" customWidth="1"/>
    <col min="11262" max="11262" width="11.42578125" style="232" customWidth="1"/>
    <col min="11263" max="11263" width="11.7109375" style="232" customWidth="1"/>
    <col min="11264" max="11264" width="10.28515625" style="232" customWidth="1"/>
    <col min="11265" max="11265" width="10.7109375" style="232" customWidth="1"/>
    <col min="11266" max="11266" width="10.5703125" style="232" customWidth="1"/>
    <col min="11267" max="11267" width="8.7109375" style="232" customWidth="1"/>
    <col min="11268" max="11276" width="4.5703125" style="232" customWidth="1"/>
    <col min="11277" max="11512" width="11.42578125" style="232"/>
    <col min="11513" max="11513" width="24.28515625" style="232" customWidth="1"/>
    <col min="11514" max="11514" width="11.42578125" style="232" customWidth="1"/>
    <col min="11515" max="11515" width="1.5703125" style="232" customWidth="1"/>
    <col min="11516" max="11516" width="10.7109375" style="232" customWidth="1"/>
    <col min="11517" max="11517" width="1.5703125" style="232" customWidth="1"/>
    <col min="11518" max="11518" width="11.42578125" style="232" customWidth="1"/>
    <col min="11519" max="11519" width="11.7109375" style="232" customWidth="1"/>
    <col min="11520" max="11520" width="10.28515625" style="232" customWidth="1"/>
    <col min="11521" max="11521" width="10.7109375" style="232" customWidth="1"/>
    <col min="11522" max="11522" width="10.5703125" style="232" customWidth="1"/>
    <col min="11523" max="11523" width="8.7109375" style="232" customWidth="1"/>
    <col min="11524" max="11532" width="4.5703125" style="232" customWidth="1"/>
    <col min="11533" max="11768" width="11.42578125" style="232"/>
    <col min="11769" max="11769" width="24.28515625" style="232" customWidth="1"/>
    <col min="11770" max="11770" width="11.42578125" style="232" customWidth="1"/>
    <col min="11771" max="11771" width="1.5703125" style="232" customWidth="1"/>
    <col min="11772" max="11772" width="10.7109375" style="232" customWidth="1"/>
    <col min="11773" max="11773" width="1.5703125" style="232" customWidth="1"/>
    <col min="11774" max="11774" width="11.42578125" style="232" customWidth="1"/>
    <col min="11775" max="11775" width="11.7109375" style="232" customWidth="1"/>
    <col min="11776" max="11776" width="10.28515625" style="232" customWidth="1"/>
    <col min="11777" max="11777" width="10.7109375" style="232" customWidth="1"/>
    <col min="11778" max="11778" width="10.5703125" style="232" customWidth="1"/>
    <col min="11779" max="11779" width="8.7109375" style="232" customWidth="1"/>
    <col min="11780" max="11788" width="4.5703125" style="232" customWidth="1"/>
    <col min="11789" max="12024" width="11.42578125" style="232"/>
    <col min="12025" max="12025" width="24.28515625" style="232" customWidth="1"/>
    <col min="12026" max="12026" width="11.42578125" style="232" customWidth="1"/>
    <col min="12027" max="12027" width="1.5703125" style="232" customWidth="1"/>
    <col min="12028" max="12028" width="10.7109375" style="232" customWidth="1"/>
    <col min="12029" max="12029" width="1.5703125" style="232" customWidth="1"/>
    <col min="12030" max="12030" width="11.42578125" style="232" customWidth="1"/>
    <col min="12031" max="12031" width="11.7109375" style="232" customWidth="1"/>
    <col min="12032" max="12032" width="10.28515625" style="232" customWidth="1"/>
    <col min="12033" max="12033" width="10.7109375" style="232" customWidth="1"/>
    <col min="12034" max="12034" width="10.5703125" style="232" customWidth="1"/>
    <col min="12035" max="12035" width="8.7109375" style="232" customWidth="1"/>
    <col min="12036" max="12044" width="4.5703125" style="232" customWidth="1"/>
    <col min="12045" max="12280" width="11.42578125" style="232"/>
    <col min="12281" max="12281" width="24.28515625" style="232" customWidth="1"/>
    <col min="12282" max="12282" width="11.42578125" style="232" customWidth="1"/>
    <col min="12283" max="12283" width="1.5703125" style="232" customWidth="1"/>
    <col min="12284" max="12284" width="10.7109375" style="232" customWidth="1"/>
    <col min="12285" max="12285" width="1.5703125" style="232" customWidth="1"/>
    <col min="12286" max="12286" width="11.42578125" style="232" customWidth="1"/>
    <col min="12287" max="12287" width="11.7109375" style="232" customWidth="1"/>
    <col min="12288" max="12288" width="10.28515625" style="232" customWidth="1"/>
    <col min="12289" max="12289" width="10.7109375" style="232" customWidth="1"/>
    <col min="12290" max="12290" width="10.5703125" style="232" customWidth="1"/>
    <col min="12291" max="12291" width="8.7109375" style="232" customWidth="1"/>
    <col min="12292" max="12300" width="4.5703125" style="232" customWidth="1"/>
    <col min="12301" max="12536" width="11.42578125" style="232"/>
    <col min="12537" max="12537" width="24.28515625" style="232" customWidth="1"/>
    <col min="12538" max="12538" width="11.42578125" style="232" customWidth="1"/>
    <col min="12539" max="12539" width="1.5703125" style="232" customWidth="1"/>
    <col min="12540" max="12540" width="10.7109375" style="232" customWidth="1"/>
    <col min="12541" max="12541" width="1.5703125" style="232" customWidth="1"/>
    <col min="12542" max="12542" width="11.42578125" style="232" customWidth="1"/>
    <col min="12543" max="12543" width="11.7109375" style="232" customWidth="1"/>
    <col min="12544" max="12544" width="10.28515625" style="232" customWidth="1"/>
    <col min="12545" max="12545" width="10.7109375" style="232" customWidth="1"/>
    <col min="12546" max="12546" width="10.5703125" style="232" customWidth="1"/>
    <col min="12547" max="12547" width="8.7109375" style="232" customWidth="1"/>
    <col min="12548" max="12556" width="4.5703125" style="232" customWidth="1"/>
    <col min="12557" max="12792" width="11.42578125" style="232"/>
    <col min="12793" max="12793" width="24.28515625" style="232" customWidth="1"/>
    <col min="12794" max="12794" width="11.42578125" style="232" customWidth="1"/>
    <col min="12795" max="12795" width="1.5703125" style="232" customWidth="1"/>
    <col min="12796" max="12796" width="10.7109375" style="232" customWidth="1"/>
    <col min="12797" max="12797" width="1.5703125" style="232" customWidth="1"/>
    <col min="12798" max="12798" width="11.42578125" style="232" customWidth="1"/>
    <col min="12799" max="12799" width="11.7109375" style="232" customWidth="1"/>
    <col min="12800" max="12800" width="10.28515625" style="232" customWidth="1"/>
    <col min="12801" max="12801" width="10.7109375" style="232" customWidth="1"/>
    <col min="12802" max="12802" width="10.5703125" style="232" customWidth="1"/>
    <col min="12803" max="12803" width="8.7109375" style="232" customWidth="1"/>
    <col min="12804" max="12812" width="4.5703125" style="232" customWidth="1"/>
    <col min="12813" max="13048" width="11.42578125" style="232"/>
    <col min="13049" max="13049" width="24.28515625" style="232" customWidth="1"/>
    <col min="13050" max="13050" width="11.42578125" style="232" customWidth="1"/>
    <col min="13051" max="13051" width="1.5703125" style="232" customWidth="1"/>
    <col min="13052" max="13052" width="10.7109375" style="232" customWidth="1"/>
    <col min="13053" max="13053" width="1.5703125" style="232" customWidth="1"/>
    <col min="13054" max="13054" width="11.42578125" style="232" customWidth="1"/>
    <col min="13055" max="13055" width="11.7109375" style="232" customWidth="1"/>
    <col min="13056" max="13056" width="10.28515625" style="232" customWidth="1"/>
    <col min="13057" max="13057" width="10.7109375" style="232" customWidth="1"/>
    <col min="13058" max="13058" width="10.5703125" style="232" customWidth="1"/>
    <col min="13059" max="13059" width="8.7109375" style="232" customWidth="1"/>
    <col min="13060" max="13068" width="4.5703125" style="232" customWidth="1"/>
    <col min="13069" max="13304" width="11.42578125" style="232"/>
    <col min="13305" max="13305" width="24.28515625" style="232" customWidth="1"/>
    <col min="13306" max="13306" width="11.42578125" style="232" customWidth="1"/>
    <col min="13307" max="13307" width="1.5703125" style="232" customWidth="1"/>
    <col min="13308" max="13308" width="10.7109375" style="232" customWidth="1"/>
    <col min="13309" max="13309" width="1.5703125" style="232" customWidth="1"/>
    <col min="13310" max="13310" width="11.42578125" style="232" customWidth="1"/>
    <col min="13311" max="13311" width="11.7109375" style="232" customWidth="1"/>
    <col min="13312" max="13312" width="10.28515625" style="232" customWidth="1"/>
    <col min="13313" max="13313" width="10.7109375" style="232" customWidth="1"/>
    <col min="13314" max="13314" width="10.5703125" style="232" customWidth="1"/>
    <col min="13315" max="13315" width="8.7109375" style="232" customWidth="1"/>
    <col min="13316" max="13324" width="4.5703125" style="232" customWidth="1"/>
    <col min="13325" max="13560" width="11.42578125" style="232"/>
    <col min="13561" max="13561" width="24.28515625" style="232" customWidth="1"/>
    <col min="13562" max="13562" width="11.42578125" style="232" customWidth="1"/>
    <col min="13563" max="13563" width="1.5703125" style="232" customWidth="1"/>
    <col min="13564" max="13564" width="10.7109375" style="232" customWidth="1"/>
    <col min="13565" max="13565" width="1.5703125" style="232" customWidth="1"/>
    <col min="13566" max="13566" width="11.42578125" style="232" customWidth="1"/>
    <col min="13567" max="13567" width="11.7109375" style="232" customWidth="1"/>
    <col min="13568" max="13568" width="10.28515625" style="232" customWidth="1"/>
    <col min="13569" max="13569" width="10.7109375" style="232" customWidth="1"/>
    <col min="13570" max="13570" width="10.5703125" style="232" customWidth="1"/>
    <col min="13571" max="13571" width="8.7109375" style="232" customWidth="1"/>
    <col min="13572" max="13580" width="4.5703125" style="232" customWidth="1"/>
    <col min="13581" max="13816" width="11.42578125" style="232"/>
    <col min="13817" max="13817" width="24.28515625" style="232" customWidth="1"/>
    <col min="13818" max="13818" width="11.42578125" style="232" customWidth="1"/>
    <col min="13819" max="13819" width="1.5703125" style="232" customWidth="1"/>
    <col min="13820" max="13820" width="10.7109375" style="232" customWidth="1"/>
    <col min="13821" max="13821" width="1.5703125" style="232" customWidth="1"/>
    <col min="13822" max="13822" width="11.42578125" style="232" customWidth="1"/>
    <col min="13823" max="13823" width="11.7109375" style="232" customWidth="1"/>
    <col min="13824" max="13824" width="10.28515625" style="232" customWidth="1"/>
    <col min="13825" max="13825" width="10.7109375" style="232" customWidth="1"/>
    <col min="13826" max="13826" width="10.5703125" style="232" customWidth="1"/>
    <col min="13827" max="13827" width="8.7109375" style="232" customWidth="1"/>
    <col min="13828" max="13836" width="4.5703125" style="232" customWidth="1"/>
    <col min="13837" max="14072" width="11.42578125" style="232"/>
    <col min="14073" max="14073" width="24.28515625" style="232" customWidth="1"/>
    <col min="14074" max="14074" width="11.42578125" style="232" customWidth="1"/>
    <col min="14075" max="14075" width="1.5703125" style="232" customWidth="1"/>
    <col min="14076" max="14076" width="10.7109375" style="232" customWidth="1"/>
    <col min="14077" max="14077" width="1.5703125" style="232" customWidth="1"/>
    <col min="14078" max="14078" width="11.42578125" style="232" customWidth="1"/>
    <col min="14079" max="14079" width="11.7109375" style="232" customWidth="1"/>
    <col min="14080" max="14080" width="10.28515625" style="232" customWidth="1"/>
    <col min="14081" max="14081" width="10.7109375" style="232" customWidth="1"/>
    <col min="14082" max="14082" width="10.5703125" style="232" customWidth="1"/>
    <col min="14083" max="14083" width="8.7109375" style="232" customWidth="1"/>
    <col min="14084" max="14092" width="4.5703125" style="232" customWidth="1"/>
    <col min="14093" max="14328" width="11.42578125" style="232"/>
    <col min="14329" max="14329" width="24.28515625" style="232" customWidth="1"/>
    <col min="14330" max="14330" width="11.42578125" style="232" customWidth="1"/>
    <col min="14331" max="14331" width="1.5703125" style="232" customWidth="1"/>
    <col min="14332" max="14332" width="10.7109375" style="232" customWidth="1"/>
    <col min="14333" max="14333" width="1.5703125" style="232" customWidth="1"/>
    <col min="14334" max="14334" width="11.42578125" style="232" customWidth="1"/>
    <col min="14335" max="14335" width="11.7109375" style="232" customWidth="1"/>
    <col min="14336" max="14336" width="10.28515625" style="232" customWidth="1"/>
    <col min="14337" max="14337" width="10.7109375" style="232" customWidth="1"/>
    <col min="14338" max="14338" width="10.5703125" style="232" customWidth="1"/>
    <col min="14339" max="14339" width="8.7109375" style="232" customWidth="1"/>
    <col min="14340" max="14348" width="4.5703125" style="232" customWidth="1"/>
    <col min="14349" max="14584" width="11.42578125" style="232"/>
    <col min="14585" max="14585" width="24.28515625" style="232" customWidth="1"/>
    <col min="14586" max="14586" width="11.42578125" style="232" customWidth="1"/>
    <col min="14587" max="14587" width="1.5703125" style="232" customWidth="1"/>
    <col min="14588" max="14588" width="10.7109375" style="232" customWidth="1"/>
    <col min="14589" max="14589" width="1.5703125" style="232" customWidth="1"/>
    <col min="14590" max="14590" width="11.42578125" style="232" customWidth="1"/>
    <col min="14591" max="14591" width="11.7109375" style="232" customWidth="1"/>
    <col min="14592" max="14592" width="10.28515625" style="232" customWidth="1"/>
    <col min="14593" max="14593" width="10.7109375" style="232" customWidth="1"/>
    <col min="14594" max="14594" width="10.5703125" style="232" customWidth="1"/>
    <col min="14595" max="14595" width="8.7109375" style="232" customWidth="1"/>
    <col min="14596" max="14604" width="4.5703125" style="232" customWidth="1"/>
    <col min="14605" max="14840" width="11.42578125" style="232"/>
    <col min="14841" max="14841" width="24.28515625" style="232" customWidth="1"/>
    <col min="14842" max="14842" width="11.42578125" style="232" customWidth="1"/>
    <col min="14843" max="14843" width="1.5703125" style="232" customWidth="1"/>
    <col min="14844" max="14844" width="10.7109375" style="232" customWidth="1"/>
    <col min="14845" max="14845" width="1.5703125" style="232" customWidth="1"/>
    <col min="14846" max="14846" width="11.42578125" style="232" customWidth="1"/>
    <col min="14847" max="14847" width="11.7109375" style="232" customWidth="1"/>
    <col min="14848" max="14848" width="10.28515625" style="232" customWidth="1"/>
    <col min="14849" max="14849" width="10.7109375" style="232" customWidth="1"/>
    <col min="14850" max="14850" width="10.5703125" style="232" customWidth="1"/>
    <col min="14851" max="14851" width="8.7109375" style="232" customWidth="1"/>
    <col min="14852" max="14860" width="4.5703125" style="232" customWidth="1"/>
    <col min="14861" max="15096" width="11.42578125" style="232"/>
    <col min="15097" max="15097" width="24.28515625" style="232" customWidth="1"/>
    <col min="15098" max="15098" width="11.42578125" style="232" customWidth="1"/>
    <col min="15099" max="15099" width="1.5703125" style="232" customWidth="1"/>
    <col min="15100" max="15100" width="10.7109375" style="232" customWidth="1"/>
    <col min="15101" max="15101" width="1.5703125" style="232" customWidth="1"/>
    <col min="15102" max="15102" width="11.42578125" style="232" customWidth="1"/>
    <col min="15103" max="15103" width="11.7109375" style="232" customWidth="1"/>
    <col min="15104" max="15104" width="10.28515625" style="232" customWidth="1"/>
    <col min="15105" max="15105" width="10.7109375" style="232" customWidth="1"/>
    <col min="15106" max="15106" width="10.5703125" style="232" customWidth="1"/>
    <col min="15107" max="15107" width="8.7109375" style="232" customWidth="1"/>
    <col min="15108" max="15116" width="4.5703125" style="232" customWidth="1"/>
    <col min="15117" max="15352" width="11.42578125" style="232"/>
    <col min="15353" max="15353" width="24.28515625" style="232" customWidth="1"/>
    <col min="15354" max="15354" width="11.42578125" style="232" customWidth="1"/>
    <col min="15355" max="15355" width="1.5703125" style="232" customWidth="1"/>
    <col min="15356" max="15356" width="10.7109375" style="232" customWidth="1"/>
    <col min="15357" max="15357" width="1.5703125" style="232" customWidth="1"/>
    <col min="15358" max="15358" width="11.42578125" style="232" customWidth="1"/>
    <col min="15359" max="15359" width="11.7109375" style="232" customWidth="1"/>
    <col min="15360" max="15360" width="10.28515625" style="232" customWidth="1"/>
    <col min="15361" max="15361" width="10.7109375" style="232" customWidth="1"/>
    <col min="15362" max="15362" width="10.5703125" style="232" customWidth="1"/>
    <col min="15363" max="15363" width="8.7109375" style="232" customWidth="1"/>
    <col min="15364" max="15372" width="4.5703125" style="232" customWidth="1"/>
    <col min="15373" max="15608" width="11.42578125" style="232"/>
    <col min="15609" max="15609" width="24.28515625" style="232" customWidth="1"/>
    <col min="15610" max="15610" width="11.42578125" style="232" customWidth="1"/>
    <col min="15611" max="15611" width="1.5703125" style="232" customWidth="1"/>
    <col min="15612" max="15612" width="10.7109375" style="232" customWidth="1"/>
    <col min="15613" max="15613" width="1.5703125" style="232" customWidth="1"/>
    <col min="15614" max="15614" width="11.42578125" style="232" customWidth="1"/>
    <col min="15615" max="15615" width="11.7109375" style="232" customWidth="1"/>
    <col min="15616" max="15616" width="10.28515625" style="232" customWidth="1"/>
    <col min="15617" max="15617" width="10.7109375" style="232" customWidth="1"/>
    <col min="15618" max="15618" width="10.5703125" style="232" customWidth="1"/>
    <col min="15619" max="15619" width="8.7109375" style="232" customWidth="1"/>
    <col min="15620" max="15628" width="4.5703125" style="232" customWidth="1"/>
    <col min="15629" max="15864" width="11.42578125" style="232"/>
    <col min="15865" max="15865" width="24.28515625" style="232" customWidth="1"/>
    <col min="15866" max="15866" width="11.42578125" style="232" customWidth="1"/>
    <col min="15867" max="15867" width="1.5703125" style="232" customWidth="1"/>
    <col min="15868" max="15868" width="10.7109375" style="232" customWidth="1"/>
    <col min="15869" max="15869" width="1.5703125" style="232" customWidth="1"/>
    <col min="15870" max="15870" width="11.42578125" style="232" customWidth="1"/>
    <col min="15871" max="15871" width="11.7109375" style="232" customWidth="1"/>
    <col min="15872" max="15872" width="10.28515625" style="232" customWidth="1"/>
    <col min="15873" max="15873" width="10.7109375" style="232" customWidth="1"/>
    <col min="15874" max="15874" width="10.5703125" style="232" customWidth="1"/>
    <col min="15875" max="15875" width="8.7109375" style="232" customWidth="1"/>
    <col min="15876" max="15884" width="4.5703125" style="232" customWidth="1"/>
    <col min="15885" max="16120" width="11.42578125" style="232"/>
    <col min="16121" max="16121" width="24.28515625" style="232" customWidth="1"/>
    <col min="16122" max="16122" width="11.42578125" style="232" customWidth="1"/>
    <col min="16123" max="16123" width="1.5703125" style="232" customWidth="1"/>
    <col min="16124" max="16124" width="10.7109375" style="232" customWidth="1"/>
    <col min="16125" max="16125" width="1.5703125" style="232" customWidth="1"/>
    <col min="16126" max="16126" width="11.42578125" style="232" customWidth="1"/>
    <col min="16127" max="16127" width="11.7109375" style="232" customWidth="1"/>
    <col min="16128" max="16128" width="10.28515625" style="232" customWidth="1"/>
    <col min="16129" max="16129" width="10.7109375" style="232" customWidth="1"/>
    <col min="16130" max="16130" width="10.5703125" style="232" customWidth="1"/>
    <col min="16131" max="16131" width="8.7109375" style="232" customWidth="1"/>
    <col min="16132" max="16140" width="4.5703125" style="232" customWidth="1"/>
    <col min="16141" max="16384" width="11.42578125" style="232"/>
  </cols>
  <sheetData>
    <row r="1" spans="1:12" s="187" customFormat="1" ht="15">
      <c r="A1" s="185" t="s">
        <v>132</v>
      </c>
      <c r="B1" s="186"/>
      <c r="C1" s="186"/>
      <c r="E1" s="188"/>
      <c r="F1" s="186"/>
      <c r="G1" s="186"/>
      <c r="K1" s="348">
        <f>0.021-0.0175</f>
        <v>3.4999999999999996E-3</v>
      </c>
      <c r="L1" s="349" t="s">
        <v>555</v>
      </c>
    </row>
    <row r="2" spans="1:12" s="187" customFormat="1" ht="15">
      <c r="A2" s="189" t="s">
        <v>554</v>
      </c>
      <c r="B2" s="186"/>
      <c r="C2" s="186"/>
      <c r="E2" s="186"/>
      <c r="F2" s="186"/>
      <c r="G2" s="190"/>
      <c r="K2" s="348">
        <f>1-K1</f>
        <v>0.99650000000000005</v>
      </c>
      <c r="L2" s="349" t="s">
        <v>556</v>
      </c>
    </row>
    <row r="3" spans="1:12" s="187" customFormat="1" ht="15">
      <c r="B3" s="191"/>
      <c r="C3" s="191"/>
      <c r="E3" s="192"/>
      <c r="F3" s="191"/>
      <c r="G3" s="190"/>
      <c r="K3" s="350">
        <f>+K1/K2</f>
        <v>3.5122930255895631E-3</v>
      </c>
      <c r="L3" s="349" t="s">
        <v>557</v>
      </c>
    </row>
    <row r="4" spans="1:12" s="187" customFormat="1" ht="15">
      <c r="A4" s="193"/>
      <c r="B4" s="194"/>
      <c r="C4" s="194"/>
      <c r="E4" s="195"/>
      <c r="F4" s="194"/>
      <c r="G4" s="194"/>
      <c r="K4" s="350">
        <f ca="1">+K3/'LG BRG - MSW'!M16</f>
        <v>3.8723152550250921E-3</v>
      </c>
      <c r="L4" s="349" t="s">
        <v>558</v>
      </c>
    </row>
    <row r="5" spans="1:12" s="187" customFormat="1" ht="15">
      <c r="A5" s="193"/>
      <c r="B5" s="194"/>
      <c r="C5" s="194"/>
      <c r="E5" s="194"/>
      <c r="F5" s="194"/>
      <c r="G5" s="194"/>
      <c r="J5" s="196"/>
      <c r="K5" s="350">
        <f ca="1">+K3/'LG BRG - Recycle'!M16</f>
        <v>3.9117306075242102E-3</v>
      </c>
      <c r="L5" s="349" t="s">
        <v>559</v>
      </c>
    </row>
    <row r="6" spans="1:12" s="187" customFormat="1" ht="12.75">
      <c r="A6" s="197"/>
      <c r="B6" s="198">
        <v>45658</v>
      </c>
      <c r="C6" s="198"/>
      <c r="D6" s="199"/>
      <c r="E6" s="198"/>
      <c r="F6" s="198"/>
      <c r="G6" s="198"/>
    </row>
    <row r="7" spans="1:12" s="187" customFormat="1" ht="12.75">
      <c r="A7" s="197"/>
      <c r="B7" s="198" t="s">
        <v>134</v>
      </c>
      <c r="C7" s="198"/>
      <c r="D7" s="199"/>
      <c r="E7" s="198" t="s">
        <v>135</v>
      </c>
      <c r="F7" s="198"/>
      <c r="G7" s="198" t="s">
        <v>135</v>
      </c>
    </row>
    <row r="8" spans="1:12" s="187" customFormat="1" ht="12.75">
      <c r="A8" s="200"/>
      <c r="B8" s="201" t="s">
        <v>136</v>
      </c>
      <c r="C8" s="201"/>
      <c r="D8" s="199"/>
      <c r="E8" s="201" t="s">
        <v>107</v>
      </c>
      <c r="F8" s="198"/>
      <c r="G8" s="198">
        <v>45931</v>
      </c>
    </row>
    <row r="9" spans="1:12" s="187" customFormat="1" ht="12.75">
      <c r="A9" s="202"/>
      <c r="B9" s="201" t="s">
        <v>137</v>
      </c>
      <c r="C9" s="201"/>
      <c r="D9" s="199"/>
      <c r="E9" s="201" t="s">
        <v>138</v>
      </c>
      <c r="F9" s="201"/>
      <c r="G9" s="201" t="s">
        <v>137</v>
      </c>
    </row>
    <row r="10" spans="1:12" s="187" customFormat="1" ht="12.75">
      <c r="A10" s="203" t="s">
        <v>139</v>
      </c>
      <c r="B10" s="204"/>
      <c r="C10" s="204"/>
      <c r="D10" s="205"/>
      <c r="E10" s="204"/>
      <c r="F10" s="204"/>
      <c r="G10" s="204"/>
    </row>
    <row r="11" spans="1:12" s="187" customFormat="1" ht="15">
      <c r="A11" s="206" t="s">
        <v>140</v>
      </c>
      <c r="B11" s="207">
        <v>23.02</v>
      </c>
      <c r="C11" s="208"/>
      <c r="D11" s="209"/>
      <c r="E11" s="208">
        <f ca="1">+ROUND(B11*$K$4,2)</f>
        <v>0.09</v>
      </c>
      <c r="F11" s="208"/>
      <c r="G11" s="208">
        <f ca="1">ROUND(B11+E11,2)</f>
        <v>23.11</v>
      </c>
    </row>
    <row r="12" spans="1:12" s="187" customFormat="1" ht="12.75">
      <c r="A12" s="210"/>
      <c r="B12" s="211"/>
      <c r="C12" s="211"/>
      <c r="D12" s="209"/>
      <c r="E12" s="211"/>
      <c r="F12" s="211"/>
      <c r="G12" s="211"/>
    </row>
    <row r="13" spans="1:12" s="187" customFormat="1" ht="12.75">
      <c r="A13" s="203" t="s">
        <v>141</v>
      </c>
      <c r="B13" s="212"/>
      <c r="C13" s="212"/>
      <c r="D13" s="205"/>
      <c r="E13" s="212"/>
      <c r="F13" s="212"/>
      <c r="G13" s="212"/>
    </row>
    <row r="14" spans="1:12" s="187" customFormat="1" ht="12.75">
      <c r="A14" s="206" t="s">
        <v>142</v>
      </c>
      <c r="B14" s="213">
        <v>5.67</v>
      </c>
      <c r="C14" s="208"/>
      <c r="D14" s="209"/>
      <c r="E14" s="208">
        <f t="shared" ref="E14" ca="1" si="0">+ROUND(B14*$K$4,2)</f>
        <v>0.02</v>
      </c>
      <c r="F14" s="208"/>
      <c r="G14" s="208">
        <f t="shared" ref="G14:G15" ca="1" si="1">ROUND(B14+E14,2)</f>
        <v>5.69</v>
      </c>
    </row>
    <row r="15" spans="1:12" s="187" customFormat="1" ht="12.75">
      <c r="A15" s="206" t="s">
        <v>143</v>
      </c>
      <c r="B15" s="213">
        <v>7.75</v>
      </c>
      <c r="C15" s="208"/>
      <c r="D15" s="209"/>
      <c r="E15" s="208">
        <f ca="1">+ROUND(B15*$K$5,2)</f>
        <v>0.03</v>
      </c>
      <c r="F15" s="208"/>
      <c r="G15" s="208">
        <f t="shared" ca="1" si="1"/>
        <v>7.78</v>
      </c>
    </row>
    <row r="16" spans="1:12" s="187" customFormat="1" ht="12.75">
      <c r="A16" s="210"/>
      <c r="B16" s="211"/>
      <c r="C16" s="211"/>
      <c r="D16" s="209"/>
      <c r="E16" s="211"/>
      <c r="F16" s="211"/>
      <c r="G16" s="211"/>
    </row>
    <row r="17" spans="1:7" s="187" customFormat="1" ht="12.75">
      <c r="A17" s="203" t="s">
        <v>144</v>
      </c>
      <c r="B17" s="212"/>
      <c r="C17" s="212"/>
      <c r="D17" s="205"/>
      <c r="E17" s="212"/>
      <c r="F17" s="212"/>
      <c r="G17" s="212"/>
    </row>
    <row r="18" spans="1:7" s="187" customFormat="1" ht="12.75">
      <c r="A18" s="206" t="s">
        <v>145</v>
      </c>
      <c r="B18" s="208"/>
      <c r="C18" s="208"/>
      <c r="D18" s="209"/>
      <c r="E18" s="208"/>
      <c r="F18" s="208"/>
      <c r="G18" s="208"/>
    </row>
    <row r="19" spans="1:7" s="187" customFormat="1" ht="12.75">
      <c r="A19" s="206" t="s">
        <v>146</v>
      </c>
      <c r="B19" s="213">
        <v>28.85</v>
      </c>
      <c r="C19" s="208"/>
      <c r="D19" s="209"/>
      <c r="E19" s="208">
        <f t="shared" ref="E19:E20" ca="1" si="2">+ROUND(B19*$K$4,2)</f>
        <v>0.11</v>
      </c>
      <c r="F19" s="208"/>
      <c r="G19" s="208">
        <f t="shared" ref="G19:G20" ca="1" si="3">ROUND(B19+E19,2)</f>
        <v>28.96</v>
      </c>
    </row>
    <row r="20" spans="1:7" s="187" customFormat="1" ht="12.75">
      <c r="A20" s="206" t="s">
        <v>147</v>
      </c>
      <c r="B20" s="213">
        <v>123.16</v>
      </c>
      <c r="C20" s="208"/>
      <c r="D20" s="209"/>
      <c r="E20" s="208">
        <f t="shared" ca="1" si="2"/>
        <v>0.48</v>
      </c>
      <c r="F20" s="208"/>
      <c r="G20" s="208">
        <f t="shared" ca="1" si="3"/>
        <v>123.64</v>
      </c>
    </row>
    <row r="21" spans="1:7" s="187" customFormat="1" ht="12.75">
      <c r="A21" s="206"/>
      <c r="B21" s="208"/>
      <c r="C21" s="208"/>
      <c r="D21" s="209"/>
      <c r="E21" s="208"/>
      <c r="F21" s="208"/>
      <c r="G21" s="208"/>
    </row>
    <row r="22" spans="1:7" s="187" customFormat="1" ht="12.75">
      <c r="A22" s="206" t="s">
        <v>148</v>
      </c>
      <c r="B22" s="213">
        <v>18.100000000000001</v>
      </c>
      <c r="C22" s="208"/>
      <c r="D22" s="209"/>
      <c r="E22" s="208">
        <f t="shared" ref="E22" ca="1" si="4">+ROUND(B22*$K$4,2)</f>
        <v>7.0000000000000007E-2</v>
      </c>
      <c r="F22" s="208"/>
      <c r="G22" s="208">
        <f t="shared" ref="G22:G23" ca="1" si="5">ROUND(B22+E22,2)</f>
        <v>18.170000000000002</v>
      </c>
    </row>
    <row r="23" spans="1:7" s="187" customFormat="1" ht="12.75">
      <c r="A23" s="206" t="s">
        <v>149</v>
      </c>
      <c r="B23" s="213">
        <v>24.76</v>
      </c>
      <c r="C23" s="208"/>
      <c r="D23" s="209"/>
      <c r="E23" s="208">
        <f ca="1">+ROUND(B23*$K$5,2)</f>
        <v>0.1</v>
      </c>
      <c r="F23" s="208"/>
      <c r="G23" s="208">
        <f t="shared" ca="1" si="5"/>
        <v>24.86</v>
      </c>
    </row>
    <row r="24" spans="1:7" s="187" customFormat="1" ht="12.75">
      <c r="A24" s="210"/>
      <c r="B24" s="211"/>
      <c r="C24" s="211"/>
      <c r="D24" s="209"/>
      <c r="E24" s="211"/>
      <c r="F24" s="211"/>
      <c r="G24" s="211"/>
    </row>
    <row r="25" spans="1:7" s="187" customFormat="1" ht="12.75">
      <c r="A25" s="214" t="s">
        <v>150</v>
      </c>
      <c r="B25" s="215"/>
      <c r="C25" s="215"/>
      <c r="D25" s="216"/>
      <c r="E25" s="215"/>
      <c r="F25" s="215"/>
      <c r="G25" s="215"/>
    </row>
    <row r="26" spans="1:7" s="187" customFormat="1" ht="12.75">
      <c r="A26" s="187" t="s">
        <v>151</v>
      </c>
      <c r="B26" s="208">
        <v>5.25</v>
      </c>
      <c r="C26" s="208"/>
      <c r="D26" s="217"/>
      <c r="E26" s="208">
        <f t="shared" ref="E26" ca="1" si="6">+ROUND(B26*$K$4,2)</f>
        <v>0.02</v>
      </c>
      <c r="F26" s="208"/>
      <c r="G26" s="208">
        <f t="shared" ref="G26" ca="1" si="7">ROUND(B26+E26,2)</f>
        <v>5.27</v>
      </c>
    </row>
    <row r="27" spans="1:7" s="187" customFormat="1" ht="12.75">
      <c r="B27" s="208"/>
      <c r="C27" s="208"/>
      <c r="D27" s="217"/>
      <c r="E27" s="208"/>
      <c r="F27" s="208"/>
      <c r="G27" s="208"/>
    </row>
    <row r="28" spans="1:7" s="187" customFormat="1" ht="12.75">
      <c r="A28" s="214" t="s">
        <v>152</v>
      </c>
      <c r="B28" s="218"/>
      <c r="C28" s="218"/>
      <c r="D28" s="219"/>
      <c r="E28" s="218"/>
      <c r="F28" s="218"/>
      <c r="G28" s="218"/>
    </row>
    <row r="29" spans="1:7" s="187" customFormat="1" ht="12.75">
      <c r="A29" s="187" t="s">
        <v>153</v>
      </c>
      <c r="B29" s="220">
        <v>76.92</v>
      </c>
      <c r="C29" s="208"/>
      <c r="D29" s="217"/>
      <c r="E29" s="208">
        <f t="shared" ref="E29:E30" ca="1" si="8">+ROUND(B29*$K$4,2)</f>
        <v>0.3</v>
      </c>
      <c r="F29" s="208"/>
      <c r="G29" s="208">
        <f t="shared" ref="G29:G30" ca="1" si="9">ROUND(B29+E29,2)</f>
        <v>77.22</v>
      </c>
    </row>
    <row r="30" spans="1:7" s="187" customFormat="1" ht="12.75">
      <c r="A30" s="187" t="s">
        <v>154</v>
      </c>
      <c r="B30" s="220">
        <v>76.92</v>
      </c>
      <c r="C30" s="208"/>
      <c r="D30" s="217"/>
      <c r="E30" s="208">
        <f t="shared" ca="1" si="8"/>
        <v>0.3</v>
      </c>
      <c r="F30" s="208"/>
      <c r="G30" s="208">
        <f t="shared" ca="1" si="9"/>
        <v>77.22</v>
      </c>
    </row>
    <row r="31" spans="1:7" s="187" customFormat="1" ht="12.75">
      <c r="B31" s="208"/>
      <c r="C31" s="208"/>
      <c r="D31" s="217"/>
      <c r="E31" s="208"/>
      <c r="F31" s="208"/>
      <c r="G31" s="208"/>
    </row>
    <row r="32" spans="1:7" s="187" customFormat="1" ht="12.75">
      <c r="A32" s="203" t="s">
        <v>155</v>
      </c>
      <c r="B32" s="212"/>
      <c r="C32" s="212"/>
      <c r="D32" s="221"/>
      <c r="E32" s="212"/>
      <c r="F32" s="212"/>
      <c r="G32" s="212"/>
    </row>
    <row r="33" spans="1:10" s="209" customFormat="1" ht="12.75">
      <c r="A33" s="209" t="s">
        <v>156</v>
      </c>
      <c r="B33" s="222"/>
      <c r="C33" s="222"/>
      <c r="D33" s="223"/>
      <c r="E33" s="222"/>
      <c r="F33" s="222"/>
      <c r="G33" s="222"/>
      <c r="H33" s="187"/>
      <c r="I33" s="187"/>
    </row>
    <row r="34" spans="1:10" s="187" customFormat="1" ht="12.75">
      <c r="A34" s="187" t="s">
        <v>157</v>
      </c>
      <c r="B34" s="220">
        <v>9.35</v>
      </c>
      <c r="C34" s="208"/>
      <c r="D34" s="217"/>
      <c r="E34" s="208">
        <f t="shared" ref="E34:E40" ca="1" si="10">+ROUND(B34*$K$4,2)</f>
        <v>0.04</v>
      </c>
      <c r="F34" s="208"/>
      <c r="G34" s="208">
        <f t="shared" ref="G34:G41" ca="1" si="11">ROUND(B34+E34,2)</f>
        <v>9.39</v>
      </c>
    </row>
    <row r="35" spans="1:10" s="187" customFormat="1" ht="12.75">
      <c r="A35" s="187" t="s">
        <v>158</v>
      </c>
      <c r="B35" s="220">
        <v>18.579999999999998</v>
      </c>
      <c r="C35" s="208"/>
      <c r="D35" s="217"/>
      <c r="E35" s="208">
        <f t="shared" ca="1" si="10"/>
        <v>7.0000000000000007E-2</v>
      </c>
      <c r="F35" s="208"/>
      <c r="G35" s="208">
        <f t="shared" ca="1" si="11"/>
        <v>18.649999999999999</v>
      </c>
    </row>
    <row r="36" spans="1:10" s="187" customFormat="1" ht="12.75">
      <c r="A36" s="187" t="s">
        <v>159</v>
      </c>
      <c r="B36" s="220">
        <v>18.579999999999998</v>
      </c>
      <c r="C36" s="208"/>
      <c r="D36" s="217"/>
      <c r="E36" s="208">
        <f t="shared" ca="1" si="10"/>
        <v>7.0000000000000007E-2</v>
      </c>
      <c r="F36" s="208"/>
      <c r="G36" s="208">
        <f t="shared" ca="1" si="11"/>
        <v>18.649999999999999</v>
      </c>
    </row>
    <row r="37" spans="1:10" s="187" customFormat="1" ht="12.75">
      <c r="A37" s="187" t="s">
        <v>160</v>
      </c>
      <c r="B37" s="220">
        <v>18.579999999999998</v>
      </c>
      <c r="C37" s="208"/>
      <c r="D37" s="217"/>
      <c r="E37" s="208">
        <f t="shared" ca="1" si="10"/>
        <v>7.0000000000000007E-2</v>
      </c>
      <c r="F37" s="208"/>
      <c r="G37" s="208">
        <f t="shared" ca="1" si="11"/>
        <v>18.649999999999999</v>
      </c>
    </row>
    <row r="38" spans="1:10" s="187" customFormat="1" ht="12.75">
      <c r="A38" s="187" t="s">
        <v>161</v>
      </c>
      <c r="B38" s="220">
        <v>27.01</v>
      </c>
      <c r="C38" s="208"/>
      <c r="D38" s="217"/>
      <c r="E38" s="208">
        <f t="shared" ca="1" si="10"/>
        <v>0.1</v>
      </c>
      <c r="F38" s="208"/>
      <c r="G38" s="208">
        <f t="shared" ca="1" si="11"/>
        <v>27.11</v>
      </c>
    </row>
    <row r="39" spans="1:10" s="187" customFormat="1" ht="12.75">
      <c r="A39" s="187" t="s">
        <v>162</v>
      </c>
      <c r="B39" s="220">
        <v>18.579999999999998</v>
      </c>
      <c r="C39" s="208"/>
      <c r="D39" s="217"/>
      <c r="E39" s="208">
        <f t="shared" ca="1" si="10"/>
        <v>7.0000000000000007E-2</v>
      </c>
      <c r="F39" s="208"/>
      <c r="G39" s="208">
        <f t="shared" ca="1" si="11"/>
        <v>18.649999999999999</v>
      </c>
    </row>
    <row r="40" spans="1:10" s="187" customFormat="1" ht="12.75">
      <c r="A40" s="187" t="s">
        <v>163</v>
      </c>
      <c r="B40" s="220">
        <v>9.89</v>
      </c>
      <c r="C40" s="208"/>
      <c r="D40" s="217"/>
      <c r="E40" s="208">
        <f t="shared" ca="1" si="10"/>
        <v>0.04</v>
      </c>
      <c r="F40" s="208"/>
      <c r="G40" s="208">
        <f t="shared" ca="1" si="11"/>
        <v>9.93</v>
      </c>
    </row>
    <row r="41" spans="1:10" s="187" customFormat="1" ht="12.75">
      <c r="A41" s="187" t="s">
        <v>164</v>
      </c>
      <c r="B41" s="220">
        <v>12.46</v>
      </c>
      <c r="C41" s="208"/>
      <c r="D41" s="217"/>
      <c r="E41" s="208">
        <f ca="1">+ROUND(B41*$K$5,2)</f>
        <v>0.05</v>
      </c>
      <c r="F41" s="208"/>
      <c r="G41" s="208">
        <f t="shared" ca="1" si="11"/>
        <v>12.51</v>
      </c>
    </row>
    <row r="42" spans="1:10" s="187" customFormat="1" ht="12.75">
      <c r="B42" s="208"/>
      <c r="C42" s="208"/>
      <c r="D42" s="217"/>
      <c r="E42" s="208"/>
      <c r="F42" s="208"/>
      <c r="G42" s="208"/>
    </row>
    <row r="43" spans="1:10" s="187" customFormat="1" ht="12.75">
      <c r="A43" s="203" t="s">
        <v>165</v>
      </c>
      <c r="B43" s="212"/>
      <c r="C43" s="212"/>
      <c r="D43" s="221"/>
      <c r="E43" s="212"/>
      <c r="F43" s="212"/>
      <c r="G43" s="212"/>
    </row>
    <row r="44" spans="1:10" s="209" customFormat="1" ht="12.75">
      <c r="A44" s="209" t="s">
        <v>166</v>
      </c>
      <c r="B44" s="222"/>
      <c r="C44" s="222"/>
      <c r="D44" s="223"/>
      <c r="E44" s="222"/>
      <c r="F44" s="222"/>
      <c r="G44" s="222"/>
      <c r="H44" s="187"/>
      <c r="I44" s="187"/>
    </row>
    <row r="45" spans="1:10" s="187" customFormat="1" ht="12.75">
      <c r="A45" s="187" t="s">
        <v>167</v>
      </c>
      <c r="B45" s="208"/>
      <c r="C45" s="208"/>
      <c r="D45" s="217"/>
      <c r="E45" s="208"/>
      <c r="F45" s="208"/>
      <c r="G45" s="208"/>
    </row>
    <row r="46" spans="1:10" s="187" customFormat="1" ht="12.75">
      <c r="A46" s="187" t="s">
        <v>168</v>
      </c>
      <c r="B46" s="220">
        <v>0.63</v>
      </c>
      <c r="C46" s="208"/>
      <c r="D46" s="217"/>
      <c r="E46" s="208">
        <f t="shared" ref="E46:E47" ca="1" si="12">+ROUND(B46*$K$4,2)</f>
        <v>0</v>
      </c>
      <c r="F46" s="208"/>
      <c r="G46" s="208">
        <f t="shared" ref="G46:G47" ca="1" si="13">ROUND(B46+E46,2)</f>
        <v>0.63</v>
      </c>
      <c r="H46" s="196"/>
      <c r="J46" s="224"/>
    </row>
    <row r="47" spans="1:10" s="187" customFormat="1" ht="12.75">
      <c r="A47" s="187" t="s">
        <v>169</v>
      </c>
      <c r="B47" s="220">
        <v>0.37</v>
      </c>
      <c r="C47" s="208"/>
      <c r="D47" s="217"/>
      <c r="E47" s="208">
        <f t="shared" ca="1" si="12"/>
        <v>0</v>
      </c>
      <c r="F47" s="208"/>
      <c r="G47" s="208">
        <f t="shared" ca="1" si="13"/>
        <v>0.37</v>
      </c>
      <c r="H47" s="196"/>
    </row>
    <row r="48" spans="1:10" s="187" customFormat="1" ht="12.75">
      <c r="B48" s="208"/>
      <c r="C48" s="208"/>
      <c r="D48" s="217"/>
      <c r="E48" s="208"/>
      <c r="F48" s="208"/>
      <c r="G48" s="208"/>
    </row>
    <row r="49" spans="1:9" s="209" customFormat="1" ht="12.75">
      <c r="A49" s="209" t="s">
        <v>170</v>
      </c>
      <c r="B49" s="222"/>
      <c r="C49" s="222"/>
      <c r="D49" s="223"/>
      <c r="E49" s="222"/>
      <c r="F49" s="222"/>
      <c r="G49" s="222"/>
      <c r="H49" s="187"/>
      <c r="I49" s="187"/>
    </row>
    <row r="50" spans="1:9" s="187" customFormat="1" ht="12.75">
      <c r="A50" s="187" t="s">
        <v>168</v>
      </c>
      <c r="B50" s="220">
        <v>0.63</v>
      </c>
      <c r="C50" s="208"/>
      <c r="D50" s="217"/>
      <c r="E50" s="208">
        <f t="shared" ref="E50:E51" ca="1" si="14">+ROUND(B50*$K$4,2)</f>
        <v>0</v>
      </c>
      <c r="F50" s="208"/>
      <c r="G50" s="208">
        <f t="shared" ref="G50:G51" ca="1" si="15">ROUND(B50+E50,2)</f>
        <v>0.63</v>
      </c>
      <c r="H50" s="196"/>
    </row>
    <row r="51" spans="1:9" s="187" customFormat="1" ht="12.75">
      <c r="A51" s="187" t="s">
        <v>169</v>
      </c>
      <c r="B51" s="220">
        <v>0.37</v>
      </c>
      <c r="C51" s="208"/>
      <c r="D51" s="217"/>
      <c r="E51" s="208">
        <f t="shared" ca="1" si="14"/>
        <v>0</v>
      </c>
      <c r="F51" s="208"/>
      <c r="G51" s="208">
        <f t="shared" ca="1" si="15"/>
        <v>0.37</v>
      </c>
      <c r="H51" s="196"/>
    </row>
    <row r="52" spans="1:9" s="187" customFormat="1" ht="12.75">
      <c r="B52" s="208"/>
      <c r="C52" s="208"/>
      <c r="D52" s="217"/>
      <c r="E52" s="208"/>
      <c r="F52" s="208"/>
      <c r="G52" s="208"/>
    </row>
    <row r="53" spans="1:9" s="209" customFormat="1" ht="12.75">
      <c r="A53" s="209" t="s">
        <v>171</v>
      </c>
      <c r="B53" s="222"/>
      <c r="C53" s="222"/>
      <c r="D53" s="223"/>
      <c r="E53" s="222"/>
      <c r="F53" s="222"/>
      <c r="G53" s="222"/>
      <c r="H53" s="187"/>
      <c r="I53" s="187"/>
    </row>
    <row r="54" spans="1:9" s="187" customFormat="1" ht="12.75">
      <c r="A54" s="187" t="s">
        <v>172</v>
      </c>
      <c r="B54" s="220">
        <v>1.19</v>
      </c>
      <c r="C54" s="208"/>
      <c r="D54" s="217"/>
      <c r="E54" s="208">
        <f t="shared" ref="E54:E56" ca="1" si="16">+ROUND(B54*$K$4,2)</f>
        <v>0</v>
      </c>
      <c r="F54" s="208"/>
      <c r="G54" s="208">
        <f t="shared" ref="G54:G56" ca="1" si="17">ROUND(B54+E54,2)</f>
        <v>1.19</v>
      </c>
      <c r="H54" s="196"/>
    </row>
    <row r="55" spans="1:9" s="187" customFormat="1" ht="12.75">
      <c r="A55" s="187" t="s">
        <v>173</v>
      </c>
      <c r="B55" s="220">
        <v>1.49</v>
      </c>
      <c r="C55" s="208"/>
      <c r="D55" s="217"/>
      <c r="E55" s="208">
        <f t="shared" ca="1" si="16"/>
        <v>0.01</v>
      </c>
      <c r="F55" s="208"/>
      <c r="G55" s="208">
        <f t="shared" ca="1" si="17"/>
        <v>1.5</v>
      </c>
      <c r="H55" s="196"/>
    </row>
    <row r="56" spans="1:9" s="187" customFormat="1" ht="12.75">
      <c r="A56" s="187" t="s">
        <v>174</v>
      </c>
      <c r="B56" s="220">
        <v>0.81</v>
      </c>
      <c r="C56" s="208"/>
      <c r="D56" s="217"/>
      <c r="E56" s="208">
        <f t="shared" ca="1" si="16"/>
        <v>0</v>
      </c>
      <c r="F56" s="208"/>
      <c r="G56" s="208">
        <f t="shared" ca="1" si="17"/>
        <v>0.81</v>
      </c>
      <c r="H56" s="196"/>
    </row>
    <row r="57" spans="1:9" s="187" customFormat="1" ht="12.75">
      <c r="B57" s="208"/>
      <c r="C57" s="208"/>
      <c r="D57" s="217"/>
      <c r="E57" s="208"/>
      <c r="F57" s="208"/>
      <c r="G57" s="208"/>
    </row>
    <row r="58" spans="1:9" s="209" customFormat="1" ht="12.75">
      <c r="A58" s="209" t="s">
        <v>170</v>
      </c>
      <c r="B58" s="222"/>
      <c r="C58" s="222"/>
      <c r="D58" s="223"/>
      <c r="E58" s="222"/>
      <c r="F58" s="222"/>
      <c r="G58" s="222"/>
      <c r="H58" s="187"/>
      <c r="I58" s="187"/>
    </row>
    <row r="59" spans="1:9" s="187" customFormat="1" ht="12.75">
      <c r="A59" s="187" t="s">
        <v>172</v>
      </c>
      <c r="B59" s="220">
        <v>1.19</v>
      </c>
      <c r="C59" s="208"/>
      <c r="D59" s="217"/>
      <c r="E59" s="208">
        <f t="shared" ref="E59:E61" ca="1" si="18">+ROUND(B59*$K$4,2)</f>
        <v>0</v>
      </c>
      <c r="F59" s="208"/>
      <c r="G59" s="208">
        <f t="shared" ref="G59:G61" ca="1" si="19">ROUND(B59+E59,2)</f>
        <v>1.19</v>
      </c>
      <c r="H59" s="196"/>
    </row>
    <row r="60" spans="1:9" s="187" customFormat="1" ht="12.75">
      <c r="A60" s="187" t="s">
        <v>173</v>
      </c>
      <c r="B60" s="220">
        <v>1.49</v>
      </c>
      <c r="C60" s="208"/>
      <c r="D60" s="217"/>
      <c r="E60" s="208">
        <f t="shared" ca="1" si="18"/>
        <v>0.01</v>
      </c>
      <c r="F60" s="208"/>
      <c r="G60" s="208">
        <f t="shared" ca="1" si="19"/>
        <v>1.5</v>
      </c>
      <c r="H60" s="196"/>
    </row>
    <row r="61" spans="1:9" s="187" customFormat="1" ht="12.75">
      <c r="A61" s="187" t="s">
        <v>174</v>
      </c>
      <c r="B61" s="220">
        <v>0.81</v>
      </c>
      <c r="C61" s="208"/>
      <c r="D61" s="217"/>
      <c r="E61" s="208">
        <f t="shared" ca="1" si="18"/>
        <v>0</v>
      </c>
      <c r="F61" s="208"/>
      <c r="G61" s="208">
        <f t="shared" ca="1" si="19"/>
        <v>0.81</v>
      </c>
      <c r="H61" s="196"/>
    </row>
    <row r="62" spans="1:9" s="187" customFormat="1" ht="12.75">
      <c r="B62" s="208"/>
      <c r="C62" s="208"/>
      <c r="D62" s="217"/>
      <c r="E62" s="208"/>
      <c r="F62" s="208"/>
      <c r="G62" s="208"/>
    </row>
    <row r="63" spans="1:9" s="187" customFormat="1" ht="12.75">
      <c r="A63" s="209" t="s">
        <v>175</v>
      </c>
      <c r="B63" s="208"/>
      <c r="C63" s="208"/>
      <c r="D63" s="217"/>
      <c r="E63" s="208"/>
      <c r="F63" s="208"/>
      <c r="G63" s="208"/>
    </row>
    <row r="64" spans="1:9" s="187" customFormat="1" ht="12.75">
      <c r="A64" s="187" t="s">
        <v>172</v>
      </c>
      <c r="B64" s="220">
        <v>1.62</v>
      </c>
      <c r="C64" s="208"/>
      <c r="D64" s="217"/>
      <c r="E64" s="208">
        <f t="shared" ref="E64:E66" ca="1" si="20">+ROUND(B64*$K$4,2)</f>
        <v>0.01</v>
      </c>
      <c r="F64" s="208"/>
      <c r="G64" s="208">
        <f t="shared" ref="G64:G66" ca="1" si="21">ROUND(B64+E64,2)</f>
        <v>1.63</v>
      </c>
      <c r="H64" s="196"/>
    </row>
    <row r="65" spans="1:12" s="187" customFormat="1" ht="12.75">
      <c r="A65" s="187" t="s">
        <v>173</v>
      </c>
      <c r="B65" s="220">
        <v>2.04</v>
      </c>
      <c r="C65" s="208"/>
      <c r="D65" s="217"/>
      <c r="E65" s="208">
        <f t="shared" ca="1" si="20"/>
        <v>0.01</v>
      </c>
      <c r="F65" s="208"/>
      <c r="G65" s="208">
        <f t="shared" ca="1" si="21"/>
        <v>2.0499999999999998</v>
      </c>
      <c r="H65" s="196"/>
    </row>
    <row r="66" spans="1:12" s="187" customFormat="1" ht="12.75">
      <c r="A66" s="187" t="s">
        <v>174</v>
      </c>
      <c r="B66" s="220">
        <v>1.1100000000000001</v>
      </c>
      <c r="C66" s="208"/>
      <c r="D66" s="217"/>
      <c r="E66" s="208">
        <f t="shared" ca="1" si="20"/>
        <v>0</v>
      </c>
      <c r="F66" s="208"/>
      <c r="G66" s="208">
        <f t="shared" ca="1" si="21"/>
        <v>1.1100000000000001</v>
      </c>
      <c r="H66" s="196"/>
    </row>
    <row r="67" spans="1:12" s="187" customFormat="1" ht="12.75">
      <c r="B67" s="208"/>
      <c r="C67" s="208"/>
      <c r="D67" s="217"/>
      <c r="E67" s="208"/>
      <c r="F67" s="208"/>
      <c r="G67" s="208"/>
    </row>
    <row r="68" spans="1:12" s="187" customFormat="1" ht="12.75">
      <c r="A68" s="203" t="s">
        <v>176</v>
      </c>
      <c r="B68" s="212"/>
      <c r="C68" s="212"/>
      <c r="D68" s="221"/>
      <c r="E68" s="212"/>
      <c r="F68" s="212"/>
      <c r="G68" s="212"/>
    </row>
    <row r="69" spans="1:12" s="187" customFormat="1" ht="12.75">
      <c r="A69" s="187" t="s">
        <v>177</v>
      </c>
      <c r="B69" s="220">
        <v>0.11</v>
      </c>
      <c r="C69" s="208"/>
      <c r="D69" s="217"/>
      <c r="E69" s="208">
        <f t="shared" ref="E69:E71" ca="1" si="22">+ROUND(B69*$K$4,2)</f>
        <v>0</v>
      </c>
      <c r="F69" s="208"/>
      <c r="G69" s="208">
        <f t="shared" ref="G69:G71" ca="1" si="23">ROUND(B69+E69,2)</f>
        <v>0.11</v>
      </c>
      <c r="H69" s="196"/>
    </row>
    <row r="70" spans="1:12" s="187" customFormat="1" ht="12.75">
      <c r="A70" s="187" t="s">
        <v>178</v>
      </c>
      <c r="B70" s="220">
        <v>0.36</v>
      </c>
      <c r="C70" s="208"/>
      <c r="D70" s="217"/>
      <c r="E70" s="208">
        <f t="shared" ca="1" si="22"/>
        <v>0</v>
      </c>
      <c r="F70" s="208"/>
      <c r="G70" s="208">
        <f t="shared" ca="1" si="23"/>
        <v>0.36</v>
      </c>
      <c r="H70" s="196"/>
    </row>
    <row r="71" spans="1:12" s="187" customFormat="1" ht="12.75">
      <c r="A71" s="187" t="s">
        <v>179</v>
      </c>
      <c r="B71" s="220">
        <v>0.36</v>
      </c>
      <c r="C71" s="208"/>
      <c r="D71" s="217"/>
      <c r="E71" s="208">
        <f t="shared" ca="1" si="22"/>
        <v>0</v>
      </c>
      <c r="F71" s="208"/>
      <c r="G71" s="208">
        <f t="shared" ca="1" si="23"/>
        <v>0.36</v>
      </c>
      <c r="H71" s="196"/>
    </row>
    <row r="72" spans="1:12" s="187" customFormat="1" ht="12.75">
      <c r="B72" s="208"/>
      <c r="C72" s="208"/>
      <c r="D72" s="217"/>
      <c r="E72" s="208"/>
      <c r="F72" s="208"/>
      <c r="G72" s="208"/>
    </row>
    <row r="73" spans="1:12" s="187" customFormat="1" ht="12.75">
      <c r="A73" s="216" t="s">
        <v>180</v>
      </c>
      <c r="B73" s="218"/>
      <c r="C73" s="218"/>
      <c r="D73" s="219"/>
      <c r="E73" s="218"/>
      <c r="F73" s="218"/>
      <c r="G73" s="218"/>
    </row>
    <row r="74" spans="1:12" s="187" customFormat="1" ht="12.75">
      <c r="A74" s="209" t="s">
        <v>181</v>
      </c>
      <c r="B74" s="186"/>
      <c r="C74" s="186"/>
      <c r="E74" s="186"/>
      <c r="F74" s="186"/>
      <c r="G74" s="186"/>
    </row>
    <row r="75" spans="1:12" s="187" customFormat="1" ht="12.75">
      <c r="A75" s="187" t="s">
        <v>182</v>
      </c>
      <c r="B75" s="225">
        <v>15.36</v>
      </c>
      <c r="C75" s="186"/>
      <c r="E75" s="208">
        <f t="shared" ref="E75:E79" ca="1" si="24">+ROUND(B75*$K$4,2)</f>
        <v>0.06</v>
      </c>
      <c r="F75" s="208"/>
      <c r="G75" s="208">
        <f t="shared" ref="G75:G79" ca="1" si="25">ROUND(B75+E75,2)</f>
        <v>15.42</v>
      </c>
    </row>
    <row r="76" spans="1:12" s="187" customFormat="1" ht="12.75">
      <c r="A76" s="187" t="s">
        <v>183</v>
      </c>
      <c r="B76" s="225">
        <v>21.55</v>
      </c>
      <c r="C76" s="186"/>
      <c r="E76" s="208">
        <f t="shared" ca="1" si="24"/>
        <v>0.08</v>
      </c>
      <c r="F76" s="208"/>
      <c r="G76" s="208">
        <f t="shared" ca="1" si="25"/>
        <v>21.63</v>
      </c>
    </row>
    <row r="77" spans="1:12" s="187" customFormat="1" ht="12.75">
      <c r="A77" s="187" t="s">
        <v>184</v>
      </c>
      <c r="B77" s="225">
        <v>27.43</v>
      </c>
      <c r="C77" s="186"/>
      <c r="E77" s="208">
        <f t="shared" ca="1" si="24"/>
        <v>0.11</v>
      </c>
      <c r="F77" s="208"/>
      <c r="G77" s="208">
        <f t="shared" ca="1" si="25"/>
        <v>27.54</v>
      </c>
    </row>
    <row r="78" spans="1:12" s="187" customFormat="1" ht="12.75">
      <c r="A78" s="187" t="s">
        <v>185</v>
      </c>
      <c r="B78" s="225">
        <v>33.08</v>
      </c>
      <c r="C78" s="186"/>
      <c r="E78" s="208">
        <f t="shared" ca="1" si="24"/>
        <v>0.13</v>
      </c>
      <c r="F78" s="208"/>
      <c r="G78" s="208">
        <f t="shared" ca="1" si="25"/>
        <v>33.21</v>
      </c>
    </row>
    <row r="79" spans="1:12" s="187" customFormat="1" ht="12.75">
      <c r="A79" s="187" t="s">
        <v>186</v>
      </c>
      <c r="B79" s="225">
        <v>42.01</v>
      </c>
      <c r="C79" s="186"/>
      <c r="E79" s="208">
        <f t="shared" ca="1" si="24"/>
        <v>0.16</v>
      </c>
      <c r="F79" s="208"/>
      <c r="G79" s="208">
        <f t="shared" ca="1" si="25"/>
        <v>42.17</v>
      </c>
    </row>
    <row r="80" spans="1:12" s="187" customFormat="1" ht="12.75">
      <c r="B80" s="186"/>
      <c r="C80" s="186"/>
      <c r="E80" s="186"/>
      <c r="F80" s="186"/>
      <c r="G80" s="186"/>
      <c r="L80" s="226"/>
    </row>
    <row r="81" spans="1:7" s="187" customFormat="1" ht="12.75">
      <c r="A81" s="209" t="s">
        <v>187</v>
      </c>
      <c r="B81" s="186"/>
      <c r="C81" s="186"/>
      <c r="E81" s="186"/>
      <c r="F81" s="186"/>
      <c r="G81" s="186"/>
    </row>
    <row r="82" spans="1:7" s="187" customFormat="1" ht="12.75">
      <c r="A82" s="187" t="s">
        <v>183</v>
      </c>
      <c r="B82" s="225">
        <v>12.63</v>
      </c>
      <c r="C82" s="186"/>
      <c r="E82" s="208">
        <f t="shared" ref="E82:E85" ca="1" si="26">+ROUND(B82*$K$4,2)</f>
        <v>0.05</v>
      </c>
      <c r="F82" s="208"/>
      <c r="G82" s="208">
        <f t="shared" ref="G82:G85" ca="1" si="27">ROUND(B82+E82,2)</f>
        <v>12.68</v>
      </c>
    </row>
    <row r="83" spans="1:7" s="187" customFormat="1" ht="12.75">
      <c r="A83" s="187" t="s">
        <v>184</v>
      </c>
      <c r="B83" s="225">
        <v>16.64</v>
      </c>
      <c r="C83" s="186"/>
      <c r="E83" s="208">
        <f t="shared" ca="1" si="26"/>
        <v>0.06</v>
      </c>
      <c r="F83" s="208"/>
      <c r="G83" s="208">
        <f t="shared" ca="1" si="27"/>
        <v>16.7</v>
      </c>
    </row>
    <row r="84" spans="1:7" s="187" customFormat="1" ht="12.75">
      <c r="A84" s="187" t="s">
        <v>185</v>
      </c>
      <c r="B84" s="225">
        <v>19.7</v>
      </c>
      <c r="C84" s="186"/>
      <c r="E84" s="208">
        <f t="shared" ca="1" si="26"/>
        <v>0.08</v>
      </c>
      <c r="F84" s="208"/>
      <c r="G84" s="208">
        <f t="shared" ca="1" si="27"/>
        <v>19.78</v>
      </c>
    </row>
    <row r="85" spans="1:7" s="187" customFormat="1" ht="12.75">
      <c r="A85" s="187" t="s">
        <v>186</v>
      </c>
      <c r="B85" s="225">
        <v>25.03</v>
      </c>
      <c r="C85" s="186"/>
      <c r="E85" s="208">
        <f t="shared" ca="1" si="26"/>
        <v>0.1</v>
      </c>
      <c r="F85" s="208"/>
      <c r="G85" s="208">
        <f t="shared" ca="1" si="27"/>
        <v>25.13</v>
      </c>
    </row>
    <row r="86" spans="1:7" s="187" customFormat="1" ht="12.75">
      <c r="B86" s="186"/>
      <c r="C86" s="186"/>
      <c r="E86" s="186"/>
      <c r="F86" s="186"/>
      <c r="G86" s="186"/>
    </row>
    <row r="87" spans="1:7" s="187" customFormat="1" ht="12.75">
      <c r="A87" s="209" t="s">
        <v>188</v>
      </c>
      <c r="B87" s="186"/>
      <c r="C87" s="186"/>
      <c r="E87" s="186"/>
      <c r="F87" s="186"/>
      <c r="G87" s="186"/>
    </row>
    <row r="88" spans="1:7" s="187" customFormat="1" ht="12.75">
      <c r="A88" s="187" t="s">
        <v>183</v>
      </c>
      <c r="B88" s="225">
        <v>7.36</v>
      </c>
      <c r="C88" s="186"/>
      <c r="E88" s="208">
        <f t="shared" ref="E88:E91" ca="1" si="28">+ROUND(B88*$K$4,2)</f>
        <v>0.03</v>
      </c>
      <c r="F88" s="208"/>
      <c r="G88" s="208">
        <f t="shared" ref="G88:G91" ca="1" si="29">ROUND(B88+E88,2)</f>
        <v>7.39</v>
      </c>
    </row>
    <row r="89" spans="1:7" s="187" customFormat="1" ht="12.75">
      <c r="A89" s="187" t="s">
        <v>184</v>
      </c>
      <c r="B89" s="225">
        <v>9.23</v>
      </c>
      <c r="C89" s="186"/>
      <c r="E89" s="208">
        <f t="shared" ca="1" si="28"/>
        <v>0.04</v>
      </c>
      <c r="F89" s="208"/>
      <c r="G89" s="208">
        <f t="shared" ca="1" si="29"/>
        <v>9.27</v>
      </c>
    </row>
    <row r="90" spans="1:7" s="187" customFormat="1" ht="12.75">
      <c r="A90" s="187" t="s">
        <v>185</v>
      </c>
      <c r="B90" s="225">
        <v>10.83</v>
      </c>
      <c r="C90" s="186"/>
      <c r="E90" s="208">
        <f t="shared" ca="1" si="28"/>
        <v>0.04</v>
      </c>
      <c r="F90" s="208"/>
      <c r="G90" s="208">
        <f t="shared" ca="1" si="29"/>
        <v>10.87</v>
      </c>
    </row>
    <row r="91" spans="1:7" s="187" customFormat="1" ht="12.75">
      <c r="A91" s="187" t="s">
        <v>186</v>
      </c>
      <c r="B91" s="225">
        <v>13.53</v>
      </c>
      <c r="C91" s="186"/>
      <c r="E91" s="208">
        <f t="shared" ca="1" si="28"/>
        <v>0.05</v>
      </c>
      <c r="F91" s="208"/>
      <c r="G91" s="208">
        <f t="shared" ca="1" si="29"/>
        <v>13.58</v>
      </c>
    </row>
    <row r="92" spans="1:7" s="187" customFormat="1" ht="12.75">
      <c r="B92" s="186"/>
      <c r="C92" s="186"/>
      <c r="E92" s="186"/>
      <c r="F92" s="186"/>
      <c r="G92" s="186"/>
    </row>
    <row r="93" spans="1:7" s="187" customFormat="1" ht="12.75">
      <c r="A93" s="209" t="s">
        <v>189</v>
      </c>
    </row>
    <row r="94" spans="1:7" s="187" customFormat="1" ht="12.75">
      <c r="A94" s="187" t="s">
        <v>190</v>
      </c>
      <c r="B94" s="225">
        <v>11.48</v>
      </c>
      <c r="C94" s="186"/>
      <c r="E94" s="208">
        <f ca="1">+ROUND(B94*$K$5,2)</f>
        <v>0.04</v>
      </c>
      <c r="F94" s="208"/>
      <c r="G94" s="208">
        <f t="shared" ref="G94" ca="1" si="30">ROUND(B94+E94,2)</f>
        <v>11.52</v>
      </c>
    </row>
    <row r="95" spans="1:7" s="187" customFormat="1" ht="12.75">
      <c r="A95" s="187" t="s">
        <v>187</v>
      </c>
      <c r="B95" s="225">
        <v>12.17</v>
      </c>
      <c r="C95" s="186"/>
      <c r="E95" s="208">
        <f ca="1">+ROUND(B95*$K$5,2)</f>
        <v>0.05</v>
      </c>
      <c r="F95" s="208"/>
      <c r="G95" s="208">
        <f ca="1">ROUND(B95+E95,2)</f>
        <v>12.22</v>
      </c>
    </row>
    <row r="96" spans="1:7" s="187" customFormat="1" ht="12.75">
      <c r="A96" s="209"/>
      <c r="B96" s="186"/>
      <c r="C96" s="186"/>
      <c r="E96" s="186"/>
      <c r="F96" s="186"/>
      <c r="G96" s="186"/>
    </row>
    <row r="97" spans="1:7" s="187" customFormat="1" ht="12.75">
      <c r="A97" s="216" t="s">
        <v>191</v>
      </c>
      <c r="B97" s="227"/>
      <c r="C97" s="227"/>
      <c r="D97" s="228"/>
      <c r="E97" s="227"/>
      <c r="F97" s="227"/>
      <c r="G97" s="227"/>
    </row>
    <row r="98" spans="1:7" s="187" customFormat="1" ht="12.75">
      <c r="A98" s="209" t="s">
        <v>192</v>
      </c>
      <c r="B98" s="229"/>
      <c r="C98" s="229"/>
      <c r="E98" s="229"/>
      <c r="F98" s="229"/>
      <c r="G98" s="229"/>
    </row>
    <row r="99" spans="1:7" s="187" customFormat="1" ht="12.75">
      <c r="A99" s="187" t="s">
        <v>193</v>
      </c>
      <c r="B99" s="225">
        <v>5.25</v>
      </c>
      <c r="C99" s="186"/>
      <c r="E99" s="208">
        <f t="shared" ref="E99:E103" ca="1" si="31">+ROUND(B99*$K$4,2)</f>
        <v>0.02</v>
      </c>
      <c r="F99" s="208"/>
      <c r="G99" s="208">
        <f t="shared" ref="G99:G103" ca="1" si="32">ROUND(B99+E99,2)</f>
        <v>5.27</v>
      </c>
    </row>
    <row r="100" spans="1:7" s="187" customFormat="1" ht="12.75">
      <c r="A100" s="187" t="s">
        <v>194</v>
      </c>
      <c r="B100" s="225">
        <v>5.25</v>
      </c>
      <c r="C100" s="186"/>
      <c r="E100" s="208">
        <f t="shared" ca="1" si="31"/>
        <v>0.02</v>
      </c>
      <c r="F100" s="208"/>
      <c r="G100" s="208">
        <f t="shared" ca="1" si="32"/>
        <v>5.27</v>
      </c>
    </row>
    <row r="101" spans="1:7" s="187" customFormat="1" ht="12.75">
      <c r="A101" s="187" t="s">
        <v>195</v>
      </c>
      <c r="B101" s="225">
        <v>5.25</v>
      </c>
      <c r="C101" s="186"/>
      <c r="E101" s="208">
        <f t="shared" ca="1" si="31"/>
        <v>0.02</v>
      </c>
      <c r="F101" s="208"/>
      <c r="G101" s="208">
        <f t="shared" ca="1" si="32"/>
        <v>5.27</v>
      </c>
    </row>
    <row r="102" spans="1:7" s="187" customFormat="1" ht="12.75">
      <c r="A102" s="187" t="s">
        <v>196</v>
      </c>
      <c r="B102" s="225">
        <v>5.25</v>
      </c>
      <c r="C102" s="186"/>
      <c r="E102" s="208">
        <f t="shared" ca="1" si="31"/>
        <v>0.02</v>
      </c>
      <c r="F102" s="208"/>
      <c r="G102" s="208">
        <f t="shared" ca="1" si="32"/>
        <v>5.27</v>
      </c>
    </row>
    <row r="103" spans="1:7" s="187" customFormat="1" ht="12.75">
      <c r="A103" s="187" t="s">
        <v>197</v>
      </c>
      <c r="B103" s="225">
        <v>5.25</v>
      </c>
      <c r="C103" s="186"/>
      <c r="E103" s="208">
        <f t="shared" ca="1" si="31"/>
        <v>0.02</v>
      </c>
      <c r="F103" s="208"/>
      <c r="G103" s="208">
        <f t="shared" ca="1" si="32"/>
        <v>5.27</v>
      </c>
    </row>
    <row r="104" spans="1:7" s="187" customFormat="1" ht="12.75">
      <c r="B104" s="186"/>
      <c r="C104" s="186"/>
      <c r="E104" s="186"/>
      <c r="F104" s="186"/>
      <c r="G104" s="186"/>
    </row>
    <row r="105" spans="1:7" s="187" customFormat="1" ht="12.75">
      <c r="A105" s="209" t="s">
        <v>198</v>
      </c>
      <c r="B105" s="186"/>
      <c r="C105" s="186"/>
      <c r="E105" s="186"/>
      <c r="F105" s="186"/>
      <c r="G105" s="186"/>
    </row>
    <row r="106" spans="1:7" s="187" customFormat="1" ht="12.75">
      <c r="A106" s="187" t="s">
        <v>193</v>
      </c>
      <c r="B106" s="225">
        <v>7.36</v>
      </c>
      <c r="C106" s="186"/>
      <c r="E106" s="208">
        <f t="shared" ref="E106:E109" ca="1" si="33">+ROUND(B106*$K$4,2)</f>
        <v>0.03</v>
      </c>
      <c r="F106" s="208"/>
      <c r="G106" s="208">
        <f t="shared" ref="G106:G110" ca="1" si="34">ROUND(B106+E106,2)</f>
        <v>7.39</v>
      </c>
    </row>
    <row r="107" spans="1:7" s="187" customFormat="1" ht="12.75">
      <c r="A107" s="187" t="s">
        <v>194</v>
      </c>
      <c r="B107" s="225">
        <v>9.23</v>
      </c>
      <c r="C107" s="186"/>
      <c r="E107" s="208">
        <f t="shared" ca="1" si="33"/>
        <v>0.04</v>
      </c>
      <c r="F107" s="208"/>
      <c r="G107" s="208">
        <f t="shared" ca="1" si="34"/>
        <v>9.27</v>
      </c>
    </row>
    <row r="108" spans="1:7" s="187" customFormat="1" ht="12.75">
      <c r="A108" s="187" t="s">
        <v>195</v>
      </c>
      <c r="B108" s="225">
        <v>10.83</v>
      </c>
      <c r="C108" s="186"/>
      <c r="E108" s="208">
        <f t="shared" ca="1" si="33"/>
        <v>0.04</v>
      </c>
      <c r="F108" s="208"/>
      <c r="G108" s="208">
        <f t="shared" ca="1" si="34"/>
        <v>10.87</v>
      </c>
    </row>
    <row r="109" spans="1:7" s="187" customFormat="1" ht="12.75">
      <c r="A109" s="187" t="s">
        <v>196</v>
      </c>
      <c r="B109" s="225">
        <v>13.53</v>
      </c>
      <c r="C109" s="186"/>
      <c r="E109" s="208">
        <f t="shared" ca="1" si="33"/>
        <v>0.05</v>
      </c>
      <c r="F109" s="208"/>
      <c r="G109" s="208">
        <f t="shared" ca="1" si="34"/>
        <v>13.58</v>
      </c>
    </row>
    <row r="110" spans="1:7" s="187" customFormat="1" ht="12.75">
      <c r="A110" s="187" t="s">
        <v>133</v>
      </c>
      <c r="B110" s="225">
        <v>12.17</v>
      </c>
      <c r="C110" s="186"/>
      <c r="E110" s="208">
        <f ca="1">+ROUND(B110*$K$5,2)</f>
        <v>0.05</v>
      </c>
      <c r="F110" s="208"/>
      <c r="G110" s="208">
        <f t="shared" ca="1" si="34"/>
        <v>12.22</v>
      </c>
    </row>
    <row r="111" spans="1:7" s="187" customFormat="1" ht="12.75">
      <c r="B111" s="186"/>
      <c r="C111" s="186"/>
      <c r="E111" s="186"/>
      <c r="F111" s="186"/>
      <c r="G111" s="186"/>
    </row>
    <row r="112" spans="1:7" s="187" customFormat="1" ht="12.75">
      <c r="A112" s="205" t="s">
        <v>199</v>
      </c>
      <c r="B112" s="230"/>
      <c r="C112" s="230"/>
      <c r="D112" s="228"/>
      <c r="E112" s="230"/>
      <c r="F112" s="230"/>
      <c r="G112" s="230"/>
    </row>
    <row r="113" spans="1:9" s="187" customFormat="1" ht="12.75">
      <c r="A113" s="187" t="s">
        <v>200</v>
      </c>
      <c r="B113" s="225">
        <v>31.24</v>
      </c>
      <c r="C113" s="186"/>
      <c r="E113" s="208">
        <f t="shared" ref="E113:E116" ca="1" si="35">+ROUND(B113*$K$4,2)</f>
        <v>0.12</v>
      </c>
      <c r="F113" s="208"/>
      <c r="G113" s="208">
        <f t="shared" ref="G113:G116" ca="1" si="36">ROUND(B113+E113,2)</f>
        <v>31.36</v>
      </c>
    </row>
    <row r="114" spans="1:9" s="187" customFormat="1" ht="12.75">
      <c r="A114" s="187" t="s">
        <v>201</v>
      </c>
      <c r="B114" s="225">
        <v>31.24</v>
      </c>
      <c r="C114" s="186"/>
      <c r="E114" s="208">
        <f t="shared" ca="1" si="35"/>
        <v>0.12</v>
      </c>
      <c r="F114" s="208"/>
      <c r="G114" s="208">
        <f t="shared" ca="1" si="36"/>
        <v>31.36</v>
      </c>
    </row>
    <row r="115" spans="1:9" s="187" customFormat="1" ht="12.75">
      <c r="A115" s="187" t="s">
        <v>154</v>
      </c>
      <c r="B115" s="225">
        <v>35.24</v>
      </c>
      <c r="C115" s="186"/>
      <c r="E115" s="208">
        <f t="shared" ca="1" si="35"/>
        <v>0.14000000000000001</v>
      </c>
      <c r="F115" s="208"/>
      <c r="G115" s="208">
        <f t="shared" ca="1" si="36"/>
        <v>35.380000000000003</v>
      </c>
    </row>
    <row r="116" spans="1:9" s="187" customFormat="1" ht="12.75">
      <c r="A116" s="187" t="s">
        <v>202</v>
      </c>
      <c r="B116" s="225">
        <v>22.1</v>
      </c>
      <c r="C116" s="186"/>
      <c r="E116" s="208">
        <f t="shared" ca="1" si="35"/>
        <v>0.09</v>
      </c>
      <c r="F116" s="208"/>
      <c r="G116" s="208">
        <f t="shared" ca="1" si="36"/>
        <v>22.19</v>
      </c>
    </row>
    <row r="117" spans="1:9" s="187" customFormat="1" ht="12.75">
      <c r="B117" s="186"/>
      <c r="C117" s="186"/>
      <c r="E117" s="186"/>
      <c r="F117" s="186"/>
      <c r="G117" s="186"/>
    </row>
    <row r="118" spans="1:9" s="187" customFormat="1" ht="12.75">
      <c r="A118" s="205" t="s">
        <v>203</v>
      </c>
      <c r="B118" s="230"/>
      <c r="C118" s="230"/>
      <c r="D118" s="228"/>
      <c r="E118" s="230"/>
      <c r="F118" s="230"/>
      <c r="G118" s="230"/>
    </row>
    <row r="119" spans="1:9" s="209" customFormat="1" ht="12.75">
      <c r="A119" s="209" t="s">
        <v>204</v>
      </c>
      <c r="B119" s="231"/>
      <c r="C119" s="231"/>
      <c r="E119" s="231"/>
      <c r="F119" s="231"/>
      <c r="G119" s="231"/>
      <c r="H119" s="187"/>
      <c r="I119" s="187"/>
    </row>
    <row r="120" spans="1:9" s="187" customFormat="1" ht="12.75">
      <c r="A120" s="209" t="s">
        <v>205</v>
      </c>
      <c r="B120" s="186"/>
      <c r="C120" s="186"/>
      <c r="E120" s="186"/>
      <c r="F120" s="186"/>
      <c r="G120" s="186"/>
    </row>
    <row r="121" spans="1:9" s="187" customFormat="1" ht="12.75">
      <c r="A121" s="187" t="s">
        <v>206</v>
      </c>
      <c r="B121" s="225">
        <v>147.97</v>
      </c>
      <c r="C121" s="186"/>
      <c r="E121" s="208">
        <f t="shared" ref="E121:E123" ca="1" si="37">+ROUND(B121*$K$4,2)</f>
        <v>0.56999999999999995</v>
      </c>
      <c r="F121" s="208"/>
      <c r="G121" s="208">
        <f t="shared" ref="G121:G123" ca="1" si="38">ROUND(B121+E121,2)</f>
        <v>148.54</v>
      </c>
    </row>
    <row r="122" spans="1:9" s="187" customFormat="1" ht="12.75">
      <c r="A122" s="187" t="s">
        <v>207</v>
      </c>
      <c r="B122" s="225">
        <v>162.05000000000001</v>
      </c>
      <c r="C122" s="186"/>
      <c r="E122" s="208">
        <f t="shared" ca="1" si="37"/>
        <v>0.63</v>
      </c>
      <c r="F122" s="208"/>
      <c r="G122" s="208">
        <f t="shared" ca="1" si="38"/>
        <v>162.68</v>
      </c>
    </row>
    <row r="123" spans="1:9" s="187" customFormat="1" ht="12.75">
      <c r="A123" s="187" t="s">
        <v>161</v>
      </c>
      <c r="B123" s="225">
        <v>162.05000000000001</v>
      </c>
      <c r="C123" s="186"/>
      <c r="E123" s="208">
        <f t="shared" ca="1" si="37"/>
        <v>0.63</v>
      </c>
      <c r="F123" s="208"/>
      <c r="G123" s="208">
        <f t="shared" ca="1" si="38"/>
        <v>162.68</v>
      </c>
    </row>
    <row r="124" spans="1:9" ht="20.100000000000001" customHeight="1">
      <c r="H124" s="187"/>
      <c r="I124" s="187"/>
    </row>
    <row r="125" spans="1:9" s="209" customFormat="1" ht="12.75">
      <c r="A125" s="209" t="s">
        <v>208</v>
      </c>
      <c r="B125" s="231"/>
      <c r="C125" s="231"/>
      <c r="E125" s="231"/>
      <c r="F125" s="231"/>
      <c r="G125" s="231"/>
      <c r="H125" s="187"/>
      <c r="I125" s="187"/>
    </row>
    <row r="126" spans="1:9" s="187" customFormat="1" ht="12.75">
      <c r="A126" s="187" t="s">
        <v>206</v>
      </c>
      <c r="B126" s="225">
        <v>83.87</v>
      </c>
      <c r="C126" s="186"/>
      <c r="E126" s="208">
        <f t="shared" ref="E126:E128" ca="1" si="39">+ROUND(B126*$K$4,2)</f>
        <v>0.32</v>
      </c>
      <c r="F126" s="208"/>
      <c r="G126" s="208">
        <f t="shared" ref="G126:G128" ca="1" si="40">ROUND(B126+E126,2)</f>
        <v>84.19</v>
      </c>
    </row>
    <row r="127" spans="1:9" s="187" customFormat="1" ht="12.75">
      <c r="A127" s="187" t="s">
        <v>207</v>
      </c>
      <c r="B127" s="225">
        <v>83.87</v>
      </c>
      <c r="C127" s="186"/>
      <c r="E127" s="208">
        <f t="shared" ca="1" si="39"/>
        <v>0.32</v>
      </c>
      <c r="F127" s="208"/>
      <c r="G127" s="208">
        <f t="shared" ca="1" si="40"/>
        <v>84.19</v>
      </c>
    </row>
    <row r="128" spans="1:9" s="187" customFormat="1" ht="12.75">
      <c r="A128" s="187" t="s">
        <v>161</v>
      </c>
      <c r="B128" s="225">
        <v>83.87</v>
      </c>
      <c r="C128" s="186"/>
      <c r="E128" s="208">
        <f t="shared" ca="1" si="39"/>
        <v>0.32</v>
      </c>
      <c r="F128" s="208"/>
      <c r="G128" s="208">
        <f t="shared" ca="1" si="40"/>
        <v>84.19</v>
      </c>
    </row>
    <row r="129" spans="1:9" s="187" customFormat="1" ht="12.75">
      <c r="B129" s="186"/>
      <c r="C129" s="186"/>
      <c r="E129" s="186"/>
      <c r="F129" s="186"/>
      <c r="G129" s="186"/>
    </row>
    <row r="130" spans="1:9" s="209" customFormat="1" ht="12.75">
      <c r="A130" s="209" t="s">
        <v>209</v>
      </c>
      <c r="B130" s="231"/>
      <c r="C130" s="231"/>
      <c r="E130" s="231"/>
      <c r="F130" s="231"/>
      <c r="G130" s="231"/>
      <c r="H130" s="187"/>
      <c r="I130" s="187"/>
    </row>
    <row r="131" spans="1:9" s="187" customFormat="1" ht="12.75">
      <c r="A131" s="187" t="s">
        <v>206</v>
      </c>
      <c r="B131" s="225">
        <v>147.97</v>
      </c>
      <c r="C131" s="186"/>
      <c r="E131" s="208">
        <f t="shared" ref="E131:E133" ca="1" si="41">+ROUND(B131*$K$4,2)</f>
        <v>0.56999999999999995</v>
      </c>
      <c r="F131" s="208"/>
      <c r="G131" s="208">
        <f t="shared" ref="G131:G133" ca="1" si="42">ROUND(B131+E131,2)</f>
        <v>148.54</v>
      </c>
    </row>
    <row r="132" spans="1:9" s="187" customFormat="1" ht="12.75">
      <c r="A132" s="187" t="s">
        <v>207</v>
      </c>
      <c r="B132" s="225">
        <v>162.05000000000001</v>
      </c>
      <c r="C132" s="186"/>
      <c r="E132" s="208">
        <f t="shared" ca="1" si="41"/>
        <v>0.63</v>
      </c>
      <c r="F132" s="208"/>
      <c r="G132" s="208">
        <f t="shared" ca="1" si="42"/>
        <v>162.68</v>
      </c>
    </row>
    <row r="133" spans="1:9" s="187" customFormat="1" ht="12.75">
      <c r="A133" s="187" t="s">
        <v>161</v>
      </c>
      <c r="B133" s="225">
        <v>162.05000000000001</v>
      </c>
      <c r="C133" s="186"/>
      <c r="E133" s="208">
        <f t="shared" ca="1" si="41"/>
        <v>0.63</v>
      </c>
      <c r="F133" s="208"/>
      <c r="G133" s="208">
        <f t="shared" ca="1" si="42"/>
        <v>162.68</v>
      </c>
    </row>
    <row r="134" spans="1:9" ht="12.75">
      <c r="H134" s="187"/>
      <c r="I134" s="187"/>
    </row>
    <row r="135" spans="1:9" s="209" customFormat="1" ht="12.75">
      <c r="A135" s="209" t="s">
        <v>210</v>
      </c>
      <c r="B135" s="231"/>
      <c r="C135" s="231"/>
      <c r="E135" s="231"/>
      <c r="F135" s="231"/>
      <c r="G135" s="231"/>
      <c r="H135" s="187"/>
      <c r="I135" s="187"/>
    </row>
    <row r="136" spans="1:9" s="187" customFormat="1" ht="12.75">
      <c r="A136" s="187" t="s">
        <v>205</v>
      </c>
      <c r="B136" s="186"/>
      <c r="C136" s="186"/>
      <c r="E136" s="186"/>
      <c r="F136" s="186"/>
      <c r="G136" s="186"/>
    </row>
    <row r="137" spans="1:9" s="187" customFormat="1" ht="12.75">
      <c r="A137" s="187" t="s">
        <v>211</v>
      </c>
      <c r="B137" s="225">
        <v>147.97</v>
      </c>
      <c r="C137" s="186"/>
      <c r="E137" s="208">
        <f t="shared" ref="E137:E139" ca="1" si="43">+ROUND(B137*$K$4,2)</f>
        <v>0.56999999999999995</v>
      </c>
      <c r="F137" s="208"/>
      <c r="G137" s="208">
        <f t="shared" ref="G137:G139" ca="1" si="44">ROUND(B137+E137,2)</f>
        <v>148.54</v>
      </c>
    </row>
    <row r="138" spans="1:9" s="187" customFormat="1" ht="12.75">
      <c r="A138" s="187" t="s">
        <v>207</v>
      </c>
      <c r="B138" s="225">
        <v>162.05000000000001</v>
      </c>
      <c r="C138" s="186"/>
      <c r="E138" s="208">
        <f t="shared" ca="1" si="43"/>
        <v>0.63</v>
      </c>
      <c r="F138" s="208"/>
      <c r="G138" s="208">
        <f t="shared" ca="1" si="44"/>
        <v>162.68</v>
      </c>
    </row>
    <row r="139" spans="1:9" s="187" customFormat="1" ht="12.75">
      <c r="A139" s="187" t="s">
        <v>161</v>
      </c>
      <c r="B139" s="225">
        <v>162.05000000000001</v>
      </c>
      <c r="C139" s="186"/>
      <c r="E139" s="208">
        <f t="shared" ca="1" si="43"/>
        <v>0.63</v>
      </c>
      <c r="F139" s="208"/>
      <c r="G139" s="208">
        <f t="shared" ca="1" si="44"/>
        <v>162.68</v>
      </c>
    </row>
    <row r="140" spans="1:9" ht="12.75">
      <c r="H140" s="187"/>
      <c r="I140" s="187"/>
    </row>
    <row r="141" spans="1:9" s="209" customFormat="1" ht="12.75">
      <c r="A141" s="209" t="s">
        <v>208</v>
      </c>
      <c r="B141" s="231"/>
      <c r="C141" s="231"/>
      <c r="E141" s="231"/>
      <c r="F141" s="231"/>
      <c r="G141" s="231"/>
      <c r="H141" s="187"/>
      <c r="I141" s="187"/>
    </row>
    <row r="142" spans="1:9" s="187" customFormat="1" ht="12.75">
      <c r="A142" s="187" t="s">
        <v>211</v>
      </c>
      <c r="B142" s="225">
        <v>83.87</v>
      </c>
      <c r="C142" s="186"/>
      <c r="E142" s="208">
        <f t="shared" ref="E142:E144" ca="1" si="45">+ROUND(B142*$K$4,2)</f>
        <v>0.32</v>
      </c>
      <c r="F142" s="208"/>
      <c r="G142" s="208">
        <f t="shared" ref="G142:G144" ca="1" si="46">ROUND(B142+E142,2)</f>
        <v>84.19</v>
      </c>
    </row>
    <row r="143" spans="1:9" s="187" customFormat="1" ht="12.75">
      <c r="A143" s="187" t="s">
        <v>207</v>
      </c>
      <c r="B143" s="225">
        <v>83.87</v>
      </c>
      <c r="C143" s="186"/>
      <c r="E143" s="208">
        <f t="shared" ca="1" si="45"/>
        <v>0.32</v>
      </c>
      <c r="F143" s="208"/>
      <c r="G143" s="208">
        <f t="shared" ca="1" si="46"/>
        <v>84.19</v>
      </c>
    </row>
    <row r="144" spans="1:9" s="187" customFormat="1" ht="12.75">
      <c r="A144" s="187" t="s">
        <v>212</v>
      </c>
      <c r="B144" s="225">
        <v>83.87</v>
      </c>
      <c r="C144" s="186"/>
      <c r="E144" s="208">
        <f t="shared" ca="1" si="45"/>
        <v>0.32</v>
      </c>
      <c r="F144" s="208"/>
      <c r="G144" s="208">
        <f t="shared" ca="1" si="46"/>
        <v>84.19</v>
      </c>
    </row>
    <row r="145" spans="1:9" s="187" customFormat="1" ht="12.75">
      <c r="B145" s="186"/>
      <c r="C145" s="186"/>
      <c r="E145" s="186"/>
      <c r="F145" s="186"/>
      <c r="G145" s="186"/>
    </row>
    <row r="146" spans="1:9" s="209" customFormat="1" ht="12.75">
      <c r="A146" s="209" t="s">
        <v>209</v>
      </c>
      <c r="B146" s="231"/>
      <c r="C146" s="231"/>
      <c r="E146" s="231"/>
      <c r="F146" s="231"/>
      <c r="G146" s="231"/>
      <c r="H146" s="187"/>
      <c r="I146" s="187"/>
    </row>
    <row r="147" spans="1:9" s="187" customFormat="1" ht="12.75">
      <c r="A147" s="187" t="s">
        <v>211</v>
      </c>
      <c r="B147" s="225">
        <v>147.97</v>
      </c>
      <c r="C147" s="186"/>
      <c r="E147" s="208">
        <f t="shared" ref="E147:E149" ca="1" si="47">+ROUND(B147*$K$4,2)</f>
        <v>0.56999999999999995</v>
      </c>
      <c r="F147" s="208"/>
      <c r="G147" s="208">
        <f t="shared" ref="G147:G149" ca="1" si="48">ROUND(B147+E147,2)</f>
        <v>148.54</v>
      </c>
    </row>
    <row r="148" spans="1:9" s="187" customFormat="1" ht="12.75">
      <c r="A148" s="187" t="s">
        <v>207</v>
      </c>
      <c r="B148" s="225">
        <v>162.05000000000001</v>
      </c>
      <c r="C148" s="186"/>
      <c r="E148" s="208">
        <f t="shared" ca="1" si="47"/>
        <v>0.63</v>
      </c>
      <c r="F148" s="208"/>
      <c r="G148" s="208">
        <f t="shared" ca="1" si="48"/>
        <v>162.68</v>
      </c>
    </row>
    <row r="149" spans="1:9" s="187" customFormat="1" ht="12.75">
      <c r="A149" s="187" t="s">
        <v>212</v>
      </c>
      <c r="B149" s="225">
        <v>162.05000000000001</v>
      </c>
      <c r="C149" s="186"/>
      <c r="E149" s="208">
        <f t="shared" ca="1" si="47"/>
        <v>0.63</v>
      </c>
      <c r="F149" s="208"/>
      <c r="G149" s="208">
        <f t="shared" ca="1" si="48"/>
        <v>162.68</v>
      </c>
    </row>
    <row r="150" spans="1:9" s="187" customFormat="1" ht="12.75">
      <c r="B150" s="186"/>
      <c r="C150" s="186"/>
      <c r="E150" s="186"/>
      <c r="F150" s="186"/>
      <c r="G150" s="186"/>
    </row>
    <row r="151" spans="1:9" s="187" customFormat="1" ht="12.75">
      <c r="A151" s="205" t="s">
        <v>213</v>
      </c>
      <c r="B151" s="230"/>
      <c r="C151" s="230"/>
      <c r="D151" s="228"/>
      <c r="E151" s="230"/>
      <c r="F151" s="230"/>
      <c r="G151" s="230"/>
    </row>
    <row r="152" spans="1:9" s="209" customFormat="1" ht="12.75">
      <c r="A152" s="209" t="s">
        <v>214</v>
      </c>
      <c r="B152" s="231"/>
      <c r="C152" s="231"/>
      <c r="E152" s="231"/>
      <c r="F152" s="231"/>
      <c r="G152" s="231"/>
      <c r="H152" s="187"/>
      <c r="I152" s="187"/>
    </row>
    <row r="153" spans="1:9" s="187" customFormat="1" ht="12.75">
      <c r="A153" s="187" t="s">
        <v>162</v>
      </c>
      <c r="B153" s="225">
        <v>3.85</v>
      </c>
      <c r="C153" s="186"/>
      <c r="E153" s="208">
        <f t="shared" ref="E153:E158" ca="1" si="49">+ROUND(B153*$K$4,2)</f>
        <v>0.01</v>
      </c>
      <c r="F153" s="208"/>
      <c r="G153" s="208">
        <f t="shared" ref="G153:G158" ca="1" si="50">ROUND(B153+E153,2)</f>
        <v>3.86</v>
      </c>
    </row>
    <row r="154" spans="1:9" s="187" customFormat="1" ht="12.75">
      <c r="A154" s="187" t="s">
        <v>215</v>
      </c>
      <c r="B154" s="225">
        <v>0.32</v>
      </c>
      <c r="C154" s="186"/>
      <c r="E154" s="208">
        <f t="shared" ca="1" si="49"/>
        <v>0</v>
      </c>
      <c r="F154" s="208"/>
      <c r="G154" s="208">
        <f t="shared" ca="1" si="50"/>
        <v>0.32</v>
      </c>
    </row>
    <row r="155" spans="1:9" s="187" customFormat="1" ht="12.75">
      <c r="A155" s="187" t="s">
        <v>216</v>
      </c>
      <c r="B155" s="225">
        <v>2.84</v>
      </c>
      <c r="C155" s="186"/>
      <c r="E155" s="208">
        <f t="shared" ca="1" si="49"/>
        <v>0.01</v>
      </c>
      <c r="F155" s="208"/>
      <c r="G155" s="208">
        <f t="shared" ca="1" si="50"/>
        <v>2.85</v>
      </c>
    </row>
    <row r="156" spans="1:9" s="187" customFormat="1" ht="12.75">
      <c r="A156" s="187" t="s">
        <v>215</v>
      </c>
      <c r="B156" s="225">
        <v>0.28000000000000003</v>
      </c>
      <c r="C156" s="186"/>
      <c r="E156" s="208">
        <f t="shared" ca="1" si="49"/>
        <v>0</v>
      </c>
      <c r="F156" s="208"/>
      <c r="G156" s="208">
        <f t="shared" ca="1" si="50"/>
        <v>0.28000000000000003</v>
      </c>
    </row>
    <row r="157" spans="1:9" s="187" customFormat="1" ht="12.75">
      <c r="A157" s="187" t="s">
        <v>217</v>
      </c>
      <c r="B157" s="225">
        <v>3.57</v>
      </c>
      <c r="C157" s="186"/>
      <c r="E157" s="208">
        <f t="shared" ca="1" si="49"/>
        <v>0.01</v>
      </c>
      <c r="F157" s="208"/>
      <c r="G157" s="208">
        <f t="shared" ca="1" si="50"/>
        <v>3.58</v>
      </c>
    </row>
    <row r="158" spans="1:9" s="187" customFormat="1" ht="12.75">
      <c r="A158" s="187" t="s">
        <v>215</v>
      </c>
      <c r="B158" s="225">
        <v>0.36</v>
      </c>
      <c r="C158" s="186"/>
      <c r="E158" s="208">
        <f t="shared" ca="1" si="49"/>
        <v>0</v>
      </c>
      <c r="F158" s="208"/>
      <c r="G158" s="208">
        <f t="shared" ca="1" si="50"/>
        <v>0.36</v>
      </c>
    </row>
    <row r="159" spans="1:9" ht="12.75">
      <c r="H159" s="187"/>
      <c r="I159" s="187"/>
    </row>
    <row r="160" spans="1:9" s="187" customFormat="1" ht="12.75">
      <c r="A160" s="216" t="s">
        <v>218</v>
      </c>
      <c r="B160" s="227"/>
      <c r="C160" s="227"/>
      <c r="D160" s="234"/>
      <c r="E160" s="227"/>
      <c r="F160" s="227"/>
      <c r="G160" s="227"/>
    </row>
    <row r="161" spans="1:9" s="209" customFormat="1" ht="12.75">
      <c r="A161" s="209" t="s">
        <v>219</v>
      </c>
      <c r="B161" s="231"/>
      <c r="C161" s="231"/>
      <c r="E161" s="231"/>
      <c r="F161" s="231"/>
      <c r="G161" s="231"/>
      <c r="H161" s="187"/>
      <c r="I161" s="187"/>
    </row>
    <row r="162" spans="1:9" s="187" customFormat="1" ht="12.75">
      <c r="A162" s="187" t="s">
        <v>220</v>
      </c>
      <c r="B162" s="225">
        <v>18.63</v>
      </c>
      <c r="C162" s="186"/>
      <c r="E162" s="208">
        <f t="shared" ref="E162" ca="1" si="51">+ROUND(B162*$K$4,2)</f>
        <v>7.0000000000000007E-2</v>
      </c>
      <c r="F162" s="208"/>
      <c r="G162" s="208">
        <f t="shared" ref="G162" ca="1" si="52">ROUND(B162+E162,2)</f>
        <v>18.7</v>
      </c>
    </row>
    <row r="163" spans="1:9" s="187" customFormat="1" ht="12.75">
      <c r="B163" s="186"/>
      <c r="C163" s="186"/>
      <c r="E163" s="186"/>
      <c r="F163" s="186"/>
      <c r="G163" s="186"/>
    </row>
    <row r="164" spans="1:9" s="187" customFormat="1" ht="12.75">
      <c r="A164" s="187" t="s">
        <v>221</v>
      </c>
      <c r="B164" s="225">
        <v>18.63</v>
      </c>
      <c r="C164" s="186"/>
      <c r="E164" s="208">
        <f t="shared" ref="E164" ca="1" si="53">+ROUND(B164*$K$4,2)</f>
        <v>7.0000000000000007E-2</v>
      </c>
      <c r="F164" s="208"/>
      <c r="G164" s="208">
        <f t="shared" ref="G164" ca="1" si="54">ROUND(B164+E164,2)</f>
        <v>18.7</v>
      </c>
    </row>
    <row r="165" spans="1:9" s="187" customFormat="1" ht="12.75">
      <c r="B165" s="186"/>
      <c r="C165" s="186"/>
      <c r="E165" s="186"/>
      <c r="F165" s="186"/>
      <c r="G165" s="186"/>
    </row>
    <row r="166" spans="1:9" s="187" customFormat="1" ht="12.75">
      <c r="A166" s="205" t="s">
        <v>222</v>
      </c>
      <c r="B166" s="230"/>
      <c r="C166" s="230"/>
      <c r="D166" s="228"/>
      <c r="E166" s="230"/>
      <c r="F166" s="230"/>
      <c r="G166" s="230"/>
    </row>
    <row r="167" spans="1:9" s="209" customFormat="1" ht="12.75">
      <c r="A167" s="209" t="s">
        <v>223</v>
      </c>
      <c r="B167" s="231"/>
      <c r="C167" s="231"/>
      <c r="E167" s="231"/>
      <c r="F167" s="231"/>
      <c r="G167" s="231"/>
      <c r="H167" s="187"/>
      <c r="I167" s="187"/>
    </row>
    <row r="168" spans="1:9" s="187" customFormat="1" ht="12.75">
      <c r="A168" s="187" t="s">
        <v>224</v>
      </c>
      <c r="B168" s="225">
        <v>10.8</v>
      </c>
      <c r="C168" s="186"/>
      <c r="E168" s="208">
        <f t="shared" ref="E168:E173" ca="1" si="55">+ROUND(B168*$K$4,2)</f>
        <v>0.04</v>
      </c>
      <c r="F168" s="208"/>
      <c r="G168" s="208">
        <f t="shared" ref="G168:G173" ca="1" si="56">ROUND(B168+E168,2)</f>
        <v>10.84</v>
      </c>
    </row>
    <row r="169" spans="1:9" s="187" customFormat="1" ht="12.75">
      <c r="A169" s="187" t="s">
        <v>154</v>
      </c>
      <c r="B169" s="225">
        <v>32.68</v>
      </c>
      <c r="C169" s="186"/>
      <c r="E169" s="208">
        <f t="shared" ca="1" si="55"/>
        <v>0.13</v>
      </c>
      <c r="F169" s="208"/>
      <c r="G169" s="208">
        <f t="shared" ca="1" si="56"/>
        <v>32.81</v>
      </c>
    </row>
    <row r="170" spans="1:9" s="187" customFormat="1" ht="12.75">
      <c r="A170" s="187" t="s">
        <v>225</v>
      </c>
      <c r="B170" s="225">
        <v>16.21</v>
      </c>
      <c r="C170" s="186"/>
      <c r="E170" s="208">
        <f t="shared" ca="1" si="55"/>
        <v>0.06</v>
      </c>
      <c r="F170" s="208"/>
      <c r="G170" s="208">
        <f t="shared" ca="1" si="56"/>
        <v>16.27</v>
      </c>
    </row>
    <row r="171" spans="1:9" s="187" customFormat="1" ht="12.75">
      <c r="A171" s="187" t="s">
        <v>154</v>
      </c>
      <c r="B171" s="225">
        <v>48.61</v>
      </c>
      <c r="C171" s="186"/>
      <c r="E171" s="208">
        <f t="shared" ca="1" si="55"/>
        <v>0.19</v>
      </c>
      <c r="F171" s="208"/>
      <c r="G171" s="208">
        <f t="shared" ca="1" si="56"/>
        <v>48.8</v>
      </c>
    </row>
    <row r="172" spans="1:9" s="187" customFormat="1" ht="12.75">
      <c r="A172" s="187" t="s">
        <v>226</v>
      </c>
      <c r="B172" s="225">
        <v>11.35</v>
      </c>
      <c r="C172" s="186"/>
      <c r="E172" s="208">
        <f t="shared" ca="1" si="55"/>
        <v>0.04</v>
      </c>
      <c r="F172" s="208"/>
      <c r="G172" s="208">
        <f t="shared" ca="1" si="56"/>
        <v>11.39</v>
      </c>
    </row>
    <row r="173" spans="1:9" s="187" customFormat="1" ht="12.75">
      <c r="A173" s="187" t="s">
        <v>154</v>
      </c>
      <c r="B173" s="225">
        <v>11.35</v>
      </c>
      <c r="C173" s="186"/>
      <c r="E173" s="208">
        <f t="shared" ca="1" si="55"/>
        <v>0.04</v>
      </c>
      <c r="F173" s="208"/>
      <c r="G173" s="208">
        <f t="shared" ca="1" si="56"/>
        <v>11.39</v>
      </c>
    </row>
    <row r="174" spans="1:9" s="187" customFormat="1" ht="12.75">
      <c r="B174" s="186"/>
      <c r="C174" s="186"/>
      <c r="E174" s="186"/>
      <c r="F174" s="186"/>
      <c r="G174" s="186"/>
    </row>
    <row r="175" spans="1:9" s="187" customFormat="1" ht="12.75">
      <c r="A175" s="205" t="s">
        <v>227</v>
      </c>
      <c r="B175" s="230"/>
      <c r="C175" s="230"/>
      <c r="D175" s="228"/>
      <c r="E175" s="230"/>
      <c r="F175" s="230"/>
      <c r="G175" s="230"/>
    </row>
    <row r="176" spans="1:9" s="187" customFormat="1" ht="12.75">
      <c r="A176" s="209" t="s">
        <v>228</v>
      </c>
      <c r="B176" s="186"/>
      <c r="C176" s="186"/>
      <c r="E176" s="186"/>
      <c r="F176" s="186"/>
      <c r="G176" s="186"/>
    </row>
    <row r="177" spans="1:11" s="187" customFormat="1" ht="12.75">
      <c r="A177" s="209" t="s">
        <v>229</v>
      </c>
      <c r="B177" s="225">
        <v>130.62</v>
      </c>
      <c r="C177" s="186"/>
      <c r="E177" s="208"/>
      <c r="F177" s="208"/>
      <c r="G177" s="220">
        <f>ROUND(B177+E177,2)</f>
        <v>130.62</v>
      </c>
      <c r="H177" s="196"/>
    </row>
    <row r="178" spans="1:11" s="187" customFormat="1" ht="12.75">
      <c r="B178" s="186"/>
      <c r="C178" s="186"/>
      <c r="E178" s="186"/>
      <c r="F178" s="186"/>
      <c r="G178" s="186"/>
    </row>
    <row r="179" spans="1:11" s="187" customFormat="1" ht="12.75">
      <c r="A179" s="216" t="s">
        <v>230</v>
      </c>
      <c r="B179" s="227"/>
      <c r="C179" s="227"/>
      <c r="D179" s="234"/>
      <c r="E179" s="227"/>
      <c r="F179" s="227"/>
      <c r="G179" s="227"/>
    </row>
    <row r="180" spans="1:11" s="186" customFormat="1" ht="12.75">
      <c r="A180" s="210" t="s">
        <v>231</v>
      </c>
      <c r="D180" s="187"/>
      <c r="H180" s="187"/>
      <c r="I180" s="187"/>
      <c r="J180" s="187"/>
    </row>
    <row r="181" spans="1:11" s="186" customFormat="1" ht="12.75">
      <c r="A181" s="187" t="s">
        <v>232</v>
      </c>
      <c r="B181" s="225">
        <v>9.02</v>
      </c>
      <c r="D181" s="187"/>
      <c r="E181" s="208">
        <f t="shared" ref="E181:E183" ca="1" si="57">+ROUND(B181*$K$4,2)</f>
        <v>0.03</v>
      </c>
      <c r="F181" s="208"/>
      <c r="G181" s="208">
        <f t="shared" ref="G181:G183" ca="1" si="58">ROUND(B181+E181,2)</f>
        <v>9.0500000000000007</v>
      </c>
      <c r="H181" s="196"/>
      <c r="I181" s="187"/>
      <c r="J181" s="187"/>
    </row>
    <row r="182" spans="1:11" s="186" customFormat="1" ht="12.75">
      <c r="A182" s="187" t="s">
        <v>233</v>
      </c>
      <c r="B182" s="225">
        <v>10.16</v>
      </c>
      <c r="D182" s="187"/>
      <c r="E182" s="208">
        <f t="shared" ca="1" si="57"/>
        <v>0.04</v>
      </c>
      <c r="F182" s="208"/>
      <c r="G182" s="208">
        <f t="shared" ca="1" si="58"/>
        <v>10.199999999999999</v>
      </c>
      <c r="H182" s="196"/>
      <c r="I182" s="187"/>
      <c r="J182" s="187"/>
    </row>
    <row r="183" spans="1:11" s="186" customFormat="1" ht="12.75">
      <c r="A183" s="187" t="s">
        <v>234</v>
      </c>
      <c r="B183" s="225">
        <v>14.67</v>
      </c>
      <c r="D183" s="187"/>
      <c r="E183" s="208">
        <f t="shared" ca="1" si="57"/>
        <v>0.06</v>
      </c>
      <c r="F183" s="208"/>
      <c r="G183" s="208">
        <f t="shared" ca="1" si="58"/>
        <v>14.73</v>
      </c>
      <c r="H183" s="196"/>
      <c r="I183" s="187"/>
      <c r="J183" s="187"/>
    </row>
    <row r="184" spans="1:11" s="186" customFormat="1" ht="12.75">
      <c r="A184" s="210"/>
      <c r="D184" s="187"/>
      <c r="H184" s="187"/>
      <c r="I184" s="187"/>
      <c r="J184" s="187"/>
    </row>
    <row r="185" spans="1:11" s="186" customFormat="1" ht="12.75">
      <c r="A185" s="210" t="s">
        <v>235</v>
      </c>
      <c r="D185" s="187"/>
      <c r="H185" s="187"/>
      <c r="I185" s="187"/>
      <c r="J185" s="187"/>
    </row>
    <row r="186" spans="1:11" s="186" customFormat="1" ht="12.75">
      <c r="A186" s="187" t="s">
        <v>232</v>
      </c>
      <c r="B186" s="225">
        <v>20.65</v>
      </c>
      <c r="D186" s="187"/>
      <c r="E186" s="208">
        <f t="shared" ref="E186:E188" ca="1" si="59">+ROUND(B186*$K$4,2)</f>
        <v>0.08</v>
      </c>
      <c r="F186" s="208"/>
      <c r="G186" s="208">
        <f t="shared" ref="G186:G188" ca="1" si="60">ROUND(B186+E186,2)</f>
        <v>20.73</v>
      </c>
      <c r="H186" s="187"/>
      <c r="I186" s="187"/>
      <c r="J186" s="224"/>
      <c r="K186" s="224"/>
    </row>
    <row r="187" spans="1:11" s="186" customFormat="1" ht="12.75">
      <c r="A187" s="187" t="s">
        <v>233</v>
      </c>
      <c r="B187" s="225">
        <v>23.59</v>
      </c>
      <c r="D187" s="187"/>
      <c r="E187" s="208">
        <f t="shared" ca="1" si="59"/>
        <v>0.09</v>
      </c>
      <c r="F187" s="208"/>
      <c r="G187" s="208">
        <f t="shared" ca="1" si="60"/>
        <v>23.68</v>
      </c>
      <c r="H187" s="187"/>
      <c r="I187" s="187"/>
      <c r="J187" s="224"/>
      <c r="K187" s="224"/>
    </row>
    <row r="188" spans="1:11" s="186" customFormat="1" ht="12.75">
      <c r="A188" s="187" t="s">
        <v>234</v>
      </c>
      <c r="B188" s="225">
        <v>31.12</v>
      </c>
      <c r="D188" s="187"/>
      <c r="E188" s="208">
        <f t="shared" ca="1" si="59"/>
        <v>0.12</v>
      </c>
      <c r="F188" s="208"/>
      <c r="G188" s="208">
        <f t="shared" ca="1" si="60"/>
        <v>31.24</v>
      </c>
      <c r="H188" s="187"/>
      <c r="I188" s="187"/>
      <c r="J188" s="224"/>
      <c r="K188" s="224"/>
    </row>
    <row r="189" spans="1:11" s="186" customFormat="1" ht="12.75">
      <c r="A189" s="206"/>
      <c r="D189" s="187"/>
      <c r="H189" s="187"/>
      <c r="I189" s="187"/>
      <c r="J189" s="187"/>
    </row>
    <row r="190" spans="1:11" s="186" customFormat="1" ht="12.75">
      <c r="A190" s="209" t="s">
        <v>236</v>
      </c>
      <c r="D190" s="187"/>
      <c r="H190" s="187"/>
      <c r="I190" s="187"/>
      <c r="J190" s="187"/>
    </row>
    <row r="191" spans="1:11" s="186" customFormat="1" ht="12.75">
      <c r="A191" s="187" t="s">
        <v>232</v>
      </c>
      <c r="B191" s="225">
        <v>20.65</v>
      </c>
      <c r="D191" s="187"/>
      <c r="E191" s="208">
        <f t="shared" ref="E191:E193" ca="1" si="61">+ROUND(B191*$K$4,2)</f>
        <v>0.08</v>
      </c>
      <c r="F191" s="208"/>
      <c r="G191" s="208">
        <f t="shared" ref="G191:G193" ca="1" si="62">ROUND(B191+E191,2)</f>
        <v>20.73</v>
      </c>
      <c r="H191" s="187"/>
      <c r="I191" s="187"/>
      <c r="J191" s="187"/>
    </row>
    <row r="192" spans="1:11" s="186" customFormat="1" ht="12.75">
      <c r="A192" s="187" t="s">
        <v>233</v>
      </c>
      <c r="B192" s="225">
        <v>23.59</v>
      </c>
      <c r="D192" s="187"/>
      <c r="E192" s="208">
        <f t="shared" ca="1" si="61"/>
        <v>0.09</v>
      </c>
      <c r="F192" s="208"/>
      <c r="G192" s="208">
        <f t="shared" ca="1" si="62"/>
        <v>23.68</v>
      </c>
      <c r="H192" s="187"/>
      <c r="I192" s="187"/>
      <c r="J192" s="187"/>
    </row>
    <row r="193" spans="1:10" s="186" customFormat="1" ht="12.75">
      <c r="A193" s="187" t="s">
        <v>234</v>
      </c>
      <c r="B193" s="225">
        <v>31.12</v>
      </c>
      <c r="D193" s="187"/>
      <c r="E193" s="208">
        <f t="shared" ca="1" si="61"/>
        <v>0.12</v>
      </c>
      <c r="F193" s="208"/>
      <c r="G193" s="208">
        <f t="shared" ca="1" si="62"/>
        <v>31.24</v>
      </c>
      <c r="H193" s="187"/>
      <c r="I193" s="187"/>
      <c r="J193" s="187"/>
    </row>
    <row r="194" spans="1:10" s="186" customFormat="1" ht="12.75">
      <c r="A194" s="206"/>
      <c r="D194" s="187"/>
      <c r="H194" s="187"/>
      <c r="I194" s="187"/>
      <c r="J194" s="187"/>
    </row>
    <row r="195" spans="1:10" s="186" customFormat="1" ht="12.75">
      <c r="A195" s="210" t="s">
        <v>237</v>
      </c>
      <c r="D195" s="187"/>
      <c r="H195" s="187"/>
      <c r="I195" s="187"/>
      <c r="J195" s="187"/>
    </row>
    <row r="196" spans="1:10" s="186" customFormat="1" ht="12.75">
      <c r="A196" s="210" t="s">
        <v>238</v>
      </c>
      <c r="D196" s="187"/>
      <c r="H196" s="187"/>
      <c r="I196" s="187"/>
      <c r="J196" s="187"/>
    </row>
    <row r="197" spans="1:10" s="186" customFormat="1" ht="12.75">
      <c r="A197" s="187" t="s">
        <v>232</v>
      </c>
      <c r="B197" s="229">
        <v>28.85</v>
      </c>
      <c r="D197" s="187"/>
      <c r="E197" s="208">
        <f t="shared" ref="E197:E199" ca="1" si="63">+ROUND(B197*$K$4,2)</f>
        <v>0.11</v>
      </c>
      <c r="F197" s="208"/>
      <c r="G197" s="208">
        <f t="shared" ref="G197:G199" ca="1" si="64">ROUND(B197+E197,2)</f>
        <v>28.96</v>
      </c>
      <c r="H197" s="187"/>
      <c r="I197" s="187"/>
      <c r="J197" s="187"/>
    </row>
    <row r="198" spans="1:10" s="186" customFormat="1" ht="12.75">
      <c r="A198" s="187" t="s">
        <v>233</v>
      </c>
      <c r="B198" s="229">
        <v>28.85</v>
      </c>
      <c r="D198" s="187"/>
      <c r="E198" s="208">
        <f t="shared" ca="1" si="63"/>
        <v>0.11</v>
      </c>
      <c r="F198" s="208"/>
      <c r="G198" s="208">
        <f t="shared" ca="1" si="64"/>
        <v>28.96</v>
      </c>
      <c r="H198" s="187"/>
      <c r="I198" s="187"/>
      <c r="J198" s="187"/>
    </row>
    <row r="199" spans="1:10" s="186" customFormat="1" ht="12.75">
      <c r="A199" s="187" t="s">
        <v>234</v>
      </c>
      <c r="B199" s="229">
        <v>28.85</v>
      </c>
      <c r="D199" s="187"/>
      <c r="E199" s="208">
        <f t="shared" ca="1" si="63"/>
        <v>0.11</v>
      </c>
      <c r="F199" s="208"/>
      <c r="G199" s="208">
        <f t="shared" ca="1" si="64"/>
        <v>28.96</v>
      </c>
      <c r="H199" s="187"/>
      <c r="I199" s="187"/>
      <c r="J199" s="187"/>
    </row>
    <row r="200" spans="1:10" s="186" customFormat="1" ht="12.75">
      <c r="A200" s="187"/>
      <c r="D200" s="187"/>
      <c r="H200" s="187"/>
      <c r="I200" s="187"/>
      <c r="J200" s="187"/>
    </row>
    <row r="201" spans="1:10" s="186" customFormat="1" ht="12.75">
      <c r="A201" s="209" t="s">
        <v>235</v>
      </c>
      <c r="D201" s="187"/>
      <c r="H201" s="187"/>
      <c r="I201" s="187"/>
      <c r="J201" s="187"/>
    </row>
    <row r="202" spans="1:10" s="186" customFormat="1" ht="12.75">
      <c r="A202" s="187" t="s">
        <v>232</v>
      </c>
      <c r="B202" s="229">
        <v>20.65</v>
      </c>
      <c r="D202" s="187"/>
      <c r="E202" s="208">
        <f t="shared" ref="E202:E204" ca="1" si="65">+ROUND(B202*$K$4,2)</f>
        <v>0.08</v>
      </c>
      <c r="F202" s="208"/>
      <c r="G202" s="208">
        <f t="shared" ref="G202:G204" ca="1" si="66">ROUND(B202+E202,2)</f>
        <v>20.73</v>
      </c>
      <c r="H202" s="187"/>
      <c r="I202" s="187"/>
      <c r="J202" s="187"/>
    </row>
    <row r="203" spans="1:10" s="186" customFormat="1" ht="12.75">
      <c r="A203" s="187" t="s">
        <v>233</v>
      </c>
      <c r="B203" s="229">
        <v>23.59</v>
      </c>
      <c r="D203" s="187"/>
      <c r="E203" s="208">
        <f t="shared" ca="1" si="65"/>
        <v>0.09</v>
      </c>
      <c r="F203" s="208"/>
      <c r="G203" s="208">
        <f t="shared" ca="1" si="66"/>
        <v>23.68</v>
      </c>
      <c r="H203" s="187"/>
      <c r="I203" s="187"/>
      <c r="J203" s="187"/>
    </row>
    <row r="204" spans="1:10" s="186" customFormat="1" ht="12.75">
      <c r="A204" s="187" t="s">
        <v>234</v>
      </c>
      <c r="B204" s="229">
        <v>31.12</v>
      </c>
      <c r="D204" s="187"/>
      <c r="E204" s="208">
        <f t="shared" ca="1" si="65"/>
        <v>0.12</v>
      </c>
      <c r="F204" s="208"/>
      <c r="G204" s="208">
        <f t="shared" ca="1" si="66"/>
        <v>31.24</v>
      </c>
      <c r="H204" s="187"/>
      <c r="I204" s="187"/>
      <c r="J204" s="187"/>
    </row>
    <row r="205" spans="1:10" s="187" customFormat="1" ht="12.75">
      <c r="A205" s="206"/>
      <c r="B205" s="229"/>
      <c r="C205" s="186"/>
      <c r="E205" s="186"/>
      <c r="F205" s="186"/>
      <c r="G205" s="186"/>
    </row>
    <row r="206" spans="1:10" s="187" customFormat="1" ht="12.75">
      <c r="A206" s="209" t="s">
        <v>239</v>
      </c>
      <c r="B206" s="229"/>
      <c r="C206" s="186"/>
      <c r="E206" s="186"/>
      <c r="F206" s="186"/>
      <c r="G206" s="186"/>
    </row>
    <row r="207" spans="1:10" s="187" customFormat="1" ht="12.75">
      <c r="A207" s="187" t="s">
        <v>232</v>
      </c>
      <c r="B207" s="229">
        <v>0.51</v>
      </c>
      <c r="C207" s="186"/>
      <c r="E207" s="208">
        <f t="shared" ref="E207:E209" ca="1" si="67">+ROUND(B207*$K$4,2)</f>
        <v>0</v>
      </c>
      <c r="F207" s="208"/>
      <c r="G207" s="208">
        <f t="shared" ref="G207:G209" ca="1" si="68">ROUND(B207+E207,2)</f>
        <v>0.51</v>
      </c>
      <c r="H207" s="196"/>
    </row>
    <row r="208" spans="1:10" s="187" customFormat="1" ht="12.75">
      <c r="A208" s="187" t="s">
        <v>233</v>
      </c>
      <c r="B208" s="229">
        <v>0.56999999999999995</v>
      </c>
      <c r="C208" s="186"/>
      <c r="E208" s="208">
        <f t="shared" ca="1" si="67"/>
        <v>0</v>
      </c>
      <c r="F208" s="208"/>
      <c r="G208" s="208">
        <f t="shared" ca="1" si="68"/>
        <v>0.56999999999999995</v>
      </c>
      <c r="H208" s="196"/>
    </row>
    <row r="209" spans="1:9" s="187" customFormat="1" ht="12.75">
      <c r="A209" s="187" t="s">
        <v>234</v>
      </c>
      <c r="B209" s="229">
        <v>0.73</v>
      </c>
      <c r="C209" s="186"/>
      <c r="E209" s="208">
        <f t="shared" ca="1" si="67"/>
        <v>0</v>
      </c>
      <c r="F209" s="208"/>
      <c r="G209" s="208">
        <f t="shared" ca="1" si="68"/>
        <v>0.73</v>
      </c>
      <c r="H209" s="196"/>
    </row>
    <row r="210" spans="1:9" s="187" customFormat="1" ht="12.75">
      <c r="B210" s="229"/>
      <c r="C210" s="186"/>
      <c r="E210" s="186"/>
      <c r="F210" s="186"/>
      <c r="G210" s="186"/>
    </row>
    <row r="211" spans="1:9" s="187" customFormat="1" ht="12.75">
      <c r="A211" s="209" t="s">
        <v>240</v>
      </c>
      <c r="B211" s="229"/>
      <c r="C211" s="186"/>
      <c r="E211" s="186"/>
      <c r="F211" s="186"/>
      <c r="G211" s="186"/>
    </row>
    <row r="212" spans="1:9" s="187" customFormat="1" ht="12.75">
      <c r="A212" s="187" t="s">
        <v>232</v>
      </c>
      <c r="B212" s="229">
        <v>15.2</v>
      </c>
      <c r="C212" s="186"/>
      <c r="E212" s="208">
        <f t="shared" ref="E212:E214" ca="1" si="69">+ROUND(B212*$K$4,2)</f>
        <v>0.06</v>
      </c>
      <c r="F212" s="208"/>
      <c r="G212" s="208">
        <f t="shared" ref="G212:G214" ca="1" si="70">ROUND(B212+E212,2)</f>
        <v>15.26</v>
      </c>
      <c r="H212" s="196"/>
    </row>
    <row r="213" spans="1:9" s="187" customFormat="1" ht="12.75">
      <c r="A213" s="187" t="s">
        <v>233</v>
      </c>
      <c r="B213" s="229">
        <v>16.8</v>
      </c>
      <c r="C213" s="186"/>
      <c r="E213" s="208">
        <f t="shared" ca="1" si="69"/>
        <v>7.0000000000000007E-2</v>
      </c>
      <c r="F213" s="208"/>
      <c r="G213" s="208">
        <f t="shared" ca="1" si="70"/>
        <v>16.87</v>
      </c>
      <c r="H213" s="196"/>
    </row>
    <row r="214" spans="1:9" s="187" customFormat="1" ht="12.75">
      <c r="A214" s="187" t="s">
        <v>234</v>
      </c>
      <c r="B214" s="229">
        <v>21.99</v>
      </c>
      <c r="C214" s="186"/>
      <c r="E214" s="208">
        <f t="shared" ca="1" si="69"/>
        <v>0.09</v>
      </c>
      <c r="F214" s="208"/>
      <c r="G214" s="208">
        <f t="shared" ca="1" si="70"/>
        <v>22.08</v>
      </c>
      <c r="H214" s="196"/>
    </row>
    <row r="215" spans="1:9" s="187" customFormat="1" ht="12.75">
      <c r="B215" s="186"/>
      <c r="C215" s="186"/>
      <c r="E215" s="186"/>
      <c r="F215" s="186"/>
      <c r="G215" s="186"/>
      <c r="H215" s="196"/>
    </row>
    <row r="216" spans="1:9" s="187" customFormat="1" ht="12.75">
      <c r="A216" s="209" t="s">
        <v>241</v>
      </c>
      <c r="B216" s="186"/>
      <c r="C216" s="186"/>
      <c r="E216" s="186"/>
      <c r="F216" s="186"/>
      <c r="G216" s="186"/>
      <c r="H216" s="196"/>
    </row>
    <row r="217" spans="1:9" s="187" customFormat="1" ht="12.75">
      <c r="A217" s="187" t="s">
        <v>232</v>
      </c>
      <c r="B217" s="229">
        <v>267.10000000000002</v>
      </c>
      <c r="C217" s="186"/>
      <c r="E217" s="208">
        <f t="shared" ref="E217:E219" ca="1" si="71">+ROUND(B217*$K$4,2)</f>
        <v>1.03</v>
      </c>
      <c r="F217" s="208"/>
      <c r="G217" s="208">
        <f t="shared" ref="G217:G219" ca="1" si="72">ROUND(B217+E217,2)</f>
        <v>268.13</v>
      </c>
    </row>
    <row r="218" spans="1:9" s="187" customFormat="1" ht="12.75">
      <c r="A218" s="187" t="s">
        <v>233</v>
      </c>
      <c r="B218" s="229">
        <v>299.14</v>
      </c>
      <c r="C218" s="186"/>
      <c r="E218" s="208">
        <f t="shared" ca="1" si="71"/>
        <v>1.1599999999999999</v>
      </c>
      <c r="F218" s="208"/>
      <c r="G218" s="208">
        <f t="shared" ca="1" si="72"/>
        <v>300.3</v>
      </c>
    </row>
    <row r="219" spans="1:9" s="187" customFormat="1" ht="12.75">
      <c r="A219" s="187" t="s">
        <v>234</v>
      </c>
      <c r="B219" s="229">
        <v>320.52</v>
      </c>
      <c r="C219" s="186"/>
      <c r="E219" s="208">
        <f t="shared" ca="1" si="71"/>
        <v>1.24</v>
      </c>
      <c r="F219" s="208"/>
      <c r="G219" s="208">
        <f t="shared" ca="1" si="72"/>
        <v>321.76</v>
      </c>
    </row>
    <row r="220" spans="1:9" s="187" customFormat="1" ht="12.75">
      <c r="B220" s="229"/>
      <c r="C220" s="186"/>
      <c r="E220" s="186"/>
      <c r="F220" s="186"/>
      <c r="G220" s="186"/>
    </row>
    <row r="221" spans="1:9" s="209" customFormat="1" ht="12.75">
      <c r="A221" s="209" t="s">
        <v>242</v>
      </c>
      <c r="B221" s="352"/>
      <c r="C221" s="231"/>
      <c r="E221" s="231"/>
      <c r="F221" s="231"/>
      <c r="G221" s="231"/>
      <c r="H221" s="187"/>
      <c r="I221" s="187"/>
    </row>
    <row r="222" spans="1:9" s="187" customFormat="1" ht="12.75">
      <c r="A222" s="187" t="s">
        <v>243</v>
      </c>
      <c r="B222" s="229">
        <v>2.71</v>
      </c>
      <c r="C222" s="186"/>
      <c r="E222" s="208">
        <f t="shared" ref="E222" ca="1" si="73">+ROUND(B222*$K$4,2)</f>
        <v>0.01</v>
      </c>
      <c r="F222" s="208"/>
      <c r="G222" s="208">
        <f t="shared" ref="G222" ca="1" si="74">ROUND(B222+E222,2)</f>
        <v>2.72</v>
      </c>
    </row>
    <row r="223" spans="1:9" s="187" customFormat="1" ht="12.75">
      <c r="B223" s="229"/>
      <c r="C223" s="186"/>
      <c r="E223" s="186"/>
      <c r="F223" s="186"/>
      <c r="G223" s="186"/>
    </row>
    <row r="224" spans="1:9" s="187" customFormat="1" ht="12.75">
      <c r="A224" s="187" t="s">
        <v>244</v>
      </c>
      <c r="B224" s="229">
        <v>18.63</v>
      </c>
      <c r="C224" s="186"/>
      <c r="E224" s="208">
        <f t="shared" ref="E224" ca="1" si="75">+ROUND(B224*$K$4,2)</f>
        <v>7.0000000000000007E-2</v>
      </c>
      <c r="F224" s="208"/>
      <c r="G224" s="208">
        <f t="shared" ref="G224" ca="1" si="76">ROUND(B224+E224,2)</f>
        <v>18.7</v>
      </c>
    </row>
    <row r="225" spans="1:10" s="187" customFormat="1" ht="12.75">
      <c r="B225" s="186"/>
      <c r="C225" s="186"/>
      <c r="E225" s="186"/>
      <c r="F225" s="186"/>
      <c r="G225" s="186"/>
    </row>
    <row r="226" spans="1:10" s="187" customFormat="1" ht="12.75">
      <c r="A226" s="216" t="s">
        <v>245</v>
      </c>
      <c r="B226" s="227"/>
      <c r="C226" s="227"/>
      <c r="D226" s="234"/>
      <c r="E226" s="227"/>
      <c r="F226" s="227"/>
      <c r="G226" s="227"/>
    </row>
    <row r="227" spans="1:10" s="187" customFormat="1" ht="12.75">
      <c r="A227" s="187" t="s">
        <v>246</v>
      </c>
      <c r="B227" s="229">
        <v>5.52</v>
      </c>
      <c r="C227" s="186"/>
      <c r="E227" s="208">
        <f t="shared" ref="E227:E230" ca="1" si="77">+ROUND(B227*$K$4,2)</f>
        <v>0.02</v>
      </c>
      <c r="F227" s="208"/>
      <c r="G227" s="208">
        <f t="shared" ref="G227:G230" ca="1" si="78">ROUND(B227+E227,2)</f>
        <v>5.54</v>
      </c>
      <c r="I227" s="235"/>
    </row>
    <row r="228" spans="1:10" s="187" customFormat="1" ht="12.75">
      <c r="A228" s="187" t="s">
        <v>247</v>
      </c>
      <c r="B228" s="229">
        <v>6.56</v>
      </c>
      <c r="C228" s="186"/>
      <c r="E228" s="208">
        <f t="shared" ca="1" si="77"/>
        <v>0.03</v>
      </c>
      <c r="F228" s="208"/>
      <c r="G228" s="208">
        <f t="shared" ca="1" si="78"/>
        <v>6.59</v>
      </c>
      <c r="I228" s="235"/>
    </row>
    <row r="229" spans="1:10" s="187" customFormat="1" ht="12.75">
      <c r="A229" s="187" t="s">
        <v>248</v>
      </c>
      <c r="B229" s="229">
        <v>7.68</v>
      </c>
      <c r="C229" s="186"/>
      <c r="E229" s="208">
        <f t="shared" ca="1" si="77"/>
        <v>0.03</v>
      </c>
      <c r="F229" s="208"/>
      <c r="G229" s="208">
        <f t="shared" ca="1" si="78"/>
        <v>7.71</v>
      </c>
      <c r="I229" s="235"/>
    </row>
    <row r="230" spans="1:10" s="187" customFormat="1" ht="12.75">
      <c r="A230" s="187" t="s">
        <v>249</v>
      </c>
      <c r="B230" s="229">
        <v>9.7899999999999991</v>
      </c>
      <c r="C230" s="186"/>
      <c r="E230" s="208">
        <f t="shared" ca="1" si="77"/>
        <v>0.04</v>
      </c>
      <c r="F230" s="208"/>
      <c r="G230" s="208">
        <f t="shared" ca="1" si="78"/>
        <v>9.83</v>
      </c>
      <c r="I230" s="235"/>
    </row>
    <row r="231" spans="1:10" s="186" customFormat="1" ht="12.75">
      <c r="A231" s="206"/>
      <c r="B231" s="229"/>
      <c r="D231" s="187"/>
      <c r="H231" s="187"/>
      <c r="I231" s="187"/>
      <c r="J231" s="187"/>
    </row>
    <row r="232" spans="1:10" s="231" customFormat="1" ht="12.75">
      <c r="A232" s="209" t="s">
        <v>250</v>
      </c>
      <c r="B232" s="352"/>
      <c r="D232" s="209"/>
      <c r="H232" s="187"/>
      <c r="I232" s="187"/>
      <c r="J232" s="209"/>
    </row>
    <row r="233" spans="1:10" s="186" customFormat="1" ht="12.75">
      <c r="A233" s="187" t="s">
        <v>251</v>
      </c>
      <c r="B233" s="229">
        <v>16.32</v>
      </c>
      <c r="D233" s="187"/>
      <c r="E233" s="208">
        <f t="shared" ref="E233:E236" ca="1" si="79">+ROUND(B233*$K$4,2)</f>
        <v>0.06</v>
      </c>
      <c r="F233" s="208"/>
      <c r="G233" s="208">
        <f t="shared" ref="G233:G236" ca="1" si="80">ROUND(B233+E233,2)</f>
        <v>16.38</v>
      </c>
      <c r="H233" s="187"/>
      <c r="I233" s="187"/>
      <c r="J233" s="187"/>
    </row>
    <row r="234" spans="1:10" s="186" customFormat="1" ht="12.75">
      <c r="A234" s="187" t="s">
        <v>247</v>
      </c>
      <c r="B234" s="229">
        <v>17.36</v>
      </c>
      <c r="D234" s="187"/>
      <c r="E234" s="208">
        <f t="shared" ca="1" si="79"/>
        <v>7.0000000000000007E-2</v>
      </c>
      <c r="F234" s="208"/>
      <c r="G234" s="208">
        <f t="shared" ca="1" si="80"/>
        <v>17.43</v>
      </c>
      <c r="H234" s="187"/>
      <c r="I234" s="187"/>
      <c r="J234" s="187"/>
    </row>
    <row r="235" spans="1:10" s="186" customFormat="1" ht="12.75">
      <c r="A235" s="187" t="s">
        <v>248</v>
      </c>
      <c r="B235" s="229">
        <v>18.489999999999998</v>
      </c>
      <c r="D235" s="187"/>
      <c r="E235" s="208">
        <f t="shared" ca="1" si="79"/>
        <v>7.0000000000000007E-2</v>
      </c>
      <c r="F235" s="208"/>
      <c r="G235" s="208">
        <f t="shared" ca="1" si="80"/>
        <v>18.559999999999999</v>
      </c>
      <c r="H235" s="187"/>
      <c r="I235" s="187"/>
      <c r="J235" s="187"/>
    </row>
    <row r="236" spans="1:10" s="186" customFormat="1" ht="12.75">
      <c r="A236" s="187" t="s">
        <v>249</v>
      </c>
      <c r="B236" s="229">
        <v>20.59</v>
      </c>
      <c r="D236" s="187"/>
      <c r="E236" s="208">
        <f t="shared" ca="1" si="79"/>
        <v>0.08</v>
      </c>
      <c r="F236" s="208"/>
      <c r="G236" s="208">
        <f t="shared" ca="1" si="80"/>
        <v>20.67</v>
      </c>
      <c r="H236" s="187"/>
      <c r="I236" s="187"/>
      <c r="J236" s="187"/>
    </row>
    <row r="237" spans="1:10" s="186" customFormat="1" ht="12.75">
      <c r="A237" s="187"/>
      <c r="D237" s="187"/>
      <c r="H237" s="187"/>
      <c r="I237" s="187"/>
      <c r="J237" s="187"/>
    </row>
    <row r="238" spans="1:10" s="186" customFormat="1" ht="12.75">
      <c r="A238" s="209" t="s">
        <v>237</v>
      </c>
      <c r="D238" s="187"/>
      <c r="H238" s="187"/>
      <c r="I238" s="187"/>
      <c r="J238" s="187"/>
    </row>
    <row r="239" spans="1:10" s="186" customFormat="1" ht="12.75">
      <c r="A239" s="187" t="s">
        <v>251</v>
      </c>
      <c r="B239" s="229">
        <v>5.52</v>
      </c>
      <c r="D239" s="187"/>
      <c r="E239" s="208">
        <f t="shared" ref="E239:E242" ca="1" si="81">+ROUND(B239*$K$4,2)</f>
        <v>0.02</v>
      </c>
      <c r="F239" s="208"/>
      <c r="G239" s="208">
        <f t="shared" ref="G239:G242" ca="1" si="82">ROUND(B239+E239,2)</f>
        <v>5.54</v>
      </c>
      <c r="H239" s="187"/>
      <c r="I239" s="187"/>
      <c r="J239" s="187"/>
    </row>
    <row r="240" spans="1:10" s="186" customFormat="1" ht="12.75">
      <c r="A240" s="187" t="s">
        <v>247</v>
      </c>
      <c r="B240" s="229">
        <v>6.56</v>
      </c>
      <c r="D240" s="187"/>
      <c r="E240" s="208">
        <f t="shared" ca="1" si="81"/>
        <v>0.03</v>
      </c>
      <c r="F240" s="208"/>
      <c r="G240" s="208">
        <f t="shared" ca="1" si="82"/>
        <v>6.59</v>
      </c>
      <c r="H240" s="187"/>
      <c r="I240" s="187"/>
      <c r="J240" s="187"/>
    </row>
    <row r="241" spans="1:10" s="186" customFormat="1" ht="12.75">
      <c r="A241" s="187" t="s">
        <v>248</v>
      </c>
      <c r="B241" s="229">
        <v>7.68</v>
      </c>
      <c r="D241" s="187"/>
      <c r="E241" s="208">
        <f t="shared" ca="1" si="81"/>
        <v>0.03</v>
      </c>
      <c r="F241" s="208"/>
      <c r="G241" s="208">
        <f t="shared" ca="1" si="82"/>
        <v>7.71</v>
      </c>
      <c r="H241" s="187"/>
      <c r="I241" s="187"/>
      <c r="J241" s="187"/>
    </row>
    <row r="242" spans="1:10" s="186" customFormat="1" ht="12.75">
      <c r="A242" s="187" t="s">
        <v>249</v>
      </c>
      <c r="B242" s="229">
        <v>9.7899999999999991</v>
      </c>
      <c r="D242" s="187"/>
      <c r="E242" s="208">
        <f t="shared" ca="1" si="81"/>
        <v>0.04</v>
      </c>
      <c r="F242" s="208"/>
      <c r="G242" s="208">
        <f t="shared" ca="1" si="82"/>
        <v>9.83</v>
      </c>
      <c r="H242" s="187"/>
      <c r="I242" s="187"/>
      <c r="J242" s="187"/>
    </row>
    <row r="243" spans="1:10" s="186" customFormat="1" ht="12.75">
      <c r="A243" s="187"/>
      <c r="B243" s="229"/>
      <c r="D243" s="187"/>
      <c r="H243" s="187"/>
      <c r="I243" s="187"/>
      <c r="J243" s="187"/>
    </row>
    <row r="244" spans="1:10" s="186" customFormat="1" ht="12.75">
      <c r="A244" s="187" t="s">
        <v>252</v>
      </c>
      <c r="B244" s="229">
        <v>21.76</v>
      </c>
      <c r="D244" s="187"/>
      <c r="E244" s="208">
        <f t="shared" ref="E244:E245" ca="1" si="83">+ROUND(B244*$K$4,2)</f>
        <v>0.08</v>
      </c>
      <c r="F244" s="208"/>
      <c r="G244" s="208">
        <f t="shared" ref="G244:G245" ca="1" si="84">ROUND(B244+E244,2)</f>
        <v>21.84</v>
      </c>
      <c r="H244" s="187"/>
      <c r="I244" s="187"/>
      <c r="J244" s="187"/>
    </row>
    <row r="245" spans="1:10" s="186" customFormat="1" ht="12.75">
      <c r="A245" s="187" t="s">
        <v>253</v>
      </c>
      <c r="B245" s="229">
        <v>5.39</v>
      </c>
      <c r="D245" s="187"/>
      <c r="E245" s="208">
        <f t="shared" ca="1" si="83"/>
        <v>0.02</v>
      </c>
      <c r="F245" s="208"/>
      <c r="G245" s="208">
        <f t="shared" ca="1" si="84"/>
        <v>5.41</v>
      </c>
      <c r="H245" s="187"/>
      <c r="I245" s="187"/>
      <c r="J245" s="187"/>
    </row>
    <row r="246" spans="1:10" s="186" customFormat="1" ht="12.75">
      <c r="A246" s="187"/>
      <c r="D246" s="187"/>
      <c r="H246" s="187"/>
      <c r="I246" s="187"/>
      <c r="J246" s="187"/>
    </row>
    <row r="247" spans="1:10" s="186" customFormat="1" ht="12.75">
      <c r="A247" s="187" t="s">
        <v>254</v>
      </c>
      <c r="D247" s="187"/>
      <c r="H247" s="187"/>
      <c r="I247" s="187"/>
      <c r="J247" s="187"/>
    </row>
    <row r="248" spans="1:10" s="186" customFormat="1" ht="12.75">
      <c r="A248" s="187" t="s">
        <v>246</v>
      </c>
      <c r="B248" s="229">
        <v>23.68</v>
      </c>
      <c r="D248" s="187"/>
      <c r="E248" s="208">
        <f t="shared" ref="E248:E251" ca="1" si="85">+ROUND(B248*$K$4,2)</f>
        <v>0.09</v>
      </c>
      <c r="F248" s="208"/>
      <c r="G248" s="208">
        <f t="shared" ref="G248:G251" ca="1" si="86">ROUND(B248+E248,2)</f>
        <v>23.77</v>
      </c>
      <c r="H248" s="187"/>
      <c r="I248" s="187"/>
      <c r="J248" s="187"/>
    </row>
    <row r="249" spans="1:10" s="186" customFormat="1" ht="12.75">
      <c r="A249" s="187" t="s">
        <v>247</v>
      </c>
      <c r="B249" s="229">
        <v>28.18</v>
      </c>
      <c r="D249" s="187"/>
      <c r="E249" s="208">
        <f t="shared" ca="1" si="85"/>
        <v>0.11</v>
      </c>
      <c r="F249" s="208"/>
      <c r="G249" s="208">
        <f t="shared" ca="1" si="86"/>
        <v>28.29</v>
      </c>
      <c r="H249" s="187"/>
      <c r="I249" s="187"/>
      <c r="J249" s="187"/>
    </row>
    <row r="250" spans="1:10" s="186" customFormat="1" ht="12.75">
      <c r="A250" s="187" t="s">
        <v>248</v>
      </c>
      <c r="B250" s="229">
        <v>32.97</v>
      </c>
      <c r="D250" s="187"/>
      <c r="E250" s="208">
        <f t="shared" ca="1" si="85"/>
        <v>0.13</v>
      </c>
      <c r="F250" s="208"/>
      <c r="G250" s="208">
        <f t="shared" ca="1" si="86"/>
        <v>33.1</v>
      </c>
      <c r="H250" s="187"/>
      <c r="I250" s="187"/>
      <c r="J250" s="187"/>
    </row>
    <row r="251" spans="1:10" s="186" customFormat="1" ht="12.75">
      <c r="A251" s="187" t="s">
        <v>249</v>
      </c>
      <c r="B251" s="229">
        <v>42.01</v>
      </c>
      <c r="D251" s="187"/>
      <c r="E251" s="208">
        <f t="shared" ca="1" si="85"/>
        <v>0.16</v>
      </c>
      <c r="F251" s="208"/>
      <c r="G251" s="208">
        <f t="shared" ca="1" si="86"/>
        <v>42.17</v>
      </c>
      <c r="H251" s="187"/>
      <c r="I251" s="187"/>
      <c r="J251" s="187"/>
    </row>
    <row r="252" spans="1:10" s="186" customFormat="1" ht="12.75">
      <c r="A252" s="187"/>
      <c r="B252" s="229"/>
      <c r="D252" s="187"/>
      <c r="H252" s="187"/>
      <c r="I252" s="187"/>
      <c r="J252" s="187"/>
    </row>
    <row r="253" spans="1:10" s="186" customFormat="1" ht="12.75">
      <c r="A253" s="187" t="s">
        <v>255</v>
      </c>
      <c r="B253" s="229">
        <f>+B222</f>
        <v>2.71</v>
      </c>
      <c r="D253" s="187"/>
      <c r="E253" s="208">
        <f t="shared" ref="E253" ca="1" si="87">+ROUND(B253*$K$4,2)</f>
        <v>0.01</v>
      </c>
      <c r="F253" s="208"/>
      <c r="G253" s="208">
        <f t="shared" ref="G253" ca="1" si="88">ROUND(B253+E253,2)</f>
        <v>2.72</v>
      </c>
      <c r="H253" s="187"/>
      <c r="I253" s="187"/>
      <c r="J253" s="187"/>
    </row>
    <row r="254" spans="1:10" s="186" customFormat="1" ht="12.75">
      <c r="A254" s="206"/>
      <c r="D254" s="187"/>
      <c r="H254" s="187"/>
      <c r="I254" s="187"/>
      <c r="J254" s="187"/>
    </row>
    <row r="255" spans="1:10" s="186" customFormat="1" ht="12.75">
      <c r="A255" s="203" t="s">
        <v>256</v>
      </c>
      <c r="B255" s="230"/>
      <c r="C255" s="230"/>
      <c r="D255" s="228"/>
      <c r="E255" s="230"/>
      <c r="F255" s="230"/>
      <c r="G255" s="230"/>
      <c r="H255" s="187"/>
      <c r="I255" s="187"/>
      <c r="J255" s="187"/>
    </row>
    <row r="256" spans="1:10" s="231" customFormat="1" ht="12.75">
      <c r="A256" s="209" t="s">
        <v>257</v>
      </c>
      <c r="D256" s="209"/>
      <c r="H256" s="187"/>
      <c r="I256" s="187"/>
      <c r="J256" s="209"/>
    </row>
    <row r="257" spans="1:10" s="186" customFormat="1" ht="12.75">
      <c r="A257" s="187" t="s">
        <v>258</v>
      </c>
      <c r="B257" s="229">
        <v>89.42</v>
      </c>
      <c r="D257" s="187"/>
      <c r="E257" s="208">
        <f t="shared" ref="E257:E258" ca="1" si="89">+ROUND(B257*$K$4,2)</f>
        <v>0.35</v>
      </c>
      <c r="F257" s="208"/>
      <c r="G257" s="208">
        <f t="shared" ref="G257:G258" ca="1" si="90">ROUND(B257+E257,2)</f>
        <v>89.77</v>
      </c>
      <c r="H257" s="196"/>
      <c r="I257" s="187"/>
      <c r="J257" s="187"/>
    </row>
    <row r="258" spans="1:10" s="186" customFormat="1" ht="12.75">
      <c r="A258" s="187" t="s">
        <v>259</v>
      </c>
      <c r="B258" s="229">
        <v>103.86</v>
      </c>
      <c r="D258" s="187"/>
      <c r="E258" s="208">
        <f t="shared" ca="1" si="89"/>
        <v>0.4</v>
      </c>
      <c r="F258" s="208"/>
      <c r="G258" s="208">
        <f t="shared" ca="1" si="90"/>
        <v>104.26</v>
      </c>
      <c r="H258" s="196"/>
      <c r="I258" s="187"/>
      <c r="J258" s="187"/>
    </row>
    <row r="259" spans="1:10" s="186" customFormat="1" ht="12.75">
      <c r="A259" s="187" t="s">
        <v>261</v>
      </c>
      <c r="B259" s="229">
        <v>176.6</v>
      </c>
      <c r="D259" s="187"/>
      <c r="E259" s="208">
        <f t="shared" ref="E259" ca="1" si="91">+ROUND(B259*$K$4,2)</f>
        <v>0.68</v>
      </c>
      <c r="F259" s="208"/>
      <c r="G259" s="208">
        <f t="shared" ref="G259" ca="1" si="92">ROUND(B259+E259,2)</f>
        <v>177.28</v>
      </c>
      <c r="H259" s="196"/>
      <c r="I259" s="187"/>
      <c r="J259" s="187"/>
    </row>
    <row r="260" spans="1:10" s="186" customFormat="1" ht="12.75">
      <c r="A260" s="209"/>
      <c r="D260" s="187"/>
      <c r="H260" s="187"/>
      <c r="I260" s="187"/>
      <c r="J260" s="187"/>
    </row>
    <row r="261" spans="1:10" s="231" customFormat="1" ht="12.75">
      <c r="A261" s="209" t="s">
        <v>262</v>
      </c>
      <c r="D261" s="209"/>
      <c r="H261" s="187"/>
      <c r="I261" s="187"/>
      <c r="J261" s="209"/>
    </row>
    <row r="262" spans="1:10" s="231" customFormat="1" ht="12.75">
      <c r="A262" s="209" t="s">
        <v>263</v>
      </c>
      <c r="D262" s="209"/>
      <c r="H262" s="187"/>
      <c r="I262" s="187"/>
      <c r="J262" s="209"/>
    </row>
    <row r="263" spans="1:10" s="186" customFormat="1" ht="12.75">
      <c r="A263" s="187" t="s">
        <v>258</v>
      </c>
      <c r="B263" s="229">
        <v>89.67</v>
      </c>
      <c r="D263" s="187"/>
      <c r="E263" s="208">
        <f t="shared" ref="E263:E265" ca="1" si="93">+ROUND(B263*$K$4,2)</f>
        <v>0.35</v>
      </c>
      <c r="F263" s="208"/>
      <c r="G263" s="208">
        <f t="shared" ref="G263:G265" ca="1" si="94">ROUND(B263+E263,2)</f>
        <v>90.02</v>
      </c>
      <c r="H263" s="187"/>
      <c r="I263" s="187"/>
      <c r="J263" s="187"/>
    </row>
    <row r="264" spans="1:10" s="186" customFormat="1" ht="12.75">
      <c r="A264" s="187" t="s">
        <v>259</v>
      </c>
      <c r="B264" s="229">
        <v>104.14</v>
      </c>
      <c r="D264" s="187"/>
      <c r="E264" s="208">
        <f t="shared" ca="1" si="93"/>
        <v>0.4</v>
      </c>
      <c r="F264" s="208"/>
      <c r="G264" s="208">
        <f t="shared" ca="1" si="94"/>
        <v>104.54</v>
      </c>
      <c r="H264" s="187"/>
      <c r="I264" s="187"/>
      <c r="J264" s="187"/>
    </row>
    <row r="265" spans="1:10" s="186" customFormat="1" ht="12.75">
      <c r="A265" s="187" t="s">
        <v>261</v>
      </c>
      <c r="B265" s="229">
        <v>177.07</v>
      </c>
      <c r="D265" s="187"/>
      <c r="E265" s="208">
        <f t="shared" ca="1" si="93"/>
        <v>0.69</v>
      </c>
      <c r="F265" s="208"/>
      <c r="G265" s="208">
        <f t="shared" ca="1" si="94"/>
        <v>177.76</v>
      </c>
      <c r="H265" s="187"/>
      <c r="I265" s="187"/>
      <c r="J265" s="187"/>
    </row>
    <row r="266" spans="1:10" s="186" customFormat="1" ht="12.75">
      <c r="A266" s="209"/>
      <c r="B266" s="229"/>
      <c r="D266" s="187"/>
      <c r="H266" s="187"/>
      <c r="I266" s="187"/>
      <c r="J266" s="187"/>
    </row>
    <row r="267" spans="1:10" s="231" customFormat="1" ht="12.75">
      <c r="A267" s="209" t="s">
        <v>264</v>
      </c>
      <c r="B267" s="352"/>
      <c r="D267" s="209"/>
      <c r="H267" s="187"/>
      <c r="I267" s="187"/>
      <c r="J267" s="209"/>
    </row>
    <row r="268" spans="1:10" s="186" customFormat="1" ht="12.75">
      <c r="A268" s="187" t="s">
        <v>258</v>
      </c>
      <c r="B268" s="229">
        <v>83.29</v>
      </c>
      <c r="D268" s="187"/>
      <c r="E268" s="208">
        <f t="shared" ref="E268" ca="1" si="95">+ROUND(B268*$K$4,2)</f>
        <v>0.32</v>
      </c>
      <c r="F268" s="208"/>
      <c r="G268" s="208">
        <f t="shared" ref="G268" ca="1" si="96">ROUND(B268+E268,2)</f>
        <v>83.61</v>
      </c>
      <c r="H268" s="187"/>
      <c r="I268" s="187"/>
      <c r="J268" s="187"/>
    </row>
    <row r="269" spans="1:10" s="186" customFormat="1" ht="12.75">
      <c r="A269" s="187" t="s">
        <v>259</v>
      </c>
      <c r="B269" s="229">
        <v>83.29</v>
      </c>
      <c r="D269" s="187"/>
      <c r="E269" s="208">
        <f t="shared" ref="E269:E270" ca="1" si="97">+ROUND(B269*$K$4,2)</f>
        <v>0.32</v>
      </c>
      <c r="F269" s="208"/>
      <c r="G269" s="208">
        <f t="shared" ref="G269:G270" ca="1" si="98">ROUND(B269+E269,2)</f>
        <v>83.61</v>
      </c>
      <c r="H269" s="187"/>
      <c r="I269" s="187"/>
      <c r="J269" s="187"/>
    </row>
    <row r="270" spans="1:10" s="186" customFormat="1" ht="12.75">
      <c r="A270" s="187" t="s">
        <v>261</v>
      </c>
      <c r="B270" s="229">
        <v>83.29</v>
      </c>
      <c r="D270" s="187"/>
      <c r="E270" s="208">
        <f t="shared" ca="1" si="97"/>
        <v>0.32</v>
      </c>
      <c r="F270" s="208"/>
      <c r="G270" s="208">
        <f t="shared" ca="1" si="98"/>
        <v>83.61</v>
      </c>
      <c r="H270" s="187"/>
      <c r="I270" s="187"/>
      <c r="J270" s="187"/>
    </row>
    <row r="271" spans="1:10" s="186" customFormat="1" ht="12.75">
      <c r="A271" s="209"/>
      <c r="B271" s="229"/>
      <c r="D271" s="187"/>
      <c r="H271" s="187"/>
      <c r="I271" s="187"/>
      <c r="J271" s="187"/>
    </row>
    <row r="272" spans="1:10" s="186" customFormat="1" ht="12.75">
      <c r="A272" s="209"/>
      <c r="B272" s="351"/>
      <c r="C272" s="236"/>
      <c r="D272" s="187"/>
      <c r="E272" s="236"/>
      <c r="F272" s="236"/>
      <c r="G272" s="236"/>
      <c r="H272" s="187"/>
      <c r="I272" s="187"/>
      <c r="J272" s="187"/>
    </row>
    <row r="273" spans="1:10" s="231" customFormat="1" ht="12.75">
      <c r="A273" s="209" t="s">
        <v>265</v>
      </c>
      <c r="B273" s="353"/>
      <c r="C273" s="237"/>
      <c r="D273" s="209"/>
      <c r="E273" s="237"/>
      <c r="F273" s="237"/>
      <c r="G273" s="237"/>
      <c r="H273" s="187"/>
      <c r="I273" s="187"/>
      <c r="J273" s="209"/>
    </row>
    <row r="274" spans="1:10" s="186" customFormat="1" ht="12.75">
      <c r="A274" s="187" t="s">
        <v>258</v>
      </c>
      <c r="B274" s="229">
        <v>89.67</v>
      </c>
      <c r="D274" s="187"/>
      <c r="E274" s="208">
        <f t="shared" ref="E274:E276" ca="1" si="99">+ROUND(B274*$K$4,2)</f>
        <v>0.35</v>
      </c>
      <c r="F274" s="208"/>
      <c r="G274" s="208">
        <f t="shared" ref="G274:G276" ca="1" si="100">ROUND(B274+E274,2)</f>
        <v>90.02</v>
      </c>
      <c r="H274" s="187"/>
      <c r="I274" s="187"/>
      <c r="J274" s="187"/>
    </row>
    <row r="275" spans="1:10" s="186" customFormat="1" ht="12.75">
      <c r="A275" s="187" t="s">
        <v>259</v>
      </c>
      <c r="B275" s="229">
        <v>104.14</v>
      </c>
      <c r="D275" s="187"/>
      <c r="E275" s="208">
        <f t="shared" ca="1" si="99"/>
        <v>0.4</v>
      </c>
      <c r="F275" s="208"/>
      <c r="G275" s="208">
        <f t="shared" ca="1" si="100"/>
        <v>104.54</v>
      </c>
      <c r="H275" s="187"/>
      <c r="I275" s="187"/>
      <c r="J275" s="187"/>
    </row>
    <row r="276" spans="1:10" s="186" customFormat="1" ht="12.75">
      <c r="A276" s="187" t="s">
        <v>261</v>
      </c>
      <c r="B276" s="229">
        <v>177.07</v>
      </c>
      <c r="D276" s="187"/>
      <c r="E276" s="208">
        <f t="shared" ca="1" si="99"/>
        <v>0.69</v>
      </c>
      <c r="F276" s="208"/>
      <c r="G276" s="208">
        <f t="shared" ca="1" si="100"/>
        <v>177.76</v>
      </c>
      <c r="H276" s="187"/>
      <c r="I276" s="187"/>
      <c r="J276" s="187"/>
    </row>
    <row r="277" spans="1:10" s="186" customFormat="1" ht="12.75">
      <c r="A277" s="187"/>
      <c r="B277" s="351"/>
      <c r="C277" s="236"/>
      <c r="D277" s="187"/>
      <c r="E277" s="236"/>
      <c r="F277" s="236"/>
      <c r="G277" s="236"/>
      <c r="H277" s="187"/>
      <c r="I277" s="187"/>
      <c r="J277" s="187"/>
    </row>
    <row r="278" spans="1:10" s="231" customFormat="1" ht="12.75">
      <c r="A278" s="209" t="s">
        <v>266</v>
      </c>
      <c r="B278" s="353"/>
      <c r="C278" s="237"/>
      <c r="D278" s="209"/>
      <c r="E278" s="237"/>
      <c r="F278" s="237"/>
      <c r="G278" s="237"/>
      <c r="H278" s="187"/>
      <c r="I278" s="187"/>
      <c r="J278" s="209"/>
    </row>
    <row r="279" spans="1:10" s="186" customFormat="1" ht="12.75">
      <c r="A279" s="187" t="s">
        <v>258</v>
      </c>
      <c r="B279" s="351">
        <v>4.95</v>
      </c>
      <c r="C279" s="236"/>
      <c r="D279" s="187"/>
      <c r="E279" s="208">
        <f t="shared" ref="E279:E281" ca="1" si="101">+ROUND(B279*$K$4,2)</f>
        <v>0.02</v>
      </c>
      <c r="F279" s="208"/>
      <c r="G279" s="208">
        <f t="shared" ref="G279:G281" ca="1" si="102">ROUND(B279+E279,2)</f>
        <v>4.97</v>
      </c>
      <c r="H279" s="196"/>
      <c r="I279" s="187"/>
      <c r="J279" s="187"/>
    </row>
    <row r="280" spans="1:10" s="186" customFormat="1" ht="12.75">
      <c r="A280" s="187" t="s">
        <v>259</v>
      </c>
      <c r="B280" s="351">
        <v>6.4</v>
      </c>
      <c r="C280" s="236"/>
      <c r="D280" s="187"/>
      <c r="E280" s="208">
        <f t="shared" ca="1" si="101"/>
        <v>0.02</v>
      </c>
      <c r="F280" s="208"/>
      <c r="G280" s="208">
        <f t="shared" ca="1" si="102"/>
        <v>6.42</v>
      </c>
      <c r="H280" s="196"/>
      <c r="I280" s="187"/>
      <c r="J280" s="187"/>
    </row>
    <row r="281" spans="1:10" s="186" customFormat="1" ht="12.75">
      <c r="A281" s="187" t="s">
        <v>261</v>
      </c>
      <c r="B281" s="351">
        <v>10.08</v>
      </c>
      <c r="C281" s="236"/>
      <c r="D281" s="187"/>
      <c r="E281" s="208">
        <f t="shared" ca="1" si="101"/>
        <v>0.04</v>
      </c>
      <c r="F281" s="208"/>
      <c r="G281" s="208">
        <f t="shared" ca="1" si="102"/>
        <v>10.119999999999999</v>
      </c>
      <c r="H281" s="196"/>
      <c r="I281" s="187"/>
      <c r="J281" s="187"/>
    </row>
    <row r="282" spans="1:10" s="186" customFormat="1" ht="12.75">
      <c r="A282" s="187"/>
      <c r="B282" s="351"/>
      <c r="C282" s="236"/>
      <c r="D282" s="187"/>
      <c r="E282" s="236"/>
      <c r="F282" s="236"/>
      <c r="G282" s="236"/>
      <c r="H282" s="187"/>
      <c r="I282" s="187"/>
      <c r="J282" s="187"/>
    </row>
    <row r="283" spans="1:10" s="231" customFormat="1" ht="12.75">
      <c r="A283" s="187" t="s">
        <v>267</v>
      </c>
      <c r="B283" s="351">
        <v>2.6</v>
      </c>
      <c r="C283" s="236"/>
      <c r="D283" s="187"/>
      <c r="E283" s="208">
        <f t="shared" ref="E283:E285" ca="1" si="103">+ROUND(B283*$K$4,2)</f>
        <v>0.01</v>
      </c>
      <c r="F283" s="208"/>
      <c r="G283" s="208">
        <f t="shared" ref="G283:G285" ca="1" si="104">ROUND(B283+E283,2)</f>
        <v>2.61</v>
      </c>
      <c r="H283" s="187"/>
      <c r="I283" s="187"/>
      <c r="J283" s="209"/>
    </row>
    <row r="284" spans="1:10" s="231" customFormat="1" ht="12.75">
      <c r="A284" s="187" t="s">
        <v>268</v>
      </c>
      <c r="B284" s="351">
        <v>15.56</v>
      </c>
      <c r="C284" s="236"/>
      <c r="D284" s="187"/>
      <c r="E284" s="208">
        <f t="shared" ca="1" si="103"/>
        <v>0.06</v>
      </c>
      <c r="F284" s="208"/>
      <c r="G284" s="208">
        <f t="shared" ca="1" si="104"/>
        <v>15.62</v>
      </c>
      <c r="H284" s="187"/>
      <c r="I284" s="187"/>
      <c r="J284" s="209"/>
    </row>
    <row r="285" spans="1:10" s="231" customFormat="1" ht="12.75">
      <c r="A285" s="187" t="s">
        <v>269</v>
      </c>
      <c r="B285" s="351">
        <v>11.88</v>
      </c>
      <c r="C285" s="236"/>
      <c r="D285" s="187"/>
      <c r="E285" s="208">
        <f t="shared" ca="1" si="103"/>
        <v>0.05</v>
      </c>
      <c r="F285" s="208"/>
      <c r="G285" s="208">
        <f t="shared" ca="1" si="104"/>
        <v>11.93</v>
      </c>
      <c r="H285" s="187"/>
      <c r="I285" s="187"/>
      <c r="J285" s="209"/>
    </row>
    <row r="286" spans="1:10" s="186" customFormat="1" ht="12.75">
      <c r="A286" s="187"/>
      <c r="B286" s="236"/>
      <c r="C286" s="236"/>
      <c r="D286" s="187"/>
      <c r="E286" s="236"/>
      <c r="F286" s="236"/>
      <c r="G286" s="236"/>
      <c r="H286" s="187"/>
      <c r="I286" s="187"/>
      <c r="J286" s="187"/>
    </row>
    <row r="287" spans="1:10" s="186" customFormat="1" ht="12.75">
      <c r="A287" s="187"/>
      <c r="B287" s="236"/>
      <c r="C287" s="236"/>
      <c r="D287" s="187"/>
      <c r="E287" s="236"/>
      <c r="F287" s="236"/>
      <c r="G287" s="236"/>
      <c r="H287" s="187"/>
      <c r="I287" s="187"/>
      <c r="J287" s="187"/>
    </row>
    <row r="288" spans="1:10" s="186" customFormat="1" ht="12.75">
      <c r="A288" s="203" t="s">
        <v>270</v>
      </c>
      <c r="B288" s="230"/>
      <c r="C288" s="230"/>
      <c r="D288" s="230"/>
      <c r="E288" s="230"/>
      <c r="F288" s="230"/>
      <c r="G288" s="230"/>
      <c r="H288" s="187"/>
      <c r="I288" s="187"/>
      <c r="J288" s="187"/>
    </row>
    <row r="289" spans="1:10" s="186" customFormat="1" ht="12.75">
      <c r="A289" s="187" t="s">
        <v>271</v>
      </c>
      <c r="B289" s="236"/>
      <c r="C289" s="236"/>
      <c r="D289" s="187"/>
      <c r="E289" s="236"/>
      <c r="F289" s="236"/>
      <c r="G289" s="236"/>
      <c r="H289" s="187"/>
      <c r="I289" s="187"/>
      <c r="J289" s="187"/>
    </row>
    <row r="290" spans="1:10" s="186" customFormat="1" ht="12.75">
      <c r="A290" s="187" t="s">
        <v>267</v>
      </c>
      <c r="B290" s="236">
        <v>2.6</v>
      </c>
      <c r="C290" s="236"/>
      <c r="D290" s="187"/>
      <c r="E290" s="208">
        <f t="shared" ref="E290" ca="1" si="105">+ROUND(B290*$K$4,2)</f>
        <v>0.01</v>
      </c>
      <c r="F290" s="208"/>
      <c r="G290" s="208">
        <f t="shared" ref="G290" ca="1" si="106">ROUND(B290+E290,2)</f>
        <v>2.61</v>
      </c>
      <c r="H290" s="187"/>
      <c r="I290" s="187"/>
      <c r="J290" s="187"/>
    </row>
    <row r="291" spans="1:10" s="186" customFormat="1" ht="12.75">
      <c r="A291" s="187"/>
      <c r="B291" s="236"/>
      <c r="C291" s="236"/>
      <c r="D291" s="187"/>
      <c r="E291" s="208"/>
      <c r="F291" s="208"/>
      <c r="G291" s="208"/>
      <c r="H291" s="187"/>
      <c r="I291" s="187"/>
      <c r="J291" s="187"/>
    </row>
    <row r="292" spans="1:10" s="186" customFormat="1" ht="12.75">
      <c r="A292" s="203" t="s">
        <v>272</v>
      </c>
      <c r="B292" s="230"/>
      <c r="C292" s="230"/>
      <c r="D292" s="230"/>
      <c r="E292" s="230"/>
      <c r="F292" s="230"/>
      <c r="G292" s="230"/>
      <c r="H292" s="187"/>
      <c r="I292" s="187"/>
      <c r="J292" s="187"/>
    </row>
    <row r="293" spans="1:10" s="186" customFormat="1" ht="12.75">
      <c r="A293" s="187" t="s">
        <v>273</v>
      </c>
      <c r="B293" s="236"/>
      <c r="C293" s="236"/>
      <c r="D293" s="187"/>
      <c r="E293" s="236"/>
      <c r="F293" s="236"/>
      <c r="G293" s="236"/>
      <c r="H293" s="187"/>
      <c r="I293" s="187"/>
      <c r="J293" s="187"/>
    </row>
    <row r="294" spans="1:10" s="186" customFormat="1" ht="12.75">
      <c r="A294" s="187" t="s">
        <v>267</v>
      </c>
      <c r="B294" s="236">
        <v>2.6</v>
      </c>
      <c r="C294" s="236"/>
      <c r="D294" s="187"/>
      <c r="E294" s="208">
        <f t="shared" ref="E294" ca="1" si="107">+ROUND(B294*$K$4,2)</f>
        <v>0.01</v>
      </c>
      <c r="F294" s="208"/>
      <c r="G294" s="208">
        <f t="shared" ref="G294" ca="1" si="108">ROUND(B294+E294,2)</f>
        <v>2.61</v>
      </c>
      <c r="H294" s="187"/>
      <c r="I294" s="187"/>
      <c r="J294" s="187"/>
    </row>
    <row r="295" spans="1:10" s="186" customFormat="1" ht="12.75">
      <c r="A295" s="187"/>
      <c r="B295" s="236"/>
      <c r="C295" s="236"/>
      <c r="D295" s="187"/>
      <c r="E295" s="208"/>
      <c r="F295" s="208"/>
      <c r="G295" s="208"/>
      <c r="H295" s="187"/>
      <c r="I295" s="187"/>
      <c r="J295" s="187"/>
    </row>
    <row r="296" spans="1:10" s="186" customFormat="1" ht="12.75">
      <c r="A296" s="187"/>
      <c r="B296" s="236"/>
      <c r="C296" s="236"/>
      <c r="D296" s="187"/>
      <c r="E296" s="208"/>
      <c r="F296" s="208"/>
      <c r="G296" s="208"/>
      <c r="H296" s="187"/>
      <c r="I296" s="187"/>
      <c r="J296" s="187"/>
    </row>
    <row r="297" spans="1:10" s="186" customFormat="1" ht="12.75">
      <c r="A297" s="203" t="s">
        <v>274</v>
      </c>
      <c r="B297" s="230"/>
      <c r="C297" s="230"/>
      <c r="D297" s="230"/>
      <c r="E297" s="230"/>
      <c r="F297" s="230"/>
      <c r="G297" s="230"/>
      <c r="H297" s="187"/>
      <c r="I297" s="187"/>
      <c r="J297" s="187"/>
    </row>
    <row r="298" spans="1:10" s="186" customFormat="1" ht="12.75">
      <c r="A298" s="187" t="s">
        <v>275</v>
      </c>
      <c r="B298" s="236"/>
      <c r="C298" s="236"/>
      <c r="D298" s="187"/>
      <c r="E298" s="236"/>
      <c r="F298" s="236"/>
      <c r="G298" s="236"/>
      <c r="H298" s="187"/>
      <c r="I298" s="187"/>
      <c r="J298" s="187"/>
    </row>
    <row r="299" spans="1:10" s="186" customFormat="1" ht="12.75">
      <c r="A299" s="187" t="s">
        <v>258</v>
      </c>
      <c r="B299" s="351">
        <v>135.38</v>
      </c>
      <c r="C299" s="236"/>
      <c r="D299" s="187"/>
      <c r="E299" s="208">
        <f t="shared" ref="E299:E305" ca="1" si="109">+ROUND(B299*$K$4,2)</f>
        <v>0.52</v>
      </c>
      <c r="F299" s="208"/>
      <c r="G299" s="208">
        <f t="shared" ref="G299:G305" ca="1" si="110">ROUND(B299+E299,2)</f>
        <v>135.9</v>
      </c>
      <c r="H299" s="187"/>
      <c r="I299" s="187"/>
      <c r="J299" s="187"/>
    </row>
    <row r="300" spans="1:10" s="186" customFormat="1" ht="12.75">
      <c r="A300" s="187" t="s">
        <v>276</v>
      </c>
      <c r="B300" s="351">
        <v>156.16</v>
      </c>
      <c r="C300" s="236"/>
      <c r="D300" s="187"/>
      <c r="E300" s="208">
        <f t="shared" ca="1" si="109"/>
        <v>0.6</v>
      </c>
      <c r="F300" s="208"/>
      <c r="G300" s="208">
        <f t="shared" ca="1" si="110"/>
        <v>156.76</v>
      </c>
      <c r="H300" s="187"/>
      <c r="I300" s="187"/>
      <c r="J300" s="187"/>
    </row>
    <row r="301" spans="1:10" s="186" customFormat="1" ht="12.75">
      <c r="A301" s="187" t="s">
        <v>259</v>
      </c>
      <c r="B301" s="351">
        <v>166.59</v>
      </c>
      <c r="C301" s="236"/>
      <c r="D301" s="187"/>
      <c r="E301" s="208">
        <f t="shared" ca="1" si="109"/>
        <v>0.65</v>
      </c>
      <c r="F301" s="208"/>
      <c r="G301" s="208">
        <f t="shared" ca="1" si="110"/>
        <v>167.24</v>
      </c>
      <c r="H301" s="187"/>
      <c r="I301" s="187"/>
      <c r="J301" s="187"/>
    </row>
    <row r="302" spans="1:10" s="186" customFormat="1" ht="12.75">
      <c r="A302" s="187" t="s">
        <v>277</v>
      </c>
      <c r="B302" s="351">
        <v>182.36</v>
      </c>
      <c r="C302" s="236"/>
      <c r="D302" s="187"/>
      <c r="E302" s="208">
        <f t="shared" ca="1" si="109"/>
        <v>0.71</v>
      </c>
      <c r="F302" s="208"/>
      <c r="G302" s="208">
        <f t="shared" ca="1" si="110"/>
        <v>183.07</v>
      </c>
      <c r="H302" s="187"/>
      <c r="I302" s="187"/>
      <c r="J302" s="187"/>
    </row>
    <row r="303" spans="1:10" s="186" customFormat="1" ht="12.75">
      <c r="A303" s="187" t="s">
        <v>260</v>
      </c>
      <c r="B303" s="351">
        <v>207.91</v>
      </c>
      <c r="C303" s="236"/>
      <c r="D303" s="187"/>
      <c r="E303" s="208">
        <f t="shared" ca="1" si="109"/>
        <v>0.81</v>
      </c>
      <c r="F303" s="208"/>
      <c r="G303" s="208">
        <f t="shared" ca="1" si="110"/>
        <v>208.72</v>
      </c>
      <c r="H303" s="187"/>
      <c r="I303" s="187"/>
      <c r="J303" s="187"/>
    </row>
    <row r="304" spans="1:10" s="186" customFormat="1" ht="12.75">
      <c r="A304" s="187" t="s">
        <v>278</v>
      </c>
      <c r="B304" s="351">
        <v>239.42</v>
      </c>
      <c r="C304" s="236"/>
      <c r="D304" s="187"/>
      <c r="E304" s="208">
        <f t="shared" ca="1" si="109"/>
        <v>0.93</v>
      </c>
      <c r="F304" s="208"/>
      <c r="G304" s="208">
        <f t="shared" ca="1" si="110"/>
        <v>240.35</v>
      </c>
      <c r="H304" s="187"/>
      <c r="I304" s="187"/>
      <c r="J304" s="187"/>
    </row>
    <row r="305" spans="1:12" s="186" customFormat="1" ht="12.75">
      <c r="A305" s="187" t="s">
        <v>261</v>
      </c>
      <c r="B305" s="351">
        <v>239.42</v>
      </c>
      <c r="C305" s="236"/>
      <c r="D305" s="187"/>
      <c r="E305" s="208">
        <f t="shared" ca="1" si="109"/>
        <v>0.93</v>
      </c>
      <c r="F305" s="208"/>
      <c r="G305" s="208">
        <f t="shared" ca="1" si="110"/>
        <v>240.35</v>
      </c>
      <c r="H305" s="187"/>
      <c r="I305" s="187"/>
      <c r="J305" s="187"/>
    </row>
    <row r="306" spans="1:12" s="186" customFormat="1" ht="12.75">
      <c r="A306" s="187"/>
      <c r="B306" s="236"/>
      <c r="C306" s="236"/>
      <c r="D306" s="187"/>
      <c r="E306" s="236"/>
      <c r="F306" s="236"/>
      <c r="G306" s="236"/>
      <c r="H306" s="187"/>
      <c r="I306" s="187"/>
      <c r="J306" s="187"/>
    </row>
    <row r="307" spans="1:12" s="186" customFormat="1" ht="12.75">
      <c r="A307" s="187" t="s">
        <v>267</v>
      </c>
      <c r="B307" s="238">
        <v>2.6</v>
      </c>
      <c r="C307" s="236"/>
      <c r="D307" s="187"/>
      <c r="E307" s="208">
        <f t="shared" ref="E307:E308" ca="1" si="111">+ROUND(B307*$K$4,2)</f>
        <v>0.01</v>
      </c>
      <c r="F307" s="208"/>
      <c r="G307" s="208">
        <f t="shared" ref="G307:G308" ca="1" si="112">ROUND(B307+E307,2)</f>
        <v>2.61</v>
      </c>
      <c r="H307" s="187"/>
      <c r="I307" s="187"/>
      <c r="J307" s="187"/>
    </row>
    <row r="308" spans="1:12" s="186" customFormat="1" ht="12.75">
      <c r="A308" s="187" t="s">
        <v>279</v>
      </c>
      <c r="B308" s="238">
        <v>6.49</v>
      </c>
      <c r="C308" s="236"/>
      <c r="D308" s="187"/>
      <c r="E308" s="208">
        <f t="shared" ca="1" si="111"/>
        <v>0.03</v>
      </c>
      <c r="F308" s="208"/>
      <c r="G308" s="208">
        <f t="shared" ca="1" si="112"/>
        <v>6.52</v>
      </c>
      <c r="H308" s="187"/>
      <c r="I308" s="187"/>
      <c r="J308" s="187"/>
    </row>
    <row r="309" spans="1:12" s="186" customFormat="1" ht="12.75">
      <c r="A309" s="187"/>
      <c r="B309" s="236"/>
      <c r="C309" s="236"/>
      <c r="D309" s="187"/>
      <c r="E309" s="236"/>
      <c r="F309" s="236"/>
      <c r="G309" s="236"/>
      <c r="H309" s="187"/>
      <c r="I309" s="187"/>
      <c r="J309" s="187"/>
      <c r="K309" s="187"/>
      <c r="L309" s="187"/>
    </row>
    <row r="310" spans="1:12" s="186" customFormat="1" ht="12.75">
      <c r="A310" s="187"/>
      <c r="B310" s="236"/>
      <c r="C310" s="236"/>
      <c r="D310" s="187"/>
      <c r="E310" s="236"/>
      <c r="F310" s="236"/>
      <c r="G310" s="236"/>
      <c r="H310" s="187"/>
      <c r="I310" s="187"/>
      <c r="J310" s="187"/>
      <c r="K310" s="187"/>
      <c r="L310" s="187"/>
    </row>
    <row r="311" spans="1:12" s="186" customFormat="1" ht="12.75">
      <c r="A311" s="187"/>
      <c r="B311" s="236"/>
      <c r="C311" s="236"/>
      <c r="D311" s="187"/>
      <c r="E311" s="236"/>
      <c r="F311" s="236"/>
      <c r="G311" s="236"/>
      <c r="H311" s="187"/>
      <c r="I311" s="187"/>
      <c r="J311" s="187"/>
      <c r="K311" s="187"/>
      <c r="L311" s="187"/>
    </row>
    <row r="312" spans="1:12" s="186" customFormat="1" ht="12.75">
      <c r="A312" s="209"/>
      <c r="B312" s="236"/>
      <c r="C312" s="236"/>
      <c r="D312" s="187"/>
      <c r="E312" s="236"/>
      <c r="F312" s="236"/>
      <c r="G312" s="236"/>
      <c r="H312" s="187"/>
      <c r="I312" s="187"/>
      <c r="J312" s="187"/>
      <c r="K312" s="187"/>
      <c r="L312" s="187"/>
    </row>
    <row r="313" spans="1:12" s="186" customFormat="1" ht="12.75">
      <c r="A313" s="187"/>
      <c r="B313" s="236"/>
      <c r="C313" s="236"/>
      <c r="D313" s="187"/>
      <c r="E313" s="236"/>
      <c r="F313" s="236"/>
      <c r="G313" s="236"/>
      <c r="H313" s="187"/>
      <c r="I313" s="187"/>
      <c r="J313" s="187"/>
      <c r="K313" s="187"/>
      <c r="L313" s="187"/>
    </row>
    <row r="314" spans="1:12" s="186" customFormat="1" ht="12.75">
      <c r="A314" s="187"/>
      <c r="B314" s="236"/>
      <c r="C314" s="236"/>
      <c r="D314" s="187"/>
      <c r="E314" s="236"/>
      <c r="F314" s="236"/>
      <c r="G314" s="236"/>
      <c r="H314" s="187"/>
      <c r="I314" s="187"/>
      <c r="J314" s="187"/>
      <c r="K314" s="187"/>
      <c r="L314" s="187"/>
    </row>
    <row r="315" spans="1:12" s="186" customFormat="1" ht="12.75">
      <c r="A315" s="187"/>
      <c r="B315" s="236"/>
      <c r="C315" s="236"/>
      <c r="D315" s="187"/>
      <c r="E315" s="236"/>
      <c r="F315" s="236"/>
      <c r="G315" s="236"/>
      <c r="H315" s="187"/>
      <c r="I315" s="187"/>
      <c r="J315" s="187"/>
      <c r="K315" s="187"/>
      <c r="L315" s="187"/>
    </row>
    <row r="316" spans="1:12" s="186" customFormat="1" ht="12.75">
      <c r="A316" s="187"/>
      <c r="B316" s="236"/>
      <c r="C316" s="236"/>
      <c r="D316" s="187"/>
      <c r="E316" s="236"/>
      <c r="F316" s="236"/>
      <c r="G316" s="236"/>
      <c r="H316" s="187"/>
      <c r="I316" s="187"/>
      <c r="J316" s="187"/>
      <c r="K316" s="187"/>
      <c r="L316" s="187"/>
    </row>
    <row r="317" spans="1:12" s="186" customFormat="1" ht="12.75">
      <c r="A317" s="187"/>
      <c r="B317" s="236"/>
      <c r="C317" s="236"/>
      <c r="D317" s="187"/>
      <c r="E317" s="236"/>
      <c r="F317" s="236"/>
      <c r="G317" s="236"/>
      <c r="H317" s="187"/>
      <c r="I317" s="187"/>
      <c r="J317" s="187"/>
      <c r="K317" s="187"/>
      <c r="L317" s="187"/>
    </row>
    <row r="318" spans="1:12" s="186" customFormat="1" ht="12.75">
      <c r="A318" s="187"/>
      <c r="B318" s="236"/>
      <c r="C318" s="236"/>
      <c r="D318" s="187"/>
      <c r="E318" s="236"/>
      <c r="F318" s="236"/>
      <c r="G318" s="236"/>
      <c r="H318" s="187"/>
      <c r="I318" s="187"/>
      <c r="J318" s="187"/>
      <c r="K318" s="187"/>
      <c r="L318" s="187"/>
    </row>
    <row r="319" spans="1:12" s="186" customFormat="1" ht="12.75">
      <c r="A319" s="187"/>
      <c r="B319" s="236"/>
      <c r="C319" s="236"/>
      <c r="D319" s="187"/>
      <c r="E319" s="236"/>
      <c r="F319" s="236"/>
      <c r="G319" s="236"/>
      <c r="H319" s="187"/>
      <c r="I319" s="187"/>
      <c r="J319" s="187"/>
      <c r="K319" s="187"/>
      <c r="L319" s="187"/>
    </row>
    <row r="320" spans="1:12" s="186" customFormat="1" ht="12.75">
      <c r="A320" s="187"/>
      <c r="D320" s="187"/>
      <c r="H320" s="187"/>
      <c r="I320" s="187"/>
      <c r="J320" s="187"/>
      <c r="K320" s="187"/>
      <c r="L320" s="187"/>
    </row>
    <row r="321" spans="1:1316" s="239" customFormat="1" ht="12.75">
      <c r="A321" s="187"/>
      <c r="B321" s="186"/>
      <c r="C321" s="186"/>
      <c r="D321" s="187"/>
      <c r="E321" s="186"/>
      <c r="F321" s="186"/>
      <c r="G321" s="186"/>
      <c r="H321" s="187"/>
      <c r="I321" s="187"/>
      <c r="J321" s="187"/>
      <c r="K321" s="187"/>
      <c r="L321" s="187"/>
      <c r="M321" s="186"/>
      <c r="N321" s="186"/>
      <c r="O321" s="186"/>
      <c r="P321" s="186"/>
      <c r="Q321" s="186"/>
      <c r="R321" s="186"/>
      <c r="S321" s="186"/>
      <c r="T321" s="186"/>
      <c r="U321" s="186"/>
      <c r="V321" s="186"/>
      <c r="W321" s="186"/>
      <c r="X321" s="186"/>
      <c r="Y321" s="186"/>
      <c r="Z321" s="186"/>
      <c r="AA321" s="186"/>
      <c r="AB321" s="186"/>
      <c r="AC321" s="186"/>
      <c r="AD321" s="186"/>
      <c r="AE321" s="186"/>
      <c r="AF321" s="186"/>
      <c r="AG321" s="186"/>
      <c r="AH321" s="186"/>
      <c r="AI321" s="186"/>
      <c r="AJ321" s="186"/>
      <c r="AK321" s="186"/>
      <c r="AL321" s="186"/>
      <c r="AM321" s="186"/>
      <c r="AN321" s="186"/>
      <c r="AO321" s="186"/>
      <c r="AP321" s="186"/>
      <c r="AQ321" s="186"/>
      <c r="AR321" s="186"/>
      <c r="AS321" s="186"/>
      <c r="AT321" s="186"/>
      <c r="AU321" s="186"/>
      <c r="AV321" s="186"/>
      <c r="AW321" s="186"/>
      <c r="AX321" s="186"/>
      <c r="AY321" s="186"/>
      <c r="AZ321" s="186"/>
      <c r="BA321" s="186"/>
      <c r="BB321" s="186"/>
      <c r="BC321" s="186"/>
      <c r="BD321" s="186"/>
      <c r="BE321" s="186"/>
      <c r="BF321" s="186"/>
      <c r="BG321" s="186"/>
      <c r="BH321" s="186"/>
      <c r="BI321" s="186"/>
      <c r="BJ321" s="186"/>
      <c r="BK321" s="186"/>
      <c r="BL321" s="186"/>
      <c r="BM321" s="186"/>
      <c r="BN321" s="186"/>
      <c r="BO321" s="186"/>
      <c r="BP321" s="186"/>
      <c r="BQ321" s="186"/>
      <c r="BR321" s="186"/>
      <c r="BS321" s="186"/>
      <c r="BT321" s="186"/>
      <c r="BU321" s="186"/>
      <c r="BV321" s="186"/>
      <c r="BW321" s="186"/>
      <c r="BX321" s="186"/>
      <c r="BY321" s="186"/>
      <c r="BZ321" s="186"/>
      <c r="CA321" s="186"/>
      <c r="CB321" s="186"/>
      <c r="CC321" s="186"/>
      <c r="CD321" s="186"/>
      <c r="CE321" s="186"/>
      <c r="CF321" s="186"/>
      <c r="CG321" s="186"/>
      <c r="CH321" s="186"/>
      <c r="CI321" s="186"/>
      <c r="CJ321" s="186"/>
      <c r="CK321" s="186"/>
      <c r="CL321" s="186"/>
      <c r="CM321" s="186"/>
      <c r="CN321" s="186"/>
      <c r="CO321" s="186"/>
      <c r="CP321" s="186"/>
      <c r="CQ321" s="186"/>
      <c r="CR321" s="186"/>
      <c r="CS321" s="186"/>
      <c r="CT321" s="186"/>
      <c r="CU321" s="186"/>
      <c r="CV321" s="186"/>
      <c r="CW321" s="186"/>
      <c r="CX321" s="186"/>
      <c r="CY321" s="186"/>
      <c r="CZ321" s="186"/>
      <c r="DA321" s="186"/>
      <c r="DB321" s="186"/>
      <c r="DC321" s="186"/>
      <c r="DD321" s="186"/>
      <c r="DE321" s="186"/>
      <c r="DF321" s="186"/>
      <c r="DG321" s="186"/>
      <c r="DH321" s="186"/>
      <c r="DI321" s="186"/>
      <c r="DJ321" s="186"/>
      <c r="DK321" s="186"/>
      <c r="DL321" s="186"/>
      <c r="DM321" s="186"/>
      <c r="DN321" s="186"/>
      <c r="DO321" s="186"/>
      <c r="DP321" s="186"/>
      <c r="DQ321" s="186"/>
      <c r="DR321" s="186"/>
      <c r="DS321" s="186"/>
      <c r="DT321" s="186"/>
      <c r="DU321" s="186"/>
      <c r="DV321" s="186"/>
      <c r="DW321" s="186"/>
      <c r="DX321" s="186"/>
      <c r="DY321" s="186"/>
      <c r="DZ321" s="186"/>
      <c r="EA321" s="186"/>
      <c r="EB321" s="186"/>
      <c r="EC321" s="186"/>
      <c r="ED321" s="186"/>
      <c r="EE321" s="186"/>
      <c r="EF321" s="186"/>
      <c r="EG321" s="186"/>
      <c r="EH321" s="186"/>
      <c r="EI321" s="186"/>
      <c r="EJ321" s="186"/>
      <c r="EK321" s="186"/>
      <c r="EL321" s="186"/>
      <c r="EM321" s="186"/>
      <c r="EN321" s="186"/>
      <c r="EO321" s="186"/>
      <c r="EP321" s="186"/>
      <c r="EQ321" s="186"/>
      <c r="ER321" s="186"/>
      <c r="ES321" s="186"/>
      <c r="ET321" s="186"/>
      <c r="EU321" s="186"/>
      <c r="EV321" s="186"/>
      <c r="EW321" s="186"/>
      <c r="EX321" s="186"/>
      <c r="EY321" s="186"/>
      <c r="EZ321" s="186"/>
      <c r="FA321" s="186"/>
      <c r="FB321" s="186"/>
      <c r="FC321" s="186"/>
      <c r="FD321" s="186"/>
      <c r="FE321" s="186"/>
      <c r="FF321" s="186"/>
      <c r="FG321" s="186"/>
      <c r="FH321" s="186"/>
      <c r="FI321" s="186"/>
      <c r="FJ321" s="186"/>
      <c r="FK321" s="186"/>
      <c r="FL321" s="186"/>
      <c r="FM321" s="186"/>
      <c r="FN321" s="186"/>
      <c r="FO321" s="186"/>
      <c r="FP321" s="186"/>
      <c r="FQ321" s="186"/>
      <c r="FR321" s="186"/>
      <c r="FS321" s="186"/>
      <c r="FT321" s="186"/>
      <c r="FU321" s="186"/>
      <c r="FV321" s="186"/>
      <c r="FW321" s="186"/>
      <c r="FX321" s="186"/>
      <c r="FY321" s="186"/>
      <c r="FZ321" s="186"/>
      <c r="GA321" s="186"/>
      <c r="GB321" s="186"/>
      <c r="GC321" s="186"/>
      <c r="GD321" s="186"/>
      <c r="GE321" s="186"/>
      <c r="GF321" s="186"/>
      <c r="GG321" s="186"/>
      <c r="GH321" s="186"/>
      <c r="GI321" s="186"/>
      <c r="GJ321" s="186"/>
      <c r="GK321" s="186"/>
      <c r="GL321" s="186"/>
      <c r="GM321" s="186"/>
      <c r="GN321" s="186"/>
      <c r="GO321" s="186"/>
      <c r="GP321" s="186"/>
      <c r="GQ321" s="186"/>
      <c r="GR321" s="186"/>
      <c r="GS321" s="186"/>
      <c r="GT321" s="186"/>
      <c r="GU321" s="186"/>
      <c r="GV321" s="186"/>
      <c r="GW321" s="186"/>
      <c r="GX321" s="186"/>
      <c r="GY321" s="186"/>
      <c r="GZ321" s="186"/>
      <c r="HA321" s="186"/>
      <c r="HB321" s="186"/>
      <c r="HC321" s="186"/>
      <c r="HD321" s="186"/>
      <c r="HE321" s="186"/>
      <c r="HF321" s="186"/>
      <c r="HG321" s="186"/>
      <c r="HH321" s="186"/>
      <c r="HI321" s="186"/>
      <c r="HJ321" s="186"/>
      <c r="HK321" s="186"/>
      <c r="HL321" s="186"/>
      <c r="HM321" s="186"/>
      <c r="HN321" s="186"/>
      <c r="HO321" s="186"/>
      <c r="HP321" s="186"/>
      <c r="HQ321" s="186"/>
      <c r="HR321" s="186"/>
      <c r="HS321" s="186"/>
      <c r="HT321" s="186"/>
      <c r="HU321" s="186"/>
      <c r="HV321" s="186"/>
      <c r="HW321" s="186"/>
      <c r="HX321" s="186"/>
      <c r="HY321" s="186"/>
      <c r="HZ321" s="186"/>
      <c r="IA321" s="186"/>
      <c r="IB321" s="186"/>
      <c r="IC321" s="186"/>
      <c r="ID321" s="186"/>
      <c r="IE321" s="186"/>
      <c r="IF321" s="186"/>
      <c r="IG321" s="186"/>
      <c r="IH321" s="186"/>
      <c r="II321" s="186"/>
      <c r="IJ321" s="186"/>
      <c r="IK321" s="186"/>
      <c r="IL321" s="186"/>
      <c r="IM321" s="186"/>
      <c r="IN321" s="186"/>
      <c r="IO321" s="186"/>
      <c r="IP321" s="186"/>
      <c r="IQ321" s="186"/>
      <c r="IR321" s="186"/>
      <c r="IS321" s="186"/>
      <c r="IT321" s="186"/>
      <c r="IU321" s="186"/>
      <c r="IV321" s="186"/>
      <c r="IW321" s="186"/>
      <c r="IX321" s="186"/>
      <c r="IY321" s="186"/>
      <c r="IZ321" s="186"/>
      <c r="JA321" s="186"/>
      <c r="JB321" s="186"/>
      <c r="JC321" s="186"/>
      <c r="JD321" s="186"/>
      <c r="JE321" s="186"/>
      <c r="JF321" s="186"/>
      <c r="JG321" s="186"/>
      <c r="JH321" s="186"/>
      <c r="JI321" s="186"/>
      <c r="JJ321" s="186"/>
      <c r="JK321" s="186"/>
      <c r="JL321" s="186"/>
      <c r="JM321" s="186"/>
      <c r="JN321" s="186"/>
      <c r="JO321" s="186"/>
      <c r="JP321" s="186"/>
      <c r="JQ321" s="186"/>
      <c r="JR321" s="186"/>
      <c r="JS321" s="186"/>
      <c r="JT321" s="186"/>
      <c r="JU321" s="186"/>
      <c r="JV321" s="186"/>
      <c r="JW321" s="186"/>
      <c r="JX321" s="186"/>
      <c r="JY321" s="186"/>
      <c r="JZ321" s="186"/>
      <c r="KA321" s="186"/>
      <c r="KB321" s="186"/>
      <c r="KC321" s="186"/>
      <c r="KD321" s="186"/>
      <c r="KE321" s="186"/>
      <c r="KF321" s="186"/>
      <c r="KG321" s="186"/>
      <c r="KH321" s="186"/>
      <c r="KI321" s="186"/>
      <c r="KJ321" s="186"/>
      <c r="KK321" s="186"/>
      <c r="KL321" s="186"/>
      <c r="KM321" s="186"/>
      <c r="KN321" s="186"/>
      <c r="KO321" s="186"/>
      <c r="KP321" s="186"/>
      <c r="KQ321" s="186"/>
      <c r="KR321" s="186"/>
      <c r="KS321" s="186"/>
      <c r="KT321" s="186"/>
      <c r="KU321" s="186"/>
      <c r="KV321" s="186"/>
      <c r="KW321" s="186"/>
      <c r="KX321" s="186"/>
      <c r="KY321" s="186"/>
      <c r="KZ321" s="186"/>
      <c r="LA321" s="186"/>
      <c r="LB321" s="186"/>
      <c r="LC321" s="186"/>
      <c r="LD321" s="186"/>
      <c r="LE321" s="186"/>
      <c r="LF321" s="186"/>
      <c r="LG321" s="186"/>
      <c r="LH321" s="186"/>
      <c r="LI321" s="186"/>
      <c r="LJ321" s="186"/>
      <c r="LK321" s="186"/>
      <c r="LL321" s="186"/>
      <c r="LM321" s="186"/>
      <c r="LN321" s="186"/>
      <c r="LO321" s="186"/>
      <c r="LP321" s="186"/>
      <c r="LQ321" s="186"/>
      <c r="LR321" s="186"/>
      <c r="LS321" s="186"/>
      <c r="LT321" s="186"/>
      <c r="LU321" s="186"/>
      <c r="LV321" s="186"/>
      <c r="LW321" s="186"/>
      <c r="LX321" s="186"/>
      <c r="LY321" s="186"/>
      <c r="LZ321" s="186"/>
      <c r="MA321" s="186"/>
      <c r="MB321" s="186"/>
      <c r="MC321" s="186"/>
      <c r="MD321" s="186"/>
      <c r="ME321" s="186"/>
      <c r="MF321" s="186"/>
      <c r="MG321" s="186"/>
      <c r="MH321" s="186"/>
      <c r="MI321" s="186"/>
      <c r="MJ321" s="186"/>
      <c r="MK321" s="186"/>
      <c r="ML321" s="186"/>
      <c r="MM321" s="186"/>
      <c r="MN321" s="186"/>
      <c r="MO321" s="186"/>
      <c r="MP321" s="186"/>
      <c r="MQ321" s="186"/>
      <c r="MR321" s="186"/>
      <c r="MS321" s="186"/>
      <c r="MT321" s="186"/>
      <c r="MU321" s="186"/>
      <c r="MV321" s="186"/>
      <c r="MW321" s="186"/>
      <c r="MX321" s="186"/>
      <c r="MY321" s="186"/>
      <c r="MZ321" s="186"/>
      <c r="NA321" s="186"/>
      <c r="NB321" s="186"/>
      <c r="NC321" s="186"/>
      <c r="ND321" s="186"/>
      <c r="NE321" s="186"/>
      <c r="NF321" s="186"/>
      <c r="NG321" s="186"/>
      <c r="NH321" s="186"/>
      <c r="NI321" s="186"/>
      <c r="NJ321" s="186"/>
      <c r="NK321" s="186"/>
      <c r="NL321" s="186"/>
      <c r="NM321" s="186"/>
      <c r="NN321" s="186"/>
      <c r="NO321" s="186"/>
      <c r="NP321" s="186"/>
      <c r="NQ321" s="186"/>
      <c r="NR321" s="186"/>
      <c r="NS321" s="186"/>
      <c r="NT321" s="186"/>
      <c r="NU321" s="186"/>
      <c r="NV321" s="186"/>
      <c r="NW321" s="186"/>
      <c r="NX321" s="186"/>
      <c r="NY321" s="186"/>
      <c r="NZ321" s="186"/>
      <c r="OA321" s="186"/>
      <c r="OB321" s="186"/>
      <c r="OC321" s="186"/>
      <c r="OD321" s="186"/>
      <c r="OE321" s="186"/>
      <c r="OF321" s="186"/>
      <c r="OG321" s="186"/>
      <c r="OH321" s="186"/>
      <c r="OI321" s="186"/>
      <c r="OJ321" s="186"/>
      <c r="OK321" s="186"/>
      <c r="OL321" s="186"/>
      <c r="OM321" s="186"/>
      <c r="ON321" s="186"/>
      <c r="OO321" s="186"/>
      <c r="OP321" s="186"/>
      <c r="OQ321" s="186"/>
      <c r="OR321" s="186"/>
      <c r="OS321" s="186"/>
      <c r="OT321" s="186"/>
      <c r="OU321" s="186"/>
      <c r="OV321" s="186"/>
      <c r="OW321" s="186"/>
      <c r="OX321" s="186"/>
      <c r="OY321" s="186"/>
      <c r="OZ321" s="186"/>
      <c r="PA321" s="186"/>
      <c r="PB321" s="186"/>
      <c r="PC321" s="186"/>
      <c r="PD321" s="186"/>
      <c r="PE321" s="186"/>
      <c r="PF321" s="186"/>
      <c r="PG321" s="186"/>
      <c r="PH321" s="186"/>
      <c r="PI321" s="186"/>
      <c r="PJ321" s="186"/>
      <c r="PK321" s="186"/>
      <c r="PL321" s="186"/>
      <c r="PM321" s="186"/>
      <c r="PN321" s="186"/>
      <c r="PO321" s="186"/>
      <c r="PP321" s="186"/>
      <c r="PQ321" s="186"/>
      <c r="PR321" s="186"/>
      <c r="PS321" s="186"/>
      <c r="PT321" s="186"/>
      <c r="PU321" s="186"/>
      <c r="PV321" s="186"/>
      <c r="PW321" s="186"/>
      <c r="PX321" s="186"/>
      <c r="PY321" s="186"/>
      <c r="PZ321" s="186"/>
      <c r="QA321" s="186"/>
      <c r="QB321" s="186"/>
      <c r="QC321" s="186"/>
      <c r="QD321" s="186"/>
      <c r="QE321" s="186"/>
      <c r="QF321" s="186"/>
      <c r="QG321" s="186"/>
      <c r="QH321" s="186"/>
      <c r="QI321" s="186"/>
      <c r="QJ321" s="186"/>
      <c r="QK321" s="186"/>
      <c r="QL321" s="186"/>
      <c r="QM321" s="186"/>
      <c r="QN321" s="186"/>
      <c r="QO321" s="186"/>
      <c r="QP321" s="186"/>
      <c r="QQ321" s="186"/>
      <c r="QR321" s="186"/>
      <c r="QS321" s="186"/>
      <c r="QT321" s="186"/>
      <c r="QU321" s="186"/>
      <c r="QV321" s="186"/>
      <c r="QW321" s="186"/>
      <c r="QX321" s="186"/>
      <c r="QY321" s="186"/>
      <c r="QZ321" s="186"/>
      <c r="RA321" s="186"/>
      <c r="RB321" s="186"/>
      <c r="RC321" s="186"/>
      <c r="RD321" s="186"/>
      <c r="RE321" s="186"/>
      <c r="RF321" s="186"/>
      <c r="RG321" s="186"/>
      <c r="RH321" s="186"/>
      <c r="RI321" s="186"/>
      <c r="RJ321" s="186"/>
      <c r="RK321" s="186"/>
      <c r="RL321" s="186"/>
      <c r="RM321" s="186"/>
      <c r="RN321" s="186"/>
      <c r="RO321" s="186"/>
      <c r="RP321" s="186"/>
      <c r="RQ321" s="186"/>
      <c r="RR321" s="186"/>
      <c r="RS321" s="186"/>
      <c r="RT321" s="186"/>
      <c r="RU321" s="186"/>
      <c r="RV321" s="186"/>
      <c r="RW321" s="186"/>
      <c r="RX321" s="186"/>
      <c r="RY321" s="186"/>
      <c r="RZ321" s="186"/>
      <c r="SA321" s="186"/>
      <c r="SB321" s="186"/>
      <c r="SC321" s="186"/>
      <c r="SD321" s="186"/>
      <c r="SE321" s="186"/>
      <c r="SF321" s="186"/>
      <c r="SG321" s="186"/>
      <c r="SH321" s="186"/>
      <c r="SI321" s="186"/>
      <c r="SJ321" s="186"/>
      <c r="SK321" s="186"/>
      <c r="SL321" s="186"/>
      <c r="SM321" s="186"/>
      <c r="SN321" s="186"/>
      <c r="SO321" s="186"/>
      <c r="SP321" s="186"/>
      <c r="SQ321" s="186"/>
      <c r="SR321" s="186"/>
      <c r="SS321" s="186"/>
      <c r="ST321" s="186"/>
      <c r="SU321" s="186"/>
      <c r="SV321" s="186"/>
      <c r="SW321" s="186"/>
      <c r="SX321" s="186"/>
      <c r="SY321" s="186"/>
      <c r="SZ321" s="186"/>
      <c r="TA321" s="186"/>
      <c r="TB321" s="186"/>
      <c r="TC321" s="186"/>
      <c r="TD321" s="186"/>
      <c r="TE321" s="186"/>
      <c r="TF321" s="186"/>
      <c r="TG321" s="186"/>
      <c r="TH321" s="186"/>
      <c r="TI321" s="186"/>
      <c r="TJ321" s="186"/>
      <c r="TK321" s="186"/>
      <c r="TL321" s="186"/>
      <c r="TM321" s="186"/>
      <c r="TN321" s="186"/>
      <c r="TO321" s="186"/>
      <c r="TP321" s="186"/>
      <c r="TQ321" s="186"/>
      <c r="TR321" s="186"/>
      <c r="TS321" s="186"/>
      <c r="TT321" s="186"/>
      <c r="TU321" s="186"/>
      <c r="TV321" s="186"/>
      <c r="TW321" s="186"/>
      <c r="TX321" s="186"/>
      <c r="TY321" s="186"/>
      <c r="TZ321" s="186"/>
      <c r="UA321" s="186"/>
      <c r="UB321" s="186"/>
      <c r="UC321" s="186"/>
      <c r="UD321" s="186"/>
      <c r="UE321" s="186"/>
      <c r="UF321" s="186"/>
      <c r="UG321" s="186"/>
      <c r="UH321" s="186"/>
      <c r="UI321" s="186"/>
      <c r="UJ321" s="186"/>
      <c r="UK321" s="186"/>
      <c r="UL321" s="186"/>
      <c r="UM321" s="186"/>
      <c r="UN321" s="186"/>
      <c r="UO321" s="186"/>
      <c r="UP321" s="186"/>
      <c r="UQ321" s="186"/>
      <c r="UR321" s="186"/>
      <c r="US321" s="186"/>
      <c r="UT321" s="186"/>
      <c r="UU321" s="186"/>
      <c r="UV321" s="186"/>
      <c r="UW321" s="186"/>
      <c r="UX321" s="186"/>
      <c r="UY321" s="186"/>
      <c r="UZ321" s="186"/>
      <c r="VA321" s="186"/>
      <c r="VB321" s="186"/>
      <c r="VC321" s="186"/>
      <c r="VD321" s="186"/>
      <c r="VE321" s="186"/>
      <c r="VF321" s="186"/>
      <c r="VG321" s="186"/>
      <c r="VH321" s="186"/>
      <c r="VI321" s="186"/>
      <c r="VJ321" s="186"/>
      <c r="VK321" s="186"/>
      <c r="VL321" s="186"/>
      <c r="VM321" s="186"/>
      <c r="VN321" s="186"/>
      <c r="VO321" s="186"/>
      <c r="VP321" s="186"/>
      <c r="VQ321" s="186"/>
      <c r="VR321" s="186"/>
      <c r="VS321" s="186"/>
      <c r="VT321" s="186"/>
      <c r="VU321" s="186"/>
      <c r="VV321" s="186"/>
      <c r="VW321" s="186"/>
      <c r="VX321" s="186"/>
      <c r="VY321" s="186"/>
      <c r="VZ321" s="186"/>
      <c r="WA321" s="186"/>
      <c r="WB321" s="186"/>
      <c r="WC321" s="186"/>
      <c r="WD321" s="186"/>
      <c r="WE321" s="186"/>
      <c r="WF321" s="186"/>
      <c r="WG321" s="186"/>
      <c r="WH321" s="186"/>
      <c r="WI321" s="186"/>
      <c r="WJ321" s="186"/>
      <c r="WK321" s="186"/>
      <c r="WL321" s="186"/>
      <c r="WM321" s="186"/>
      <c r="WN321" s="186"/>
      <c r="WO321" s="186"/>
      <c r="WP321" s="186"/>
      <c r="WQ321" s="186"/>
      <c r="WR321" s="186"/>
      <c r="WS321" s="186"/>
      <c r="WT321" s="186"/>
      <c r="WU321" s="186"/>
      <c r="WV321" s="186"/>
      <c r="WW321" s="186"/>
      <c r="WX321" s="186"/>
      <c r="WY321" s="186"/>
      <c r="WZ321" s="186"/>
      <c r="XA321" s="186"/>
      <c r="XB321" s="186"/>
      <c r="XC321" s="186"/>
      <c r="XD321" s="186"/>
      <c r="XE321" s="186"/>
      <c r="XF321" s="186"/>
      <c r="XG321" s="186"/>
      <c r="XH321" s="186"/>
      <c r="XI321" s="186"/>
      <c r="XJ321" s="186"/>
      <c r="XK321" s="186"/>
      <c r="XL321" s="186"/>
      <c r="XM321" s="186"/>
      <c r="XN321" s="186"/>
      <c r="XO321" s="186"/>
      <c r="XP321" s="186"/>
      <c r="XQ321" s="186"/>
      <c r="XR321" s="186"/>
      <c r="XS321" s="186"/>
      <c r="XT321" s="186"/>
      <c r="XU321" s="186"/>
      <c r="XV321" s="186"/>
      <c r="XW321" s="186"/>
      <c r="XX321" s="186"/>
      <c r="XY321" s="186"/>
      <c r="XZ321" s="186"/>
      <c r="YA321" s="186"/>
      <c r="YB321" s="186"/>
      <c r="YC321" s="186"/>
      <c r="YD321" s="186"/>
      <c r="YE321" s="186"/>
      <c r="YF321" s="186"/>
      <c r="YG321" s="186"/>
      <c r="YH321" s="186"/>
      <c r="YI321" s="186"/>
      <c r="YJ321" s="186"/>
      <c r="YK321" s="186"/>
      <c r="YL321" s="186"/>
      <c r="YM321" s="186"/>
      <c r="YN321" s="186"/>
      <c r="YO321" s="186"/>
      <c r="YP321" s="186"/>
      <c r="YQ321" s="186"/>
      <c r="YR321" s="186"/>
      <c r="YS321" s="186"/>
      <c r="YT321" s="186"/>
      <c r="YU321" s="186"/>
      <c r="YV321" s="186"/>
      <c r="YW321" s="186"/>
      <c r="YX321" s="186"/>
      <c r="YY321" s="186"/>
      <c r="YZ321" s="186"/>
      <c r="ZA321" s="186"/>
      <c r="ZB321" s="186"/>
      <c r="ZC321" s="186"/>
      <c r="ZD321" s="186"/>
      <c r="ZE321" s="186"/>
      <c r="ZF321" s="186"/>
      <c r="ZG321" s="186"/>
      <c r="ZH321" s="186"/>
      <c r="ZI321" s="186"/>
      <c r="ZJ321" s="186"/>
      <c r="ZK321" s="186"/>
      <c r="ZL321" s="186"/>
      <c r="ZM321" s="186"/>
      <c r="ZN321" s="186"/>
      <c r="ZO321" s="186"/>
      <c r="ZP321" s="186"/>
      <c r="ZQ321" s="186"/>
      <c r="ZR321" s="186"/>
      <c r="ZS321" s="186"/>
      <c r="ZT321" s="186"/>
      <c r="ZU321" s="186"/>
      <c r="ZV321" s="186"/>
      <c r="ZW321" s="186"/>
      <c r="ZX321" s="186"/>
      <c r="ZY321" s="186"/>
      <c r="ZZ321" s="186"/>
      <c r="AAA321" s="186"/>
      <c r="AAB321" s="186"/>
      <c r="AAC321" s="186"/>
      <c r="AAD321" s="186"/>
      <c r="AAE321" s="186"/>
      <c r="AAF321" s="186"/>
      <c r="AAG321" s="186"/>
      <c r="AAH321" s="186"/>
      <c r="AAI321" s="186"/>
      <c r="AAJ321" s="186"/>
      <c r="AAK321" s="186"/>
      <c r="AAL321" s="186"/>
      <c r="AAM321" s="186"/>
      <c r="AAN321" s="186"/>
      <c r="AAO321" s="186"/>
      <c r="AAP321" s="186"/>
      <c r="AAQ321" s="186"/>
      <c r="AAR321" s="186"/>
      <c r="AAS321" s="186"/>
      <c r="AAT321" s="186"/>
      <c r="AAU321" s="186"/>
      <c r="AAV321" s="186"/>
      <c r="AAW321" s="186"/>
      <c r="AAX321" s="186"/>
      <c r="AAY321" s="186"/>
      <c r="AAZ321" s="186"/>
      <c r="ABA321" s="186"/>
      <c r="ABB321" s="186"/>
      <c r="ABC321" s="186"/>
      <c r="ABD321" s="186"/>
      <c r="ABE321" s="186"/>
      <c r="ABF321" s="186"/>
      <c r="ABG321" s="186"/>
      <c r="ABH321" s="186"/>
      <c r="ABI321" s="186"/>
      <c r="ABJ321" s="186"/>
      <c r="ABK321" s="186"/>
      <c r="ABL321" s="186"/>
      <c r="ABM321" s="186"/>
      <c r="ABN321" s="186"/>
      <c r="ABO321" s="186"/>
      <c r="ABP321" s="186"/>
      <c r="ABQ321" s="186"/>
      <c r="ABR321" s="186"/>
      <c r="ABS321" s="186"/>
      <c r="ABT321" s="186"/>
      <c r="ABU321" s="186"/>
      <c r="ABV321" s="186"/>
      <c r="ABW321" s="186"/>
      <c r="ABX321" s="186"/>
      <c r="ABY321" s="186"/>
      <c r="ABZ321" s="186"/>
      <c r="ACA321" s="186"/>
      <c r="ACB321" s="186"/>
      <c r="ACC321" s="186"/>
      <c r="ACD321" s="186"/>
      <c r="ACE321" s="186"/>
      <c r="ACF321" s="186"/>
      <c r="ACG321" s="186"/>
      <c r="ACH321" s="186"/>
      <c r="ACI321" s="186"/>
      <c r="ACJ321" s="186"/>
      <c r="ACK321" s="186"/>
      <c r="ACL321" s="186"/>
      <c r="ACM321" s="186"/>
      <c r="ACN321" s="186"/>
      <c r="ACO321" s="186"/>
      <c r="ACP321" s="186"/>
      <c r="ACQ321" s="186"/>
      <c r="ACR321" s="186"/>
      <c r="ACS321" s="186"/>
      <c r="ACT321" s="186"/>
      <c r="ACU321" s="186"/>
      <c r="ACV321" s="186"/>
      <c r="ACW321" s="186"/>
      <c r="ACX321" s="186"/>
      <c r="ACY321" s="186"/>
      <c r="ACZ321" s="186"/>
      <c r="ADA321" s="186"/>
      <c r="ADB321" s="186"/>
      <c r="ADC321" s="186"/>
      <c r="ADD321" s="186"/>
      <c r="ADE321" s="186"/>
      <c r="ADF321" s="186"/>
      <c r="ADG321" s="186"/>
      <c r="ADH321" s="186"/>
      <c r="ADI321" s="186"/>
      <c r="ADJ321" s="186"/>
      <c r="ADK321" s="186"/>
      <c r="ADL321" s="186"/>
      <c r="ADM321" s="186"/>
      <c r="ADN321" s="186"/>
      <c r="ADO321" s="186"/>
      <c r="ADP321" s="186"/>
      <c r="ADQ321" s="186"/>
      <c r="ADR321" s="186"/>
      <c r="ADS321" s="186"/>
      <c r="ADT321" s="186"/>
      <c r="ADU321" s="186"/>
      <c r="ADV321" s="186"/>
      <c r="ADW321" s="186"/>
      <c r="ADX321" s="186"/>
      <c r="ADY321" s="186"/>
      <c r="ADZ321" s="186"/>
      <c r="AEA321" s="186"/>
      <c r="AEB321" s="186"/>
      <c r="AEC321" s="186"/>
      <c r="AED321" s="186"/>
      <c r="AEE321" s="186"/>
      <c r="AEF321" s="186"/>
      <c r="AEG321" s="186"/>
      <c r="AEH321" s="186"/>
      <c r="AEI321" s="186"/>
      <c r="AEJ321" s="186"/>
      <c r="AEK321" s="186"/>
      <c r="AEL321" s="186"/>
      <c r="AEM321" s="186"/>
      <c r="AEN321" s="186"/>
      <c r="AEO321" s="186"/>
      <c r="AEP321" s="186"/>
      <c r="AEQ321" s="186"/>
      <c r="AER321" s="186"/>
      <c r="AES321" s="186"/>
      <c r="AET321" s="186"/>
      <c r="AEU321" s="186"/>
      <c r="AEV321" s="186"/>
      <c r="AEW321" s="186"/>
      <c r="AEX321" s="186"/>
      <c r="AEY321" s="186"/>
      <c r="AEZ321" s="186"/>
      <c r="AFA321" s="186"/>
      <c r="AFB321" s="186"/>
      <c r="AFC321" s="186"/>
      <c r="AFD321" s="186"/>
      <c r="AFE321" s="186"/>
      <c r="AFF321" s="186"/>
      <c r="AFG321" s="186"/>
      <c r="AFH321" s="186"/>
      <c r="AFI321" s="186"/>
      <c r="AFJ321" s="186"/>
      <c r="AFK321" s="186"/>
      <c r="AFL321" s="186"/>
      <c r="AFM321" s="186"/>
      <c r="AFN321" s="186"/>
      <c r="AFO321" s="186"/>
      <c r="AFP321" s="186"/>
      <c r="AFQ321" s="186"/>
      <c r="AFR321" s="186"/>
      <c r="AFS321" s="186"/>
      <c r="AFT321" s="186"/>
      <c r="AFU321" s="186"/>
      <c r="AFV321" s="186"/>
      <c r="AFW321" s="186"/>
      <c r="AFX321" s="186"/>
      <c r="AFY321" s="186"/>
      <c r="AFZ321" s="186"/>
      <c r="AGA321" s="186"/>
      <c r="AGB321" s="186"/>
      <c r="AGC321" s="186"/>
      <c r="AGD321" s="186"/>
      <c r="AGE321" s="186"/>
      <c r="AGF321" s="186"/>
      <c r="AGG321" s="186"/>
      <c r="AGH321" s="186"/>
      <c r="AGI321" s="186"/>
      <c r="AGJ321" s="186"/>
      <c r="AGK321" s="186"/>
      <c r="AGL321" s="186"/>
      <c r="AGM321" s="186"/>
      <c r="AGN321" s="186"/>
      <c r="AGO321" s="186"/>
      <c r="AGP321" s="186"/>
      <c r="AGQ321" s="186"/>
      <c r="AGR321" s="186"/>
      <c r="AGS321" s="186"/>
      <c r="AGT321" s="186"/>
      <c r="AGU321" s="186"/>
      <c r="AGV321" s="186"/>
      <c r="AGW321" s="186"/>
      <c r="AGX321" s="186"/>
      <c r="AGY321" s="186"/>
      <c r="AGZ321" s="186"/>
      <c r="AHA321" s="186"/>
      <c r="AHB321" s="186"/>
      <c r="AHC321" s="186"/>
      <c r="AHD321" s="186"/>
      <c r="AHE321" s="186"/>
      <c r="AHF321" s="186"/>
      <c r="AHG321" s="186"/>
      <c r="AHH321" s="186"/>
      <c r="AHI321" s="186"/>
      <c r="AHJ321" s="186"/>
      <c r="AHK321" s="186"/>
      <c r="AHL321" s="186"/>
      <c r="AHM321" s="186"/>
      <c r="AHN321" s="186"/>
      <c r="AHO321" s="186"/>
      <c r="AHP321" s="186"/>
      <c r="AHQ321" s="186"/>
      <c r="AHR321" s="186"/>
      <c r="AHS321" s="186"/>
      <c r="AHT321" s="186"/>
      <c r="AHU321" s="186"/>
      <c r="AHV321" s="186"/>
      <c r="AHW321" s="186"/>
      <c r="AHX321" s="186"/>
      <c r="AHY321" s="186"/>
      <c r="AHZ321" s="186"/>
      <c r="AIA321" s="186"/>
      <c r="AIB321" s="186"/>
      <c r="AIC321" s="186"/>
      <c r="AID321" s="186"/>
      <c r="AIE321" s="186"/>
      <c r="AIF321" s="186"/>
      <c r="AIG321" s="186"/>
      <c r="AIH321" s="186"/>
      <c r="AII321" s="186"/>
      <c r="AIJ321" s="186"/>
      <c r="AIK321" s="186"/>
      <c r="AIL321" s="186"/>
      <c r="AIM321" s="186"/>
      <c r="AIN321" s="186"/>
      <c r="AIO321" s="186"/>
      <c r="AIP321" s="186"/>
      <c r="AIQ321" s="186"/>
      <c r="AIR321" s="186"/>
      <c r="AIS321" s="186"/>
      <c r="AIT321" s="186"/>
      <c r="AIU321" s="186"/>
      <c r="AIV321" s="186"/>
      <c r="AIW321" s="186"/>
      <c r="AIX321" s="186"/>
      <c r="AIY321" s="186"/>
      <c r="AIZ321" s="186"/>
      <c r="AJA321" s="186"/>
      <c r="AJB321" s="186"/>
      <c r="AJC321" s="186"/>
      <c r="AJD321" s="186"/>
      <c r="AJE321" s="186"/>
      <c r="AJF321" s="186"/>
      <c r="AJG321" s="186"/>
      <c r="AJH321" s="186"/>
      <c r="AJI321" s="186"/>
      <c r="AJJ321" s="186"/>
      <c r="AJK321" s="186"/>
      <c r="AJL321" s="186"/>
      <c r="AJM321" s="186"/>
      <c r="AJN321" s="186"/>
      <c r="AJO321" s="186"/>
      <c r="AJP321" s="186"/>
      <c r="AJQ321" s="186"/>
      <c r="AJR321" s="186"/>
      <c r="AJS321" s="186"/>
      <c r="AJT321" s="186"/>
      <c r="AJU321" s="186"/>
      <c r="AJV321" s="186"/>
      <c r="AJW321" s="186"/>
      <c r="AJX321" s="186"/>
      <c r="AJY321" s="186"/>
      <c r="AJZ321" s="186"/>
      <c r="AKA321" s="186"/>
      <c r="AKB321" s="186"/>
      <c r="AKC321" s="186"/>
      <c r="AKD321" s="186"/>
      <c r="AKE321" s="186"/>
      <c r="AKF321" s="186"/>
      <c r="AKG321" s="186"/>
      <c r="AKH321" s="186"/>
      <c r="AKI321" s="186"/>
      <c r="AKJ321" s="186"/>
      <c r="AKK321" s="186"/>
      <c r="AKL321" s="186"/>
      <c r="AKM321" s="186"/>
      <c r="AKN321" s="186"/>
      <c r="AKO321" s="186"/>
      <c r="AKP321" s="186"/>
      <c r="AKQ321" s="186"/>
      <c r="AKR321" s="186"/>
      <c r="AKS321" s="186"/>
      <c r="AKT321" s="186"/>
      <c r="AKU321" s="186"/>
      <c r="AKV321" s="186"/>
      <c r="AKW321" s="186"/>
      <c r="AKX321" s="186"/>
      <c r="AKY321" s="186"/>
      <c r="AKZ321" s="186"/>
      <c r="ALA321" s="186"/>
      <c r="ALB321" s="186"/>
      <c r="ALC321" s="186"/>
      <c r="ALD321" s="186"/>
      <c r="ALE321" s="186"/>
      <c r="ALF321" s="186"/>
      <c r="ALG321" s="186"/>
      <c r="ALH321" s="186"/>
      <c r="ALI321" s="186"/>
      <c r="ALJ321" s="186"/>
      <c r="ALK321" s="186"/>
      <c r="ALL321" s="186"/>
      <c r="ALM321" s="186"/>
      <c r="ALN321" s="186"/>
      <c r="ALO321" s="186"/>
      <c r="ALP321" s="186"/>
      <c r="ALQ321" s="186"/>
      <c r="ALR321" s="186"/>
      <c r="ALS321" s="186"/>
      <c r="ALT321" s="186"/>
      <c r="ALU321" s="186"/>
      <c r="ALV321" s="186"/>
      <c r="ALW321" s="186"/>
      <c r="ALX321" s="186"/>
      <c r="ALY321" s="186"/>
      <c r="ALZ321" s="186"/>
      <c r="AMA321" s="186"/>
      <c r="AMB321" s="186"/>
      <c r="AMC321" s="186"/>
      <c r="AMD321" s="186"/>
      <c r="AME321" s="186"/>
      <c r="AMF321" s="186"/>
      <c r="AMG321" s="186"/>
      <c r="AMH321" s="186"/>
      <c r="AMI321" s="186"/>
      <c r="AMJ321" s="186"/>
      <c r="AMK321" s="186"/>
      <c r="AML321" s="186"/>
      <c r="AMM321" s="186"/>
      <c r="AMN321" s="186"/>
      <c r="AMO321" s="186"/>
      <c r="AMP321" s="186"/>
      <c r="AMQ321" s="186"/>
      <c r="AMR321" s="186"/>
      <c r="AMS321" s="186"/>
      <c r="AMT321" s="186"/>
      <c r="AMU321" s="186"/>
      <c r="AMV321" s="186"/>
      <c r="AMW321" s="186"/>
      <c r="AMX321" s="186"/>
      <c r="AMY321" s="186"/>
      <c r="AMZ321" s="186"/>
      <c r="ANA321" s="186"/>
      <c r="ANB321" s="186"/>
      <c r="ANC321" s="186"/>
      <c r="AND321" s="186"/>
      <c r="ANE321" s="186"/>
      <c r="ANF321" s="186"/>
      <c r="ANG321" s="186"/>
      <c r="ANH321" s="186"/>
      <c r="ANI321" s="186"/>
      <c r="ANJ321" s="186"/>
      <c r="ANK321" s="186"/>
      <c r="ANL321" s="186"/>
      <c r="ANM321" s="186"/>
      <c r="ANN321" s="186"/>
      <c r="ANO321" s="186"/>
      <c r="ANP321" s="186"/>
      <c r="ANQ321" s="186"/>
      <c r="ANR321" s="186"/>
      <c r="ANS321" s="186"/>
      <c r="ANT321" s="186"/>
      <c r="ANU321" s="186"/>
      <c r="ANV321" s="186"/>
      <c r="ANW321" s="186"/>
      <c r="ANX321" s="186"/>
      <c r="ANY321" s="186"/>
      <c r="ANZ321" s="186"/>
      <c r="AOA321" s="186"/>
      <c r="AOB321" s="186"/>
      <c r="AOC321" s="186"/>
      <c r="AOD321" s="186"/>
      <c r="AOE321" s="186"/>
      <c r="AOF321" s="186"/>
      <c r="AOG321" s="186"/>
      <c r="AOH321" s="186"/>
      <c r="AOI321" s="186"/>
      <c r="AOJ321" s="186"/>
      <c r="AOK321" s="186"/>
      <c r="AOL321" s="186"/>
      <c r="AOM321" s="186"/>
      <c r="AON321" s="186"/>
      <c r="AOO321" s="186"/>
      <c r="AOP321" s="186"/>
      <c r="AOQ321" s="186"/>
      <c r="AOR321" s="186"/>
      <c r="AOS321" s="186"/>
      <c r="AOT321" s="186"/>
      <c r="AOU321" s="186"/>
      <c r="AOV321" s="186"/>
      <c r="AOW321" s="186"/>
      <c r="AOX321" s="186"/>
      <c r="AOY321" s="186"/>
      <c r="AOZ321" s="186"/>
      <c r="APA321" s="186"/>
      <c r="APB321" s="186"/>
      <c r="APC321" s="186"/>
      <c r="APD321" s="186"/>
      <c r="APE321" s="186"/>
      <c r="APF321" s="186"/>
      <c r="APG321" s="186"/>
      <c r="APH321" s="186"/>
      <c r="API321" s="186"/>
      <c r="APJ321" s="186"/>
      <c r="APK321" s="186"/>
      <c r="APL321" s="186"/>
      <c r="APM321" s="186"/>
      <c r="APN321" s="186"/>
      <c r="APO321" s="186"/>
      <c r="APP321" s="186"/>
      <c r="APQ321" s="186"/>
      <c r="APR321" s="186"/>
      <c r="APS321" s="186"/>
      <c r="APT321" s="186"/>
      <c r="APU321" s="186"/>
      <c r="APV321" s="186"/>
      <c r="APW321" s="186"/>
      <c r="APX321" s="186"/>
      <c r="APY321" s="186"/>
      <c r="APZ321" s="186"/>
      <c r="AQA321" s="186"/>
      <c r="AQB321" s="186"/>
      <c r="AQC321" s="186"/>
      <c r="AQD321" s="186"/>
      <c r="AQE321" s="186"/>
      <c r="AQF321" s="186"/>
      <c r="AQG321" s="186"/>
      <c r="AQH321" s="186"/>
      <c r="AQI321" s="186"/>
      <c r="AQJ321" s="186"/>
      <c r="AQK321" s="186"/>
      <c r="AQL321" s="186"/>
      <c r="AQM321" s="186"/>
      <c r="AQN321" s="186"/>
      <c r="AQO321" s="186"/>
      <c r="AQP321" s="186"/>
      <c r="AQQ321" s="186"/>
      <c r="AQR321" s="186"/>
      <c r="AQS321" s="186"/>
      <c r="AQT321" s="186"/>
      <c r="AQU321" s="186"/>
      <c r="AQV321" s="186"/>
      <c r="AQW321" s="186"/>
      <c r="AQX321" s="186"/>
      <c r="AQY321" s="186"/>
      <c r="AQZ321" s="186"/>
      <c r="ARA321" s="186"/>
      <c r="ARB321" s="186"/>
      <c r="ARC321" s="186"/>
      <c r="ARD321" s="186"/>
      <c r="ARE321" s="186"/>
      <c r="ARF321" s="186"/>
      <c r="ARG321" s="186"/>
      <c r="ARH321" s="186"/>
      <c r="ARI321" s="186"/>
      <c r="ARJ321" s="186"/>
      <c r="ARK321" s="186"/>
      <c r="ARL321" s="186"/>
      <c r="ARM321" s="186"/>
      <c r="ARN321" s="186"/>
      <c r="ARO321" s="186"/>
      <c r="ARP321" s="186"/>
      <c r="ARQ321" s="186"/>
      <c r="ARR321" s="186"/>
      <c r="ARS321" s="186"/>
      <c r="ART321" s="186"/>
      <c r="ARU321" s="186"/>
      <c r="ARV321" s="186"/>
      <c r="ARW321" s="186"/>
      <c r="ARX321" s="186"/>
      <c r="ARY321" s="186"/>
      <c r="ARZ321" s="186"/>
      <c r="ASA321" s="186"/>
      <c r="ASB321" s="186"/>
      <c r="ASC321" s="186"/>
      <c r="ASD321" s="186"/>
      <c r="ASE321" s="186"/>
      <c r="ASF321" s="186"/>
      <c r="ASG321" s="186"/>
      <c r="ASH321" s="186"/>
      <c r="ASI321" s="186"/>
      <c r="ASJ321" s="186"/>
      <c r="ASK321" s="186"/>
      <c r="ASL321" s="186"/>
      <c r="ASM321" s="186"/>
      <c r="ASN321" s="186"/>
      <c r="ASO321" s="186"/>
      <c r="ASP321" s="186"/>
      <c r="ASQ321" s="186"/>
      <c r="ASR321" s="186"/>
      <c r="ASS321" s="186"/>
      <c r="AST321" s="186"/>
      <c r="ASU321" s="186"/>
      <c r="ASV321" s="186"/>
      <c r="ASW321" s="186"/>
      <c r="ASX321" s="186"/>
      <c r="ASY321" s="186"/>
      <c r="ASZ321" s="186"/>
      <c r="ATA321" s="186"/>
      <c r="ATB321" s="186"/>
      <c r="ATC321" s="186"/>
      <c r="ATD321" s="186"/>
      <c r="ATE321" s="186"/>
      <c r="ATF321" s="186"/>
      <c r="ATG321" s="186"/>
      <c r="ATH321" s="186"/>
      <c r="ATI321" s="186"/>
      <c r="ATJ321" s="186"/>
      <c r="ATK321" s="186"/>
      <c r="ATL321" s="186"/>
      <c r="ATM321" s="186"/>
      <c r="ATN321" s="186"/>
      <c r="ATO321" s="186"/>
      <c r="ATP321" s="186"/>
      <c r="ATQ321" s="186"/>
      <c r="ATR321" s="186"/>
      <c r="ATS321" s="186"/>
      <c r="ATT321" s="186"/>
      <c r="ATU321" s="186"/>
      <c r="ATV321" s="186"/>
      <c r="ATW321" s="186"/>
      <c r="ATX321" s="186"/>
      <c r="ATY321" s="186"/>
      <c r="ATZ321" s="186"/>
      <c r="AUA321" s="186"/>
      <c r="AUB321" s="186"/>
      <c r="AUC321" s="186"/>
      <c r="AUD321" s="186"/>
      <c r="AUE321" s="186"/>
      <c r="AUF321" s="186"/>
      <c r="AUG321" s="186"/>
      <c r="AUH321" s="186"/>
      <c r="AUI321" s="186"/>
      <c r="AUJ321" s="186"/>
      <c r="AUK321" s="186"/>
      <c r="AUL321" s="186"/>
      <c r="AUM321" s="186"/>
      <c r="AUN321" s="186"/>
      <c r="AUO321" s="186"/>
      <c r="AUP321" s="186"/>
      <c r="AUQ321" s="186"/>
      <c r="AUR321" s="186"/>
      <c r="AUS321" s="186"/>
      <c r="AUT321" s="186"/>
      <c r="AUU321" s="186"/>
      <c r="AUV321" s="186"/>
      <c r="AUW321" s="186"/>
      <c r="AUX321" s="186"/>
      <c r="AUY321" s="186"/>
      <c r="AUZ321" s="186"/>
      <c r="AVA321" s="186"/>
      <c r="AVB321" s="186"/>
      <c r="AVC321" s="186"/>
      <c r="AVD321" s="186"/>
      <c r="AVE321" s="186"/>
      <c r="AVF321" s="186"/>
      <c r="AVG321" s="186"/>
      <c r="AVH321" s="186"/>
      <c r="AVI321" s="186"/>
      <c r="AVJ321" s="186"/>
      <c r="AVK321" s="186"/>
      <c r="AVL321" s="186"/>
      <c r="AVM321" s="186"/>
      <c r="AVN321" s="186"/>
      <c r="AVO321" s="186"/>
      <c r="AVP321" s="186"/>
      <c r="AVQ321" s="186"/>
      <c r="AVR321" s="186"/>
      <c r="AVS321" s="186"/>
      <c r="AVT321" s="186"/>
      <c r="AVU321" s="186"/>
      <c r="AVV321" s="186"/>
      <c r="AVW321" s="186"/>
      <c r="AVX321" s="186"/>
      <c r="AVY321" s="186"/>
      <c r="AVZ321" s="186"/>
      <c r="AWA321" s="186"/>
      <c r="AWB321" s="186"/>
      <c r="AWC321" s="186"/>
      <c r="AWD321" s="186"/>
      <c r="AWE321" s="186"/>
      <c r="AWF321" s="186"/>
      <c r="AWG321" s="186"/>
      <c r="AWH321" s="186"/>
      <c r="AWI321" s="186"/>
      <c r="AWJ321" s="186"/>
      <c r="AWK321" s="186"/>
      <c r="AWL321" s="186"/>
      <c r="AWM321" s="186"/>
      <c r="AWN321" s="186"/>
      <c r="AWO321" s="186"/>
      <c r="AWP321" s="186"/>
      <c r="AWQ321" s="186"/>
      <c r="AWR321" s="186"/>
      <c r="AWS321" s="186"/>
      <c r="AWT321" s="186"/>
      <c r="AWU321" s="186"/>
      <c r="AWV321" s="186"/>
      <c r="AWW321" s="186"/>
      <c r="AWX321" s="186"/>
      <c r="AWY321" s="186"/>
      <c r="AWZ321" s="186"/>
      <c r="AXA321" s="186"/>
      <c r="AXB321" s="186"/>
      <c r="AXC321" s="186"/>
      <c r="AXD321" s="186"/>
      <c r="AXE321" s="186"/>
      <c r="AXF321" s="186"/>
      <c r="AXG321" s="186"/>
      <c r="AXH321" s="186"/>
      <c r="AXI321" s="186"/>
      <c r="AXJ321" s="186"/>
      <c r="AXK321" s="186"/>
      <c r="AXL321" s="186"/>
      <c r="AXM321" s="186"/>
      <c r="AXN321" s="186"/>
      <c r="AXO321" s="186"/>
      <c r="AXP321" s="186"/>
    </row>
    <row r="322" spans="1:1316" s="239" customFormat="1" ht="12.75">
      <c r="A322" s="240"/>
      <c r="D322" s="241"/>
      <c r="H322" s="187"/>
      <c r="I322" s="187"/>
      <c r="J322" s="241"/>
      <c r="K322" s="241"/>
      <c r="L322" s="241"/>
    </row>
    <row r="323" spans="1:1316" s="241" customFormat="1" ht="12.75">
      <c r="A323" s="242"/>
      <c r="B323" s="239"/>
      <c r="C323" s="239"/>
      <c r="E323" s="239"/>
      <c r="F323" s="239"/>
      <c r="G323" s="239"/>
      <c r="H323" s="187"/>
      <c r="I323" s="187"/>
    </row>
    <row r="324" spans="1:1316" s="239" customFormat="1" ht="12.75">
      <c r="A324" s="241"/>
      <c r="D324" s="241"/>
      <c r="H324" s="187"/>
      <c r="I324" s="187"/>
      <c r="J324" s="241"/>
      <c r="K324" s="241"/>
      <c r="L324" s="241"/>
    </row>
    <row r="325" spans="1:1316" s="239" customFormat="1" ht="12.75">
      <c r="A325" s="241"/>
      <c r="D325" s="241"/>
      <c r="H325" s="187"/>
      <c r="I325" s="187"/>
      <c r="J325" s="241"/>
      <c r="K325" s="241"/>
      <c r="L325" s="241"/>
    </row>
    <row r="326" spans="1:1316" s="241" customFormat="1" ht="12.75">
      <c r="A326" s="242"/>
      <c r="B326" s="239"/>
      <c r="C326" s="239"/>
      <c r="E326" s="239"/>
      <c r="F326" s="239"/>
      <c r="G326" s="239"/>
      <c r="H326" s="187"/>
      <c r="I326" s="187"/>
    </row>
    <row r="327" spans="1:1316" ht="12.75">
      <c r="H327" s="187"/>
      <c r="I327" s="187"/>
    </row>
    <row r="328" spans="1:1316" s="241" customFormat="1" ht="12.75">
      <c r="B328" s="239" t="s">
        <v>280</v>
      </c>
      <c r="C328" s="239"/>
      <c r="E328" s="239"/>
      <c r="F328" s="239"/>
      <c r="G328" s="239"/>
      <c r="H328" s="187"/>
      <c r="I328" s="187"/>
    </row>
    <row r="329" spans="1:1316" s="241" customFormat="1" ht="12.75">
      <c r="A329" s="240"/>
      <c r="B329" s="239"/>
      <c r="C329" s="239"/>
      <c r="E329" s="239"/>
      <c r="F329" s="239"/>
      <c r="G329" s="239"/>
      <c r="H329" s="187"/>
      <c r="I329" s="187"/>
    </row>
    <row r="330" spans="1:1316" s="241" customFormat="1" ht="12.75">
      <c r="A330" s="240"/>
      <c r="B330" s="239"/>
      <c r="C330" s="239"/>
      <c r="E330" s="239"/>
      <c r="F330" s="239"/>
      <c r="G330" s="239"/>
      <c r="H330" s="187"/>
      <c r="I330" s="187"/>
    </row>
    <row r="331" spans="1:1316" s="241" customFormat="1" ht="12.75">
      <c r="A331" s="240"/>
      <c r="B331" s="239"/>
      <c r="C331" s="239"/>
      <c r="E331" s="239"/>
      <c r="F331" s="239"/>
      <c r="G331" s="239"/>
      <c r="H331" s="187"/>
      <c r="I331" s="187"/>
    </row>
    <row r="332" spans="1:1316" s="241" customFormat="1" ht="12.75">
      <c r="A332" s="240"/>
      <c r="B332" s="239"/>
      <c r="C332" s="239"/>
      <c r="E332" s="239"/>
      <c r="F332" s="239"/>
      <c r="G332" s="239"/>
      <c r="H332" s="187"/>
      <c r="I332" s="187"/>
    </row>
    <row r="333" spans="1:1316" s="241" customFormat="1" ht="12.75">
      <c r="A333" s="240"/>
      <c r="B333" s="239"/>
      <c r="C333" s="239"/>
      <c r="E333" s="239"/>
      <c r="F333" s="239"/>
      <c r="G333" s="239"/>
      <c r="H333" s="187"/>
      <c r="I333" s="187"/>
    </row>
    <row r="334" spans="1:1316" s="241" customFormat="1" ht="12.75">
      <c r="A334" s="240"/>
      <c r="B334" s="239"/>
      <c r="C334" s="239"/>
      <c r="E334" s="239"/>
      <c r="F334" s="239"/>
      <c r="G334" s="239"/>
      <c r="H334" s="187"/>
      <c r="I334" s="187"/>
    </row>
    <row r="335" spans="1:1316" s="241" customFormat="1" ht="12.75">
      <c r="A335" s="240"/>
      <c r="B335" s="239"/>
      <c r="C335" s="239"/>
      <c r="E335" s="239"/>
      <c r="F335" s="239"/>
      <c r="G335" s="239"/>
      <c r="H335" s="187"/>
      <c r="I335" s="187"/>
    </row>
    <row r="336" spans="1:1316" s="241" customFormat="1" ht="12.75">
      <c r="A336" s="240"/>
      <c r="B336" s="239"/>
      <c r="C336" s="239"/>
      <c r="E336" s="239"/>
      <c r="F336" s="239"/>
      <c r="G336" s="239"/>
      <c r="H336" s="187"/>
      <c r="I336" s="187"/>
    </row>
    <row r="337" spans="1:12" s="241" customFormat="1" ht="12.75">
      <c r="A337" s="240"/>
      <c r="B337" s="239"/>
      <c r="C337" s="239"/>
      <c r="E337" s="239"/>
      <c r="F337" s="239"/>
      <c r="G337" s="239"/>
      <c r="H337" s="187"/>
      <c r="I337" s="187"/>
    </row>
    <row r="338" spans="1:12" s="241" customFormat="1" ht="12.75">
      <c r="A338" s="240"/>
      <c r="B338" s="239"/>
      <c r="C338" s="239"/>
      <c r="E338" s="239"/>
      <c r="F338" s="239"/>
      <c r="G338" s="239"/>
      <c r="H338" s="187"/>
      <c r="I338" s="187"/>
    </row>
    <row r="339" spans="1:12" s="241" customFormat="1" ht="12.75">
      <c r="A339" s="240"/>
      <c r="B339" s="239"/>
      <c r="C339" s="239"/>
      <c r="E339" s="239"/>
      <c r="F339" s="239"/>
      <c r="G339" s="239"/>
      <c r="H339" s="187"/>
      <c r="I339" s="187"/>
    </row>
    <row r="340" spans="1:12" s="241" customFormat="1" ht="12.75">
      <c r="A340" s="240"/>
      <c r="B340" s="239"/>
      <c r="C340" s="239"/>
      <c r="E340" s="239"/>
      <c r="F340" s="239"/>
      <c r="G340" s="239"/>
      <c r="H340" s="187"/>
      <c r="I340" s="187"/>
    </row>
    <row r="341" spans="1:12" s="241" customFormat="1" ht="12.75">
      <c r="A341" s="240"/>
      <c r="B341" s="239"/>
      <c r="C341" s="239"/>
      <c r="E341" s="239"/>
      <c r="F341" s="239"/>
      <c r="G341" s="239"/>
      <c r="H341" s="187"/>
      <c r="I341" s="187"/>
    </row>
    <row r="342" spans="1:12" s="241" customFormat="1" ht="12.75">
      <c r="A342" s="240"/>
      <c r="B342" s="239"/>
      <c r="C342" s="239"/>
      <c r="E342" s="239"/>
      <c r="F342" s="239"/>
      <c r="G342" s="239"/>
      <c r="H342" s="187"/>
      <c r="I342" s="187"/>
    </row>
    <row r="343" spans="1:12" s="239" customFormat="1" ht="12.75">
      <c r="A343" s="240"/>
      <c r="D343" s="241"/>
      <c r="H343" s="187"/>
      <c r="I343" s="187"/>
      <c r="J343" s="241"/>
      <c r="K343" s="241"/>
      <c r="L343" s="241"/>
    </row>
    <row r="344" spans="1:12" s="239" customFormat="1" ht="12.75">
      <c r="A344" s="243"/>
      <c r="D344" s="241"/>
      <c r="H344" s="187"/>
      <c r="I344" s="187"/>
      <c r="J344" s="241"/>
      <c r="K344" s="241"/>
      <c r="L344" s="241"/>
    </row>
    <row r="345" spans="1:12" s="239" customFormat="1" ht="12.75">
      <c r="A345" s="240"/>
      <c r="D345" s="241"/>
      <c r="H345" s="187"/>
      <c r="I345" s="187"/>
      <c r="J345" s="241"/>
      <c r="K345" s="241"/>
      <c r="L345" s="241"/>
    </row>
    <row r="346" spans="1:12" s="239" customFormat="1" ht="12.75">
      <c r="A346" s="240"/>
      <c r="D346" s="241"/>
      <c r="H346" s="187"/>
      <c r="I346" s="187"/>
      <c r="J346" s="241"/>
      <c r="K346" s="241"/>
      <c r="L346" s="241"/>
    </row>
    <row r="347" spans="1:12" s="239" customFormat="1" ht="12.75">
      <c r="A347" s="243"/>
      <c r="D347" s="241"/>
      <c r="H347" s="187"/>
      <c r="I347" s="187"/>
      <c r="J347" s="241"/>
      <c r="K347" s="241"/>
      <c r="L347" s="241"/>
    </row>
    <row r="348" spans="1:12" s="239" customFormat="1" ht="12.75">
      <c r="A348" s="243"/>
      <c r="D348" s="241"/>
      <c r="H348" s="187"/>
      <c r="I348" s="187"/>
      <c r="J348" s="241"/>
      <c r="K348" s="241"/>
      <c r="L348" s="241"/>
    </row>
    <row r="349" spans="1:12" s="239" customFormat="1" ht="12.75">
      <c r="A349" s="240"/>
      <c r="D349" s="241"/>
      <c r="H349" s="187"/>
      <c r="I349" s="187"/>
      <c r="J349" s="241"/>
      <c r="K349" s="241"/>
      <c r="L349" s="241"/>
    </row>
    <row r="350" spans="1:12" s="239" customFormat="1" ht="12.75">
      <c r="A350" s="240"/>
      <c r="D350" s="241"/>
      <c r="H350" s="187"/>
      <c r="I350" s="187"/>
      <c r="J350" s="241"/>
      <c r="K350" s="241"/>
      <c r="L350" s="241"/>
    </row>
    <row r="351" spans="1:12" s="239" customFormat="1" ht="12.75">
      <c r="A351" s="240"/>
      <c r="D351" s="241"/>
      <c r="H351" s="241"/>
      <c r="I351" s="241"/>
      <c r="J351" s="241"/>
      <c r="K351" s="241"/>
      <c r="L351" s="241"/>
    </row>
    <row r="352" spans="1:12" s="239" customFormat="1" ht="12.75">
      <c r="A352" s="240"/>
      <c r="D352" s="241"/>
      <c r="H352" s="241"/>
      <c r="I352" s="241"/>
      <c r="J352" s="241"/>
      <c r="K352" s="241"/>
      <c r="L352" s="241"/>
    </row>
    <row r="353" spans="1:1754" s="239" customFormat="1" ht="12.75">
      <c r="A353" s="244"/>
      <c r="D353" s="241"/>
      <c r="H353" s="241"/>
      <c r="I353" s="241"/>
      <c r="J353" s="241"/>
      <c r="K353" s="241"/>
      <c r="L353" s="241"/>
    </row>
    <row r="354" spans="1:1754" s="239" customFormat="1" ht="12.75">
      <c r="A354" s="240"/>
      <c r="D354" s="241"/>
      <c r="H354" s="241"/>
      <c r="I354" s="241"/>
      <c r="J354" s="241"/>
      <c r="K354" s="241"/>
      <c r="L354" s="241"/>
    </row>
    <row r="355" spans="1:1754" s="239" customFormat="1" ht="12.75">
      <c r="A355" s="245"/>
      <c r="D355" s="241"/>
      <c r="H355" s="241"/>
      <c r="I355" s="241"/>
      <c r="J355" s="241"/>
      <c r="K355" s="241"/>
      <c r="L355" s="241"/>
    </row>
    <row r="356" spans="1:1754" s="233" customFormat="1" ht="12.75">
      <c r="A356" s="245"/>
      <c r="B356" s="239"/>
      <c r="C356" s="239"/>
      <c r="D356" s="241"/>
      <c r="E356" s="239"/>
      <c r="F356" s="239"/>
      <c r="G356" s="239"/>
      <c r="H356" s="241"/>
      <c r="I356" s="241"/>
      <c r="J356" s="241"/>
      <c r="K356" s="241"/>
      <c r="L356" s="241"/>
      <c r="M356" s="239"/>
      <c r="N356" s="239"/>
      <c r="O356" s="239"/>
      <c r="P356" s="239"/>
      <c r="Q356" s="239"/>
      <c r="R356" s="239"/>
      <c r="S356" s="239"/>
      <c r="T356" s="239"/>
      <c r="U356" s="239"/>
      <c r="V356" s="239"/>
      <c r="W356" s="239"/>
      <c r="X356" s="239"/>
      <c r="Y356" s="239"/>
      <c r="Z356" s="239"/>
      <c r="AA356" s="239"/>
      <c r="AB356" s="239"/>
      <c r="AC356" s="239"/>
      <c r="AD356" s="239"/>
      <c r="AE356" s="239"/>
      <c r="AF356" s="239"/>
      <c r="AG356" s="239"/>
      <c r="AH356" s="239"/>
      <c r="AI356" s="239"/>
      <c r="AJ356" s="239"/>
      <c r="AK356" s="239"/>
      <c r="AL356" s="239"/>
      <c r="AM356" s="239"/>
      <c r="AN356" s="239"/>
      <c r="AO356" s="239"/>
      <c r="AP356" s="239"/>
      <c r="AQ356" s="239"/>
      <c r="AR356" s="239"/>
      <c r="AS356" s="239"/>
      <c r="AT356" s="239"/>
      <c r="AU356" s="239"/>
      <c r="AV356" s="239"/>
      <c r="AW356" s="239"/>
      <c r="AX356" s="239"/>
      <c r="AY356" s="239"/>
      <c r="AZ356" s="239"/>
      <c r="BA356" s="239"/>
      <c r="BB356" s="239"/>
      <c r="BC356" s="239"/>
      <c r="BD356" s="239"/>
      <c r="BE356" s="239"/>
      <c r="BF356" s="239"/>
      <c r="BG356" s="239"/>
      <c r="BH356" s="239"/>
      <c r="BI356" s="239"/>
      <c r="BJ356" s="239"/>
      <c r="BK356" s="239"/>
      <c r="BL356" s="239"/>
      <c r="BM356" s="239"/>
      <c r="BN356" s="239"/>
      <c r="BO356" s="239"/>
      <c r="BP356" s="239"/>
      <c r="BQ356" s="239"/>
      <c r="BR356" s="239"/>
      <c r="BS356" s="239"/>
      <c r="BT356" s="239"/>
      <c r="BU356" s="239"/>
      <c r="BV356" s="239"/>
      <c r="BW356" s="239"/>
      <c r="BX356" s="239"/>
      <c r="BY356" s="239"/>
      <c r="BZ356" s="239"/>
      <c r="CA356" s="239"/>
      <c r="CB356" s="239"/>
      <c r="CC356" s="239"/>
      <c r="CD356" s="239"/>
      <c r="CE356" s="239"/>
      <c r="CF356" s="239"/>
      <c r="CG356" s="239"/>
      <c r="CH356" s="239"/>
      <c r="CI356" s="239"/>
      <c r="CJ356" s="239"/>
      <c r="CK356" s="239"/>
      <c r="CL356" s="239"/>
      <c r="CM356" s="239"/>
      <c r="CN356" s="239"/>
      <c r="CO356" s="239"/>
      <c r="CP356" s="239"/>
      <c r="CQ356" s="239"/>
      <c r="CR356" s="239"/>
      <c r="CS356" s="239"/>
      <c r="CT356" s="239"/>
      <c r="CU356" s="239"/>
      <c r="CV356" s="239"/>
      <c r="CW356" s="239"/>
      <c r="CX356" s="239"/>
      <c r="CY356" s="239"/>
      <c r="CZ356" s="239"/>
      <c r="DA356" s="239"/>
      <c r="DB356" s="239"/>
      <c r="DC356" s="239"/>
      <c r="DD356" s="239"/>
      <c r="DE356" s="239"/>
      <c r="DF356" s="239"/>
      <c r="DG356" s="239"/>
      <c r="DH356" s="239"/>
      <c r="DI356" s="239"/>
      <c r="DJ356" s="239"/>
      <c r="DK356" s="239"/>
      <c r="DL356" s="239"/>
      <c r="DM356" s="239"/>
      <c r="DN356" s="239"/>
      <c r="DO356" s="239"/>
      <c r="DP356" s="239"/>
      <c r="DQ356" s="239"/>
      <c r="DR356" s="239"/>
      <c r="DS356" s="239"/>
      <c r="DT356" s="239"/>
      <c r="DU356" s="239"/>
      <c r="DV356" s="239"/>
      <c r="DW356" s="239"/>
      <c r="DX356" s="239"/>
      <c r="DY356" s="239"/>
      <c r="DZ356" s="239"/>
      <c r="EA356" s="239"/>
      <c r="EB356" s="239"/>
      <c r="EC356" s="239"/>
      <c r="ED356" s="239"/>
      <c r="EE356" s="239"/>
      <c r="EF356" s="239"/>
      <c r="EG356" s="239"/>
      <c r="EH356" s="239"/>
      <c r="EI356" s="239"/>
      <c r="EJ356" s="239"/>
      <c r="EK356" s="239"/>
      <c r="EL356" s="239"/>
      <c r="EM356" s="239"/>
      <c r="EN356" s="239"/>
      <c r="EO356" s="239"/>
      <c r="EP356" s="239"/>
      <c r="EQ356" s="239"/>
      <c r="ER356" s="239"/>
      <c r="ES356" s="239"/>
      <c r="ET356" s="239"/>
      <c r="EU356" s="239"/>
      <c r="EV356" s="239"/>
      <c r="EW356" s="239"/>
      <c r="EX356" s="239"/>
      <c r="EY356" s="239"/>
      <c r="EZ356" s="239"/>
      <c r="FA356" s="239"/>
      <c r="FB356" s="239"/>
      <c r="FC356" s="239"/>
      <c r="FD356" s="239"/>
      <c r="FE356" s="239"/>
      <c r="FF356" s="239"/>
      <c r="FG356" s="239"/>
      <c r="FH356" s="239"/>
      <c r="FI356" s="239"/>
      <c r="FJ356" s="239"/>
      <c r="FK356" s="239"/>
      <c r="FL356" s="239"/>
      <c r="FM356" s="239"/>
      <c r="FN356" s="239"/>
      <c r="FO356" s="239"/>
      <c r="FP356" s="239"/>
      <c r="FQ356" s="239"/>
      <c r="FR356" s="239"/>
      <c r="FS356" s="239"/>
      <c r="FT356" s="239"/>
      <c r="FU356" s="239"/>
      <c r="FV356" s="239"/>
      <c r="FW356" s="239"/>
      <c r="FX356" s="239"/>
      <c r="FY356" s="239"/>
      <c r="FZ356" s="239"/>
      <c r="GA356" s="239"/>
      <c r="GB356" s="239"/>
      <c r="GC356" s="239"/>
      <c r="GD356" s="239"/>
      <c r="GE356" s="239"/>
      <c r="GF356" s="239"/>
      <c r="GG356" s="239"/>
      <c r="GH356" s="239"/>
      <c r="GI356" s="239"/>
      <c r="GJ356" s="239"/>
      <c r="GK356" s="239"/>
      <c r="GL356" s="239"/>
      <c r="GM356" s="239"/>
      <c r="GN356" s="239"/>
      <c r="GO356" s="239"/>
      <c r="GP356" s="239"/>
      <c r="GQ356" s="239"/>
      <c r="GR356" s="239"/>
      <c r="GS356" s="239"/>
      <c r="GT356" s="239"/>
      <c r="GU356" s="239"/>
      <c r="GV356" s="239"/>
      <c r="GW356" s="239"/>
      <c r="GX356" s="239"/>
      <c r="GY356" s="239"/>
      <c r="GZ356" s="239"/>
      <c r="HA356" s="239"/>
      <c r="HB356" s="239"/>
      <c r="HC356" s="239"/>
      <c r="HD356" s="239"/>
      <c r="HE356" s="239"/>
      <c r="HF356" s="239"/>
      <c r="HG356" s="239"/>
      <c r="HH356" s="239"/>
      <c r="HI356" s="239"/>
      <c r="HJ356" s="239"/>
      <c r="HK356" s="239"/>
      <c r="HL356" s="239"/>
      <c r="HM356" s="239"/>
      <c r="HN356" s="239"/>
      <c r="HO356" s="239"/>
      <c r="HP356" s="239"/>
      <c r="HQ356" s="239"/>
      <c r="HR356" s="239"/>
      <c r="HS356" s="239"/>
      <c r="HT356" s="239"/>
      <c r="HU356" s="239"/>
      <c r="HV356" s="239"/>
      <c r="HW356" s="239"/>
      <c r="HX356" s="239"/>
      <c r="HY356" s="239"/>
      <c r="HZ356" s="239"/>
      <c r="IA356" s="239"/>
      <c r="IB356" s="239"/>
      <c r="IC356" s="239"/>
      <c r="ID356" s="239"/>
      <c r="IE356" s="239"/>
      <c r="IF356" s="239"/>
      <c r="IG356" s="239"/>
      <c r="IH356" s="239"/>
      <c r="II356" s="239"/>
      <c r="IJ356" s="239"/>
      <c r="IK356" s="239"/>
      <c r="IL356" s="239"/>
      <c r="IM356" s="239"/>
      <c r="IN356" s="239"/>
      <c r="IO356" s="239"/>
      <c r="IP356" s="239"/>
      <c r="IQ356" s="239"/>
      <c r="IR356" s="239"/>
      <c r="IS356" s="239"/>
      <c r="IT356" s="239"/>
      <c r="IU356" s="239"/>
      <c r="IV356" s="239"/>
      <c r="IW356" s="239"/>
      <c r="IX356" s="239"/>
      <c r="IY356" s="239"/>
      <c r="IZ356" s="239"/>
      <c r="JA356" s="239"/>
      <c r="JB356" s="239"/>
      <c r="JC356" s="239"/>
      <c r="JD356" s="239"/>
      <c r="JE356" s="239"/>
      <c r="JF356" s="239"/>
      <c r="JG356" s="239"/>
      <c r="JH356" s="239"/>
      <c r="JI356" s="239"/>
      <c r="JJ356" s="239"/>
      <c r="JK356" s="239"/>
      <c r="JL356" s="239"/>
      <c r="JM356" s="239"/>
      <c r="JN356" s="239"/>
      <c r="JO356" s="239"/>
      <c r="JP356" s="239"/>
      <c r="JQ356" s="239"/>
      <c r="JR356" s="239"/>
      <c r="JS356" s="239"/>
      <c r="JT356" s="239"/>
      <c r="JU356" s="239"/>
      <c r="JV356" s="239"/>
      <c r="JW356" s="239"/>
      <c r="JX356" s="239"/>
      <c r="JY356" s="239"/>
      <c r="JZ356" s="239"/>
      <c r="KA356" s="239"/>
      <c r="KB356" s="239"/>
      <c r="KC356" s="239"/>
      <c r="KD356" s="239"/>
      <c r="KE356" s="239"/>
      <c r="KF356" s="239"/>
      <c r="KG356" s="239"/>
      <c r="KH356" s="239"/>
      <c r="KI356" s="239"/>
      <c r="KJ356" s="239"/>
      <c r="KK356" s="239"/>
      <c r="KL356" s="239"/>
      <c r="KM356" s="239"/>
      <c r="KN356" s="239"/>
      <c r="KO356" s="239"/>
      <c r="KP356" s="239"/>
      <c r="KQ356" s="239"/>
      <c r="KR356" s="239"/>
      <c r="KS356" s="239"/>
      <c r="KT356" s="239"/>
      <c r="KU356" s="239"/>
      <c r="KV356" s="239"/>
      <c r="KW356" s="239"/>
      <c r="KX356" s="239"/>
      <c r="KY356" s="239"/>
      <c r="KZ356" s="239"/>
      <c r="LA356" s="239"/>
      <c r="LB356" s="239"/>
      <c r="LC356" s="239"/>
      <c r="LD356" s="239"/>
      <c r="LE356" s="239"/>
      <c r="LF356" s="239"/>
      <c r="LG356" s="239"/>
      <c r="LH356" s="239"/>
      <c r="LI356" s="239"/>
      <c r="LJ356" s="239"/>
      <c r="LK356" s="239"/>
      <c r="LL356" s="239"/>
      <c r="LM356" s="239"/>
      <c r="LN356" s="239"/>
      <c r="LO356" s="239"/>
      <c r="LP356" s="239"/>
      <c r="LQ356" s="239"/>
      <c r="LR356" s="239"/>
      <c r="LS356" s="239"/>
      <c r="LT356" s="239"/>
      <c r="LU356" s="239"/>
      <c r="LV356" s="239"/>
      <c r="LW356" s="239"/>
      <c r="LX356" s="239"/>
      <c r="LY356" s="239"/>
      <c r="LZ356" s="239"/>
      <c r="MA356" s="239"/>
      <c r="MB356" s="239"/>
      <c r="MC356" s="239"/>
      <c r="MD356" s="239"/>
      <c r="ME356" s="239"/>
      <c r="MF356" s="239"/>
      <c r="MG356" s="239"/>
      <c r="MH356" s="239"/>
      <c r="MI356" s="239"/>
      <c r="MJ356" s="239"/>
      <c r="MK356" s="239"/>
      <c r="ML356" s="239"/>
      <c r="MM356" s="239"/>
      <c r="MN356" s="239"/>
      <c r="MO356" s="239"/>
      <c r="MP356" s="239"/>
      <c r="MQ356" s="239"/>
      <c r="MR356" s="239"/>
      <c r="MS356" s="239"/>
      <c r="MT356" s="239"/>
      <c r="MU356" s="239"/>
      <c r="MV356" s="239"/>
      <c r="MW356" s="239"/>
      <c r="MX356" s="239"/>
      <c r="MY356" s="239"/>
      <c r="MZ356" s="239"/>
      <c r="NA356" s="239"/>
      <c r="NB356" s="239"/>
      <c r="NC356" s="239"/>
      <c r="ND356" s="239"/>
      <c r="NE356" s="239"/>
      <c r="NF356" s="239"/>
      <c r="NG356" s="239"/>
      <c r="NH356" s="239"/>
      <c r="NI356" s="239"/>
      <c r="NJ356" s="239"/>
      <c r="NK356" s="239"/>
      <c r="NL356" s="239"/>
      <c r="NM356" s="239"/>
      <c r="NN356" s="239"/>
      <c r="NO356" s="239"/>
      <c r="NP356" s="239"/>
      <c r="NQ356" s="239"/>
      <c r="NR356" s="239"/>
      <c r="NS356" s="239"/>
      <c r="NT356" s="239"/>
      <c r="NU356" s="239"/>
      <c r="NV356" s="239"/>
      <c r="NW356" s="239"/>
      <c r="NX356" s="239"/>
      <c r="NY356" s="239"/>
      <c r="NZ356" s="239"/>
      <c r="OA356" s="239"/>
      <c r="OB356" s="239"/>
      <c r="OC356" s="239"/>
      <c r="OD356" s="239"/>
      <c r="OE356" s="239"/>
      <c r="OF356" s="239"/>
      <c r="OG356" s="239"/>
      <c r="OH356" s="239"/>
      <c r="OI356" s="239"/>
      <c r="OJ356" s="239"/>
      <c r="OK356" s="239"/>
      <c r="OL356" s="239"/>
      <c r="OM356" s="239"/>
      <c r="ON356" s="239"/>
      <c r="OO356" s="239"/>
      <c r="OP356" s="239"/>
      <c r="OQ356" s="239"/>
      <c r="OR356" s="239"/>
      <c r="OS356" s="239"/>
      <c r="OT356" s="239"/>
      <c r="OU356" s="239"/>
      <c r="OV356" s="239"/>
      <c r="OW356" s="239"/>
      <c r="OX356" s="239"/>
      <c r="OY356" s="239"/>
      <c r="OZ356" s="239"/>
      <c r="PA356" s="239"/>
      <c r="PB356" s="239"/>
      <c r="PC356" s="239"/>
      <c r="PD356" s="239"/>
      <c r="PE356" s="239"/>
      <c r="PF356" s="239"/>
      <c r="PG356" s="239"/>
      <c r="PH356" s="239"/>
      <c r="PI356" s="239"/>
      <c r="PJ356" s="239"/>
      <c r="PK356" s="239"/>
      <c r="PL356" s="239"/>
      <c r="PM356" s="239"/>
      <c r="PN356" s="239"/>
      <c r="PO356" s="239"/>
      <c r="PP356" s="239"/>
      <c r="PQ356" s="239"/>
      <c r="PR356" s="239"/>
      <c r="PS356" s="239"/>
      <c r="PT356" s="239"/>
      <c r="PU356" s="239"/>
      <c r="PV356" s="239"/>
      <c r="PW356" s="239"/>
      <c r="PX356" s="239"/>
      <c r="PY356" s="239"/>
      <c r="PZ356" s="239"/>
      <c r="QA356" s="239"/>
      <c r="QB356" s="239"/>
      <c r="QC356" s="239"/>
      <c r="QD356" s="239"/>
      <c r="QE356" s="239"/>
      <c r="QF356" s="239"/>
      <c r="QG356" s="239"/>
      <c r="QH356" s="239"/>
      <c r="QI356" s="239"/>
      <c r="QJ356" s="239"/>
      <c r="QK356" s="239"/>
      <c r="QL356" s="239"/>
      <c r="QM356" s="239"/>
      <c r="QN356" s="239"/>
      <c r="QO356" s="239"/>
      <c r="QP356" s="239"/>
      <c r="QQ356" s="239"/>
      <c r="QR356" s="239"/>
      <c r="QS356" s="239"/>
      <c r="QT356" s="239"/>
      <c r="QU356" s="239"/>
      <c r="QV356" s="239"/>
      <c r="QW356" s="239"/>
      <c r="QX356" s="239"/>
      <c r="QY356" s="239"/>
      <c r="QZ356" s="239"/>
      <c r="RA356" s="239"/>
      <c r="RB356" s="239"/>
      <c r="RC356" s="239"/>
      <c r="RD356" s="239"/>
      <c r="RE356" s="239"/>
      <c r="RF356" s="239"/>
      <c r="RG356" s="239"/>
      <c r="RH356" s="239"/>
      <c r="RI356" s="239"/>
      <c r="RJ356" s="239"/>
      <c r="RK356" s="239"/>
      <c r="RL356" s="239"/>
      <c r="RM356" s="239"/>
      <c r="RN356" s="239"/>
      <c r="RO356" s="239"/>
      <c r="RP356" s="239"/>
      <c r="RQ356" s="239"/>
      <c r="RR356" s="239"/>
      <c r="RS356" s="239"/>
      <c r="RT356" s="239"/>
      <c r="RU356" s="239"/>
      <c r="RV356" s="239"/>
      <c r="RW356" s="239"/>
      <c r="RX356" s="239"/>
      <c r="RY356" s="239"/>
      <c r="RZ356" s="239"/>
      <c r="SA356" s="239"/>
      <c r="SB356" s="239"/>
      <c r="SC356" s="239"/>
      <c r="SD356" s="239"/>
      <c r="SE356" s="239"/>
      <c r="SF356" s="239"/>
      <c r="SG356" s="239"/>
      <c r="SH356" s="239"/>
      <c r="SI356" s="239"/>
      <c r="SJ356" s="239"/>
      <c r="SK356" s="239"/>
      <c r="SL356" s="239"/>
      <c r="SM356" s="239"/>
      <c r="SN356" s="239"/>
      <c r="SO356" s="239"/>
      <c r="SP356" s="239"/>
      <c r="SQ356" s="239"/>
      <c r="SR356" s="239"/>
      <c r="SS356" s="239"/>
      <c r="ST356" s="239"/>
      <c r="SU356" s="239"/>
      <c r="SV356" s="239"/>
      <c r="SW356" s="239"/>
      <c r="SX356" s="239"/>
      <c r="SY356" s="239"/>
      <c r="SZ356" s="239"/>
      <c r="TA356" s="239"/>
      <c r="TB356" s="239"/>
      <c r="TC356" s="239"/>
      <c r="TD356" s="239"/>
      <c r="TE356" s="239"/>
      <c r="TF356" s="239"/>
      <c r="TG356" s="239"/>
      <c r="TH356" s="239"/>
      <c r="TI356" s="239"/>
      <c r="TJ356" s="239"/>
      <c r="TK356" s="239"/>
      <c r="TL356" s="239"/>
      <c r="TM356" s="239"/>
      <c r="TN356" s="239"/>
      <c r="TO356" s="239"/>
      <c r="TP356" s="239"/>
      <c r="TQ356" s="239"/>
      <c r="TR356" s="239"/>
      <c r="TS356" s="239"/>
      <c r="TT356" s="239"/>
      <c r="TU356" s="239"/>
      <c r="TV356" s="239"/>
      <c r="TW356" s="239"/>
      <c r="TX356" s="239"/>
      <c r="TY356" s="239"/>
      <c r="TZ356" s="239"/>
      <c r="UA356" s="239"/>
      <c r="UB356" s="239"/>
      <c r="UC356" s="239"/>
      <c r="UD356" s="239"/>
      <c r="UE356" s="239"/>
      <c r="UF356" s="239"/>
      <c r="UG356" s="239"/>
      <c r="UH356" s="239"/>
      <c r="UI356" s="239"/>
      <c r="UJ356" s="239"/>
      <c r="UK356" s="239"/>
      <c r="UL356" s="239"/>
      <c r="UM356" s="239"/>
      <c r="UN356" s="239"/>
      <c r="UO356" s="239"/>
      <c r="UP356" s="239"/>
      <c r="UQ356" s="239"/>
      <c r="UR356" s="239"/>
      <c r="US356" s="239"/>
      <c r="UT356" s="239"/>
      <c r="UU356" s="239"/>
      <c r="UV356" s="239"/>
      <c r="UW356" s="239"/>
      <c r="UX356" s="239"/>
      <c r="UY356" s="239"/>
      <c r="UZ356" s="239"/>
      <c r="VA356" s="239"/>
      <c r="VB356" s="239"/>
      <c r="VC356" s="239"/>
      <c r="VD356" s="239"/>
      <c r="VE356" s="239"/>
      <c r="VF356" s="239"/>
      <c r="VG356" s="239"/>
      <c r="VH356" s="239"/>
      <c r="VI356" s="239"/>
      <c r="VJ356" s="239"/>
      <c r="VK356" s="239"/>
      <c r="VL356" s="239"/>
      <c r="VM356" s="239"/>
      <c r="VN356" s="239"/>
      <c r="VO356" s="239"/>
      <c r="VP356" s="239"/>
      <c r="VQ356" s="239"/>
      <c r="VR356" s="239"/>
      <c r="VS356" s="239"/>
      <c r="VT356" s="239"/>
      <c r="VU356" s="239"/>
      <c r="VV356" s="239"/>
      <c r="VW356" s="239"/>
      <c r="VX356" s="239"/>
      <c r="VY356" s="239"/>
      <c r="VZ356" s="239"/>
      <c r="WA356" s="239"/>
      <c r="WB356" s="239"/>
      <c r="WC356" s="239"/>
      <c r="WD356" s="239"/>
      <c r="WE356" s="239"/>
      <c r="WF356" s="239"/>
      <c r="WG356" s="239"/>
      <c r="WH356" s="239"/>
      <c r="WI356" s="239"/>
      <c r="WJ356" s="239"/>
      <c r="WK356" s="239"/>
      <c r="WL356" s="239"/>
      <c r="WM356" s="239"/>
      <c r="WN356" s="239"/>
      <c r="WO356" s="239"/>
      <c r="WP356" s="239"/>
      <c r="WQ356" s="239"/>
      <c r="WR356" s="239"/>
      <c r="WS356" s="239"/>
      <c r="WT356" s="239"/>
      <c r="WU356" s="239"/>
      <c r="WV356" s="239"/>
      <c r="WW356" s="239"/>
      <c r="WX356" s="239"/>
      <c r="WY356" s="239"/>
      <c r="WZ356" s="239"/>
      <c r="XA356" s="239"/>
      <c r="XB356" s="239"/>
      <c r="XC356" s="239"/>
      <c r="XD356" s="239"/>
      <c r="XE356" s="239"/>
      <c r="XF356" s="239"/>
      <c r="XG356" s="239"/>
      <c r="XH356" s="239"/>
      <c r="XI356" s="239"/>
      <c r="XJ356" s="239"/>
      <c r="XK356" s="239"/>
      <c r="XL356" s="239"/>
      <c r="XM356" s="239"/>
      <c r="XN356" s="239"/>
      <c r="XO356" s="239"/>
      <c r="XP356" s="239"/>
      <c r="XQ356" s="239"/>
      <c r="XR356" s="239"/>
      <c r="XS356" s="239"/>
      <c r="XT356" s="239"/>
      <c r="XU356" s="239"/>
      <c r="XV356" s="239"/>
      <c r="XW356" s="239"/>
      <c r="XX356" s="239"/>
      <c r="XY356" s="239"/>
      <c r="XZ356" s="239"/>
      <c r="YA356" s="239"/>
      <c r="YB356" s="239"/>
      <c r="YC356" s="239"/>
      <c r="YD356" s="239"/>
      <c r="YE356" s="239"/>
      <c r="YF356" s="239"/>
      <c r="YG356" s="239"/>
      <c r="YH356" s="239"/>
      <c r="YI356" s="239"/>
      <c r="YJ356" s="239"/>
      <c r="YK356" s="239"/>
      <c r="YL356" s="239"/>
      <c r="YM356" s="239"/>
      <c r="YN356" s="239"/>
      <c r="YO356" s="239"/>
      <c r="YP356" s="239"/>
      <c r="YQ356" s="239"/>
      <c r="YR356" s="239"/>
      <c r="YS356" s="239"/>
      <c r="YT356" s="239"/>
      <c r="YU356" s="239"/>
      <c r="YV356" s="239"/>
      <c r="YW356" s="239"/>
      <c r="YX356" s="239"/>
      <c r="YY356" s="239"/>
      <c r="YZ356" s="239"/>
      <c r="ZA356" s="239"/>
      <c r="ZB356" s="239"/>
      <c r="ZC356" s="239"/>
      <c r="ZD356" s="239"/>
      <c r="ZE356" s="239"/>
      <c r="ZF356" s="239"/>
      <c r="ZG356" s="239"/>
      <c r="ZH356" s="239"/>
      <c r="ZI356" s="239"/>
      <c r="ZJ356" s="239"/>
      <c r="ZK356" s="239"/>
      <c r="ZL356" s="239"/>
      <c r="ZM356" s="239"/>
      <c r="ZN356" s="239"/>
      <c r="ZO356" s="239"/>
      <c r="ZP356" s="239"/>
      <c r="ZQ356" s="239"/>
      <c r="ZR356" s="239"/>
      <c r="ZS356" s="239"/>
      <c r="ZT356" s="239"/>
      <c r="ZU356" s="239"/>
      <c r="ZV356" s="239"/>
      <c r="ZW356" s="239"/>
      <c r="ZX356" s="239"/>
      <c r="ZY356" s="239"/>
      <c r="ZZ356" s="239"/>
      <c r="AAA356" s="239"/>
      <c r="AAB356" s="239"/>
      <c r="AAC356" s="239"/>
      <c r="AAD356" s="239"/>
      <c r="AAE356" s="239"/>
      <c r="AAF356" s="239"/>
      <c r="AAG356" s="239"/>
      <c r="AAH356" s="239"/>
      <c r="AAI356" s="239"/>
      <c r="AAJ356" s="239"/>
      <c r="AAK356" s="239"/>
      <c r="AAL356" s="239"/>
      <c r="AAM356" s="239"/>
      <c r="AAN356" s="239"/>
      <c r="AAO356" s="239"/>
      <c r="AAP356" s="239"/>
      <c r="AAQ356" s="239"/>
      <c r="AAR356" s="239"/>
      <c r="AAS356" s="239"/>
      <c r="AAT356" s="239"/>
      <c r="AAU356" s="239"/>
      <c r="AAV356" s="239"/>
      <c r="AAW356" s="239"/>
      <c r="AAX356" s="239"/>
      <c r="AAY356" s="239"/>
      <c r="AAZ356" s="239"/>
      <c r="ABA356" s="239"/>
      <c r="ABB356" s="239"/>
      <c r="ABC356" s="239"/>
      <c r="ABD356" s="239"/>
      <c r="ABE356" s="239"/>
      <c r="ABF356" s="239"/>
      <c r="ABG356" s="239"/>
      <c r="ABH356" s="239"/>
      <c r="ABI356" s="239"/>
      <c r="ABJ356" s="239"/>
      <c r="ABK356" s="239"/>
      <c r="ABL356" s="239"/>
      <c r="ABM356" s="239"/>
      <c r="ABN356" s="239"/>
      <c r="ABO356" s="239"/>
      <c r="ABP356" s="239"/>
      <c r="ABQ356" s="239"/>
      <c r="ABR356" s="239"/>
      <c r="ABS356" s="239"/>
      <c r="ABT356" s="239"/>
      <c r="ABU356" s="239"/>
      <c r="ABV356" s="239"/>
      <c r="ABW356" s="239"/>
      <c r="ABX356" s="239"/>
      <c r="ABY356" s="239"/>
      <c r="ABZ356" s="239"/>
      <c r="ACA356" s="239"/>
      <c r="ACB356" s="239"/>
      <c r="ACC356" s="239"/>
      <c r="ACD356" s="239"/>
      <c r="ACE356" s="239"/>
      <c r="ACF356" s="239"/>
      <c r="ACG356" s="239"/>
      <c r="ACH356" s="239"/>
      <c r="ACI356" s="239"/>
      <c r="ACJ356" s="239"/>
      <c r="ACK356" s="239"/>
      <c r="ACL356" s="239"/>
      <c r="ACM356" s="239"/>
      <c r="ACN356" s="239"/>
      <c r="ACO356" s="239"/>
      <c r="ACP356" s="239"/>
      <c r="ACQ356" s="239"/>
      <c r="ACR356" s="239"/>
      <c r="ACS356" s="239"/>
      <c r="ACT356" s="239"/>
      <c r="ACU356" s="239"/>
      <c r="ACV356" s="239"/>
      <c r="ACW356" s="239"/>
      <c r="ACX356" s="239"/>
      <c r="ACY356" s="239"/>
      <c r="ACZ356" s="239"/>
      <c r="ADA356" s="239"/>
      <c r="ADB356" s="239"/>
      <c r="ADC356" s="239"/>
      <c r="ADD356" s="239"/>
      <c r="ADE356" s="239"/>
      <c r="ADF356" s="239"/>
      <c r="ADG356" s="239"/>
      <c r="ADH356" s="239"/>
      <c r="ADI356" s="239"/>
      <c r="ADJ356" s="239"/>
      <c r="ADK356" s="239"/>
      <c r="ADL356" s="239"/>
      <c r="ADM356" s="239"/>
      <c r="ADN356" s="239"/>
      <c r="ADO356" s="239"/>
      <c r="ADP356" s="239"/>
      <c r="ADQ356" s="239"/>
      <c r="ADR356" s="239"/>
      <c r="ADS356" s="239"/>
      <c r="ADT356" s="239"/>
      <c r="ADU356" s="239"/>
      <c r="ADV356" s="239"/>
      <c r="ADW356" s="239"/>
      <c r="ADX356" s="239"/>
      <c r="ADY356" s="239"/>
      <c r="ADZ356" s="239"/>
      <c r="AEA356" s="239"/>
      <c r="AEB356" s="239"/>
      <c r="AEC356" s="239"/>
      <c r="AED356" s="239"/>
      <c r="AEE356" s="239"/>
      <c r="AEF356" s="239"/>
      <c r="AEG356" s="239"/>
      <c r="AEH356" s="239"/>
      <c r="AEI356" s="239"/>
      <c r="AEJ356" s="239"/>
      <c r="AEK356" s="239"/>
      <c r="AEL356" s="239"/>
      <c r="AEM356" s="239"/>
      <c r="AEN356" s="239"/>
      <c r="AEO356" s="239"/>
      <c r="AEP356" s="239"/>
      <c r="AEQ356" s="239"/>
      <c r="AER356" s="239"/>
      <c r="AES356" s="239"/>
      <c r="AET356" s="239"/>
      <c r="AEU356" s="239"/>
      <c r="AEV356" s="239"/>
      <c r="AEW356" s="239"/>
      <c r="AEX356" s="239"/>
      <c r="AEY356" s="239"/>
      <c r="AEZ356" s="239"/>
      <c r="AFA356" s="239"/>
      <c r="AFB356" s="239"/>
      <c r="AFC356" s="239"/>
      <c r="AFD356" s="239"/>
      <c r="AFE356" s="239"/>
      <c r="AFF356" s="239"/>
      <c r="AFG356" s="239"/>
      <c r="AFH356" s="239"/>
      <c r="AFI356" s="239"/>
      <c r="AFJ356" s="239"/>
      <c r="AFK356" s="239"/>
      <c r="AFL356" s="239"/>
      <c r="AFM356" s="239"/>
      <c r="AFN356" s="239"/>
      <c r="AFO356" s="239"/>
      <c r="AFP356" s="239"/>
      <c r="AFQ356" s="239"/>
      <c r="AFR356" s="239"/>
      <c r="AFS356" s="239"/>
      <c r="AFT356" s="239"/>
      <c r="AFU356" s="239"/>
      <c r="AFV356" s="239"/>
      <c r="AFW356" s="239"/>
      <c r="AFX356" s="239"/>
      <c r="AFY356" s="239"/>
      <c r="AFZ356" s="239"/>
      <c r="AGA356" s="239"/>
      <c r="AGB356" s="239"/>
      <c r="AGC356" s="239"/>
      <c r="AGD356" s="239"/>
      <c r="AGE356" s="239"/>
      <c r="AGF356" s="239"/>
      <c r="AGG356" s="239"/>
      <c r="AGH356" s="239"/>
      <c r="AGI356" s="239"/>
      <c r="AGJ356" s="239"/>
      <c r="AGK356" s="239"/>
      <c r="AGL356" s="239"/>
      <c r="AGM356" s="239"/>
      <c r="AGN356" s="239"/>
      <c r="AGO356" s="239"/>
      <c r="AGP356" s="239"/>
      <c r="AGQ356" s="239"/>
      <c r="AGR356" s="239"/>
      <c r="AGS356" s="239"/>
      <c r="AGT356" s="239"/>
      <c r="AGU356" s="239"/>
      <c r="AGV356" s="239"/>
      <c r="AGW356" s="239"/>
      <c r="AGX356" s="239"/>
      <c r="AGY356" s="239"/>
      <c r="AGZ356" s="239"/>
      <c r="AHA356" s="239"/>
      <c r="AHB356" s="239"/>
      <c r="AHC356" s="239"/>
      <c r="AHD356" s="239"/>
      <c r="AHE356" s="239"/>
      <c r="AHF356" s="239"/>
      <c r="AHG356" s="239"/>
      <c r="AHH356" s="239"/>
      <c r="AHI356" s="239"/>
      <c r="AHJ356" s="239"/>
      <c r="AHK356" s="239"/>
      <c r="AHL356" s="239"/>
      <c r="AHM356" s="239"/>
      <c r="AHN356" s="239"/>
      <c r="AHO356" s="239"/>
      <c r="AHP356" s="239"/>
      <c r="AHQ356" s="239"/>
      <c r="AHR356" s="239"/>
      <c r="AHS356" s="239"/>
      <c r="AHT356" s="239"/>
      <c r="AHU356" s="239"/>
      <c r="AHV356" s="239"/>
      <c r="AHW356" s="239"/>
      <c r="AHX356" s="239"/>
      <c r="AHY356" s="239"/>
      <c r="AHZ356" s="239"/>
      <c r="AIA356" s="239"/>
      <c r="AIB356" s="239"/>
      <c r="AIC356" s="239"/>
      <c r="AID356" s="239"/>
      <c r="AIE356" s="239"/>
      <c r="AIF356" s="239"/>
      <c r="AIG356" s="239"/>
      <c r="AIH356" s="239"/>
      <c r="AII356" s="239"/>
      <c r="AIJ356" s="239"/>
      <c r="AIK356" s="239"/>
      <c r="AIL356" s="239"/>
      <c r="AIM356" s="239"/>
      <c r="AIN356" s="239"/>
      <c r="AIO356" s="239"/>
      <c r="AIP356" s="239"/>
      <c r="AIQ356" s="239"/>
      <c r="AIR356" s="239"/>
      <c r="AIS356" s="239"/>
      <c r="AIT356" s="239"/>
      <c r="AIU356" s="239"/>
      <c r="AIV356" s="239"/>
      <c r="AIW356" s="239"/>
      <c r="AIX356" s="239"/>
      <c r="AIY356" s="239"/>
      <c r="AIZ356" s="239"/>
      <c r="AJA356" s="239"/>
      <c r="AJB356" s="239"/>
      <c r="AJC356" s="239"/>
      <c r="AJD356" s="239"/>
      <c r="AJE356" s="239"/>
      <c r="AJF356" s="239"/>
      <c r="AJG356" s="239"/>
      <c r="AJH356" s="239"/>
      <c r="AJI356" s="239"/>
      <c r="AJJ356" s="239"/>
      <c r="AJK356" s="239"/>
      <c r="AJL356" s="239"/>
      <c r="AJM356" s="239"/>
      <c r="AJN356" s="239"/>
      <c r="AJO356" s="239"/>
      <c r="AJP356" s="239"/>
      <c r="AJQ356" s="239"/>
      <c r="AJR356" s="239"/>
      <c r="AJS356" s="239"/>
      <c r="AJT356" s="239"/>
      <c r="AJU356" s="239"/>
      <c r="AJV356" s="239"/>
      <c r="AJW356" s="239"/>
      <c r="AJX356" s="239"/>
      <c r="AJY356" s="239"/>
      <c r="AJZ356" s="239"/>
      <c r="AKA356" s="239"/>
      <c r="AKB356" s="239"/>
      <c r="AKC356" s="239"/>
      <c r="AKD356" s="239"/>
      <c r="AKE356" s="239"/>
      <c r="AKF356" s="239"/>
      <c r="AKG356" s="239"/>
      <c r="AKH356" s="239"/>
      <c r="AKI356" s="239"/>
      <c r="AKJ356" s="239"/>
      <c r="AKK356" s="239"/>
      <c r="AKL356" s="239"/>
      <c r="AKM356" s="239"/>
      <c r="AKN356" s="239"/>
      <c r="AKO356" s="239"/>
      <c r="AKP356" s="239"/>
      <c r="AKQ356" s="239"/>
      <c r="AKR356" s="239"/>
      <c r="AKS356" s="239"/>
      <c r="AKT356" s="239"/>
      <c r="AKU356" s="239"/>
      <c r="AKV356" s="239"/>
      <c r="AKW356" s="239"/>
      <c r="AKX356" s="239"/>
      <c r="AKY356" s="239"/>
      <c r="AKZ356" s="239"/>
      <c r="ALA356" s="239"/>
      <c r="ALB356" s="239"/>
      <c r="ALC356" s="239"/>
      <c r="ALD356" s="239"/>
      <c r="ALE356" s="239"/>
      <c r="ALF356" s="239"/>
      <c r="ALG356" s="239"/>
      <c r="ALH356" s="239"/>
      <c r="ALI356" s="239"/>
      <c r="ALJ356" s="239"/>
      <c r="ALK356" s="239"/>
      <c r="ALL356" s="239"/>
      <c r="ALM356" s="239"/>
      <c r="ALN356" s="239"/>
      <c r="ALO356" s="239"/>
      <c r="ALP356" s="239"/>
      <c r="ALQ356" s="239"/>
      <c r="ALR356" s="239"/>
      <c r="ALS356" s="239"/>
      <c r="ALT356" s="239"/>
      <c r="ALU356" s="239"/>
      <c r="ALV356" s="239"/>
      <c r="ALW356" s="239"/>
      <c r="ALX356" s="239"/>
      <c r="ALY356" s="239"/>
      <c r="ALZ356" s="239"/>
      <c r="AMA356" s="239"/>
      <c r="AMB356" s="239"/>
      <c r="AMC356" s="239"/>
      <c r="AMD356" s="239"/>
      <c r="AME356" s="239"/>
      <c r="AMF356" s="239"/>
      <c r="AMG356" s="239"/>
      <c r="AMH356" s="239"/>
      <c r="AMI356" s="239"/>
      <c r="AMJ356" s="239"/>
      <c r="AMK356" s="239"/>
      <c r="AML356" s="239"/>
      <c r="AMM356" s="239"/>
      <c r="AMN356" s="239"/>
      <c r="AMO356" s="239"/>
      <c r="AMP356" s="239"/>
      <c r="AMQ356" s="239"/>
      <c r="AMR356" s="239"/>
      <c r="AMS356" s="239"/>
      <c r="AMT356" s="239"/>
      <c r="AMU356" s="239"/>
      <c r="AMV356" s="239"/>
      <c r="AMW356" s="239"/>
      <c r="AMX356" s="239"/>
      <c r="AMY356" s="239"/>
      <c r="AMZ356" s="239"/>
      <c r="ANA356" s="239"/>
      <c r="ANB356" s="239"/>
      <c r="ANC356" s="239"/>
      <c r="AND356" s="239"/>
      <c r="ANE356" s="239"/>
      <c r="ANF356" s="239"/>
      <c r="ANG356" s="239"/>
      <c r="ANH356" s="239"/>
      <c r="ANI356" s="239"/>
      <c r="ANJ356" s="239"/>
      <c r="ANK356" s="239"/>
      <c r="ANL356" s="239"/>
      <c r="ANM356" s="239"/>
      <c r="ANN356" s="239"/>
      <c r="ANO356" s="239"/>
      <c r="ANP356" s="239"/>
      <c r="ANQ356" s="239"/>
      <c r="ANR356" s="239"/>
      <c r="ANS356" s="239"/>
      <c r="ANT356" s="239"/>
      <c r="ANU356" s="239"/>
      <c r="ANV356" s="239"/>
      <c r="ANW356" s="239"/>
      <c r="ANX356" s="239"/>
      <c r="ANY356" s="239"/>
      <c r="ANZ356" s="239"/>
      <c r="AOA356" s="239"/>
      <c r="AOB356" s="239"/>
      <c r="AOC356" s="239"/>
      <c r="AOD356" s="239"/>
      <c r="AOE356" s="239"/>
      <c r="AOF356" s="239"/>
      <c r="AOG356" s="239"/>
      <c r="AOH356" s="239"/>
      <c r="AOI356" s="239"/>
      <c r="AOJ356" s="239"/>
      <c r="AOK356" s="239"/>
      <c r="AOL356" s="239"/>
      <c r="AOM356" s="239"/>
      <c r="AON356" s="239"/>
      <c r="AOO356" s="239"/>
      <c r="AOP356" s="239"/>
      <c r="AOQ356" s="239"/>
      <c r="AOR356" s="239"/>
      <c r="AOS356" s="239"/>
      <c r="AOT356" s="239"/>
      <c r="AOU356" s="239"/>
      <c r="AOV356" s="239"/>
      <c r="AOW356" s="239"/>
      <c r="AOX356" s="239"/>
      <c r="AOY356" s="239"/>
      <c r="AOZ356" s="239"/>
      <c r="APA356" s="239"/>
      <c r="APB356" s="239"/>
      <c r="APC356" s="239"/>
      <c r="APD356" s="239"/>
      <c r="APE356" s="239"/>
      <c r="APF356" s="239"/>
      <c r="APG356" s="239"/>
      <c r="APH356" s="239"/>
      <c r="API356" s="239"/>
      <c r="APJ356" s="239"/>
      <c r="APK356" s="239"/>
      <c r="APL356" s="239"/>
      <c r="APM356" s="239"/>
      <c r="APN356" s="239"/>
      <c r="APO356" s="239"/>
      <c r="APP356" s="239"/>
      <c r="APQ356" s="239"/>
      <c r="APR356" s="239"/>
      <c r="APS356" s="239"/>
      <c r="APT356" s="239"/>
      <c r="APU356" s="239"/>
      <c r="APV356" s="239"/>
      <c r="APW356" s="239"/>
      <c r="APX356" s="239"/>
      <c r="APY356" s="239"/>
      <c r="APZ356" s="239"/>
      <c r="AQA356" s="239"/>
      <c r="AQB356" s="239"/>
      <c r="AQC356" s="239"/>
      <c r="AQD356" s="239"/>
      <c r="AQE356" s="239"/>
      <c r="AQF356" s="239"/>
      <c r="AQG356" s="239"/>
      <c r="AQH356" s="239"/>
      <c r="AQI356" s="239"/>
      <c r="AQJ356" s="239"/>
      <c r="AQK356" s="239"/>
      <c r="AQL356" s="239"/>
      <c r="AQM356" s="239"/>
      <c r="AQN356" s="239"/>
      <c r="AQO356" s="239"/>
      <c r="AQP356" s="239"/>
      <c r="AQQ356" s="239"/>
      <c r="AQR356" s="239"/>
      <c r="AQS356" s="239"/>
      <c r="AQT356" s="239"/>
      <c r="AQU356" s="239"/>
      <c r="AQV356" s="239"/>
      <c r="AQW356" s="239"/>
      <c r="AQX356" s="239"/>
      <c r="AQY356" s="239"/>
      <c r="AQZ356" s="239"/>
      <c r="ARA356" s="239"/>
      <c r="ARB356" s="239"/>
      <c r="ARC356" s="239"/>
      <c r="ARD356" s="239"/>
      <c r="ARE356" s="239"/>
      <c r="ARF356" s="239"/>
      <c r="ARG356" s="239"/>
      <c r="ARH356" s="239"/>
      <c r="ARI356" s="239"/>
      <c r="ARJ356" s="239"/>
      <c r="ARK356" s="239"/>
      <c r="ARL356" s="239"/>
      <c r="ARM356" s="239"/>
      <c r="ARN356" s="239"/>
      <c r="ARO356" s="239"/>
      <c r="ARP356" s="239"/>
      <c r="ARQ356" s="239"/>
      <c r="ARR356" s="239"/>
      <c r="ARS356" s="239"/>
      <c r="ART356" s="239"/>
      <c r="ARU356" s="239"/>
      <c r="ARV356" s="239"/>
      <c r="ARW356" s="239"/>
      <c r="ARX356" s="239"/>
      <c r="ARY356" s="239"/>
      <c r="ARZ356" s="239"/>
      <c r="ASA356" s="239"/>
      <c r="ASB356" s="239"/>
      <c r="ASC356" s="239"/>
      <c r="ASD356" s="239"/>
      <c r="ASE356" s="239"/>
      <c r="ASF356" s="239"/>
      <c r="ASG356" s="239"/>
      <c r="ASH356" s="239"/>
      <c r="ASI356" s="239"/>
      <c r="ASJ356" s="239"/>
      <c r="ASK356" s="239"/>
      <c r="ASL356" s="239"/>
      <c r="ASM356" s="239"/>
      <c r="ASN356" s="239"/>
      <c r="ASO356" s="239"/>
      <c r="ASP356" s="239"/>
      <c r="ASQ356" s="239"/>
      <c r="ASR356" s="239"/>
      <c r="ASS356" s="239"/>
      <c r="AST356" s="239"/>
      <c r="ASU356" s="239"/>
      <c r="ASV356" s="239"/>
      <c r="ASW356" s="239"/>
      <c r="ASX356" s="239"/>
      <c r="ASY356" s="239"/>
      <c r="ASZ356" s="239"/>
      <c r="ATA356" s="239"/>
      <c r="ATB356" s="239"/>
      <c r="ATC356" s="239"/>
      <c r="ATD356" s="239"/>
      <c r="ATE356" s="239"/>
      <c r="ATF356" s="239"/>
      <c r="ATG356" s="239"/>
      <c r="ATH356" s="239"/>
      <c r="ATI356" s="239"/>
      <c r="ATJ356" s="239"/>
      <c r="ATK356" s="239"/>
      <c r="ATL356" s="239"/>
      <c r="ATM356" s="239"/>
      <c r="ATN356" s="239"/>
      <c r="ATO356" s="239"/>
      <c r="ATP356" s="239"/>
      <c r="ATQ356" s="239"/>
      <c r="ATR356" s="239"/>
      <c r="ATS356" s="239"/>
      <c r="ATT356" s="239"/>
      <c r="ATU356" s="239"/>
      <c r="ATV356" s="239"/>
      <c r="ATW356" s="239"/>
      <c r="ATX356" s="239"/>
      <c r="ATY356" s="239"/>
      <c r="ATZ356" s="239"/>
      <c r="AUA356" s="239"/>
      <c r="AUB356" s="239"/>
      <c r="AUC356" s="239"/>
      <c r="AUD356" s="239"/>
      <c r="AUE356" s="239"/>
      <c r="AUF356" s="239"/>
      <c r="AUG356" s="239"/>
      <c r="AUH356" s="239"/>
      <c r="AUI356" s="239"/>
      <c r="AUJ356" s="239"/>
      <c r="AUK356" s="239"/>
      <c r="AUL356" s="239"/>
      <c r="AUM356" s="239"/>
      <c r="AUN356" s="239"/>
      <c r="AUO356" s="239"/>
      <c r="AUP356" s="239"/>
      <c r="AUQ356" s="239"/>
      <c r="AUR356" s="239"/>
      <c r="AUS356" s="239"/>
      <c r="AUT356" s="239"/>
      <c r="AUU356" s="239"/>
      <c r="AUV356" s="239"/>
      <c r="AUW356" s="239"/>
      <c r="AUX356" s="239"/>
      <c r="AUY356" s="239"/>
      <c r="AUZ356" s="239"/>
      <c r="AVA356" s="239"/>
      <c r="AVB356" s="239"/>
      <c r="AVC356" s="239"/>
      <c r="AVD356" s="239"/>
      <c r="AVE356" s="239"/>
      <c r="AVF356" s="239"/>
      <c r="AVG356" s="239"/>
      <c r="AVH356" s="239"/>
      <c r="AVI356" s="239"/>
      <c r="AVJ356" s="239"/>
      <c r="AVK356" s="239"/>
      <c r="AVL356" s="239"/>
      <c r="AVM356" s="239"/>
      <c r="AVN356" s="239"/>
      <c r="AVO356" s="239"/>
      <c r="AVP356" s="239"/>
      <c r="AVQ356" s="239"/>
      <c r="AVR356" s="239"/>
      <c r="AVS356" s="239"/>
      <c r="AVT356" s="239"/>
      <c r="AVU356" s="239"/>
      <c r="AVV356" s="239"/>
      <c r="AVW356" s="239"/>
      <c r="AVX356" s="239"/>
      <c r="AVY356" s="239"/>
      <c r="AVZ356" s="239"/>
      <c r="AWA356" s="239"/>
      <c r="AWB356" s="239"/>
      <c r="AWC356" s="239"/>
      <c r="AWD356" s="239"/>
      <c r="AWE356" s="239"/>
      <c r="AWF356" s="239"/>
      <c r="AWG356" s="239"/>
      <c r="AWH356" s="239"/>
      <c r="AWI356" s="239"/>
      <c r="AWJ356" s="239"/>
      <c r="AWK356" s="239"/>
      <c r="AWL356" s="239"/>
      <c r="AWM356" s="239"/>
      <c r="AWN356" s="239"/>
      <c r="AWO356" s="239"/>
      <c r="AWP356" s="239"/>
      <c r="AWQ356" s="239"/>
      <c r="AWR356" s="239"/>
      <c r="AWS356" s="239"/>
      <c r="AWT356" s="239"/>
      <c r="AWU356" s="239"/>
      <c r="AWV356" s="239"/>
      <c r="AWW356" s="239"/>
      <c r="AWX356" s="239"/>
      <c r="AWY356" s="239"/>
      <c r="AWZ356" s="239"/>
      <c r="AXA356" s="239"/>
      <c r="AXB356" s="239"/>
      <c r="AXC356" s="239"/>
      <c r="AXD356" s="239"/>
      <c r="AXE356" s="239"/>
      <c r="AXF356" s="239"/>
      <c r="AXG356" s="239"/>
      <c r="AXH356" s="239"/>
      <c r="AXI356" s="239"/>
      <c r="AXJ356" s="239"/>
      <c r="AXK356" s="239"/>
      <c r="AXL356" s="239"/>
      <c r="AXM356" s="239"/>
      <c r="AXN356" s="239"/>
      <c r="AXO356" s="239"/>
      <c r="AXP356" s="239"/>
      <c r="AXQ356" s="239"/>
      <c r="AXR356" s="239"/>
      <c r="AXS356" s="239"/>
      <c r="AXT356" s="239"/>
      <c r="AXU356" s="239"/>
      <c r="AXV356" s="239"/>
      <c r="AXW356" s="239"/>
      <c r="AXX356" s="239"/>
      <c r="AXY356" s="239"/>
      <c r="AXZ356" s="239"/>
      <c r="AYA356" s="239"/>
      <c r="AYB356" s="239"/>
      <c r="AYC356" s="239"/>
      <c r="AYD356" s="239"/>
      <c r="AYE356" s="239"/>
      <c r="AYF356" s="239"/>
      <c r="AYG356" s="239"/>
      <c r="AYH356" s="239"/>
      <c r="AYI356" s="239"/>
      <c r="AYJ356" s="239"/>
      <c r="AYK356" s="239"/>
      <c r="AYL356" s="239"/>
      <c r="AYM356" s="239"/>
      <c r="AYN356" s="239"/>
      <c r="AYO356" s="239"/>
      <c r="AYP356" s="239"/>
      <c r="AYQ356" s="239"/>
      <c r="AYR356" s="239"/>
      <c r="AYS356" s="239"/>
      <c r="AYT356" s="239"/>
      <c r="AYU356" s="239"/>
      <c r="AYV356" s="239"/>
      <c r="AYW356" s="239"/>
      <c r="AYX356" s="239"/>
      <c r="AYY356" s="239"/>
      <c r="AYZ356" s="239"/>
      <c r="AZA356" s="239"/>
      <c r="AZB356" s="239"/>
      <c r="AZC356" s="239"/>
      <c r="AZD356" s="239"/>
      <c r="AZE356" s="239"/>
      <c r="AZF356" s="239"/>
      <c r="AZG356" s="239"/>
      <c r="AZH356" s="239"/>
      <c r="AZI356" s="239"/>
      <c r="AZJ356" s="239"/>
      <c r="AZK356" s="239"/>
      <c r="AZL356" s="239"/>
      <c r="AZM356" s="239"/>
      <c r="AZN356" s="239"/>
      <c r="AZO356" s="239"/>
      <c r="AZP356" s="239"/>
      <c r="AZQ356" s="239"/>
      <c r="AZR356" s="239"/>
      <c r="AZS356" s="239"/>
      <c r="AZT356" s="239"/>
      <c r="AZU356" s="239"/>
      <c r="AZV356" s="239"/>
      <c r="AZW356" s="239"/>
      <c r="AZX356" s="239"/>
      <c r="AZY356" s="239"/>
      <c r="AZZ356" s="239"/>
      <c r="BAA356" s="239"/>
      <c r="BAB356" s="239"/>
      <c r="BAC356" s="239"/>
      <c r="BAD356" s="239"/>
      <c r="BAE356" s="239"/>
      <c r="BAF356" s="239"/>
      <c r="BAG356" s="239"/>
      <c r="BAH356" s="239"/>
      <c r="BAI356" s="239"/>
      <c r="BAJ356" s="239"/>
      <c r="BAK356" s="239"/>
      <c r="BAL356" s="239"/>
      <c r="BAM356" s="239"/>
      <c r="BAN356" s="239"/>
      <c r="BAO356" s="239"/>
      <c r="BAP356" s="239"/>
      <c r="BAQ356" s="239"/>
      <c r="BAR356" s="239"/>
      <c r="BAS356" s="239"/>
      <c r="BAT356" s="239"/>
      <c r="BAU356" s="239"/>
      <c r="BAV356" s="239"/>
      <c r="BAW356" s="239"/>
      <c r="BAX356" s="239"/>
      <c r="BAY356" s="239"/>
      <c r="BAZ356" s="239"/>
      <c r="BBA356" s="239"/>
      <c r="BBB356" s="239"/>
      <c r="BBC356" s="239"/>
      <c r="BBD356" s="239"/>
      <c r="BBE356" s="239"/>
      <c r="BBF356" s="239"/>
      <c r="BBG356" s="239"/>
      <c r="BBH356" s="239"/>
      <c r="BBI356" s="239"/>
      <c r="BBJ356" s="239"/>
      <c r="BBK356" s="239"/>
      <c r="BBL356" s="239"/>
      <c r="BBM356" s="239"/>
      <c r="BBN356" s="239"/>
      <c r="BBO356" s="239"/>
      <c r="BBP356" s="239"/>
      <c r="BBQ356" s="239"/>
      <c r="BBR356" s="239"/>
      <c r="BBS356" s="239"/>
      <c r="BBT356" s="239"/>
      <c r="BBU356" s="239"/>
      <c r="BBV356" s="239"/>
      <c r="BBW356" s="239"/>
      <c r="BBX356" s="239"/>
      <c r="BBY356" s="239"/>
      <c r="BBZ356" s="239"/>
      <c r="BCA356" s="239"/>
      <c r="BCB356" s="239"/>
      <c r="BCC356" s="239"/>
      <c r="BCD356" s="239"/>
      <c r="BCE356" s="239"/>
      <c r="BCF356" s="239"/>
      <c r="BCG356" s="239"/>
      <c r="BCH356" s="239"/>
      <c r="BCI356" s="239"/>
      <c r="BCJ356" s="239"/>
      <c r="BCK356" s="239"/>
      <c r="BCL356" s="239"/>
      <c r="BCM356" s="239"/>
      <c r="BCN356" s="239"/>
      <c r="BCO356" s="239"/>
      <c r="BCP356" s="239"/>
      <c r="BCQ356" s="239"/>
      <c r="BCR356" s="239"/>
      <c r="BCS356" s="239"/>
      <c r="BCT356" s="239"/>
      <c r="BCU356" s="239"/>
      <c r="BCV356" s="239"/>
      <c r="BCW356" s="239"/>
      <c r="BCX356" s="239"/>
      <c r="BCY356" s="239"/>
      <c r="BCZ356" s="239"/>
      <c r="BDA356" s="239"/>
      <c r="BDB356" s="239"/>
      <c r="BDC356" s="239"/>
      <c r="BDD356" s="239"/>
      <c r="BDE356" s="239"/>
      <c r="BDF356" s="239"/>
      <c r="BDG356" s="239"/>
      <c r="BDH356" s="239"/>
      <c r="BDI356" s="239"/>
      <c r="BDJ356" s="239"/>
      <c r="BDK356" s="239"/>
      <c r="BDL356" s="239"/>
      <c r="BDM356" s="239"/>
      <c r="BDN356" s="239"/>
      <c r="BDO356" s="239"/>
      <c r="BDP356" s="239"/>
      <c r="BDQ356" s="239"/>
      <c r="BDR356" s="239"/>
      <c r="BDS356" s="239"/>
      <c r="BDT356" s="239"/>
      <c r="BDU356" s="239"/>
      <c r="BDV356" s="239"/>
      <c r="BDW356" s="239"/>
      <c r="BDX356" s="239"/>
      <c r="BDY356" s="239"/>
      <c r="BDZ356" s="239"/>
      <c r="BEA356" s="239"/>
      <c r="BEB356" s="239"/>
      <c r="BEC356" s="239"/>
      <c r="BED356" s="239"/>
      <c r="BEE356" s="239"/>
      <c r="BEF356" s="239"/>
      <c r="BEG356" s="239"/>
      <c r="BEH356" s="239"/>
      <c r="BEI356" s="239"/>
      <c r="BEJ356" s="239"/>
      <c r="BEK356" s="239"/>
      <c r="BEL356" s="239"/>
      <c r="BEM356" s="239"/>
      <c r="BEN356" s="239"/>
      <c r="BEO356" s="239"/>
      <c r="BEP356" s="239"/>
      <c r="BEQ356" s="239"/>
      <c r="BER356" s="239"/>
      <c r="BES356" s="239"/>
      <c r="BET356" s="239"/>
      <c r="BEU356" s="239"/>
      <c r="BEV356" s="239"/>
      <c r="BEW356" s="239"/>
      <c r="BEX356" s="239"/>
      <c r="BEY356" s="239"/>
      <c r="BEZ356" s="239"/>
      <c r="BFA356" s="239"/>
      <c r="BFB356" s="239"/>
      <c r="BFC356" s="239"/>
      <c r="BFD356" s="239"/>
      <c r="BFE356" s="239"/>
      <c r="BFF356" s="239"/>
      <c r="BFG356" s="239"/>
      <c r="BFH356" s="239"/>
      <c r="BFI356" s="239"/>
      <c r="BFJ356" s="239"/>
      <c r="BFK356" s="239"/>
      <c r="BFL356" s="239"/>
      <c r="BFM356" s="239"/>
      <c r="BFN356" s="239"/>
      <c r="BFO356" s="239"/>
      <c r="BFP356" s="239"/>
      <c r="BFQ356" s="239"/>
      <c r="BFR356" s="239"/>
      <c r="BFS356" s="239"/>
      <c r="BFT356" s="239"/>
      <c r="BFU356" s="239"/>
      <c r="BFV356" s="239"/>
      <c r="BFW356" s="239"/>
      <c r="BFX356" s="239"/>
      <c r="BFY356" s="239"/>
      <c r="BFZ356" s="239"/>
      <c r="BGA356" s="239"/>
      <c r="BGB356" s="239"/>
      <c r="BGC356" s="239"/>
      <c r="BGD356" s="239"/>
      <c r="BGE356" s="239"/>
      <c r="BGF356" s="239"/>
      <c r="BGG356" s="239"/>
      <c r="BGH356" s="239"/>
      <c r="BGI356" s="239"/>
      <c r="BGJ356" s="239"/>
      <c r="BGK356" s="239"/>
      <c r="BGL356" s="239"/>
      <c r="BGM356" s="239"/>
      <c r="BGN356" s="239"/>
      <c r="BGO356" s="239"/>
      <c r="BGP356" s="239"/>
      <c r="BGQ356" s="239"/>
      <c r="BGR356" s="239"/>
      <c r="BGS356" s="239"/>
      <c r="BGT356" s="239"/>
      <c r="BGU356" s="239"/>
      <c r="BGV356" s="239"/>
      <c r="BGW356" s="239"/>
      <c r="BGX356" s="239"/>
      <c r="BGY356" s="239"/>
      <c r="BGZ356" s="239"/>
      <c r="BHA356" s="239"/>
      <c r="BHB356" s="239"/>
      <c r="BHC356" s="239"/>
      <c r="BHD356" s="239"/>
      <c r="BHE356" s="239"/>
      <c r="BHF356" s="239"/>
      <c r="BHG356" s="239"/>
      <c r="BHH356" s="239"/>
      <c r="BHI356" s="239"/>
      <c r="BHJ356" s="239"/>
      <c r="BHK356" s="239"/>
      <c r="BHL356" s="239"/>
      <c r="BHM356" s="239"/>
      <c r="BHN356" s="239"/>
      <c r="BHO356" s="239"/>
      <c r="BHP356" s="239"/>
      <c r="BHQ356" s="239"/>
      <c r="BHR356" s="239"/>
      <c r="BHS356" s="239"/>
      <c r="BHT356" s="239"/>
      <c r="BHU356" s="239"/>
      <c r="BHV356" s="239"/>
      <c r="BHW356" s="239"/>
      <c r="BHX356" s="239"/>
      <c r="BHY356" s="239"/>
      <c r="BHZ356" s="239"/>
      <c r="BIA356" s="239"/>
      <c r="BIB356" s="239"/>
      <c r="BIC356" s="239"/>
      <c r="BID356" s="239"/>
      <c r="BIE356" s="239"/>
      <c r="BIF356" s="239"/>
      <c r="BIG356" s="239"/>
      <c r="BIH356" s="239"/>
      <c r="BII356" s="239"/>
      <c r="BIJ356" s="239"/>
      <c r="BIK356" s="239"/>
      <c r="BIL356" s="239"/>
      <c r="BIM356" s="239"/>
      <c r="BIN356" s="239"/>
      <c r="BIO356" s="239"/>
      <c r="BIP356" s="239"/>
      <c r="BIQ356" s="239"/>
      <c r="BIR356" s="239"/>
      <c r="BIS356" s="239"/>
      <c r="BIT356" s="239"/>
      <c r="BIU356" s="239"/>
      <c r="BIV356" s="239"/>
      <c r="BIW356" s="239"/>
      <c r="BIX356" s="239"/>
      <c r="BIY356" s="239"/>
      <c r="BIZ356" s="239"/>
      <c r="BJA356" s="239"/>
      <c r="BJB356" s="239"/>
      <c r="BJC356" s="239"/>
      <c r="BJD356" s="239"/>
      <c r="BJE356" s="239"/>
      <c r="BJF356" s="239"/>
      <c r="BJG356" s="239"/>
      <c r="BJH356" s="239"/>
      <c r="BJI356" s="239"/>
      <c r="BJJ356" s="239"/>
      <c r="BJK356" s="239"/>
      <c r="BJL356" s="239"/>
      <c r="BJM356" s="239"/>
      <c r="BJN356" s="239"/>
      <c r="BJO356" s="239"/>
      <c r="BJP356" s="239"/>
      <c r="BJQ356" s="239"/>
      <c r="BJR356" s="239"/>
      <c r="BJS356" s="239"/>
      <c r="BJT356" s="239"/>
      <c r="BJU356" s="239"/>
      <c r="BJV356" s="239"/>
      <c r="BJW356" s="239"/>
      <c r="BJX356" s="239"/>
      <c r="BJY356" s="239"/>
      <c r="BJZ356" s="239"/>
      <c r="BKA356" s="239"/>
      <c r="BKB356" s="239"/>
      <c r="BKC356" s="239"/>
      <c r="BKD356" s="239"/>
      <c r="BKE356" s="239"/>
      <c r="BKF356" s="239"/>
      <c r="BKG356" s="239"/>
      <c r="BKH356" s="239"/>
      <c r="BKI356" s="239"/>
      <c r="BKJ356" s="239"/>
      <c r="BKK356" s="239"/>
      <c r="BKL356" s="239"/>
      <c r="BKM356" s="239"/>
      <c r="BKN356" s="239"/>
      <c r="BKO356" s="239"/>
      <c r="BKP356" s="239"/>
      <c r="BKQ356" s="239"/>
      <c r="BKR356" s="239"/>
      <c r="BKS356" s="239"/>
      <c r="BKT356" s="239"/>
      <c r="BKU356" s="239"/>
      <c r="BKV356" s="239"/>
      <c r="BKW356" s="239"/>
      <c r="BKX356" s="239"/>
      <c r="BKY356" s="239"/>
      <c r="BKZ356" s="239"/>
      <c r="BLA356" s="239"/>
      <c r="BLB356" s="239"/>
      <c r="BLC356" s="239"/>
      <c r="BLD356" s="239"/>
      <c r="BLE356" s="239"/>
      <c r="BLF356" s="239"/>
      <c r="BLG356" s="239"/>
      <c r="BLH356" s="239"/>
      <c r="BLI356" s="239"/>
      <c r="BLJ356" s="239"/>
      <c r="BLK356" s="239"/>
      <c r="BLL356" s="239"/>
      <c r="BLM356" s="239"/>
      <c r="BLN356" s="239"/>
      <c r="BLO356" s="239"/>
      <c r="BLP356" s="239"/>
      <c r="BLQ356" s="239"/>
      <c r="BLR356" s="239"/>
      <c r="BLS356" s="239"/>
      <c r="BLT356" s="239"/>
      <c r="BLU356" s="239"/>
      <c r="BLV356" s="239"/>
      <c r="BLW356" s="239"/>
      <c r="BLX356" s="239"/>
      <c r="BLY356" s="239"/>
      <c r="BLZ356" s="239"/>
      <c r="BMA356" s="239"/>
      <c r="BMB356" s="239"/>
      <c r="BMC356" s="239"/>
      <c r="BMD356" s="239"/>
      <c r="BME356" s="239"/>
      <c r="BMF356" s="239"/>
      <c r="BMG356" s="239"/>
      <c r="BMH356" s="239"/>
      <c r="BMI356" s="239"/>
      <c r="BMJ356" s="239"/>
      <c r="BMK356" s="239"/>
      <c r="BML356" s="239"/>
      <c r="BMM356" s="239"/>
      <c r="BMN356" s="239"/>
      <c r="BMO356" s="239"/>
      <c r="BMP356" s="239"/>
      <c r="BMQ356" s="239"/>
      <c r="BMR356" s="239"/>
      <c r="BMS356" s="239"/>
      <c r="BMT356" s="239"/>
      <c r="BMU356" s="239"/>
      <c r="BMV356" s="239"/>
      <c r="BMW356" s="239"/>
      <c r="BMX356" s="239"/>
      <c r="BMY356" s="239"/>
      <c r="BMZ356" s="239"/>
      <c r="BNA356" s="239"/>
      <c r="BNB356" s="239"/>
      <c r="BNC356" s="239"/>
      <c r="BND356" s="239"/>
      <c r="BNE356" s="239"/>
      <c r="BNF356" s="239"/>
      <c r="BNG356" s="239"/>
      <c r="BNH356" s="239"/>
      <c r="BNI356" s="239"/>
      <c r="BNJ356" s="239"/>
      <c r="BNK356" s="239"/>
      <c r="BNL356" s="239"/>
      <c r="BNM356" s="239"/>
      <c r="BNN356" s="239"/>
      <c r="BNO356" s="239"/>
      <c r="BNP356" s="239"/>
      <c r="BNQ356" s="239"/>
      <c r="BNR356" s="239"/>
      <c r="BNS356" s="239"/>
      <c r="BNT356" s="239"/>
      <c r="BNU356" s="239"/>
      <c r="BNV356" s="239"/>
      <c r="BNW356" s="239"/>
      <c r="BNX356" s="239"/>
      <c r="BNY356" s="239"/>
      <c r="BNZ356" s="239"/>
      <c r="BOA356" s="239"/>
      <c r="BOB356" s="239"/>
      <c r="BOC356" s="239"/>
      <c r="BOD356" s="239"/>
      <c r="BOE356" s="239"/>
      <c r="BOF356" s="239"/>
      <c r="BOG356" s="239"/>
      <c r="BOH356" s="239"/>
      <c r="BOI356" s="239"/>
      <c r="BOJ356" s="239"/>
      <c r="BOK356" s="239"/>
      <c r="BOL356" s="239"/>
    </row>
    <row r="357" spans="1:1754" s="233" customFormat="1" ht="11.25">
      <c r="A357" s="246"/>
      <c r="D357" s="232"/>
      <c r="H357" s="232"/>
      <c r="I357" s="232"/>
      <c r="J357" s="232"/>
      <c r="K357" s="232"/>
      <c r="L357" s="232"/>
    </row>
    <row r="358" spans="1:1754" s="233" customFormat="1" ht="11.25">
      <c r="A358" s="247"/>
      <c r="D358" s="232"/>
      <c r="H358" s="232"/>
      <c r="I358" s="232"/>
      <c r="J358" s="232"/>
      <c r="K358" s="232"/>
      <c r="L358" s="232"/>
    </row>
    <row r="359" spans="1:1754" s="233" customFormat="1" ht="11.25">
      <c r="A359" s="248"/>
      <c r="D359" s="232"/>
      <c r="H359" s="232"/>
      <c r="I359" s="232"/>
      <c r="J359" s="232"/>
      <c r="K359" s="232"/>
      <c r="L359" s="232"/>
    </row>
    <row r="360" spans="1:1754" s="233" customFormat="1" ht="11.25">
      <c r="A360" s="249"/>
      <c r="D360" s="232"/>
      <c r="H360" s="232"/>
      <c r="I360" s="232"/>
      <c r="J360" s="232"/>
      <c r="K360" s="232"/>
      <c r="L360" s="232"/>
    </row>
    <row r="361" spans="1:1754" s="233" customFormat="1" ht="11.25">
      <c r="A361" s="246"/>
      <c r="D361" s="232"/>
      <c r="H361" s="232"/>
      <c r="I361" s="232"/>
      <c r="J361" s="232"/>
      <c r="K361" s="232"/>
      <c r="L361" s="232"/>
    </row>
    <row r="362" spans="1:1754" s="233" customFormat="1" ht="11.25">
      <c r="A362" s="246"/>
      <c r="D362" s="232"/>
      <c r="H362" s="232"/>
      <c r="I362" s="232"/>
      <c r="J362" s="232"/>
      <c r="K362" s="232"/>
      <c r="L362" s="232"/>
    </row>
    <row r="363" spans="1:1754" s="233" customFormat="1" ht="11.25">
      <c r="A363" s="246"/>
      <c r="D363" s="232"/>
      <c r="H363" s="232"/>
      <c r="I363" s="232"/>
      <c r="J363" s="232"/>
      <c r="K363" s="232"/>
      <c r="L363" s="232"/>
    </row>
    <row r="364" spans="1:1754" s="233" customFormat="1" ht="11.25">
      <c r="A364" s="246"/>
      <c r="D364" s="232"/>
      <c r="H364" s="232"/>
      <c r="I364" s="232"/>
      <c r="J364" s="232"/>
      <c r="K364" s="232"/>
      <c r="L364" s="232"/>
    </row>
    <row r="365" spans="1:1754" s="233" customFormat="1" ht="11.25">
      <c r="A365" s="246"/>
      <c r="D365" s="232"/>
      <c r="H365" s="232"/>
      <c r="I365" s="232"/>
      <c r="J365" s="232"/>
      <c r="K365" s="232"/>
      <c r="L365" s="232"/>
    </row>
    <row r="366" spans="1:1754" s="233" customFormat="1" ht="11.25">
      <c r="A366" s="246"/>
      <c r="D366" s="232"/>
      <c r="H366" s="232"/>
      <c r="I366" s="232"/>
      <c r="J366" s="232"/>
      <c r="K366" s="232"/>
      <c r="L366" s="232"/>
    </row>
    <row r="367" spans="1:1754" s="233" customFormat="1" ht="11.25">
      <c r="A367" s="246"/>
      <c r="D367" s="232"/>
      <c r="H367" s="232"/>
      <c r="I367" s="232"/>
      <c r="J367" s="232"/>
      <c r="K367" s="232"/>
      <c r="L367" s="232"/>
    </row>
    <row r="368" spans="1:1754" s="233" customFormat="1" ht="11.25">
      <c r="A368" s="246"/>
      <c r="D368" s="232"/>
      <c r="H368" s="232"/>
      <c r="I368" s="232"/>
      <c r="J368" s="232"/>
      <c r="K368" s="232"/>
      <c r="L368" s="232"/>
    </row>
    <row r="369" spans="1:12" s="233" customFormat="1" ht="11.25">
      <c r="A369" s="246"/>
      <c r="D369" s="232"/>
      <c r="H369" s="232"/>
      <c r="I369" s="232"/>
      <c r="J369" s="232"/>
      <c r="K369" s="232"/>
      <c r="L369" s="232"/>
    </row>
    <row r="370" spans="1:12" s="233" customFormat="1" ht="11.25">
      <c r="A370" s="246"/>
      <c r="D370" s="232"/>
      <c r="H370" s="232"/>
      <c r="I370" s="232"/>
      <c r="J370" s="232"/>
      <c r="K370" s="232"/>
      <c r="L370" s="232"/>
    </row>
    <row r="371" spans="1:12" s="233" customFormat="1" ht="11.25">
      <c r="A371" s="246"/>
      <c r="D371" s="232"/>
      <c r="H371" s="232"/>
      <c r="I371" s="232"/>
      <c r="J371" s="232"/>
      <c r="K371" s="232"/>
      <c r="L371" s="232"/>
    </row>
    <row r="372" spans="1:12" s="233" customFormat="1" ht="11.25">
      <c r="A372" s="246"/>
      <c r="D372" s="232"/>
      <c r="H372" s="232"/>
      <c r="I372" s="232"/>
      <c r="J372" s="232"/>
      <c r="K372" s="232"/>
      <c r="L372" s="232"/>
    </row>
    <row r="373" spans="1:12" s="233" customFormat="1" ht="11.25">
      <c r="A373" s="246"/>
      <c r="D373" s="232"/>
      <c r="H373" s="232"/>
      <c r="I373" s="232"/>
      <c r="J373" s="232"/>
      <c r="K373" s="232"/>
      <c r="L373" s="232"/>
    </row>
    <row r="374" spans="1:12" s="233" customFormat="1" ht="11.25">
      <c r="A374" s="246"/>
      <c r="D374" s="232"/>
      <c r="H374" s="232"/>
      <c r="I374" s="232"/>
      <c r="J374" s="232"/>
      <c r="K374" s="232"/>
      <c r="L374" s="232"/>
    </row>
    <row r="375" spans="1:12" s="233" customFormat="1" ht="11.25">
      <c r="A375" s="246"/>
      <c r="D375" s="232"/>
      <c r="H375" s="232"/>
      <c r="I375" s="232"/>
      <c r="J375" s="232"/>
      <c r="K375" s="232"/>
      <c r="L375" s="232"/>
    </row>
    <row r="376" spans="1:12" s="233" customFormat="1" ht="11.25">
      <c r="A376" s="246"/>
      <c r="D376" s="232"/>
      <c r="H376" s="232"/>
      <c r="I376" s="232"/>
      <c r="J376" s="232"/>
      <c r="K376" s="232"/>
      <c r="L376" s="232"/>
    </row>
    <row r="377" spans="1:12" s="233" customFormat="1" ht="11.25">
      <c r="A377" s="246"/>
      <c r="D377" s="232"/>
      <c r="H377" s="232"/>
      <c r="I377" s="232"/>
      <c r="J377" s="232"/>
      <c r="K377" s="232"/>
      <c r="L377" s="232"/>
    </row>
    <row r="378" spans="1:12" s="233" customFormat="1" ht="11.25">
      <c r="A378" s="246"/>
      <c r="D378" s="232"/>
      <c r="H378" s="232"/>
      <c r="I378" s="232"/>
      <c r="J378" s="232"/>
      <c r="K378" s="232"/>
      <c r="L378" s="232"/>
    </row>
    <row r="379" spans="1:12" s="233" customFormat="1" ht="11.25">
      <c r="A379" s="246"/>
      <c r="D379" s="232"/>
      <c r="H379" s="232"/>
      <c r="I379" s="232"/>
      <c r="J379" s="232"/>
      <c r="K379" s="232"/>
      <c r="L379" s="232"/>
    </row>
    <row r="380" spans="1:12" s="233" customFormat="1" ht="11.25">
      <c r="A380" s="246"/>
      <c r="D380" s="232"/>
      <c r="H380" s="232"/>
      <c r="I380" s="232"/>
      <c r="J380" s="232"/>
      <c r="K380" s="232"/>
      <c r="L380" s="232"/>
    </row>
    <row r="381" spans="1:12" s="233" customFormat="1" ht="11.25">
      <c r="A381" s="246"/>
      <c r="D381" s="232"/>
      <c r="H381" s="232"/>
      <c r="I381" s="232"/>
      <c r="J381" s="232"/>
      <c r="K381" s="232"/>
      <c r="L381" s="232"/>
    </row>
    <row r="382" spans="1:12" s="233" customFormat="1" ht="11.25">
      <c r="A382" s="246"/>
      <c r="D382" s="232"/>
      <c r="H382" s="232"/>
      <c r="I382" s="232"/>
      <c r="J382" s="232"/>
      <c r="K382" s="232"/>
      <c r="L382" s="232"/>
    </row>
    <row r="383" spans="1:12" s="233" customFormat="1" ht="11.25">
      <c r="A383" s="246"/>
      <c r="D383" s="232"/>
      <c r="H383" s="232"/>
      <c r="I383" s="232"/>
      <c r="J383" s="232"/>
      <c r="K383" s="232"/>
      <c r="L383" s="232"/>
    </row>
    <row r="384" spans="1:12" s="233" customFormat="1" ht="11.25">
      <c r="A384" s="246"/>
      <c r="D384" s="232"/>
      <c r="H384" s="232"/>
      <c r="I384" s="232"/>
      <c r="J384" s="232"/>
      <c r="K384" s="232"/>
      <c r="L384" s="232"/>
    </row>
    <row r="385" spans="1:12" s="233" customFormat="1" ht="11.25">
      <c r="A385" s="246"/>
      <c r="D385" s="232"/>
      <c r="H385" s="232"/>
      <c r="I385" s="232"/>
      <c r="J385" s="232"/>
      <c r="K385" s="232"/>
      <c r="L385" s="232"/>
    </row>
    <row r="386" spans="1:12" s="233" customFormat="1" ht="11.25">
      <c r="A386" s="246"/>
      <c r="D386" s="232"/>
      <c r="H386" s="232"/>
      <c r="I386" s="232"/>
      <c r="J386" s="232"/>
      <c r="K386" s="232"/>
      <c r="L386" s="232"/>
    </row>
    <row r="387" spans="1:12" s="233" customFormat="1" ht="11.25">
      <c r="A387" s="246"/>
      <c r="D387" s="232"/>
      <c r="H387" s="232"/>
      <c r="I387" s="232"/>
      <c r="J387" s="232"/>
      <c r="K387" s="232"/>
      <c r="L387" s="232"/>
    </row>
    <row r="388" spans="1:12" s="233" customFormat="1" ht="11.25">
      <c r="A388" s="246"/>
      <c r="D388" s="232"/>
      <c r="H388" s="232"/>
      <c r="I388" s="232"/>
      <c r="J388" s="232"/>
      <c r="K388" s="232"/>
      <c r="L388" s="232"/>
    </row>
    <row r="389" spans="1:12" s="233" customFormat="1" ht="11.25">
      <c r="A389" s="246"/>
      <c r="D389" s="232"/>
      <c r="H389" s="232"/>
      <c r="I389" s="232"/>
      <c r="J389" s="232"/>
      <c r="K389" s="232"/>
      <c r="L389" s="232"/>
    </row>
    <row r="390" spans="1:12" s="233" customFormat="1" ht="11.25">
      <c r="A390" s="246"/>
      <c r="D390" s="232"/>
      <c r="H390" s="232"/>
      <c r="I390" s="232"/>
      <c r="J390" s="232"/>
      <c r="K390" s="232"/>
      <c r="L390" s="232"/>
    </row>
    <row r="391" spans="1:12" s="233" customFormat="1" ht="11.25">
      <c r="A391" s="246"/>
      <c r="D391" s="232"/>
      <c r="H391" s="232"/>
      <c r="I391" s="232"/>
      <c r="J391" s="232"/>
      <c r="K391" s="232"/>
      <c r="L391" s="232"/>
    </row>
    <row r="392" spans="1:12" s="233" customFormat="1" ht="11.25">
      <c r="A392" s="246"/>
      <c r="D392" s="232"/>
      <c r="H392" s="232"/>
      <c r="I392" s="232"/>
      <c r="J392" s="232"/>
      <c r="K392" s="232"/>
      <c r="L392" s="232"/>
    </row>
    <row r="393" spans="1:12" s="233" customFormat="1" ht="11.25">
      <c r="A393" s="246"/>
      <c r="D393" s="232"/>
      <c r="H393" s="232"/>
      <c r="I393" s="232"/>
      <c r="J393" s="232"/>
      <c r="K393" s="232"/>
      <c r="L393" s="232"/>
    </row>
    <row r="394" spans="1:12" s="233" customFormat="1" ht="11.25">
      <c r="A394" s="246"/>
      <c r="D394" s="232"/>
      <c r="H394" s="232"/>
      <c r="I394" s="232"/>
      <c r="J394" s="232"/>
      <c r="K394" s="232"/>
      <c r="L394" s="232"/>
    </row>
    <row r="395" spans="1:12" s="233" customFormat="1" ht="11.25">
      <c r="A395" s="246"/>
      <c r="D395" s="232"/>
      <c r="H395" s="232"/>
      <c r="I395" s="232"/>
      <c r="J395" s="232"/>
      <c r="K395" s="232"/>
      <c r="L395" s="232"/>
    </row>
    <row r="396" spans="1:12" s="233" customFormat="1" ht="11.25">
      <c r="A396" s="246"/>
      <c r="D396" s="232"/>
      <c r="H396" s="232"/>
      <c r="I396" s="232"/>
      <c r="J396" s="232"/>
      <c r="K396" s="232"/>
      <c r="L396" s="232"/>
    </row>
    <row r="397" spans="1:12" s="233" customFormat="1" ht="11.25">
      <c r="A397" s="246"/>
      <c r="D397" s="232"/>
      <c r="H397" s="232"/>
      <c r="I397" s="232"/>
      <c r="J397" s="232"/>
      <c r="K397" s="232"/>
      <c r="L397" s="232"/>
    </row>
    <row r="398" spans="1:12" s="233" customFormat="1" ht="11.25">
      <c r="A398" s="246"/>
      <c r="D398" s="232"/>
      <c r="H398" s="232"/>
      <c r="I398" s="232"/>
      <c r="J398" s="232"/>
      <c r="K398" s="232"/>
      <c r="L398" s="232"/>
    </row>
    <row r="399" spans="1:12" s="233" customFormat="1" ht="11.25">
      <c r="A399" s="246"/>
      <c r="D399" s="232"/>
      <c r="H399" s="232"/>
      <c r="I399" s="232"/>
      <c r="J399" s="232"/>
      <c r="K399" s="232"/>
      <c r="L399" s="232"/>
    </row>
    <row r="400" spans="1:12" s="233" customFormat="1" ht="11.25">
      <c r="A400" s="246"/>
      <c r="D400" s="232"/>
      <c r="H400" s="232"/>
      <c r="I400" s="232"/>
      <c r="J400" s="232"/>
      <c r="K400" s="232"/>
      <c r="L400" s="232"/>
    </row>
    <row r="401" spans="1:12" s="233" customFormat="1" ht="11.25">
      <c r="A401" s="246"/>
      <c r="D401" s="232"/>
      <c r="H401" s="232"/>
      <c r="I401" s="232"/>
      <c r="J401" s="232"/>
      <c r="K401" s="232"/>
      <c r="L401" s="232"/>
    </row>
    <row r="402" spans="1:12" s="233" customFormat="1" ht="11.25">
      <c r="A402" s="246"/>
      <c r="D402" s="232"/>
      <c r="H402" s="232"/>
      <c r="I402" s="232"/>
      <c r="J402" s="232"/>
      <c r="K402" s="232"/>
      <c r="L402" s="232"/>
    </row>
    <row r="403" spans="1:12" s="233" customFormat="1" ht="11.25">
      <c r="A403" s="246"/>
      <c r="D403" s="232"/>
      <c r="H403" s="232"/>
      <c r="I403" s="232"/>
      <c r="J403" s="232"/>
      <c r="K403" s="232"/>
      <c r="L403" s="232"/>
    </row>
    <row r="404" spans="1:12" s="233" customFormat="1" ht="11.25">
      <c r="A404" s="246"/>
      <c r="D404" s="232"/>
      <c r="H404" s="232"/>
      <c r="I404" s="232"/>
      <c r="J404" s="232"/>
      <c r="K404" s="232"/>
      <c r="L404" s="232"/>
    </row>
    <row r="405" spans="1:12" s="233" customFormat="1" ht="11.25">
      <c r="A405" s="246"/>
      <c r="D405" s="232"/>
      <c r="H405" s="232"/>
      <c r="I405" s="232"/>
      <c r="J405" s="232"/>
      <c r="K405" s="232"/>
      <c r="L405" s="232"/>
    </row>
    <row r="406" spans="1:12" s="233" customFormat="1" ht="11.25">
      <c r="A406" s="246"/>
      <c r="D406" s="232"/>
      <c r="H406" s="232"/>
      <c r="I406" s="232"/>
      <c r="J406" s="232"/>
      <c r="K406" s="232"/>
      <c r="L406" s="232"/>
    </row>
    <row r="407" spans="1:12" s="233" customFormat="1" ht="11.25">
      <c r="A407" s="246"/>
      <c r="D407" s="232"/>
      <c r="H407" s="232"/>
      <c r="I407" s="232"/>
      <c r="J407" s="232"/>
      <c r="K407" s="232"/>
      <c r="L407" s="232"/>
    </row>
    <row r="408" spans="1:12" s="233" customFormat="1" ht="11.25">
      <c r="A408" s="246"/>
      <c r="D408" s="232"/>
      <c r="H408" s="232"/>
      <c r="I408" s="232"/>
      <c r="J408" s="232"/>
      <c r="K408" s="232"/>
      <c r="L408" s="232"/>
    </row>
    <row r="409" spans="1:12" s="233" customFormat="1" ht="11.25">
      <c r="A409" s="246"/>
      <c r="D409" s="232"/>
      <c r="H409" s="232"/>
      <c r="I409" s="232"/>
      <c r="J409" s="232"/>
      <c r="K409" s="232"/>
      <c r="L409" s="232"/>
    </row>
    <row r="410" spans="1:12" s="233" customFormat="1" ht="11.25">
      <c r="A410" s="246"/>
      <c r="D410" s="232"/>
      <c r="H410" s="232"/>
      <c r="I410" s="232"/>
      <c r="J410" s="232"/>
      <c r="K410" s="232"/>
      <c r="L410" s="232"/>
    </row>
    <row r="411" spans="1:12" s="233" customFormat="1" ht="11.25">
      <c r="A411" s="246"/>
      <c r="D411" s="232"/>
      <c r="H411" s="232"/>
      <c r="I411" s="232"/>
      <c r="J411" s="232"/>
      <c r="K411" s="232"/>
      <c r="L411" s="232"/>
    </row>
    <row r="412" spans="1:12" s="233" customFormat="1" ht="11.25">
      <c r="A412" s="246"/>
      <c r="D412" s="232"/>
      <c r="H412" s="232"/>
      <c r="I412" s="232"/>
      <c r="J412" s="232"/>
      <c r="K412" s="232"/>
      <c r="L412" s="232"/>
    </row>
    <row r="413" spans="1:12" s="233" customFormat="1" ht="11.25">
      <c r="A413" s="246"/>
      <c r="D413" s="232"/>
      <c r="H413" s="232"/>
      <c r="I413" s="232"/>
      <c r="J413" s="232"/>
      <c r="K413" s="232"/>
      <c r="L413" s="232"/>
    </row>
    <row r="414" spans="1:12" s="233" customFormat="1" ht="11.25">
      <c r="A414" s="246"/>
      <c r="D414" s="232"/>
      <c r="H414" s="232"/>
      <c r="I414" s="232"/>
      <c r="J414" s="232"/>
      <c r="K414" s="232"/>
      <c r="L414" s="232"/>
    </row>
    <row r="415" spans="1:12" s="233" customFormat="1" ht="11.25">
      <c r="A415" s="246"/>
      <c r="D415" s="232"/>
      <c r="H415" s="232"/>
      <c r="I415" s="232"/>
      <c r="J415" s="232"/>
      <c r="K415" s="232"/>
      <c r="L415" s="232"/>
    </row>
    <row r="416" spans="1:12" s="233" customFormat="1" ht="11.25">
      <c r="A416" s="246"/>
      <c r="D416" s="232"/>
      <c r="H416" s="232"/>
      <c r="I416" s="232"/>
      <c r="J416" s="232"/>
      <c r="K416" s="232"/>
      <c r="L416" s="232"/>
    </row>
    <row r="417" spans="1:12" s="233" customFormat="1" ht="11.25">
      <c r="A417" s="246"/>
      <c r="D417" s="232"/>
      <c r="H417" s="232"/>
      <c r="I417" s="232"/>
      <c r="J417" s="232"/>
      <c r="K417" s="232"/>
      <c r="L417" s="232"/>
    </row>
    <row r="418" spans="1:12" s="233" customFormat="1" ht="11.25">
      <c r="A418" s="246"/>
      <c r="D418" s="232"/>
      <c r="H418" s="232"/>
      <c r="I418" s="232"/>
      <c r="J418" s="232"/>
      <c r="K418" s="232"/>
      <c r="L418" s="232"/>
    </row>
    <row r="419" spans="1:12" s="233" customFormat="1" ht="11.25">
      <c r="A419" s="246"/>
      <c r="D419" s="232"/>
      <c r="H419" s="232"/>
      <c r="I419" s="232"/>
      <c r="J419" s="232"/>
      <c r="K419" s="232"/>
      <c r="L419" s="232"/>
    </row>
    <row r="420" spans="1:12" s="233" customFormat="1" ht="11.25">
      <c r="A420" s="246"/>
      <c r="D420" s="232"/>
      <c r="H420" s="232"/>
      <c r="I420" s="232"/>
      <c r="J420" s="232"/>
      <c r="K420" s="232"/>
      <c r="L420" s="232"/>
    </row>
    <row r="421" spans="1:12" s="233" customFormat="1" ht="11.25">
      <c r="A421" s="246"/>
      <c r="D421" s="232"/>
      <c r="H421" s="232"/>
      <c r="I421" s="232"/>
      <c r="J421" s="232"/>
      <c r="K421" s="232"/>
      <c r="L421" s="232"/>
    </row>
    <row r="422" spans="1:12" s="233" customFormat="1" ht="11.25">
      <c r="A422" s="246"/>
      <c r="D422" s="232"/>
      <c r="H422" s="232"/>
      <c r="I422" s="232"/>
      <c r="J422" s="232"/>
      <c r="K422" s="232"/>
      <c r="L422" s="232"/>
    </row>
    <row r="423" spans="1:12" s="233" customFormat="1" ht="11.25">
      <c r="A423" s="249"/>
      <c r="D423" s="232"/>
      <c r="H423" s="232"/>
      <c r="I423" s="232"/>
      <c r="J423" s="232"/>
      <c r="K423" s="232"/>
      <c r="L423" s="232"/>
    </row>
    <row r="424" spans="1:12" s="233" customFormat="1" ht="11.25">
      <c r="A424" s="246"/>
      <c r="D424" s="232"/>
      <c r="H424" s="232"/>
      <c r="I424" s="232"/>
      <c r="J424" s="232"/>
      <c r="K424" s="232"/>
      <c r="L424" s="232"/>
    </row>
    <row r="425" spans="1:12" s="233" customFormat="1" ht="11.25">
      <c r="A425" s="246"/>
      <c r="D425" s="232"/>
      <c r="H425" s="232"/>
      <c r="I425" s="232"/>
      <c r="J425" s="232"/>
      <c r="K425" s="232"/>
      <c r="L425" s="232"/>
    </row>
    <row r="426" spans="1:12" s="233" customFormat="1" ht="11.25">
      <c r="A426" s="249"/>
      <c r="D426" s="232"/>
      <c r="H426" s="232"/>
      <c r="I426" s="232"/>
      <c r="J426" s="232"/>
      <c r="K426" s="232"/>
      <c r="L426" s="232"/>
    </row>
    <row r="427" spans="1:12" s="233" customFormat="1" ht="11.25">
      <c r="A427" s="249"/>
      <c r="D427" s="232"/>
      <c r="H427" s="232"/>
      <c r="I427" s="232"/>
      <c r="J427" s="232"/>
      <c r="K427" s="232"/>
      <c r="L427" s="232"/>
    </row>
    <row r="428" spans="1:12" s="233" customFormat="1" ht="11.25">
      <c r="A428" s="246"/>
      <c r="D428" s="232"/>
      <c r="H428" s="232"/>
      <c r="I428" s="232"/>
      <c r="J428" s="232"/>
      <c r="K428" s="232"/>
      <c r="L428" s="232"/>
    </row>
    <row r="429" spans="1:12" s="233" customFormat="1" ht="11.25">
      <c r="A429" s="246"/>
      <c r="D429" s="232"/>
      <c r="H429" s="232"/>
      <c r="I429" s="232"/>
      <c r="J429" s="232"/>
      <c r="K429" s="232"/>
      <c r="L429" s="232"/>
    </row>
    <row r="430" spans="1:12" s="233" customFormat="1" ht="11.25">
      <c r="A430" s="246"/>
      <c r="D430" s="232"/>
      <c r="H430" s="232"/>
      <c r="I430" s="232"/>
      <c r="J430" s="232"/>
      <c r="K430" s="232"/>
      <c r="L430" s="232"/>
    </row>
    <row r="431" spans="1:12" s="233" customFormat="1" ht="11.25">
      <c r="A431" s="246"/>
      <c r="D431" s="232"/>
      <c r="H431" s="232"/>
      <c r="I431" s="232"/>
      <c r="J431" s="232"/>
      <c r="K431" s="232"/>
      <c r="L431" s="232"/>
    </row>
    <row r="432" spans="1:12" s="233" customFormat="1" ht="11.25">
      <c r="A432" s="250"/>
      <c r="D432" s="232"/>
      <c r="H432" s="232"/>
      <c r="I432" s="232"/>
      <c r="J432" s="232"/>
      <c r="K432" s="232"/>
      <c r="L432" s="232"/>
    </row>
    <row r="433" spans="1:12" s="233" customFormat="1" ht="11.25">
      <c r="A433" s="246"/>
      <c r="D433" s="232"/>
      <c r="H433" s="232"/>
      <c r="I433" s="232"/>
      <c r="J433" s="232"/>
      <c r="K433" s="232"/>
      <c r="L433" s="232"/>
    </row>
    <row r="434" spans="1:12" s="233" customFormat="1" ht="11.25">
      <c r="A434" s="247"/>
      <c r="D434" s="232"/>
      <c r="H434" s="232"/>
      <c r="I434" s="232"/>
      <c r="J434" s="232"/>
      <c r="K434" s="232"/>
      <c r="L434" s="232"/>
    </row>
    <row r="435" spans="1:12" s="233" customFormat="1" ht="11.25">
      <c r="A435" s="247"/>
      <c r="D435" s="232"/>
      <c r="H435" s="232"/>
      <c r="I435" s="232"/>
      <c r="J435" s="232"/>
      <c r="K435" s="232"/>
      <c r="L435" s="232"/>
    </row>
    <row r="436" spans="1:12" s="233" customFormat="1" ht="11.25">
      <c r="A436" s="246"/>
      <c r="D436" s="232"/>
      <c r="H436" s="232"/>
      <c r="I436" s="232"/>
      <c r="J436" s="232"/>
      <c r="K436" s="232"/>
      <c r="L436" s="232"/>
    </row>
    <row r="437" spans="1:12" s="233" customFormat="1" ht="11.25">
      <c r="A437" s="247"/>
      <c r="D437" s="232"/>
      <c r="H437" s="232"/>
      <c r="I437" s="232"/>
      <c r="J437" s="232"/>
      <c r="K437" s="232"/>
      <c r="L437" s="232"/>
    </row>
    <row r="438" spans="1:12" s="233" customFormat="1" ht="11.25">
      <c r="A438" s="248"/>
      <c r="D438" s="232"/>
      <c r="H438" s="232"/>
      <c r="I438" s="232"/>
      <c r="J438" s="232"/>
      <c r="K438" s="232"/>
      <c r="L438" s="232"/>
    </row>
    <row r="439" spans="1:12" s="233" customFormat="1" ht="11.25">
      <c r="A439" s="248"/>
      <c r="D439" s="232"/>
      <c r="H439" s="232"/>
      <c r="I439" s="232"/>
      <c r="J439" s="232"/>
      <c r="K439" s="232"/>
      <c r="L439" s="232"/>
    </row>
    <row r="440" spans="1:12" s="233" customFormat="1" ht="11.25">
      <c r="A440" s="246"/>
      <c r="D440" s="232"/>
      <c r="H440" s="232"/>
      <c r="I440" s="232"/>
      <c r="J440" s="232"/>
      <c r="K440" s="232"/>
      <c r="L440" s="232"/>
    </row>
    <row r="441" spans="1:12" s="233" customFormat="1" ht="11.25">
      <c r="A441" s="251"/>
      <c r="D441" s="232"/>
      <c r="H441" s="232"/>
      <c r="I441" s="232"/>
      <c r="J441" s="232"/>
      <c r="K441" s="232"/>
      <c r="L441" s="232"/>
    </row>
    <row r="442" spans="1:12" s="233" customFormat="1" ht="11.25">
      <c r="A442" s="251"/>
      <c r="D442" s="232"/>
      <c r="H442" s="232"/>
      <c r="I442" s="232"/>
      <c r="J442" s="232"/>
      <c r="K442" s="232"/>
      <c r="L442" s="232"/>
    </row>
    <row r="443" spans="1:12" s="233" customFormat="1" ht="11.25">
      <c r="A443" s="249"/>
      <c r="D443" s="232"/>
      <c r="H443" s="232"/>
      <c r="I443" s="232"/>
      <c r="J443" s="232"/>
      <c r="K443" s="232"/>
      <c r="L443" s="232"/>
    </row>
    <row r="444" spans="1:12" s="233" customFormat="1" ht="11.25">
      <c r="A444" s="250"/>
      <c r="D444" s="232"/>
      <c r="H444" s="232"/>
      <c r="I444" s="232"/>
      <c r="J444" s="232"/>
      <c r="K444" s="232"/>
      <c r="L444" s="232"/>
    </row>
    <row r="445" spans="1:12" s="233" customFormat="1" ht="11.25">
      <c r="A445" s="246"/>
      <c r="D445" s="232"/>
      <c r="H445" s="232"/>
      <c r="I445" s="232"/>
      <c r="J445" s="232"/>
      <c r="K445" s="232"/>
      <c r="L445" s="232"/>
    </row>
    <row r="446" spans="1:12" s="233" customFormat="1" ht="11.25">
      <c r="A446" s="247"/>
      <c r="D446" s="232"/>
      <c r="H446" s="232"/>
      <c r="I446" s="232"/>
      <c r="J446" s="232"/>
      <c r="K446" s="232"/>
      <c r="L446" s="232"/>
    </row>
    <row r="447" spans="1:12" s="233" customFormat="1" ht="11.25">
      <c r="A447" s="247"/>
      <c r="D447" s="232"/>
      <c r="H447" s="232"/>
      <c r="I447" s="232"/>
      <c r="J447" s="232"/>
      <c r="K447" s="232"/>
      <c r="L447" s="232"/>
    </row>
    <row r="448" spans="1:12" s="233" customFormat="1" ht="11.25">
      <c r="A448" s="246"/>
      <c r="D448" s="232"/>
      <c r="H448" s="232"/>
      <c r="I448" s="232"/>
      <c r="J448" s="232"/>
      <c r="K448" s="232"/>
      <c r="L448" s="232"/>
    </row>
    <row r="449" spans="1:1754" s="233" customFormat="1" ht="11.25">
      <c r="A449" s="246"/>
      <c r="D449" s="232"/>
      <c r="H449" s="232"/>
      <c r="I449" s="232"/>
      <c r="J449" s="232"/>
      <c r="K449" s="232"/>
      <c r="L449" s="232"/>
    </row>
    <row r="450" spans="1:1754" s="233" customFormat="1" ht="11.25">
      <c r="A450" s="246"/>
      <c r="D450" s="232"/>
      <c r="H450" s="232"/>
      <c r="I450" s="232"/>
      <c r="J450" s="232"/>
      <c r="K450" s="232"/>
      <c r="L450" s="232"/>
    </row>
    <row r="451" spans="1:1754" s="233" customFormat="1" ht="11.25">
      <c r="A451" s="251"/>
      <c r="D451" s="232"/>
      <c r="H451" s="232"/>
      <c r="I451" s="232"/>
      <c r="J451" s="232"/>
      <c r="K451" s="232"/>
      <c r="L451" s="232"/>
    </row>
    <row r="452" spans="1:1754" s="233" customFormat="1" ht="11.25">
      <c r="A452" s="252"/>
      <c r="D452" s="232"/>
      <c r="H452" s="232"/>
      <c r="I452" s="232"/>
      <c r="J452" s="232"/>
      <c r="K452" s="232"/>
      <c r="L452" s="232"/>
    </row>
    <row r="453" spans="1:1754" s="233" customFormat="1" ht="11.25">
      <c r="A453" s="252"/>
      <c r="D453" s="232"/>
      <c r="H453" s="232"/>
      <c r="I453" s="232"/>
      <c r="J453" s="232"/>
      <c r="K453" s="232"/>
      <c r="L453" s="232"/>
    </row>
    <row r="454" spans="1:1754" s="233" customFormat="1" ht="11.25">
      <c r="A454" s="251"/>
      <c r="D454" s="232"/>
      <c r="H454" s="232"/>
      <c r="I454" s="232"/>
      <c r="J454" s="232"/>
      <c r="K454" s="232"/>
      <c r="L454" s="232"/>
    </row>
    <row r="455" spans="1:1754" ht="11.25">
      <c r="A455" s="252"/>
    </row>
    <row r="456" spans="1:1754" s="233" customFormat="1" ht="11.25">
      <c r="A456" s="252"/>
      <c r="D456" s="232"/>
      <c r="H456" s="232"/>
      <c r="I456" s="232"/>
      <c r="J456" s="232"/>
      <c r="K456" s="232"/>
      <c r="L456" s="232"/>
      <c r="M456" s="232"/>
      <c r="N456" s="232"/>
      <c r="O456" s="232"/>
      <c r="P456" s="232"/>
      <c r="Q456" s="232"/>
      <c r="R456" s="232"/>
      <c r="S456" s="232"/>
      <c r="T456" s="232"/>
      <c r="U456" s="232"/>
      <c r="V456" s="232"/>
      <c r="W456" s="232"/>
      <c r="X456" s="232"/>
      <c r="Y456" s="232"/>
      <c r="Z456" s="232"/>
      <c r="AA456" s="232"/>
      <c r="AB456" s="232"/>
      <c r="AC456" s="232"/>
      <c r="AD456" s="232"/>
      <c r="AE456" s="232"/>
      <c r="AF456" s="232"/>
      <c r="AG456" s="232"/>
      <c r="AH456" s="232"/>
      <c r="AI456" s="232"/>
      <c r="AJ456" s="232"/>
      <c r="AK456" s="232"/>
      <c r="AL456" s="232"/>
      <c r="AM456" s="232"/>
      <c r="AN456" s="232"/>
      <c r="AO456" s="232"/>
      <c r="AP456" s="232"/>
      <c r="AQ456" s="232"/>
      <c r="AR456" s="232"/>
      <c r="AS456" s="232"/>
      <c r="AT456" s="232"/>
      <c r="AU456" s="232"/>
      <c r="AV456" s="232"/>
      <c r="AW456" s="232"/>
      <c r="AX456" s="232"/>
      <c r="AY456" s="232"/>
      <c r="AZ456" s="232"/>
      <c r="BA456" s="232"/>
      <c r="BB456" s="232"/>
      <c r="BC456" s="232"/>
      <c r="BD456" s="232"/>
      <c r="BE456" s="232"/>
      <c r="BF456" s="232"/>
      <c r="BG456" s="232"/>
      <c r="BH456" s="232"/>
      <c r="BI456" s="232"/>
      <c r="BJ456" s="232"/>
      <c r="BK456" s="232"/>
      <c r="BL456" s="232"/>
      <c r="BM456" s="232"/>
      <c r="BN456" s="232"/>
      <c r="BO456" s="232"/>
      <c r="BP456" s="232"/>
      <c r="BQ456" s="232"/>
      <c r="BR456" s="232"/>
      <c r="BS456" s="232"/>
      <c r="BT456" s="232"/>
      <c r="BU456" s="232"/>
      <c r="BV456" s="232"/>
      <c r="BW456" s="232"/>
      <c r="BX456" s="232"/>
      <c r="BY456" s="232"/>
      <c r="BZ456" s="232"/>
      <c r="CA456" s="232"/>
      <c r="CB456" s="232"/>
      <c r="CC456" s="232"/>
      <c r="CD456" s="232"/>
      <c r="CE456" s="232"/>
      <c r="CF456" s="232"/>
      <c r="CG456" s="232"/>
      <c r="CH456" s="232"/>
      <c r="CI456" s="232"/>
      <c r="CJ456" s="232"/>
      <c r="CK456" s="232"/>
      <c r="CL456" s="232"/>
      <c r="CM456" s="232"/>
      <c r="CN456" s="232"/>
      <c r="CO456" s="232"/>
      <c r="CP456" s="232"/>
      <c r="CQ456" s="232"/>
      <c r="CR456" s="232"/>
      <c r="CS456" s="232"/>
      <c r="CT456" s="232"/>
      <c r="CU456" s="232"/>
      <c r="CV456" s="232"/>
      <c r="CW456" s="232"/>
      <c r="CX456" s="232"/>
      <c r="CY456" s="232"/>
      <c r="CZ456" s="232"/>
      <c r="DA456" s="232"/>
      <c r="DB456" s="232"/>
      <c r="DC456" s="232"/>
      <c r="DD456" s="232"/>
      <c r="DE456" s="232"/>
      <c r="DF456" s="232"/>
      <c r="DG456" s="232"/>
      <c r="DH456" s="232"/>
      <c r="DI456" s="232"/>
      <c r="DJ456" s="232"/>
      <c r="DK456" s="232"/>
      <c r="DL456" s="232"/>
      <c r="DM456" s="232"/>
      <c r="DN456" s="232"/>
      <c r="DO456" s="232"/>
      <c r="DP456" s="232"/>
      <c r="DQ456" s="232"/>
      <c r="DR456" s="232"/>
      <c r="DS456" s="232"/>
      <c r="DT456" s="232"/>
      <c r="DU456" s="232"/>
      <c r="DV456" s="232"/>
      <c r="DW456" s="232"/>
      <c r="DX456" s="232"/>
      <c r="DY456" s="232"/>
      <c r="DZ456" s="232"/>
      <c r="EA456" s="232"/>
      <c r="EB456" s="232"/>
      <c r="EC456" s="232"/>
      <c r="ED456" s="232"/>
      <c r="EE456" s="232"/>
      <c r="EF456" s="232"/>
      <c r="EG456" s="232"/>
      <c r="EH456" s="232"/>
      <c r="EI456" s="232"/>
      <c r="EJ456" s="232"/>
      <c r="EK456" s="232"/>
      <c r="EL456" s="232"/>
      <c r="EM456" s="232"/>
      <c r="EN456" s="232"/>
      <c r="EO456" s="232"/>
      <c r="EP456" s="232"/>
      <c r="EQ456" s="232"/>
      <c r="ER456" s="232"/>
      <c r="ES456" s="232"/>
      <c r="ET456" s="232"/>
      <c r="EU456" s="232"/>
      <c r="EV456" s="232"/>
      <c r="EW456" s="232"/>
      <c r="EX456" s="232"/>
      <c r="EY456" s="232"/>
      <c r="EZ456" s="232"/>
      <c r="FA456" s="232"/>
      <c r="FB456" s="232"/>
      <c r="FC456" s="232"/>
      <c r="FD456" s="232"/>
      <c r="FE456" s="232"/>
      <c r="FF456" s="232"/>
      <c r="FG456" s="232"/>
      <c r="FH456" s="232"/>
      <c r="FI456" s="232"/>
      <c r="FJ456" s="232"/>
      <c r="FK456" s="232"/>
      <c r="FL456" s="232"/>
      <c r="FM456" s="232"/>
      <c r="FN456" s="232"/>
      <c r="FO456" s="232"/>
      <c r="FP456" s="232"/>
      <c r="FQ456" s="232"/>
      <c r="FR456" s="232"/>
      <c r="FS456" s="232"/>
      <c r="FT456" s="232"/>
      <c r="FU456" s="232"/>
      <c r="FV456" s="232"/>
      <c r="FW456" s="232"/>
      <c r="FX456" s="232"/>
      <c r="FY456" s="232"/>
      <c r="FZ456" s="232"/>
      <c r="GA456" s="232"/>
      <c r="GB456" s="232"/>
      <c r="GC456" s="232"/>
      <c r="GD456" s="232"/>
      <c r="GE456" s="232"/>
      <c r="GF456" s="232"/>
      <c r="GG456" s="232"/>
      <c r="GH456" s="232"/>
      <c r="GI456" s="232"/>
      <c r="GJ456" s="232"/>
      <c r="GK456" s="232"/>
      <c r="GL456" s="232"/>
      <c r="GM456" s="232"/>
      <c r="GN456" s="232"/>
      <c r="GO456" s="232"/>
      <c r="GP456" s="232"/>
      <c r="GQ456" s="232"/>
      <c r="GR456" s="232"/>
      <c r="GS456" s="232"/>
      <c r="GT456" s="232"/>
      <c r="GU456" s="232"/>
      <c r="GV456" s="232"/>
      <c r="GW456" s="232"/>
      <c r="GX456" s="232"/>
      <c r="GY456" s="232"/>
      <c r="GZ456" s="232"/>
      <c r="HA456" s="232"/>
      <c r="HB456" s="232"/>
      <c r="HC456" s="232"/>
      <c r="HD456" s="232"/>
      <c r="HE456" s="232"/>
      <c r="HF456" s="232"/>
      <c r="HG456" s="232"/>
      <c r="HH456" s="232"/>
      <c r="HI456" s="232"/>
      <c r="HJ456" s="232"/>
      <c r="HK456" s="232"/>
      <c r="HL456" s="232"/>
      <c r="HM456" s="232"/>
      <c r="HN456" s="232"/>
      <c r="HO456" s="232"/>
      <c r="HP456" s="232"/>
      <c r="HQ456" s="232"/>
      <c r="HR456" s="232"/>
      <c r="HS456" s="232"/>
      <c r="HT456" s="232"/>
      <c r="HU456" s="232"/>
      <c r="HV456" s="232"/>
      <c r="HW456" s="232"/>
      <c r="HX456" s="232"/>
      <c r="HY456" s="232"/>
      <c r="HZ456" s="232"/>
      <c r="IA456" s="232"/>
      <c r="IB456" s="232"/>
      <c r="IC456" s="232"/>
      <c r="ID456" s="232"/>
      <c r="IE456" s="232"/>
      <c r="IF456" s="232"/>
      <c r="IG456" s="232"/>
      <c r="IH456" s="232"/>
      <c r="II456" s="232"/>
      <c r="IJ456" s="232"/>
      <c r="IK456" s="232"/>
      <c r="IL456" s="232"/>
      <c r="IM456" s="232"/>
      <c r="IN456" s="232"/>
      <c r="IO456" s="232"/>
      <c r="IP456" s="232"/>
      <c r="IQ456" s="232"/>
      <c r="IR456" s="232"/>
      <c r="IS456" s="232"/>
      <c r="IT456" s="232"/>
      <c r="IU456" s="232"/>
      <c r="IV456" s="232"/>
      <c r="IW456" s="232"/>
      <c r="IX456" s="232"/>
      <c r="IY456" s="232"/>
      <c r="IZ456" s="232"/>
      <c r="JA456" s="232"/>
      <c r="JB456" s="232"/>
      <c r="JC456" s="232"/>
      <c r="JD456" s="232"/>
      <c r="JE456" s="232"/>
      <c r="JF456" s="232"/>
      <c r="JG456" s="232"/>
      <c r="JH456" s="232"/>
      <c r="JI456" s="232"/>
      <c r="JJ456" s="232"/>
      <c r="JK456" s="232"/>
      <c r="JL456" s="232"/>
      <c r="JM456" s="232"/>
      <c r="JN456" s="232"/>
      <c r="JO456" s="232"/>
      <c r="JP456" s="232"/>
      <c r="JQ456" s="232"/>
      <c r="JR456" s="232"/>
      <c r="JS456" s="232"/>
      <c r="JT456" s="232"/>
      <c r="JU456" s="232"/>
      <c r="JV456" s="232"/>
      <c r="JW456" s="232"/>
      <c r="JX456" s="232"/>
      <c r="JY456" s="232"/>
      <c r="JZ456" s="232"/>
      <c r="KA456" s="232"/>
      <c r="KB456" s="232"/>
      <c r="KC456" s="232"/>
      <c r="KD456" s="232"/>
      <c r="KE456" s="232"/>
      <c r="KF456" s="232"/>
      <c r="KG456" s="232"/>
      <c r="KH456" s="232"/>
      <c r="KI456" s="232"/>
      <c r="KJ456" s="232"/>
      <c r="KK456" s="232"/>
      <c r="KL456" s="232"/>
      <c r="KM456" s="232"/>
      <c r="KN456" s="232"/>
      <c r="KO456" s="232"/>
      <c r="KP456" s="232"/>
      <c r="KQ456" s="232"/>
      <c r="KR456" s="232"/>
      <c r="KS456" s="232"/>
      <c r="KT456" s="232"/>
      <c r="KU456" s="232"/>
      <c r="KV456" s="232"/>
      <c r="KW456" s="232"/>
      <c r="KX456" s="232"/>
      <c r="KY456" s="232"/>
      <c r="KZ456" s="232"/>
      <c r="LA456" s="232"/>
      <c r="LB456" s="232"/>
      <c r="LC456" s="232"/>
      <c r="LD456" s="232"/>
      <c r="LE456" s="232"/>
      <c r="LF456" s="232"/>
      <c r="LG456" s="232"/>
      <c r="LH456" s="232"/>
      <c r="LI456" s="232"/>
      <c r="LJ456" s="232"/>
      <c r="LK456" s="232"/>
      <c r="LL456" s="232"/>
      <c r="LM456" s="232"/>
      <c r="LN456" s="232"/>
      <c r="LO456" s="232"/>
      <c r="LP456" s="232"/>
      <c r="LQ456" s="232"/>
      <c r="LR456" s="232"/>
      <c r="LS456" s="232"/>
      <c r="LT456" s="232"/>
      <c r="LU456" s="232"/>
      <c r="LV456" s="232"/>
      <c r="LW456" s="232"/>
      <c r="LX456" s="232"/>
      <c r="LY456" s="232"/>
      <c r="LZ456" s="232"/>
      <c r="MA456" s="232"/>
      <c r="MB456" s="232"/>
      <c r="MC456" s="232"/>
      <c r="MD456" s="232"/>
      <c r="ME456" s="232"/>
      <c r="MF456" s="232"/>
      <c r="MG456" s="232"/>
      <c r="MH456" s="232"/>
      <c r="MI456" s="232"/>
      <c r="MJ456" s="232"/>
      <c r="MK456" s="232"/>
      <c r="ML456" s="232"/>
      <c r="MM456" s="232"/>
      <c r="MN456" s="232"/>
      <c r="MO456" s="232"/>
      <c r="MP456" s="232"/>
      <c r="MQ456" s="232"/>
      <c r="MR456" s="232"/>
      <c r="MS456" s="232"/>
      <c r="MT456" s="232"/>
      <c r="MU456" s="232"/>
      <c r="MV456" s="232"/>
      <c r="MW456" s="232"/>
      <c r="MX456" s="232"/>
      <c r="MY456" s="232"/>
      <c r="MZ456" s="232"/>
      <c r="NA456" s="232"/>
      <c r="NB456" s="232"/>
      <c r="NC456" s="232"/>
      <c r="ND456" s="232"/>
      <c r="NE456" s="232"/>
      <c r="NF456" s="232"/>
      <c r="NG456" s="232"/>
      <c r="NH456" s="232"/>
      <c r="NI456" s="232"/>
      <c r="NJ456" s="232"/>
      <c r="NK456" s="232"/>
      <c r="NL456" s="232"/>
      <c r="NM456" s="232"/>
      <c r="NN456" s="232"/>
      <c r="NO456" s="232"/>
      <c r="NP456" s="232"/>
      <c r="NQ456" s="232"/>
      <c r="NR456" s="232"/>
      <c r="NS456" s="232"/>
      <c r="NT456" s="232"/>
      <c r="NU456" s="232"/>
      <c r="NV456" s="232"/>
      <c r="NW456" s="232"/>
      <c r="NX456" s="232"/>
      <c r="NY456" s="232"/>
      <c r="NZ456" s="232"/>
      <c r="OA456" s="232"/>
      <c r="OB456" s="232"/>
      <c r="OC456" s="232"/>
      <c r="OD456" s="232"/>
      <c r="OE456" s="232"/>
      <c r="OF456" s="232"/>
      <c r="OG456" s="232"/>
      <c r="OH456" s="232"/>
      <c r="OI456" s="232"/>
      <c r="OJ456" s="232"/>
      <c r="OK456" s="232"/>
      <c r="OL456" s="232"/>
      <c r="OM456" s="232"/>
      <c r="ON456" s="232"/>
      <c r="OO456" s="232"/>
      <c r="OP456" s="232"/>
      <c r="OQ456" s="232"/>
      <c r="OR456" s="232"/>
      <c r="OS456" s="232"/>
      <c r="OT456" s="232"/>
      <c r="OU456" s="232"/>
      <c r="OV456" s="232"/>
      <c r="OW456" s="232"/>
      <c r="OX456" s="232"/>
      <c r="OY456" s="232"/>
      <c r="OZ456" s="232"/>
      <c r="PA456" s="232"/>
      <c r="PB456" s="232"/>
      <c r="PC456" s="232"/>
      <c r="PD456" s="232"/>
      <c r="PE456" s="232"/>
      <c r="PF456" s="232"/>
      <c r="PG456" s="232"/>
      <c r="PH456" s="232"/>
      <c r="PI456" s="232"/>
      <c r="PJ456" s="232"/>
      <c r="PK456" s="232"/>
      <c r="PL456" s="232"/>
      <c r="PM456" s="232"/>
      <c r="PN456" s="232"/>
      <c r="PO456" s="232"/>
      <c r="PP456" s="232"/>
      <c r="PQ456" s="232"/>
      <c r="PR456" s="232"/>
      <c r="PS456" s="232"/>
      <c r="PT456" s="232"/>
      <c r="PU456" s="232"/>
      <c r="PV456" s="232"/>
      <c r="PW456" s="232"/>
      <c r="PX456" s="232"/>
      <c r="PY456" s="232"/>
      <c r="PZ456" s="232"/>
      <c r="QA456" s="232"/>
      <c r="QB456" s="232"/>
      <c r="QC456" s="232"/>
      <c r="QD456" s="232"/>
      <c r="QE456" s="232"/>
      <c r="QF456" s="232"/>
      <c r="QG456" s="232"/>
      <c r="QH456" s="232"/>
      <c r="QI456" s="232"/>
      <c r="QJ456" s="232"/>
      <c r="QK456" s="232"/>
      <c r="QL456" s="232"/>
      <c r="QM456" s="232"/>
      <c r="QN456" s="232"/>
      <c r="QO456" s="232"/>
      <c r="QP456" s="232"/>
      <c r="QQ456" s="232"/>
      <c r="QR456" s="232"/>
      <c r="QS456" s="232"/>
      <c r="QT456" s="232"/>
      <c r="QU456" s="232"/>
      <c r="QV456" s="232"/>
      <c r="QW456" s="232"/>
      <c r="QX456" s="232"/>
      <c r="QY456" s="232"/>
      <c r="QZ456" s="232"/>
      <c r="RA456" s="232"/>
      <c r="RB456" s="232"/>
      <c r="RC456" s="232"/>
      <c r="RD456" s="232"/>
      <c r="RE456" s="232"/>
      <c r="RF456" s="232"/>
      <c r="RG456" s="232"/>
      <c r="RH456" s="232"/>
      <c r="RI456" s="232"/>
      <c r="RJ456" s="232"/>
      <c r="RK456" s="232"/>
      <c r="RL456" s="232"/>
      <c r="RM456" s="232"/>
      <c r="RN456" s="232"/>
      <c r="RO456" s="232"/>
      <c r="RP456" s="232"/>
      <c r="RQ456" s="232"/>
      <c r="RR456" s="232"/>
      <c r="RS456" s="232"/>
      <c r="RT456" s="232"/>
      <c r="RU456" s="232"/>
      <c r="RV456" s="232"/>
      <c r="RW456" s="232"/>
      <c r="RX456" s="232"/>
      <c r="RY456" s="232"/>
      <c r="RZ456" s="232"/>
      <c r="SA456" s="232"/>
      <c r="SB456" s="232"/>
      <c r="SC456" s="232"/>
      <c r="SD456" s="232"/>
      <c r="SE456" s="232"/>
      <c r="SF456" s="232"/>
      <c r="SG456" s="232"/>
      <c r="SH456" s="232"/>
      <c r="SI456" s="232"/>
      <c r="SJ456" s="232"/>
      <c r="SK456" s="232"/>
      <c r="SL456" s="232"/>
      <c r="SM456" s="232"/>
      <c r="SN456" s="232"/>
      <c r="SO456" s="232"/>
      <c r="SP456" s="232"/>
      <c r="SQ456" s="232"/>
      <c r="SR456" s="232"/>
      <c r="SS456" s="232"/>
      <c r="ST456" s="232"/>
      <c r="SU456" s="232"/>
      <c r="SV456" s="232"/>
      <c r="SW456" s="232"/>
      <c r="SX456" s="232"/>
      <c r="SY456" s="232"/>
      <c r="SZ456" s="232"/>
      <c r="TA456" s="232"/>
      <c r="TB456" s="232"/>
      <c r="TC456" s="232"/>
      <c r="TD456" s="232"/>
      <c r="TE456" s="232"/>
      <c r="TF456" s="232"/>
      <c r="TG456" s="232"/>
      <c r="TH456" s="232"/>
      <c r="TI456" s="232"/>
      <c r="TJ456" s="232"/>
      <c r="TK456" s="232"/>
      <c r="TL456" s="232"/>
      <c r="TM456" s="232"/>
      <c r="TN456" s="232"/>
      <c r="TO456" s="232"/>
      <c r="TP456" s="232"/>
      <c r="TQ456" s="232"/>
      <c r="TR456" s="232"/>
      <c r="TS456" s="232"/>
      <c r="TT456" s="232"/>
      <c r="TU456" s="232"/>
      <c r="TV456" s="232"/>
      <c r="TW456" s="232"/>
      <c r="TX456" s="232"/>
      <c r="TY456" s="232"/>
      <c r="TZ456" s="232"/>
      <c r="UA456" s="232"/>
      <c r="UB456" s="232"/>
      <c r="UC456" s="232"/>
      <c r="UD456" s="232"/>
      <c r="UE456" s="232"/>
      <c r="UF456" s="232"/>
      <c r="UG456" s="232"/>
      <c r="UH456" s="232"/>
      <c r="UI456" s="232"/>
      <c r="UJ456" s="232"/>
      <c r="UK456" s="232"/>
      <c r="UL456" s="232"/>
      <c r="UM456" s="232"/>
      <c r="UN456" s="232"/>
      <c r="UO456" s="232"/>
      <c r="UP456" s="232"/>
      <c r="UQ456" s="232"/>
      <c r="UR456" s="232"/>
      <c r="US456" s="232"/>
      <c r="UT456" s="232"/>
      <c r="UU456" s="232"/>
      <c r="UV456" s="232"/>
      <c r="UW456" s="232"/>
      <c r="UX456" s="232"/>
      <c r="UY456" s="232"/>
      <c r="UZ456" s="232"/>
      <c r="VA456" s="232"/>
      <c r="VB456" s="232"/>
      <c r="VC456" s="232"/>
      <c r="VD456" s="232"/>
      <c r="VE456" s="232"/>
      <c r="VF456" s="232"/>
      <c r="VG456" s="232"/>
      <c r="VH456" s="232"/>
      <c r="VI456" s="232"/>
      <c r="VJ456" s="232"/>
      <c r="VK456" s="232"/>
      <c r="VL456" s="232"/>
      <c r="VM456" s="232"/>
      <c r="VN456" s="232"/>
      <c r="VO456" s="232"/>
      <c r="VP456" s="232"/>
      <c r="VQ456" s="232"/>
      <c r="VR456" s="232"/>
      <c r="VS456" s="232"/>
      <c r="VT456" s="232"/>
      <c r="VU456" s="232"/>
      <c r="VV456" s="232"/>
      <c r="VW456" s="232"/>
      <c r="VX456" s="232"/>
      <c r="VY456" s="232"/>
      <c r="VZ456" s="232"/>
      <c r="WA456" s="232"/>
      <c r="WB456" s="232"/>
      <c r="WC456" s="232"/>
      <c r="WD456" s="232"/>
      <c r="WE456" s="232"/>
      <c r="WF456" s="232"/>
      <c r="WG456" s="232"/>
      <c r="WH456" s="232"/>
      <c r="WI456" s="232"/>
      <c r="WJ456" s="232"/>
      <c r="WK456" s="232"/>
      <c r="WL456" s="232"/>
      <c r="WM456" s="232"/>
      <c r="WN456" s="232"/>
      <c r="WO456" s="232"/>
      <c r="WP456" s="232"/>
      <c r="WQ456" s="232"/>
      <c r="WR456" s="232"/>
      <c r="WS456" s="232"/>
      <c r="WT456" s="232"/>
      <c r="WU456" s="232"/>
      <c r="WV456" s="232"/>
      <c r="WW456" s="232"/>
      <c r="WX456" s="232"/>
      <c r="WY456" s="232"/>
      <c r="WZ456" s="232"/>
      <c r="XA456" s="232"/>
      <c r="XB456" s="232"/>
      <c r="XC456" s="232"/>
      <c r="XD456" s="232"/>
      <c r="XE456" s="232"/>
      <c r="XF456" s="232"/>
      <c r="XG456" s="232"/>
      <c r="XH456" s="232"/>
      <c r="XI456" s="232"/>
      <c r="XJ456" s="232"/>
      <c r="XK456" s="232"/>
      <c r="XL456" s="232"/>
      <c r="XM456" s="232"/>
      <c r="XN456" s="232"/>
      <c r="XO456" s="232"/>
      <c r="XP456" s="232"/>
      <c r="XQ456" s="232"/>
      <c r="XR456" s="232"/>
      <c r="XS456" s="232"/>
      <c r="XT456" s="232"/>
      <c r="XU456" s="232"/>
      <c r="XV456" s="232"/>
      <c r="XW456" s="232"/>
      <c r="XX456" s="232"/>
      <c r="XY456" s="232"/>
      <c r="XZ456" s="232"/>
      <c r="YA456" s="232"/>
      <c r="YB456" s="232"/>
      <c r="YC456" s="232"/>
      <c r="YD456" s="232"/>
      <c r="YE456" s="232"/>
      <c r="YF456" s="232"/>
      <c r="YG456" s="232"/>
      <c r="YH456" s="232"/>
      <c r="YI456" s="232"/>
      <c r="YJ456" s="232"/>
      <c r="YK456" s="232"/>
      <c r="YL456" s="232"/>
      <c r="YM456" s="232"/>
      <c r="YN456" s="232"/>
      <c r="YO456" s="232"/>
      <c r="YP456" s="232"/>
      <c r="YQ456" s="232"/>
      <c r="YR456" s="232"/>
      <c r="YS456" s="232"/>
      <c r="YT456" s="232"/>
      <c r="YU456" s="232"/>
      <c r="YV456" s="232"/>
      <c r="YW456" s="232"/>
      <c r="YX456" s="232"/>
      <c r="YY456" s="232"/>
      <c r="YZ456" s="232"/>
      <c r="ZA456" s="232"/>
      <c r="ZB456" s="232"/>
      <c r="ZC456" s="232"/>
      <c r="ZD456" s="232"/>
      <c r="ZE456" s="232"/>
      <c r="ZF456" s="232"/>
      <c r="ZG456" s="232"/>
      <c r="ZH456" s="232"/>
      <c r="ZI456" s="232"/>
      <c r="ZJ456" s="232"/>
      <c r="ZK456" s="232"/>
      <c r="ZL456" s="232"/>
      <c r="ZM456" s="232"/>
      <c r="ZN456" s="232"/>
      <c r="ZO456" s="232"/>
      <c r="ZP456" s="232"/>
      <c r="ZQ456" s="232"/>
      <c r="ZR456" s="232"/>
      <c r="ZS456" s="232"/>
      <c r="ZT456" s="232"/>
      <c r="ZU456" s="232"/>
      <c r="ZV456" s="232"/>
      <c r="ZW456" s="232"/>
      <c r="ZX456" s="232"/>
      <c r="ZY456" s="232"/>
      <c r="ZZ456" s="232"/>
      <c r="AAA456" s="232"/>
      <c r="AAB456" s="232"/>
      <c r="AAC456" s="232"/>
      <c r="AAD456" s="232"/>
      <c r="AAE456" s="232"/>
      <c r="AAF456" s="232"/>
      <c r="AAG456" s="232"/>
      <c r="AAH456" s="232"/>
      <c r="AAI456" s="232"/>
      <c r="AAJ456" s="232"/>
      <c r="AAK456" s="232"/>
      <c r="AAL456" s="232"/>
      <c r="AAM456" s="232"/>
      <c r="AAN456" s="232"/>
      <c r="AAO456" s="232"/>
      <c r="AAP456" s="232"/>
      <c r="AAQ456" s="232"/>
      <c r="AAR456" s="232"/>
      <c r="AAS456" s="232"/>
      <c r="AAT456" s="232"/>
      <c r="AAU456" s="232"/>
      <c r="AAV456" s="232"/>
      <c r="AAW456" s="232"/>
      <c r="AAX456" s="232"/>
      <c r="AAY456" s="232"/>
      <c r="AAZ456" s="232"/>
      <c r="ABA456" s="232"/>
      <c r="ABB456" s="232"/>
      <c r="ABC456" s="232"/>
      <c r="ABD456" s="232"/>
      <c r="ABE456" s="232"/>
      <c r="ABF456" s="232"/>
      <c r="ABG456" s="232"/>
      <c r="ABH456" s="232"/>
      <c r="ABI456" s="232"/>
      <c r="ABJ456" s="232"/>
      <c r="ABK456" s="232"/>
      <c r="ABL456" s="232"/>
      <c r="ABM456" s="232"/>
      <c r="ABN456" s="232"/>
      <c r="ABO456" s="232"/>
      <c r="ABP456" s="232"/>
      <c r="ABQ456" s="232"/>
      <c r="ABR456" s="232"/>
      <c r="ABS456" s="232"/>
      <c r="ABT456" s="232"/>
      <c r="ABU456" s="232"/>
      <c r="ABV456" s="232"/>
      <c r="ABW456" s="232"/>
      <c r="ABX456" s="232"/>
      <c r="ABY456" s="232"/>
      <c r="ABZ456" s="232"/>
      <c r="ACA456" s="232"/>
      <c r="ACB456" s="232"/>
      <c r="ACC456" s="232"/>
      <c r="ACD456" s="232"/>
      <c r="ACE456" s="232"/>
      <c r="ACF456" s="232"/>
      <c r="ACG456" s="232"/>
      <c r="ACH456" s="232"/>
      <c r="ACI456" s="232"/>
      <c r="ACJ456" s="232"/>
      <c r="ACK456" s="232"/>
      <c r="ACL456" s="232"/>
      <c r="ACM456" s="232"/>
      <c r="ACN456" s="232"/>
      <c r="ACO456" s="232"/>
      <c r="ACP456" s="232"/>
      <c r="ACQ456" s="232"/>
      <c r="ACR456" s="232"/>
      <c r="ACS456" s="232"/>
      <c r="ACT456" s="232"/>
      <c r="ACU456" s="232"/>
      <c r="ACV456" s="232"/>
      <c r="ACW456" s="232"/>
      <c r="ACX456" s="232"/>
      <c r="ACY456" s="232"/>
      <c r="ACZ456" s="232"/>
      <c r="ADA456" s="232"/>
      <c r="ADB456" s="232"/>
      <c r="ADC456" s="232"/>
      <c r="ADD456" s="232"/>
      <c r="ADE456" s="232"/>
      <c r="ADF456" s="232"/>
      <c r="ADG456" s="232"/>
      <c r="ADH456" s="232"/>
      <c r="ADI456" s="232"/>
      <c r="ADJ456" s="232"/>
      <c r="ADK456" s="232"/>
      <c r="ADL456" s="232"/>
      <c r="ADM456" s="232"/>
      <c r="ADN456" s="232"/>
      <c r="ADO456" s="232"/>
      <c r="ADP456" s="232"/>
      <c r="ADQ456" s="232"/>
      <c r="ADR456" s="232"/>
      <c r="ADS456" s="232"/>
      <c r="ADT456" s="232"/>
      <c r="ADU456" s="232"/>
      <c r="ADV456" s="232"/>
      <c r="ADW456" s="232"/>
      <c r="ADX456" s="232"/>
      <c r="ADY456" s="232"/>
      <c r="ADZ456" s="232"/>
      <c r="AEA456" s="232"/>
      <c r="AEB456" s="232"/>
      <c r="AEC456" s="232"/>
      <c r="AED456" s="232"/>
      <c r="AEE456" s="232"/>
      <c r="AEF456" s="232"/>
      <c r="AEG456" s="232"/>
      <c r="AEH456" s="232"/>
      <c r="AEI456" s="232"/>
      <c r="AEJ456" s="232"/>
      <c r="AEK456" s="232"/>
      <c r="AEL456" s="232"/>
      <c r="AEM456" s="232"/>
      <c r="AEN456" s="232"/>
      <c r="AEO456" s="232"/>
      <c r="AEP456" s="232"/>
      <c r="AEQ456" s="232"/>
      <c r="AER456" s="232"/>
      <c r="AES456" s="232"/>
      <c r="AET456" s="232"/>
      <c r="AEU456" s="232"/>
      <c r="AEV456" s="232"/>
      <c r="AEW456" s="232"/>
      <c r="AEX456" s="232"/>
      <c r="AEY456" s="232"/>
      <c r="AEZ456" s="232"/>
      <c r="AFA456" s="232"/>
      <c r="AFB456" s="232"/>
      <c r="AFC456" s="232"/>
      <c r="AFD456" s="232"/>
      <c r="AFE456" s="232"/>
      <c r="AFF456" s="232"/>
      <c r="AFG456" s="232"/>
      <c r="AFH456" s="232"/>
      <c r="AFI456" s="232"/>
      <c r="AFJ456" s="232"/>
      <c r="AFK456" s="232"/>
      <c r="AFL456" s="232"/>
      <c r="AFM456" s="232"/>
      <c r="AFN456" s="232"/>
      <c r="AFO456" s="232"/>
      <c r="AFP456" s="232"/>
      <c r="AFQ456" s="232"/>
      <c r="AFR456" s="232"/>
      <c r="AFS456" s="232"/>
      <c r="AFT456" s="232"/>
      <c r="AFU456" s="232"/>
      <c r="AFV456" s="232"/>
      <c r="AFW456" s="232"/>
      <c r="AFX456" s="232"/>
      <c r="AFY456" s="232"/>
      <c r="AFZ456" s="232"/>
      <c r="AGA456" s="232"/>
      <c r="AGB456" s="232"/>
      <c r="AGC456" s="232"/>
      <c r="AGD456" s="232"/>
      <c r="AGE456" s="232"/>
      <c r="AGF456" s="232"/>
      <c r="AGG456" s="232"/>
      <c r="AGH456" s="232"/>
      <c r="AGI456" s="232"/>
      <c r="AGJ456" s="232"/>
      <c r="AGK456" s="232"/>
      <c r="AGL456" s="232"/>
      <c r="AGM456" s="232"/>
      <c r="AGN456" s="232"/>
      <c r="AGO456" s="232"/>
      <c r="AGP456" s="232"/>
      <c r="AGQ456" s="232"/>
      <c r="AGR456" s="232"/>
      <c r="AGS456" s="232"/>
      <c r="AGT456" s="232"/>
      <c r="AGU456" s="232"/>
      <c r="AGV456" s="232"/>
      <c r="AGW456" s="232"/>
      <c r="AGX456" s="232"/>
      <c r="AGY456" s="232"/>
      <c r="AGZ456" s="232"/>
      <c r="AHA456" s="232"/>
      <c r="AHB456" s="232"/>
      <c r="AHC456" s="232"/>
      <c r="AHD456" s="232"/>
      <c r="AHE456" s="232"/>
      <c r="AHF456" s="232"/>
      <c r="AHG456" s="232"/>
      <c r="AHH456" s="232"/>
      <c r="AHI456" s="232"/>
      <c r="AHJ456" s="232"/>
      <c r="AHK456" s="232"/>
      <c r="AHL456" s="232"/>
      <c r="AHM456" s="232"/>
      <c r="AHN456" s="232"/>
      <c r="AHO456" s="232"/>
      <c r="AHP456" s="232"/>
      <c r="AHQ456" s="232"/>
      <c r="AHR456" s="232"/>
      <c r="AHS456" s="232"/>
      <c r="AHT456" s="232"/>
      <c r="AHU456" s="232"/>
      <c r="AHV456" s="232"/>
      <c r="AHW456" s="232"/>
      <c r="AHX456" s="232"/>
      <c r="AHY456" s="232"/>
      <c r="AHZ456" s="232"/>
      <c r="AIA456" s="232"/>
      <c r="AIB456" s="232"/>
      <c r="AIC456" s="232"/>
      <c r="AID456" s="232"/>
      <c r="AIE456" s="232"/>
      <c r="AIF456" s="232"/>
      <c r="AIG456" s="232"/>
      <c r="AIH456" s="232"/>
      <c r="AII456" s="232"/>
      <c r="AIJ456" s="232"/>
      <c r="AIK456" s="232"/>
      <c r="AIL456" s="232"/>
      <c r="AIM456" s="232"/>
      <c r="AIN456" s="232"/>
      <c r="AIO456" s="232"/>
      <c r="AIP456" s="232"/>
      <c r="AIQ456" s="232"/>
      <c r="AIR456" s="232"/>
      <c r="AIS456" s="232"/>
      <c r="AIT456" s="232"/>
      <c r="AIU456" s="232"/>
      <c r="AIV456" s="232"/>
      <c r="AIW456" s="232"/>
      <c r="AIX456" s="232"/>
      <c r="AIY456" s="232"/>
      <c r="AIZ456" s="232"/>
      <c r="AJA456" s="232"/>
      <c r="AJB456" s="232"/>
      <c r="AJC456" s="232"/>
      <c r="AJD456" s="232"/>
      <c r="AJE456" s="232"/>
      <c r="AJF456" s="232"/>
      <c r="AJG456" s="232"/>
      <c r="AJH456" s="232"/>
      <c r="AJI456" s="232"/>
      <c r="AJJ456" s="232"/>
      <c r="AJK456" s="232"/>
      <c r="AJL456" s="232"/>
      <c r="AJM456" s="232"/>
      <c r="AJN456" s="232"/>
      <c r="AJO456" s="232"/>
      <c r="AJP456" s="232"/>
      <c r="AJQ456" s="232"/>
      <c r="AJR456" s="232"/>
      <c r="AJS456" s="232"/>
      <c r="AJT456" s="232"/>
      <c r="AJU456" s="232"/>
      <c r="AJV456" s="232"/>
      <c r="AJW456" s="232"/>
      <c r="AJX456" s="232"/>
      <c r="AJY456" s="232"/>
      <c r="AJZ456" s="232"/>
      <c r="AKA456" s="232"/>
      <c r="AKB456" s="232"/>
      <c r="AKC456" s="232"/>
      <c r="AKD456" s="232"/>
      <c r="AKE456" s="232"/>
      <c r="AKF456" s="232"/>
      <c r="AKG456" s="232"/>
      <c r="AKH456" s="232"/>
      <c r="AKI456" s="232"/>
      <c r="AKJ456" s="232"/>
      <c r="AKK456" s="232"/>
      <c r="AKL456" s="232"/>
      <c r="AKM456" s="232"/>
      <c r="AKN456" s="232"/>
      <c r="AKO456" s="232"/>
      <c r="AKP456" s="232"/>
      <c r="AKQ456" s="232"/>
      <c r="AKR456" s="232"/>
      <c r="AKS456" s="232"/>
      <c r="AKT456" s="232"/>
      <c r="AKU456" s="232"/>
      <c r="AKV456" s="232"/>
      <c r="AKW456" s="232"/>
      <c r="AKX456" s="232"/>
      <c r="AKY456" s="232"/>
      <c r="AKZ456" s="232"/>
      <c r="ALA456" s="232"/>
      <c r="ALB456" s="232"/>
      <c r="ALC456" s="232"/>
      <c r="ALD456" s="232"/>
      <c r="ALE456" s="232"/>
      <c r="ALF456" s="232"/>
      <c r="ALG456" s="232"/>
      <c r="ALH456" s="232"/>
      <c r="ALI456" s="232"/>
      <c r="ALJ456" s="232"/>
      <c r="ALK456" s="232"/>
      <c r="ALL456" s="232"/>
      <c r="ALM456" s="232"/>
      <c r="ALN456" s="232"/>
      <c r="ALO456" s="232"/>
      <c r="ALP456" s="232"/>
      <c r="ALQ456" s="232"/>
      <c r="ALR456" s="232"/>
      <c r="ALS456" s="232"/>
      <c r="ALT456" s="232"/>
      <c r="ALU456" s="232"/>
      <c r="ALV456" s="232"/>
      <c r="ALW456" s="232"/>
      <c r="ALX456" s="232"/>
      <c r="ALY456" s="232"/>
      <c r="ALZ456" s="232"/>
      <c r="AMA456" s="232"/>
      <c r="AMB456" s="232"/>
      <c r="AMC456" s="232"/>
      <c r="AMD456" s="232"/>
      <c r="AME456" s="232"/>
      <c r="AMF456" s="232"/>
      <c r="AMG456" s="232"/>
      <c r="AMH456" s="232"/>
      <c r="AMI456" s="232"/>
      <c r="AMJ456" s="232"/>
      <c r="AMK456" s="232"/>
      <c r="AML456" s="232"/>
      <c r="AMM456" s="232"/>
      <c r="AMN456" s="232"/>
      <c r="AMO456" s="232"/>
      <c r="AMP456" s="232"/>
      <c r="AMQ456" s="232"/>
      <c r="AMR456" s="232"/>
      <c r="AMS456" s="232"/>
      <c r="AMT456" s="232"/>
      <c r="AMU456" s="232"/>
      <c r="AMV456" s="232"/>
      <c r="AMW456" s="232"/>
      <c r="AMX456" s="232"/>
      <c r="AMY456" s="232"/>
      <c r="AMZ456" s="232"/>
      <c r="ANA456" s="232"/>
      <c r="ANB456" s="232"/>
      <c r="ANC456" s="232"/>
      <c r="AND456" s="232"/>
      <c r="ANE456" s="232"/>
      <c r="ANF456" s="232"/>
      <c r="ANG456" s="232"/>
      <c r="ANH456" s="232"/>
      <c r="ANI456" s="232"/>
      <c r="ANJ456" s="232"/>
      <c r="ANK456" s="232"/>
      <c r="ANL456" s="232"/>
      <c r="ANM456" s="232"/>
      <c r="ANN456" s="232"/>
      <c r="ANO456" s="232"/>
      <c r="ANP456" s="232"/>
      <c r="ANQ456" s="232"/>
      <c r="ANR456" s="232"/>
      <c r="ANS456" s="232"/>
      <c r="ANT456" s="232"/>
      <c r="ANU456" s="232"/>
      <c r="ANV456" s="232"/>
      <c r="ANW456" s="232"/>
      <c r="ANX456" s="232"/>
      <c r="ANY456" s="232"/>
      <c r="ANZ456" s="232"/>
      <c r="AOA456" s="232"/>
      <c r="AOB456" s="232"/>
      <c r="AOC456" s="232"/>
      <c r="AOD456" s="232"/>
      <c r="AOE456" s="232"/>
      <c r="AOF456" s="232"/>
      <c r="AOG456" s="232"/>
      <c r="AOH456" s="232"/>
      <c r="AOI456" s="232"/>
      <c r="AOJ456" s="232"/>
      <c r="AOK456" s="232"/>
      <c r="AOL456" s="232"/>
      <c r="AOM456" s="232"/>
      <c r="AON456" s="232"/>
      <c r="AOO456" s="232"/>
      <c r="AOP456" s="232"/>
      <c r="AOQ456" s="232"/>
      <c r="AOR456" s="232"/>
      <c r="AOS456" s="232"/>
      <c r="AOT456" s="232"/>
      <c r="AOU456" s="232"/>
      <c r="AOV456" s="232"/>
      <c r="AOW456" s="232"/>
      <c r="AOX456" s="232"/>
      <c r="AOY456" s="232"/>
      <c r="AOZ456" s="232"/>
      <c r="APA456" s="232"/>
      <c r="APB456" s="232"/>
      <c r="APC456" s="232"/>
      <c r="APD456" s="232"/>
      <c r="APE456" s="232"/>
      <c r="APF456" s="232"/>
      <c r="APG456" s="232"/>
      <c r="APH456" s="232"/>
      <c r="API456" s="232"/>
      <c r="APJ456" s="232"/>
      <c r="APK456" s="232"/>
      <c r="APL456" s="232"/>
      <c r="APM456" s="232"/>
      <c r="APN456" s="232"/>
      <c r="APO456" s="232"/>
      <c r="APP456" s="232"/>
      <c r="APQ456" s="232"/>
      <c r="APR456" s="232"/>
      <c r="APS456" s="232"/>
      <c r="APT456" s="232"/>
      <c r="APU456" s="232"/>
      <c r="APV456" s="232"/>
      <c r="APW456" s="232"/>
      <c r="APX456" s="232"/>
      <c r="APY456" s="232"/>
      <c r="APZ456" s="232"/>
      <c r="AQA456" s="232"/>
      <c r="AQB456" s="232"/>
      <c r="AQC456" s="232"/>
      <c r="AQD456" s="232"/>
      <c r="AQE456" s="232"/>
      <c r="AQF456" s="232"/>
      <c r="AQG456" s="232"/>
      <c r="AQH456" s="232"/>
      <c r="AQI456" s="232"/>
      <c r="AQJ456" s="232"/>
      <c r="AQK456" s="232"/>
      <c r="AQL456" s="232"/>
      <c r="AQM456" s="232"/>
      <c r="AQN456" s="232"/>
      <c r="AQO456" s="232"/>
      <c r="AQP456" s="232"/>
      <c r="AQQ456" s="232"/>
      <c r="AQR456" s="232"/>
      <c r="AQS456" s="232"/>
      <c r="AQT456" s="232"/>
      <c r="AQU456" s="232"/>
      <c r="AQV456" s="232"/>
      <c r="AQW456" s="232"/>
      <c r="AQX456" s="232"/>
      <c r="AQY456" s="232"/>
      <c r="AQZ456" s="232"/>
      <c r="ARA456" s="232"/>
      <c r="ARB456" s="232"/>
      <c r="ARC456" s="232"/>
      <c r="ARD456" s="232"/>
      <c r="ARE456" s="232"/>
      <c r="ARF456" s="232"/>
      <c r="ARG456" s="232"/>
      <c r="ARH456" s="232"/>
      <c r="ARI456" s="232"/>
      <c r="ARJ456" s="232"/>
      <c r="ARK456" s="232"/>
      <c r="ARL456" s="232"/>
      <c r="ARM456" s="232"/>
      <c r="ARN456" s="232"/>
      <c r="ARO456" s="232"/>
      <c r="ARP456" s="232"/>
      <c r="ARQ456" s="232"/>
      <c r="ARR456" s="232"/>
      <c r="ARS456" s="232"/>
      <c r="ART456" s="232"/>
      <c r="ARU456" s="232"/>
      <c r="ARV456" s="232"/>
      <c r="ARW456" s="232"/>
      <c r="ARX456" s="232"/>
      <c r="ARY456" s="232"/>
      <c r="ARZ456" s="232"/>
      <c r="ASA456" s="232"/>
      <c r="ASB456" s="232"/>
      <c r="ASC456" s="232"/>
      <c r="ASD456" s="232"/>
      <c r="ASE456" s="232"/>
      <c r="ASF456" s="232"/>
      <c r="ASG456" s="232"/>
      <c r="ASH456" s="232"/>
      <c r="ASI456" s="232"/>
      <c r="ASJ456" s="232"/>
      <c r="ASK456" s="232"/>
      <c r="ASL456" s="232"/>
      <c r="ASM456" s="232"/>
      <c r="ASN456" s="232"/>
      <c r="ASO456" s="232"/>
      <c r="ASP456" s="232"/>
      <c r="ASQ456" s="232"/>
      <c r="ASR456" s="232"/>
      <c r="ASS456" s="232"/>
      <c r="AST456" s="232"/>
      <c r="ASU456" s="232"/>
      <c r="ASV456" s="232"/>
      <c r="ASW456" s="232"/>
      <c r="ASX456" s="232"/>
      <c r="ASY456" s="232"/>
      <c r="ASZ456" s="232"/>
      <c r="ATA456" s="232"/>
      <c r="ATB456" s="232"/>
      <c r="ATC456" s="232"/>
      <c r="ATD456" s="232"/>
      <c r="ATE456" s="232"/>
      <c r="ATF456" s="232"/>
      <c r="ATG456" s="232"/>
      <c r="ATH456" s="232"/>
      <c r="ATI456" s="232"/>
      <c r="ATJ456" s="232"/>
      <c r="ATK456" s="232"/>
      <c r="ATL456" s="232"/>
      <c r="ATM456" s="232"/>
      <c r="ATN456" s="232"/>
      <c r="ATO456" s="232"/>
      <c r="ATP456" s="232"/>
      <c r="ATQ456" s="232"/>
      <c r="ATR456" s="232"/>
      <c r="ATS456" s="232"/>
      <c r="ATT456" s="232"/>
      <c r="ATU456" s="232"/>
      <c r="ATV456" s="232"/>
      <c r="ATW456" s="232"/>
      <c r="ATX456" s="232"/>
      <c r="ATY456" s="232"/>
      <c r="ATZ456" s="232"/>
      <c r="AUA456" s="232"/>
      <c r="AUB456" s="232"/>
      <c r="AUC456" s="232"/>
      <c r="AUD456" s="232"/>
      <c r="AUE456" s="232"/>
      <c r="AUF456" s="232"/>
      <c r="AUG456" s="232"/>
      <c r="AUH456" s="232"/>
      <c r="AUI456" s="232"/>
      <c r="AUJ456" s="232"/>
      <c r="AUK456" s="232"/>
      <c r="AUL456" s="232"/>
      <c r="AUM456" s="232"/>
      <c r="AUN456" s="232"/>
      <c r="AUO456" s="232"/>
      <c r="AUP456" s="232"/>
      <c r="AUQ456" s="232"/>
      <c r="AUR456" s="232"/>
      <c r="AUS456" s="232"/>
      <c r="AUT456" s="232"/>
      <c r="AUU456" s="232"/>
      <c r="AUV456" s="232"/>
      <c r="AUW456" s="232"/>
      <c r="AUX456" s="232"/>
      <c r="AUY456" s="232"/>
      <c r="AUZ456" s="232"/>
      <c r="AVA456" s="232"/>
      <c r="AVB456" s="232"/>
      <c r="AVC456" s="232"/>
      <c r="AVD456" s="232"/>
      <c r="AVE456" s="232"/>
      <c r="AVF456" s="232"/>
      <c r="AVG456" s="232"/>
      <c r="AVH456" s="232"/>
      <c r="AVI456" s="232"/>
      <c r="AVJ456" s="232"/>
      <c r="AVK456" s="232"/>
      <c r="AVL456" s="232"/>
      <c r="AVM456" s="232"/>
      <c r="AVN456" s="232"/>
      <c r="AVO456" s="232"/>
      <c r="AVP456" s="232"/>
      <c r="AVQ456" s="232"/>
      <c r="AVR456" s="232"/>
      <c r="AVS456" s="232"/>
      <c r="AVT456" s="232"/>
      <c r="AVU456" s="232"/>
      <c r="AVV456" s="232"/>
      <c r="AVW456" s="232"/>
      <c r="AVX456" s="232"/>
      <c r="AVY456" s="232"/>
      <c r="AVZ456" s="232"/>
      <c r="AWA456" s="232"/>
      <c r="AWB456" s="232"/>
      <c r="AWC456" s="232"/>
      <c r="AWD456" s="232"/>
      <c r="AWE456" s="232"/>
      <c r="AWF456" s="232"/>
      <c r="AWG456" s="232"/>
      <c r="AWH456" s="232"/>
      <c r="AWI456" s="232"/>
      <c r="AWJ456" s="232"/>
      <c r="AWK456" s="232"/>
      <c r="AWL456" s="232"/>
      <c r="AWM456" s="232"/>
      <c r="AWN456" s="232"/>
      <c r="AWO456" s="232"/>
      <c r="AWP456" s="232"/>
      <c r="AWQ456" s="232"/>
      <c r="AWR456" s="232"/>
      <c r="AWS456" s="232"/>
      <c r="AWT456" s="232"/>
      <c r="AWU456" s="232"/>
      <c r="AWV456" s="232"/>
      <c r="AWW456" s="232"/>
      <c r="AWX456" s="232"/>
      <c r="AWY456" s="232"/>
      <c r="AWZ456" s="232"/>
      <c r="AXA456" s="232"/>
      <c r="AXB456" s="232"/>
      <c r="AXC456" s="232"/>
      <c r="AXD456" s="232"/>
      <c r="AXE456" s="232"/>
      <c r="AXF456" s="232"/>
      <c r="AXG456" s="232"/>
      <c r="AXH456" s="232"/>
      <c r="AXI456" s="232"/>
      <c r="AXJ456" s="232"/>
      <c r="AXK456" s="232"/>
      <c r="AXL456" s="232"/>
      <c r="AXM456" s="232"/>
      <c r="AXN456" s="232"/>
      <c r="AXO456" s="232"/>
      <c r="AXP456" s="232"/>
      <c r="AXQ456" s="232"/>
      <c r="AXR456" s="232"/>
      <c r="AXS456" s="232"/>
      <c r="AXT456" s="232"/>
      <c r="AXU456" s="232"/>
      <c r="AXV456" s="232"/>
      <c r="AXW456" s="232"/>
      <c r="AXX456" s="232"/>
      <c r="AXY456" s="232"/>
      <c r="AXZ456" s="232"/>
      <c r="AYA456" s="232"/>
      <c r="AYB456" s="232"/>
      <c r="AYC456" s="232"/>
      <c r="AYD456" s="232"/>
      <c r="AYE456" s="232"/>
      <c r="AYF456" s="232"/>
      <c r="AYG456" s="232"/>
      <c r="AYH456" s="232"/>
      <c r="AYI456" s="232"/>
      <c r="AYJ456" s="232"/>
      <c r="AYK456" s="232"/>
      <c r="AYL456" s="232"/>
      <c r="AYM456" s="232"/>
      <c r="AYN456" s="232"/>
      <c r="AYO456" s="232"/>
      <c r="AYP456" s="232"/>
      <c r="AYQ456" s="232"/>
      <c r="AYR456" s="232"/>
      <c r="AYS456" s="232"/>
      <c r="AYT456" s="232"/>
      <c r="AYU456" s="232"/>
      <c r="AYV456" s="232"/>
      <c r="AYW456" s="232"/>
      <c r="AYX456" s="232"/>
      <c r="AYY456" s="232"/>
      <c r="AYZ456" s="232"/>
      <c r="AZA456" s="232"/>
      <c r="AZB456" s="232"/>
      <c r="AZC456" s="232"/>
      <c r="AZD456" s="232"/>
      <c r="AZE456" s="232"/>
      <c r="AZF456" s="232"/>
      <c r="AZG456" s="232"/>
      <c r="AZH456" s="232"/>
      <c r="AZI456" s="232"/>
      <c r="AZJ456" s="232"/>
      <c r="AZK456" s="232"/>
      <c r="AZL456" s="232"/>
      <c r="AZM456" s="232"/>
      <c r="AZN456" s="232"/>
      <c r="AZO456" s="232"/>
      <c r="AZP456" s="232"/>
      <c r="AZQ456" s="232"/>
      <c r="AZR456" s="232"/>
      <c r="AZS456" s="232"/>
      <c r="AZT456" s="232"/>
      <c r="AZU456" s="232"/>
      <c r="AZV456" s="232"/>
      <c r="AZW456" s="232"/>
      <c r="AZX456" s="232"/>
      <c r="AZY456" s="232"/>
      <c r="AZZ456" s="232"/>
      <c r="BAA456" s="232"/>
      <c r="BAB456" s="232"/>
      <c r="BAC456" s="232"/>
      <c r="BAD456" s="232"/>
      <c r="BAE456" s="232"/>
      <c r="BAF456" s="232"/>
      <c r="BAG456" s="232"/>
      <c r="BAH456" s="232"/>
      <c r="BAI456" s="232"/>
      <c r="BAJ456" s="232"/>
      <c r="BAK456" s="232"/>
      <c r="BAL456" s="232"/>
      <c r="BAM456" s="232"/>
      <c r="BAN456" s="232"/>
      <c r="BAO456" s="232"/>
      <c r="BAP456" s="232"/>
      <c r="BAQ456" s="232"/>
      <c r="BAR456" s="232"/>
      <c r="BAS456" s="232"/>
      <c r="BAT456" s="232"/>
      <c r="BAU456" s="232"/>
      <c r="BAV456" s="232"/>
      <c r="BAW456" s="232"/>
      <c r="BAX456" s="232"/>
      <c r="BAY456" s="232"/>
      <c r="BAZ456" s="232"/>
      <c r="BBA456" s="232"/>
      <c r="BBB456" s="232"/>
      <c r="BBC456" s="232"/>
      <c r="BBD456" s="232"/>
      <c r="BBE456" s="232"/>
      <c r="BBF456" s="232"/>
      <c r="BBG456" s="232"/>
      <c r="BBH456" s="232"/>
      <c r="BBI456" s="232"/>
      <c r="BBJ456" s="232"/>
      <c r="BBK456" s="232"/>
      <c r="BBL456" s="232"/>
      <c r="BBM456" s="232"/>
      <c r="BBN456" s="232"/>
      <c r="BBO456" s="232"/>
      <c r="BBP456" s="232"/>
      <c r="BBQ456" s="232"/>
      <c r="BBR456" s="232"/>
      <c r="BBS456" s="232"/>
      <c r="BBT456" s="232"/>
      <c r="BBU456" s="232"/>
      <c r="BBV456" s="232"/>
      <c r="BBW456" s="232"/>
      <c r="BBX456" s="232"/>
      <c r="BBY456" s="232"/>
      <c r="BBZ456" s="232"/>
      <c r="BCA456" s="232"/>
      <c r="BCB456" s="232"/>
      <c r="BCC456" s="232"/>
      <c r="BCD456" s="232"/>
      <c r="BCE456" s="232"/>
      <c r="BCF456" s="232"/>
      <c r="BCG456" s="232"/>
      <c r="BCH456" s="232"/>
      <c r="BCI456" s="232"/>
      <c r="BCJ456" s="232"/>
      <c r="BCK456" s="232"/>
      <c r="BCL456" s="232"/>
      <c r="BCM456" s="232"/>
      <c r="BCN456" s="232"/>
      <c r="BCO456" s="232"/>
      <c r="BCP456" s="232"/>
      <c r="BCQ456" s="232"/>
      <c r="BCR456" s="232"/>
      <c r="BCS456" s="232"/>
      <c r="BCT456" s="232"/>
      <c r="BCU456" s="232"/>
      <c r="BCV456" s="232"/>
      <c r="BCW456" s="232"/>
      <c r="BCX456" s="232"/>
      <c r="BCY456" s="232"/>
      <c r="BCZ456" s="232"/>
      <c r="BDA456" s="232"/>
      <c r="BDB456" s="232"/>
      <c r="BDC456" s="232"/>
      <c r="BDD456" s="232"/>
      <c r="BDE456" s="232"/>
      <c r="BDF456" s="232"/>
      <c r="BDG456" s="232"/>
      <c r="BDH456" s="232"/>
      <c r="BDI456" s="232"/>
      <c r="BDJ456" s="232"/>
      <c r="BDK456" s="232"/>
      <c r="BDL456" s="232"/>
      <c r="BDM456" s="232"/>
      <c r="BDN456" s="232"/>
      <c r="BDO456" s="232"/>
      <c r="BDP456" s="232"/>
      <c r="BDQ456" s="232"/>
      <c r="BDR456" s="232"/>
      <c r="BDS456" s="232"/>
      <c r="BDT456" s="232"/>
      <c r="BDU456" s="232"/>
      <c r="BDV456" s="232"/>
      <c r="BDW456" s="232"/>
      <c r="BDX456" s="232"/>
      <c r="BDY456" s="232"/>
      <c r="BDZ456" s="232"/>
      <c r="BEA456" s="232"/>
      <c r="BEB456" s="232"/>
      <c r="BEC456" s="232"/>
      <c r="BED456" s="232"/>
      <c r="BEE456" s="232"/>
      <c r="BEF456" s="232"/>
      <c r="BEG456" s="232"/>
      <c r="BEH456" s="232"/>
      <c r="BEI456" s="232"/>
      <c r="BEJ456" s="232"/>
      <c r="BEK456" s="232"/>
      <c r="BEL456" s="232"/>
      <c r="BEM456" s="232"/>
      <c r="BEN456" s="232"/>
      <c r="BEO456" s="232"/>
      <c r="BEP456" s="232"/>
      <c r="BEQ456" s="232"/>
      <c r="BER456" s="232"/>
      <c r="BES456" s="232"/>
      <c r="BET456" s="232"/>
      <c r="BEU456" s="232"/>
      <c r="BEV456" s="232"/>
      <c r="BEW456" s="232"/>
      <c r="BEX456" s="232"/>
      <c r="BEY456" s="232"/>
      <c r="BEZ456" s="232"/>
      <c r="BFA456" s="232"/>
      <c r="BFB456" s="232"/>
      <c r="BFC456" s="232"/>
      <c r="BFD456" s="232"/>
      <c r="BFE456" s="232"/>
      <c r="BFF456" s="232"/>
      <c r="BFG456" s="232"/>
      <c r="BFH456" s="232"/>
      <c r="BFI456" s="232"/>
      <c r="BFJ456" s="232"/>
      <c r="BFK456" s="232"/>
      <c r="BFL456" s="232"/>
      <c r="BFM456" s="232"/>
      <c r="BFN456" s="232"/>
      <c r="BFO456" s="232"/>
      <c r="BFP456" s="232"/>
      <c r="BFQ456" s="232"/>
      <c r="BFR456" s="232"/>
      <c r="BFS456" s="232"/>
      <c r="BFT456" s="232"/>
      <c r="BFU456" s="232"/>
      <c r="BFV456" s="232"/>
      <c r="BFW456" s="232"/>
      <c r="BFX456" s="232"/>
      <c r="BFY456" s="232"/>
      <c r="BFZ456" s="232"/>
      <c r="BGA456" s="232"/>
      <c r="BGB456" s="232"/>
      <c r="BGC456" s="232"/>
      <c r="BGD456" s="232"/>
      <c r="BGE456" s="232"/>
      <c r="BGF456" s="232"/>
      <c r="BGG456" s="232"/>
      <c r="BGH456" s="232"/>
      <c r="BGI456" s="232"/>
      <c r="BGJ456" s="232"/>
      <c r="BGK456" s="232"/>
      <c r="BGL456" s="232"/>
      <c r="BGM456" s="232"/>
      <c r="BGN456" s="232"/>
      <c r="BGO456" s="232"/>
      <c r="BGP456" s="232"/>
      <c r="BGQ456" s="232"/>
      <c r="BGR456" s="232"/>
      <c r="BGS456" s="232"/>
      <c r="BGT456" s="232"/>
      <c r="BGU456" s="232"/>
      <c r="BGV456" s="232"/>
      <c r="BGW456" s="232"/>
      <c r="BGX456" s="232"/>
      <c r="BGY456" s="232"/>
      <c r="BGZ456" s="232"/>
      <c r="BHA456" s="232"/>
      <c r="BHB456" s="232"/>
      <c r="BHC456" s="232"/>
      <c r="BHD456" s="232"/>
      <c r="BHE456" s="232"/>
      <c r="BHF456" s="232"/>
      <c r="BHG456" s="232"/>
      <c r="BHH456" s="232"/>
      <c r="BHI456" s="232"/>
      <c r="BHJ456" s="232"/>
      <c r="BHK456" s="232"/>
      <c r="BHL456" s="232"/>
      <c r="BHM456" s="232"/>
      <c r="BHN456" s="232"/>
      <c r="BHO456" s="232"/>
      <c r="BHP456" s="232"/>
      <c r="BHQ456" s="232"/>
      <c r="BHR456" s="232"/>
      <c r="BHS456" s="232"/>
      <c r="BHT456" s="232"/>
      <c r="BHU456" s="232"/>
      <c r="BHV456" s="232"/>
      <c r="BHW456" s="232"/>
      <c r="BHX456" s="232"/>
      <c r="BHY456" s="232"/>
      <c r="BHZ456" s="232"/>
      <c r="BIA456" s="232"/>
      <c r="BIB456" s="232"/>
      <c r="BIC456" s="232"/>
      <c r="BID456" s="232"/>
      <c r="BIE456" s="232"/>
      <c r="BIF456" s="232"/>
      <c r="BIG456" s="232"/>
      <c r="BIH456" s="232"/>
      <c r="BII456" s="232"/>
      <c r="BIJ456" s="232"/>
      <c r="BIK456" s="232"/>
      <c r="BIL456" s="232"/>
      <c r="BIM456" s="232"/>
      <c r="BIN456" s="232"/>
      <c r="BIO456" s="232"/>
      <c r="BIP456" s="232"/>
      <c r="BIQ456" s="232"/>
      <c r="BIR456" s="232"/>
      <c r="BIS456" s="232"/>
      <c r="BIT456" s="232"/>
      <c r="BIU456" s="232"/>
      <c r="BIV456" s="232"/>
      <c r="BIW456" s="232"/>
      <c r="BIX456" s="232"/>
      <c r="BIY456" s="232"/>
      <c r="BIZ456" s="232"/>
      <c r="BJA456" s="232"/>
      <c r="BJB456" s="232"/>
      <c r="BJC456" s="232"/>
      <c r="BJD456" s="232"/>
      <c r="BJE456" s="232"/>
      <c r="BJF456" s="232"/>
      <c r="BJG456" s="232"/>
      <c r="BJH456" s="232"/>
      <c r="BJI456" s="232"/>
      <c r="BJJ456" s="232"/>
      <c r="BJK456" s="232"/>
      <c r="BJL456" s="232"/>
      <c r="BJM456" s="232"/>
      <c r="BJN456" s="232"/>
      <c r="BJO456" s="232"/>
      <c r="BJP456" s="232"/>
      <c r="BJQ456" s="232"/>
      <c r="BJR456" s="232"/>
      <c r="BJS456" s="232"/>
      <c r="BJT456" s="232"/>
      <c r="BJU456" s="232"/>
      <c r="BJV456" s="232"/>
      <c r="BJW456" s="232"/>
      <c r="BJX456" s="232"/>
      <c r="BJY456" s="232"/>
      <c r="BJZ456" s="232"/>
      <c r="BKA456" s="232"/>
      <c r="BKB456" s="232"/>
      <c r="BKC456" s="232"/>
      <c r="BKD456" s="232"/>
      <c r="BKE456" s="232"/>
      <c r="BKF456" s="232"/>
      <c r="BKG456" s="232"/>
      <c r="BKH456" s="232"/>
      <c r="BKI456" s="232"/>
      <c r="BKJ456" s="232"/>
      <c r="BKK456" s="232"/>
      <c r="BKL456" s="232"/>
      <c r="BKM456" s="232"/>
      <c r="BKN456" s="232"/>
      <c r="BKO456" s="232"/>
      <c r="BKP456" s="232"/>
      <c r="BKQ456" s="232"/>
      <c r="BKR456" s="232"/>
      <c r="BKS456" s="232"/>
      <c r="BKT456" s="232"/>
      <c r="BKU456" s="232"/>
      <c r="BKV456" s="232"/>
      <c r="BKW456" s="232"/>
      <c r="BKX456" s="232"/>
      <c r="BKY456" s="232"/>
      <c r="BKZ456" s="232"/>
      <c r="BLA456" s="232"/>
      <c r="BLB456" s="232"/>
      <c r="BLC456" s="232"/>
      <c r="BLD456" s="232"/>
      <c r="BLE456" s="232"/>
      <c r="BLF456" s="232"/>
      <c r="BLG456" s="232"/>
      <c r="BLH456" s="232"/>
      <c r="BLI456" s="232"/>
      <c r="BLJ456" s="232"/>
      <c r="BLK456" s="232"/>
      <c r="BLL456" s="232"/>
      <c r="BLM456" s="232"/>
      <c r="BLN456" s="232"/>
      <c r="BLO456" s="232"/>
      <c r="BLP456" s="232"/>
      <c r="BLQ456" s="232"/>
      <c r="BLR456" s="232"/>
      <c r="BLS456" s="232"/>
      <c r="BLT456" s="232"/>
      <c r="BLU456" s="232"/>
      <c r="BLV456" s="232"/>
      <c r="BLW456" s="232"/>
      <c r="BLX456" s="232"/>
      <c r="BLY456" s="232"/>
      <c r="BLZ456" s="232"/>
      <c r="BMA456" s="232"/>
      <c r="BMB456" s="232"/>
      <c r="BMC456" s="232"/>
      <c r="BMD456" s="232"/>
      <c r="BME456" s="232"/>
      <c r="BMF456" s="232"/>
      <c r="BMG456" s="232"/>
      <c r="BMH456" s="232"/>
      <c r="BMI456" s="232"/>
      <c r="BMJ456" s="232"/>
      <c r="BMK456" s="232"/>
      <c r="BML456" s="232"/>
      <c r="BMM456" s="232"/>
      <c r="BMN456" s="232"/>
      <c r="BMO456" s="232"/>
      <c r="BMP456" s="232"/>
      <c r="BMQ456" s="232"/>
      <c r="BMR456" s="232"/>
      <c r="BMS456" s="232"/>
      <c r="BMT456" s="232"/>
      <c r="BMU456" s="232"/>
      <c r="BMV456" s="232"/>
      <c r="BMW456" s="232"/>
      <c r="BMX456" s="232"/>
      <c r="BMY456" s="232"/>
      <c r="BMZ456" s="232"/>
      <c r="BNA456" s="232"/>
      <c r="BNB456" s="232"/>
      <c r="BNC456" s="232"/>
      <c r="BND456" s="232"/>
      <c r="BNE456" s="232"/>
      <c r="BNF456" s="232"/>
      <c r="BNG456" s="232"/>
      <c r="BNH456" s="232"/>
      <c r="BNI456" s="232"/>
      <c r="BNJ456" s="232"/>
      <c r="BNK456" s="232"/>
      <c r="BNL456" s="232"/>
      <c r="BNM456" s="232"/>
      <c r="BNN456" s="232"/>
      <c r="BNO456" s="232"/>
      <c r="BNP456" s="232"/>
      <c r="BNQ456" s="232"/>
      <c r="BNR456" s="232"/>
      <c r="BNS456" s="232"/>
      <c r="BNT456" s="232"/>
      <c r="BNU456" s="232"/>
      <c r="BNV456" s="232"/>
      <c r="BNW456" s="232"/>
      <c r="BNX456" s="232"/>
      <c r="BNY456" s="232"/>
      <c r="BNZ456" s="232"/>
      <c r="BOA456" s="232"/>
      <c r="BOB456" s="232"/>
      <c r="BOC456" s="232"/>
      <c r="BOD456" s="232"/>
      <c r="BOE456" s="232"/>
      <c r="BOF456" s="232"/>
      <c r="BOG456" s="232"/>
      <c r="BOH456" s="232"/>
      <c r="BOI456" s="232"/>
      <c r="BOJ456" s="232"/>
      <c r="BOK456" s="232"/>
      <c r="BOL456" s="232"/>
    </row>
  </sheetData>
  <pageMargins left="0.25" right="0.25" top="0.75" bottom="0.75" header="0.3" footer="0.3"/>
  <pageSetup scale="80" fitToHeight="9" orientation="portrait" errors="blank" r:id="rId1"/>
  <headerFooter>
    <oddHeader>&amp;C&amp;"-,Bold"&amp;KFF0000TEXT IN RED BOX CONFIDENTIAL PER WAC 480-07-160</oddHeader>
  </headerFooter>
  <rowBreaks count="3" manualBreakCount="3">
    <brk id="178" max="10" man="1"/>
    <brk id="225" max="10" man="1"/>
    <brk id="27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5D3EA-946E-484D-A7E1-854B95EC78D5}">
  <sheetPr>
    <tabColor theme="8" tint="0.39997558519241921"/>
  </sheetPr>
  <dimension ref="A1:AV112"/>
  <sheetViews>
    <sheetView tabSelected="1" topLeftCell="A6" zoomScaleNormal="100" zoomScaleSheetLayoutView="70" workbookViewId="0">
      <selection activeCell="AY49" sqref="AY49:AZ49"/>
    </sheetView>
  </sheetViews>
  <sheetFormatPr defaultColWidth="16.7109375" defaultRowHeight="15"/>
  <cols>
    <col min="1" max="1" width="4.7109375" style="11" customWidth="1"/>
    <col min="2" max="2" width="33.5703125" style="181" bestFit="1" customWidth="1"/>
    <col min="3" max="3" width="21.28515625" style="181" customWidth="1"/>
    <col min="4" max="4" width="21.28515625" style="181" hidden="1" customWidth="1"/>
    <col min="5" max="5" width="7.28515625" style="181" customWidth="1"/>
    <col min="6" max="6" width="5.7109375" style="11" customWidth="1"/>
    <col min="7" max="7" width="8.5703125" style="11" customWidth="1"/>
    <col min="8" max="8" width="15" style="11" customWidth="1"/>
    <col min="9" max="9" width="17.7109375" style="11" customWidth="1"/>
    <col min="10" max="10" width="17.28515625" style="11" bestFit="1" customWidth="1"/>
    <col min="11" max="11" width="15.28515625" style="11" bestFit="1" customWidth="1"/>
    <col min="12" max="13" width="20.28515625" style="11" customWidth="1"/>
    <col min="14" max="14" width="2.42578125" style="11" customWidth="1"/>
    <col min="15" max="15" width="6.28515625" style="181" customWidth="1"/>
    <col min="16" max="16" width="40.42578125" style="181" customWidth="1"/>
    <col min="17" max="17" width="16.7109375" style="12"/>
    <col min="18" max="18" width="13.7109375" style="20" customWidth="1"/>
    <col min="19" max="19" width="16.7109375" style="11"/>
    <col min="20" max="20" width="13.42578125" style="11" customWidth="1"/>
    <col min="21" max="21" width="15.7109375" style="11" customWidth="1"/>
    <col min="22" max="22" width="16.7109375" style="11"/>
    <col min="23" max="26" width="17.7109375" style="11" customWidth="1"/>
    <col min="27" max="27" width="16" style="11" customWidth="1"/>
    <col min="28" max="28" width="16.7109375" style="11"/>
    <col min="29" max="29" width="15.7109375" style="11" customWidth="1"/>
    <col min="30" max="31" width="16.7109375" style="11"/>
    <col min="32" max="32" width="16.42578125" style="11" customWidth="1"/>
    <col min="33" max="33" width="17.28515625" style="11" customWidth="1"/>
    <col min="34" max="34" width="20.7109375" style="11" customWidth="1"/>
    <col min="35" max="35" width="18.28515625" style="11" customWidth="1"/>
    <col min="36" max="36" width="16.42578125" style="11" customWidth="1"/>
    <col min="37" max="37" width="16.7109375" style="11"/>
    <col min="38" max="38" width="13.7109375" style="11" customWidth="1"/>
    <col min="39" max="39" width="16.42578125" style="11" customWidth="1"/>
    <col min="40" max="51" width="15.28515625" style="11" customWidth="1"/>
    <col min="52" max="16384" width="16.7109375" style="11"/>
  </cols>
  <sheetData>
    <row r="1" spans="1:37" s="6" customFormat="1" ht="15.75" thickBot="1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2"/>
      <c r="P1" s="2"/>
      <c r="Q1" s="4"/>
      <c r="R1" s="5"/>
    </row>
    <row r="2" spans="1:37" ht="19.5" thickBot="1">
      <c r="A2" s="1"/>
      <c r="B2" s="360" t="s">
        <v>0</v>
      </c>
      <c r="C2" s="360"/>
      <c r="D2" s="1"/>
      <c r="E2" s="1"/>
      <c r="F2" s="7" t="s">
        <v>1</v>
      </c>
      <c r="G2" s="8"/>
      <c r="H2" s="8"/>
      <c r="I2" s="9" t="s">
        <v>2</v>
      </c>
      <c r="J2" s="8"/>
      <c r="K2" s="8"/>
      <c r="L2" s="8"/>
      <c r="M2" s="10" t="s">
        <v>1</v>
      </c>
      <c r="O2" s="1"/>
      <c r="P2" s="2"/>
      <c r="R2" s="13" t="s">
        <v>3</v>
      </c>
      <c r="S2" s="14"/>
      <c r="T2" s="15"/>
      <c r="AH2" s="361" t="s">
        <v>4</v>
      </c>
      <c r="AI2" s="362"/>
      <c r="AJ2" s="362"/>
      <c r="AK2" s="363"/>
    </row>
    <row r="3" spans="1:37" ht="16.5" thickBot="1">
      <c r="A3" s="1"/>
      <c r="B3" s="1"/>
      <c r="C3" s="1"/>
      <c r="D3" s="1"/>
      <c r="E3" s="1"/>
      <c r="F3" s="16"/>
      <c r="G3" s="17"/>
      <c r="H3" s="18"/>
      <c r="I3" s="18"/>
      <c r="J3" s="18"/>
      <c r="K3" s="19" t="s">
        <v>5</v>
      </c>
      <c r="L3" s="18"/>
      <c r="M3" s="19" t="s">
        <v>6</v>
      </c>
      <c r="O3" s="1"/>
      <c r="P3" s="2"/>
      <c r="R3" s="11"/>
      <c r="T3" s="11" t="s">
        <v>7</v>
      </c>
      <c r="V3" s="20" t="s">
        <v>7</v>
      </c>
      <c r="W3" s="20" t="s">
        <v>7</v>
      </c>
      <c r="X3" s="20" t="s">
        <v>7</v>
      </c>
      <c r="Y3" s="20"/>
      <c r="Z3" s="20" t="s">
        <v>8</v>
      </c>
      <c r="AA3" s="20" t="s">
        <v>9</v>
      </c>
      <c r="AB3" s="20" t="s">
        <v>9</v>
      </c>
      <c r="AC3" s="20" t="s">
        <v>9</v>
      </c>
      <c r="AD3" s="20" t="s">
        <v>9</v>
      </c>
      <c r="AE3" s="20" t="s">
        <v>9</v>
      </c>
      <c r="AF3" s="20" t="s">
        <v>9</v>
      </c>
      <c r="AG3" s="20" t="s">
        <v>10</v>
      </c>
      <c r="AH3" s="20" t="s">
        <v>11</v>
      </c>
      <c r="AI3" s="20" t="s">
        <v>12</v>
      </c>
      <c r="AJ3" s="20"/>
    </row>
    <row r="4" spans="1:37" ht="19.5" thickBot="1">
      <c r="A4" s="1"/>
      <c r="B4" s="21" t="s">
        <v>13</v>
      </c>
      <c r="C4" s="9"/>
      <c r="D4" s="22"/>
      <c r="E4" s="1"/>
      <c r="F4" s="23"/>
      <c r="G4" s="17"/>
      <c r="H4" s="18" t="s">
        <v>14</v>
      </c>
      <c r="I4" s="18" t="s">
        <v>15</v>
      </c>
      <c r="J4" s="18" t="s">
        <v>16</v>
      </c>
      <c r="K4" s="18" t="s">
        <v>17</v>
      </c>
      <c r="L4" s="18" t="s">
        <v>18</v>
      </c>
      <c r="M4" s="18" t="s">
        <v>19</v>
      </c>
      <c r="O4" s="24"/>
      <c r="P4" s="2"/>
      <c r="R4" s="11"/>
      <c r="T4" s="20" t="s">
        <v>20</v>
      </c>
      <c r="V4" s="20" t="s">
        <v>21</v>
      </c>
      <c r="W4" s="20" t="s">
        <v>8</v>
      </c>
      <c r="X4" s="20" t="s">
        <v>22</v>
      </c>
      <c r="Y4" s="20" t="s">
        <v>23</v>
      </c>
      <c r="Z4" s="20" t="s">
        <v>22</v>
      </c>
      <c r="AA4" s="20" t="s">
        <v>24</v>
      </c>
      <c r="AB4" s="20" t="s">
        <v>24</v>
      </c>
      <c r="AC4" s="20" t="s">
        <v>24</v>
      </c>
      <c r="AD4" s="20" t="s">
        <v>8</v>
      </c>
      <c r="AE4" s="20" t="s">
        <v>20</v>
      </c>
      <c r="AF4" s="20" t="s">
        <v>20</v>
      </c>
      <c r="AG4" s="20" t="s">
        <v>25</v>
      </c>
      <c r="AH4" s="20" t="s">
        <v>26</v>
      </c>
      <c r="AI4" s="20" t="s">
        <v>27</v>
      </c>
      <c r="AJ4" s="20" t="s">
        <v>28</v>
      </c>
      <c r="AK4" s="20" t="s">
        <v>29</v>
      </c>
    </row>
    <row r="5" spans="1:37" ht="15.75">
      <c r="A5" s="1"/>
      <c r="B5" s="25" t="s">
        <v>30</v>
      </c>
      <c r="C5" s="26">
        <v>8151727.6432162244</v>
      </c>
      <c r="D5" s="22"/>
      <c r="E5" s="1"/>
      <c r="F5" s="27" t="s">
        <v>31</v>
      </c>
      <c r="G5" s="28"/>
      <c r="H5" s="28"/>
      <c r="I5" s="18" t="s">
        <v>32</v>
      </c>
      <c r="J5" s="18" t="s">
        <v>11</v>
      </c>
      <c r="K5" s="29" t="s">
        <v>33</v>
      </c>
      <c r="L5" s="30" t="s">
        <v>34</v>
      </c>
      <c r="M5" s="29" t="s">
        <v>11</v>
      </c>
      <c r="O5" s="31"/>
      <c r="P5" s="2"/>
      <c r="R5" s="32"/>
      <c r="T5" s="20" t="s">
        <v>35</v>
      </c>
      <c r="U5" s="20" t="s">
        <v>36</v>
      </c>
      <c r="V5" s="20" t="s">
        <v>37</v>
      </c>
      <c r="W5" s="20" t="s">
        <v>38</v>
      </c>
      <c r="X5" s="20" t="s">
        <v>39</v>
      </c>
      <c r="Y5" s="20" t="s">
        <v>40</v>
      </c>
      <c r="Z5" s="20" t="s">
        <v>39</v>
      </c>
      <c r="AA5" s="20" t="s">
        <v>41</v>
      </c>
      <c r="AB5" s="20" t="s">
        <v>42</v>
      </c>
      <c r="AC5" s="20" t="s">
        <v>43</v>
      </c>
      <c r="AD5" s="20" t="s">
        <v>44</v>
      </c>
      <c r="AE5" s="20" t="s">
        <v>35</v>
      </c>
      <c r="AF5" s="20" t="s">
        <v>45</v>
      </c>
      <c r="AG5" s="20" t="s">
        <v>46</v>
      </c>
      <c r="AH5" s="20" t="s">
        <v>47</v>
      </c>
      <c r="AI5" s="20" t="s">
        <v>47</v>
      </c>
      <c r="AJ5" s="20" t="s">
        <v>46</v>
      </c>
      <c r="AK5" s="20" t="s">
        <v>10</v>
      </c>
    </row>
    <row r="6" spans="1:37" ht="15.75">
      <c r="A6" s="1"/>
      <c r="B6" s="25" t="s">
        <v>48</v>
      </c>
      <c r="C6" s="26">
        <v>7473037.9580705734</v>
      </c>
      <c r="D6" s="22"/>
      <c r="E6" s="1"/>
      <c r="F6" s="33" t="s">
        <v>49</v>
      </c>
      <c r="G6" s="28"/>
      <c r="H6" s="28"/>
      <c r="I6" s="34"/>
      <c r="J6" s="35" t="s">
        <v>50</v>
      </c>
      <c r="K6" s="36"/>
      <c r="L6" s="35" t="s">
        <v>51</v>
      </c>
      <c r="M6" s="35" t="s">
        <v>52</v>
      </c>
      <c r="O6" s="31"/>
      <c r="P6" s="2"/>
      <c r="R6" s="37">
        <v>1</v>
      </c>
      <c r="S6" s="38">
        <f>Revenue/Investment*100</f>
        <v>282.00479149496903</v>
      </c>
      <c r="T6" s="39">
        <f>EXP(y_inter1-(slope*LN(+S6)))</f>
        <v>7.549362794825397</v>
      </c>
      <c r="U6" s="40">
        <f>(+S6*T6/100)/100</f>
        <v>0.21289564808746128</v>
      </c>
      <c r="V6" s="40">
        <f>regDebt_weighted</f>
        <v>3.5860000000000003E-2</v>
      </c>
      <c r="W6" s="40">
        <f>+U6-V6</f>
        <v>0.17703564808746128</v>
      </c>
      <c r="X6" s="40">
        <f>+((W6*(1-0.34))-Pfd_weighted)/Equity_percent</f>
        <v>0.32166723179571055</v>
      </c>
      <c r="Y6" s="40">
        <f>+C15</f>
        <v>2.5000000000000001E-3</v>
      </c>
      <c r="Z6" s="40">
        <f>+X6+Y6</f>
        <v>0.32416723179571055</v>
      </c>
      <c r="AA6" s="40">
        <f>Z6*equityP</f>
        <v>0.19450033907742634</v>
      </c>
      <c r="AB6" s="40">
        <f>+AA6/(1-taxrate)</f>
        <v>0.24620296085750168</v>
      </c>
      <c r="AC6" s="40">
        <f>debtP*Debt_Rate</f>
        <v>1.6570222222287465E-2</v>
      </c>
      <c r="AD6" s="40">
        <f>AC6+AB6</f>
        <v>0.26277318307978914</v>
      </c>
      <c r="AE6" s="40">
        <f>AD6/(S6/100)</f>
        <v>9.3180396576515973E-2</v>
      </c>
      <c r="AF6" s="40">
        <f>1-AE6</f>
        <v>0.906819603423484</v>
      </c>
      <c r="AG6" s="41">
        <f>expenses/(AF6)</f>
        <v>8240931.1949784467</v>
      </c>
      <c r="AH6" s="42">
        <f>+AG6-Revenue</f>
        <v>89203.551762222312</v>
      </c>
      <c r="AI6" s="43">
        <f ca="1">+AH6/$J$49</f>
        <v>101096.24626358248</v>
      </c>
      <c r="AJ6" s="43">
        <f ca="1">+AI6*$J$47</f>
        <v>2493.4349963015056</v>
      </c>
      <c r="AK6" s="41">
        <f ca="1">ROUND(+AJ6+AG6,5)</f>
        <v>8243424.6299700001</v>
      </c>
    </row>
    <row r="7" spans="1:37" ht="15.75">
      <c r="A7" s="1"/>
      <c r="B7" s="25" t="s">
        <v>53</v>
      </c>
      <c r="C7" s="26">
        <v>2890634.4463163675</v>
      </c>
      <c r="D7" s="22"/>
      <c r="E7" s="1"/>
      <c r="F7" s="44">
        <v>1</v>
      </c>
      <c r="G7" s="28"/>
      <c r="H7" s="45" t="s">
        <v>30</v>
      </c>
      <c r="I7" s="46">
        <f>IF(A64=TRUE,C5,0)</f>
        <v>8151727.6432162244</v>
      </c>
      <c r="J7" s="46">
        <f ca="1">(+$I8/($R50))-I7</f>
        <v>87573.566675487906</v>
      </c>
      <c r="K7" s="46">
        <f ca="1">+I7+J7</f>
        <v>8239301.2098917123</v>
      </c>
      <c r="L7" s="46">
        <f ca="1">((+J7/J49*K35)-J7)</f>
        <v>2447.8733367215609</v>
      </c>
      <c r="M7" s="46">
        <f ca="1">IFERROR(+K7+L7,0.00001)</f>
        <v>8241749.0832284335</v>
      </c>
      <c r="O7" s="31"/>
      <c r="P7" s="2"/>
      <c r="R7" s="47">
        <v>2</v>
      </c>
      <c r="S7" s="48">
        <f>Revenue/Investment*100</f>
        <v>282.00479149496903</v>
      </c>
      <c r="T7" s="49">
        <f>EXP(y_inter1-(slope*LN(+S7)))</f>
        <v>7.549362794825397</v>
      </c>
      <c r="U7" s="50">
        <f>(+S7*T7/100)/100</f>
        <v>0.21289564808746128</v>
      </c>
      <c r="V7" s="50">
        <f>regDebt_weighted</f>
        <v>3.5860000000000003E-2</v>
      </c>
      <c r="W7" s="50">
        <f>+U7-V7</f>
        <v>0.17703564808746128</v>
      </c>
      <c r="X7" s="50">
        <f>+((W7*(1-0.34))-Pfd_weighted)/Equity_percent</f>
        <v>0.32166723179571055</v>
      </c>
      <c r="Y7" s="50">
        <f>+Y6</f>
        <v>2.5000000000000001E-3</v>
      </c>
      <c r="Z7" s="50">
        <f>+X7+Y7</f>
        <v>0.32416723179571055</v>
      </c>
      <c r="AA7" s="50">
        <f>Z7*equityP</f>
        <v>0.19450033907742634</v>
      </c>
      <c r="AB7" s="50">
        <f>+AA7/(1-taxrate)</f>
        <v>0.24620296085750168</v>
      </c>
      <c r="AC7" s="50">
        <f>debtP*Debt_Rate</f>
        <v>1.6570222222287465E-2</v>
      </c>
      <c r="AD7" s="50">
        <f>AC7+AB7</f>
        <v>0.26277318307978914</v>
      </c>
      <c r="AE7" s="50">
        <f>AD7/(S7/100)</f>
        <v>9.3180396576515973E-2</v>
      </c>
      <c r="AF7" s="50">
        <f>1-AE7</f>
        <v>0.906819603423484</v>
      </c>
      <c r="AG7" s="51">
        <f>expenses/(AF7)</f>
        <v>8240931.1949784467</v>
      </c>
      <c r="AH7" s="52">
        <f>+AG7-Revenue</f>
        <v>89203.551762222312</v>
      </c>
      <c r="AI7" s="53">
        <f ca="1">+AH7/$J$49</f>
        <v>101096.24626358248</v>
      </c>
      <c r="AJ7" s="53">
        <f ca="1">+AI7*$J$47</f>
        <v>2493.4349963015056</v>
      </c>
      <c r="AK7" s="51">
        <f ca="1">ROUND(+AJ7+AG7,5)</f>
        <v>8243424.6299700001</v>
      </c>
    </row>
    <row r="8" spans="1:37" ht="15.75">
      <c r="A8" s="1"/>
      <c r="B8" s="25" t="s">
        <v>54</v>
      </c>
      <c r="C8" s="54">
        <v>0.4</v>
      </c>
      <c r="D8" s="22"/>
      <c r="E8" s="1"/>
      <c r="F8" s="55">
        <f>+F7+1</f>
        <v>2</v>
      </c>
      <c r="G8" s="28"/>
      <c r="H8" s="45" t="s">
        <v>48</v>
      </c>
      <c r="I8" s="46">
        <f>IF(A64=TRUE,C6,0)</f>
        <v>7473037.9580705734</v>
      </c>
      <c r="J8" s="17"/>
      <c r="K8" s="46">
        <f>+I8</f>
        <v>7473037.9580705734</v>
      </c>
      <c r="L8" s="46">
        <f ca="1">+L7</f>
        <v>2447.8733367215609</v>
      </c>
      <c r="M8" s="46">
        <f ca="1">IFERROR(+K8+L8,0.00001)</f>
        <v>7475485.8314072946</v>
      </c>
      <c r="O8" s="31"/>
      <c r="P8" s="2"/>
      <c r="R8" s="56">
        <v>3</v>
      </c>
      <c r="S8" s="48">
        <f>Revenue/Investment*100</f>
        <v>282.00479149496903</v>
      </c>
      <c r="T8" s="49">
        <f>EXP(y_inter1-(slope*LN(+S8)))</f>
        <v>7.549362794825397</v>
      </c>
      <c r="U8" s="50">
        <f>(+S8*T8/100)/100</f>
        <v>0.21289564808746128</v>
      </c>
      <c r="V8" s="50">
        <f>regDebt_weighted</f>
        <v>3.5860000000000003E-2</v>
      </c>
      <c r="W8" s="50">
        <f>+U8-V8</f>
        <v>0.17703564808746128</v>
      </c>
      <c r="X8" s="50">
        <f>+((W8*(1-0.34))-Pfd_weighted)/Equity_percent</f>
        <v>0.32166723179571055</v>
      </c>
      <c r="Y8" s="50">
        <f>+Y7</f>
        <v>2.5000000000000001E-3</v>
      </c>
      <c r="Z8" s="50">
        <f>+X8+Y8</f>
        <v>0.32416723179571055</v>
      </c>
      <c r="AA8" s="50">
        <f>Z8*equityP</f>
        <v>0.19450033907742634</v>
      </c>
      <c r="AB8" s="50">
        <f>+AA8/(1-taxrate)</f>
        <v>0.24620296085750168</v>
      </c>
      <c r="AC8" s="50">
        <f>debtP*Debt_Rate</f>
        <v>1.6570222222287465E-2</v>
      </c>
      <c r="AD8" s="50">
        <f>AC8+AB8</f>
        <v>0.26277318307978914</v>
      </c>
      <c r="AE8" s="50">
        <f>AD8/(S8/100)</f>
        <v>9.3180396576515973E-2</v>
      </c>
      <c r="AF8" s="50">
        <f>1-AE8</f>
        <v>0.906819603423484</v>
      </c>
      <c r="AG8" s="51">
        <f>expenses/(AF8)</f>
        <v>8240931.1949784467</v>
      </c>
      <c r="AH8" s="52">
        <f>+AG8-Revenue</f>
        <v>89203.551762222312</v>
      </c>
      <c r="AI8" s="53">
        <f ca="1">+AH8/$J$49</f>
        <v>101096.24626358248</v>
      </c>
      <c r="AJ8" s="53">
        <f ca="1">+AI8*$J$47</f>
        <v>2493.4349963015056</v>
      </c>
      <c r="AK8" s="51">
        <f ca="1">ROUND(+AJ8+AG8,5)</f>
        <v>8243424.6299700001</v>
      </c>
    </row>
    <row r="9" spans="1:37" ht="15.75">
      <c r="A9" s="1"/>
      <c r="B9" s="25" t="s">
        <v>55</v>
      </c>
      <c r="C9" s="54">
        <v>4.1425555555718661E-2</v>
      </c>
      <c r="D9" s="22"/>
      <c r="E9" s="1"/>
      <c r="F9" s="55">
        <f t="shared" ref="F9:F49" si="0">+F8+1</f>
        <v>3</v>
      </c>
      <c r="G9" s="28"/>
      <c r="H9" s="45" t="s">
        <v>56</v>
      </c>
      <c r="I9" s="57">
        <f>+I7-I8</f>
        <v>678689.68514565099</v>
      </c>
      <c r="J9" s="17"/>
      <c r="K9" s="57">
        <f ca="1">+K7-K8</f>
        <v>766263.2518211389</v>
      </c>
      <c r="L9" s="28"/>
      <c r="M9" s="58">
        <f ca="1">+M7-M8</f>
        <v>766263.2518211389</v>
      </c>
      <c r="O9" s="31"/>
      <c r="P9" s="2"/>
      <c r="R9" s="59">
        <v>4</v>
      </c>
      <c r="S9" s="48">
        <f>Revenue/Investment*100</f>
        <v>282.00479149496903</v>
      </c>
      <c r="T9" s="49">
        <f>EXP(y_inter1-(slope*LN(+S9)))</f>
        <v>7.549362794825397</v>
      </c>
      <c r="U9" s="50">
        <f>(+S9*T9/100)/100</f>
        <v>0.21289564808746128</v>
      </c>
      <c r="V9" s="50">
        <f>regDebt_weighted</f>
        <v>3.5860000000000003E-2</v>
      </c>
      <c r="W9" s="50">
        <f>+U9-V9</f>
        <v>0.17703564808746128</v>
      </c>
      <c r="X9" s="50">
        <f>+((W9*(1-0.34))-Pfd_weighted)/Equity_percent</f>
        <v>0.32166723179571055</v>
      </c>
      <c r="Y9" s="50">
        <f>+Y8</f>
        <v>2.5000000000000001E-3</v>
      </c>
      <c r="Z9" s="50">
        <f>+X9+Y9</f>
        <v>0.32416723179571055</v>
      </c>
      <c r="AA9" s="50">
        <f>Z9*equityP</f>
        <v>0.19450033907742634</v>
      </c>
      <c r="AB9" s="50">
        <f>+AA9/(1-taxrate)</f>
        <v>0.24620296085750168</v>
      </c>
      <c r="AC9" s="50">
        <f>debtP*Debt_Rate</f>
        <v>1.6570222222287465E-2</v>
      </c>
      <c r="AD9" s="50">
        <f>AC9+AB9</f>
        <v>0.26277318307978914</v>
      </c>
      <c r="AE9" s="50">
        <f>AD9/(S9/100)</f>
        <v>9.3180396576515973E-2</v>
      </c>
      <c r="AF9" s="50">
        <f>1-AE9</f>
        <v>0.906819603423484</v>
      </c>
      <c r="AG9" s="51">
        <f>expenses/(AF9)</f>
        <v>8240931.1949784467</v>
      </c>
      <c r="AH9" s="52">
        <f>+AG9-Revenue</f>
        <v>89203.551762222312</v>
      </c>
      <c r="AI9" s="53">
        <f ca="1">+AH9/$J$49</f>
        <v>101096.24626358248</v>
      </c>
      <c r="AJ9" s="53">
        <f ca="1">+AI9*$J$47</f>
        <v>2493.4349963015056</v>
      </c>
      <c r="AK9" s="51">
        <f ca="1">ROUND(+AJ9+AG9,5)</f>
        <v>8243424.6299700001</v>
      </c>
    </row>
    <row r="10" spans="1:37" ht="15.75">
      <c r="A10" s="1"/>
      <c r="B10" s="60" t="s">
        <v>57</v>
      </c>
      <c r="C10" s="54">
        <v>0.21</v>
      </c>
      <c r="D10" s="22"/>
      <c r="E10" s="1"/>
      <c r="F10" s="55">
        <f t="shared" si="0"/>
        <v>4</v>
      </c>
      <c r="G10" s="28"/>
      <c r="H10" s="28"/>
      <c r="I10" s="17"/>
      <c r="J10" s="17"/>
      <c r="K10" s="46"/>
      <c r="L10" s="28"/>
      <c r="M10" s="28"/>
      <c r="O10" s="31"/>
      <c r="P10" s="1"/>
      <c r="R10" s="20" t="s">
        <v>58</v>
      </c>
    </row>
    <row r="11" spans="1:37" ht="15.75">
      <c r="A11" s="1"/>
      <c r="B11" s="25" t="s">
        <v>59</v>
      </c>
      <c r="C11" s="54">
        <v>1.7500000000000002E-2</v>
      </c>
      <c r="D11" s="22"/>
      <c r="E11" s="1"/>
      <c r="F11" s="55">
        <f t="shared" si="0"/>
        <v>5</v>
      </c>
      <c r="G11" s="28"/>
      <c r="H11" s="45" t="s">
        <v>60</v>
      </c>
      <c r="I11" s="46">
        <f>+K11</f>
        <v>47898.4551388611</v>
      </c>
      <c r="J11" s="17"/>
      <c r="K11" s="46">
        <f>+M27</f>
        <v>47898.4551388611</v>
      </c>
      <c r="L11" s="28"/>
      <c r="M11" s="46">
        <f>+K11</f>
        <v>47898.4551388611</v>
      </c>
      <c r="O11" s="31"/>
      <c r="P11" s="1"/>
      <c r="R11" s="37">
        <v>1</v>
      </c>
      <c r="S11" s="38">
        <f ca="1">IF((AK6/Investment*100)&gt;0,(AK6/Investment*100),0)</f>
        <v>285.17700121075057</v>
      </c>
      <c r="T11" s="39">
        <f ca="1">EXP(y_inter1-(slope*LN(S11)))</f>
        <v>7.5239434254294322</v>
      </c>
      <c r="U11" s="40">
        <f ca="1">(+S11*T11/100)/100</f>
        <v>0.2145655623343308</v>
      </c>
      <c r="V11" s="40">
        <f>regDebt_weighted</f>
        <v>3.5860000000000003E-2</v>
      </c>
      <c r="W11" s="40">
        <f ca="1">+U11-V11</f>
        <v>0.1787055623343308</v>
      </c>
      <c r="X11" s="40">
        <f ca="1">+((W11*(1-0.34))-Pfd_weighted)/Equity_percent</f>
        <v>0.32487113703679743</v>
      </c>
      <c r="Y11" s="40">
        <f>+Y9</f>
        <v>2.5000000000000001E-3</v>
      </c>
      <c r="Z11" s="40">
        <f ca="1">+X11+Y11</f>
        <v>0.32737113703679743</v>
      </c>
      <c r="AA11" s="40">
        <f ca="1">Z11*equityP</f>
        <v>0.19642268222207845</v>
      </c>
      <c r="AB11" s="40">
        <f ca="1">+AA11/(1-taxrate)</f>
        <v>0.24863630661022587</v>
      </c>
      <c r="AC11" s="40">
        <f>debtP*Debt_Rate</f>
        <v>1.6570222222287465E-2</v>
      </c>
      <c r="AD11" s="40">
        <f ca="1">+AC11+AB11</f>
        <v>0.26520652883251333</v>
      </c>
      <c r="AE11" s="40">
        <f ca="1">+AD11/(S11/100)</f>
        <v>9.299716586770658E-2</v>
      </c>
      <c r="AF11" s="40">
        <f ca="1">1-AE11</f>
        <v>0.90700283413229343</v>
      </c>
      <c r="AG11" s="41">
        <f ca="1">expenses/(AF11)</f>
        <v>8239266.3802642236</v>
      </c>
      <c r="AH11" s="42">
        <f ca="1">+AG11-Revenue</f>
        <v>87538.737047999166</v>
      </c>
      <c r="AI11" s="43">
        <f ca="1">+AH11/$J$49</f>
        <v>99209.477014965902</v>
      </c>
      <c r="AJ11" s="43">
        <f ca="1">+AI11*$J$47</f>
        <v>2446.8997722123718</v>
      </c>
      <c r="AK11" s="41">
        <f ca="1">ROUND(+AJ11+AG11,5)</f>
        <v>8241713.2800399996</v>
      </c>
    </row>
    <row r="12" spans="1:37" ht="15.75">
      <c r="A12" s="1"/>
      <c r="B12" s="25" t="s">
        <v>61</v>
      </c>
      <c r="C12" s="54">
        <v>5.1000000000000004E-3</v>
      </c>
      <c r="D12" s="22"/>
      <c r="E12" s="1"/>
      <c r="F12" s="55">
        <f t="shared" si="0"/>
        <v>6</v>
      </c>
      <c r="G12" s="28"/>
      <c r="H12" s="45" t="s">
        <v>62</v>
      </c>
      <c r="I12" s="46" t="e">
        <f ca="1">IF(I14&lt;0,0,+J38*I14)</f>
        <v>#VALUE!</v>
      </c>
      <c r="J12" s="46" t="e">
        <f ca="1">+K12-I12</f>
        <v>#VALUE!</v>
      </c>
      <c r="K12" s="46">
        <f ca="1">+(K9-K11)*taxrate</f>
        <v>150856.60730327835</v>
      </c>
      <c r="L12" s="28"/>
      <c r="M12" s="46">
        <f ca="1">+K12</f>
        <v>150856.60730327835</v>
      </c>
      <c r="O12" s="31"/>
      <c r="P12" s="1"/>
      <c r="R12" s="47">
        <v>2</v>
      </c>
      <c r="S12" s="48">
        <f ca="1">IF((AK7/Investment*100)&gt;0,(AK7/Investment*100),0)</f>
        <v>285.17700121075057</v>
      </c>
      <c r="T12" s="61">
        <f ca="1">EXP(y_inter2-(slope*LN(+S12)))</f>
        <v>7.5239434254294322</v>
      </c>
      <c r="U12" s="50">
        <f ca="1">(+S12*T12/100)/100</f>
        <v>0.2145655623343308</v>
      </c>
      <c r="V12" s="50">
        <f>regDebt_weighted</f>
        <v>3.5860000000000003E-2</v>
      </c>
      <c r="W12" s="50">
        <f ca="1">+U12-V12</f>
        <v>0.1787055623343308</v>
      </c>
      <c r="X12" s="50">
        <f ca="1">+((W12*(1-0.34))-Pfd_weighted)/Equity_percent</f>
        <v>0.32487113703679743</v>
      </c>
      <c r="Y12" s="50">
        <f>+Y11</f>
        <v>2.5000000000000001E-3</v>
      </c>
      <c r="Z12" s="50">
        <f ca="1">+X12+Y12</f>
        <v>0.32737113703679743</v>
      </c>
      <c r="AA12" s="50">
        <f ca="1">Z12*equityP</f>
        <v>0.19642268222207845</v>
      </c>
      <c r="AB12" s="50">
        <f ca="1">+AA12/(1-taxrate)</f>
        <v>0.24863630661022587</v>
      </c>
      <c r="AC12" s="50">
        <f>debtP*Debt_Rate</f>
        <v>1.6570222222287465E-2</v>
      </c>
      <c r="AD12" s="50">
        <f ca="1">+AC12+AB12</f>
        <v>0.26520652883251333</v>
      </c>
      <c r="AE12" s="50">
        <f ca="1">+AD12/(S12/100)</f>
        <v>9.299716586770658E-2</v>
      </c>
      <c r="AF12" s="50">
        <f ca="1">1-AE12</f>
        <v>0.90700283413229343</v>
      </c>
      <c r="AG12" s="51">
        <f ca="1">expenses/(AF12)</f>
        <v>8239266.3802642236</v>
      </c>
      <c r="AH12" s="52">
        <f ca="1">+AG12-Revenue</f>
        <v>87538.737047999166</v>
      </c>
      <c r="AI12" s="53">
        <f ca="1">+AH12/$J$49</f>
        <v>99209.477014965902</v>
      </c>
      <c r="AJ12" s="53">
        <f ca="1">+AI12*$J$47</f>
        <v>2446.8997722123718</v>
      </c>
      <c r="AK12" s="51">
        <f ca="1">ROUND(+AJ12+AG12,5)</f>
        <v>8241713.2800399996</v>
      </c>
    </row>
    <row r="13" spans="1:37" ht="15.75">
      <c r="A13" s="1"/>
      <c r="B13" s="25" t="s">
        <v>63</v>
      </c>
      <c r="C13" s="54">
        <v>0</v>
      </c>
      <c r="D13" s="22"/>
      <c r="E13" s="1"/>
      <c r="F13" s="55">
        <f t="shared" si="0"/>
        <v>7</v>
      </c>
      <c r="G13" s="28"/>
      <c r="H13" s="28"/>
      <c r="I13" s="17"/>
      <c r="J13" s="17"/>
      <c r="K13" s="46"/>
      <c r="L13" s="28"/>
      <c r="M13" s="28"/>
      <c r="O13" s="31"/>
      <c r="P13" s="1"/>
      <c r="R13" s="56">
        <v>3</v>
      </c>
      <c r="S13" s="48">
        <f ca="1">IF((AK8/Investment*100)&gt;0,(AK8/Investment*100),0)</f>
        <v>285.17700121075057</v>
      </c>
      <c r="T13" s="49">
        <f ca="1">EXP(y_inter3-(slope*LN(S13)))</f>
        <v>7.5239434254294322</v>
      </c>
      <c r="U13" s="50">
        <f ca="1">(+S13*T13/100)/100</f>
        <v>0.2145655623343308</v>
      </c>
      <c r="V13" s="50">
        <f>regDebt_weighted</f>
        <v>3.5860000000000003E-2</v>
      </c>
      <c r="W13" s="50">
        <f ca="1">+U13-V13</f>
        <v>0.1787055623343308</v>
      </c>
      <c r="X13" s="50">
        <f ca="1">+((W13*(1-0.34))-Pfd_weighted)/Equity_percent</f>
        <v>0.32487113703679743</v>
      </c>
      <c r="Y13" s="50">
        <f>+Y12</f>
        <v>2.5000000000000001E-3</v>
      </c>
      <c r="Z13" s="50">
        <f ca="1">+X13+Y13</f>
        <v>0.32737113703679743</v>
      </c>
      <c r="AA13" s="50">
        <f ca="1">Z13*equityP</f>
        <v>0.19642268222207845</v>
      </c>
      <c r="AB13" s="50">
        <f ca="1">+AA13/(1-taxrate)</f>
        <v>0.24863630661022587</v>
      </c>
      <c r="AC13" s="50">
        <f>debtP*Debt_Rate</f>
        <v>1.6570222222287465E-2</v>
      </c>
      <c r="AD13" s="50">
        <f ca="1">+AC13+AB13</f>
        <v>0.26520652883251333</v>
      </c>
      <c r="AE13" s="50">
        <f ca="1">+AD13/(S13/100)</f>
        <v>9.299716586770658E-2</v>
      </c>
      <c r="AF13" s="50">
        <f ca="1">1-AE13</f>
        <v>0.90700283413229343</v>
      </c>
      <c r="AG13" s="51">
        <f ca="1">expenses/(AF13)</f>
        <v>8239266.3802642236</v>
      </c>
      <c r="AH13" s="52">
        <f ca="1">+AG13-Revenue</f>
        <v>87538.737047999166</v>
      </c>
      <c r="AI13" s="53">
        <f ca="1">+AH13/$J$49</f>
        <v>99209.477014965902</v>
      </c>
      <c r="AJ13" s="53">
        <f ca="1">+AI13*$J$47</f>
        <v>2446.8997722123718</v>
      </c>
      <c r="AK13" s="51">
        <f ca="1">ROUND(+AJ13+AG13,5)</f>
        <v>8241713.2800399996</v>
      </c>
    </row>
    <row r="14" spans="1:37" ht="16.5" thickBot="1">
      <c r="A14" s="1"/>
      <c r="B14" s="62" t="s">
        <v>64</v>
      </c>
      <c r="C14" s="54">
        <v>2.0639720905216838E-3</v>
      </c>
      <c r="D14" s="22"/>
      <c r="E14" s="1"/>
      <c r="F14" s="55">
        <f t="shared" si="0"/>
        <v>8</v>
      </c>
      <c r="G14" s="28"/>
      <c r="H14" s="28" t="s">
        <v>65</v>
      </c>
      <c r="I14" s="63" t="e">
        <f ca="1">+I9-SUM(I11:I13)</f>
        <v>#VALUE!</v>
      </c>
      <c r="J14" s="17"/>
      <c r="K14" s="63">
        <f ca="1">+K9-SUM(K11:K13)</f>
        <v>567508.18937899941</v>
      </c>
      <c r="L14" s="28"/>
      <c r="M14" s="63">
        <f ca="1">+M9-SUM(M11:M13)</f>
        <v>567508.18937899941</v>
      </c>
      <c r="O14" s="31"/>
      <c r="P14" s="1"/>
      <c r="R14" s="59">
        <v>4</v>
      </c>
      <c r="S14" s="48">
        <f ca="1">IF((AK9/Investment*100)&gt;0,(AK9/Investment*100),0)</f>
        <v>285.17700121075057</v>
      </c>
      <c r="T14" s="64">
        <f ca="1">EXP(y_inter4-(slope*LN(S14)))</f>
        <v>7.5239434254294322</v>
      </c>
      <c r="U14" s="50">
        <f ca="1">(+S14*T14/100)/100</f>
        <v>0.2145655623343308</v>
      </c>
      <c r="V14" s="50">
        <f>regDebt_weighted</f>
        <v>3.5860000000000003E-2</v>
      </c>
      <c r="W14" s="50">
        <f ca="1">+U14-V14</f>
        <v>0.1787055623343308</v>
      </c>
      <c r="X14" s="50">
        <f ca="1">+((W14*(1-0.34))-Pfd_weighted)/Equity_percent</f>
        <v>0.32487113703679743</v>
      </c>
      <c r="Y14" s="50">
        <f>+Y13</f>
        <v>2.5000000000000001E-3</v>
      </c>
      <c r="Z14" s="50">
        <f ca="1">+X14+Y14</f>
        <v>0.32737113703679743</v>
      </c>
      <c r="AA14" s="50">
        <f ca="1">Z14*equityP</f>
        <v>0.19642268222207845</v>
      </c>
      <c r="AB14" s="50">
        <f ca="1">+AA14/(1-taxrate)</f>
        <v>0.24863630661022587</v>
      </c>
      <c r="AC14" s="50">
        <f>debtP*Debt_Rate</f>
        <v>1.6570222222287465E-2</v>
      </c>
      <c r="AD14" s="50">
        <f ca="1">+AC14+AB14</f>
        <v>0.26520652883251333</v>
      </c>
      <c r="AE14" s="50">
        <f ca="1">+AD14/(S14/100)</f>
        <v>9.299716586770658E-2</v>
      </c>
      <c r="AF14" s="50">
        <f ca="1">1-AE14</f>
        <v>0.90700283413229343</v>
      </c>
      <c r="AG14" s="51">
        <f ca="1">expenses/(AF14)</f>
        <v>8239266.3802642236</v>
      </c>
      <c r="AH14" s="52">
        <f ca="1">+AG14-Revenue</f>
        <v>87538.737047999166</v>
      </c>
      <c r="AI14" s="53">
        <f ca="1">+AH14/$J$49</f>
        <v>99209.477014965902</v>
      </c>
      <c r="AJ14" s="53">
        <f ca="1">+AI14*$J$47</f>
        <v>2446.8997722123718</v>
      </c>
      <c r="AK14" s="51">
        <f ca="1">ROUND(+AJ14+AG14,5)</f>
        <v>8241713.2800399996</v>
      </c>
    </row>
    <row r="15" spans="1:37" ht="16.5" thickTop="1">
      <c r="A15" s="1"/>
      <c r="B15" s="62" t="s">
        <v>66</v>
      </c>
      <c r="C15" s="54">
        <v>2.5000000000000001E-3</v>
      </c>
      <c r="D15" s="1"/>
      <c r="E15" s="1"/>
      <c r="F15" s="55">
        <f t="shared" si="0"/>
        <v>9</v>
      </c>
      <c r="G15" s="17"/>
      <c r="H15" s="17"/>
      <c r="I15" s="17"/>
      <c r="J15" s="17"/>
      <c r="K15" s="65"/>
      <c r="L15" s="17"/>
      <c r="M15" s="17"/>
      <c r="O15" s="31"/>
      <c r="P15" s="1"/>
      <c r="R15" s="20" t="s">
        <v>67</v>
      </c>
    </row>
    <row r="16" spans="1:37" ht="15.75">
      <c r="A16" s="1"/>
      <c r="B16" s="1"/>
      <c r="C16" s="1"/>
      <c r="D16" s="22" t="s">
        <v>68</v>
      </c>
      <c r="E16" s="1"/>
      <c r="F16" s="55">
        <f t="shared" si="0"/>
        <v>10</v>
      </c>
      <c r="G16" s="17"/>
      <c r="H16" s="45" t="s">
        <v>69</v>
      </c>
      <c r="I16" s="66">
        <f>+I8/I7</f>
        <v>0.91674284092275227</v>
      </c>
      <c r="J16" s="67"/>
      <c r="K16" s="66">
        <f ca="1">+K8/K7</f>
        <v>0.906999</v>
      </c>
      <c r="L16" s="68"/>
      <c r="M16" s="66">
        <f ca="1">+M8/M7</f>
        <v>0.90702662213043495</v>
      </c>
      <c r="O16" s="31"/>
      <c r="P16" s="1"/>
      <c r="R16" s="37">
        <v>1</v>
      </c>
      <c r="S16" s="38">
        <f ca="1">AK11/Investment*100</f>
        <v>285.11779794718393</v>
      </c>
      <c r="T16" s="39">
        <f ca="1">EXP(y_inter1-(slope*LN(+S16)))</f>
        <v>7.5244144546750515</v>
      </c>
      <c r="U16" s="40">
        <f ca="1">(+S16*T16/100)/100</f>
        <v>0.21453444801589117</v>
      </c>
      <c r="V16" s="40">
        <f>regDebt_weighted</f>
        <v>3.5860000000000003E-2</v>
      </c>
      <c r="W16" s="40">
        <f ca="1">+U16-V16</f>
        <v>0.17867444801589116</v>
      </c>
      <c r="X16" s="40">
        <f ca="1">+((W16*(1-0.34))-Pfd_weighted)/Equity_percent</f>
        <v>0.3248114409607214</v>
      </c>
      <c r="Y16" s="40">
        <f>+Y14</f>
        <v>2.5000000000000001E-3</v>
      </c>
      <c r="Z16" s="40">
        <f ca="1">+X16+Y16</f>
        <v>0.3273114409607214</v>
      </c>
      <c r="AA16" s="40">
        <f ca="1">Z16*equityP</f>
        <v>0.19638686457643284</v>
      </c>
      <c r="AB16" s="40">
        <f ca="1">+AA16/(1-taxrate)</f>
        <v>0.24859096781826942</v>
      </c>
      <c r="AC16" s="40">
        <f>debtP*Debt_Rate</f>
        <v>1.6570222222287465E-2</v>
      </c>
      <c r="AD16" s="40">
        <f ca="1">+AC16+AB16</f>
        <v>0.26516119004055688</v>
      </c>
      <c r="AE16" s="40">
        <f ca="1">+AD16/(S16/100)</f>
        <v>9.3000574481736181E-2</v>
      </c>
      <c r="AF16" s="40">
        <f ca="1">1-AE16</f>
        <v>0.90699942551826385</v>
      </c>
      <c r="AG16" s="41">
        <f ca="1">expenses/(AF16)</f>
        <v>8239297.3444282431</v>
      </c>
      <c r="AH16" s="42">
        <f ca="1">+AG16-Revenue</f>
        <v>87569.701212018728</v>
      </c>
      <c r="AI16" s="43">
        <f ca="1">+AH16/$J$49</f>
        <v>99244.569348053847</v>
      </c>
      <c r="AJ16" s="43">
        <f ca="1">+AI16*$J$47</f>
        <v>2447.765288536244</v>
      </c>
      <c r="AK16" s="41">
        <f ca="1">ROUND(+AJ16+AG16,5)</f>
        <v>8241745.1097200001</v>
      </c>
    </row>
    <row r="17" spans="1:37" ht="15.75">
      <c r="A17" s="1"/>
      <c r="B17" s="69" t="s">
        <v>70</v>
      </c>
      <c r="C17" s="70"/>
      <c r="D17" s="1" t="s">
        <v>71</v>
      </c>
      <c r="E17" s="1"/>
      <c r="F17" s="55">
        <f t="shared" si="0"/>
        <v>11</v>
      </c>
      <c r="G17" s="17"/>
      <c r="H17" s="17"/>
      <c r="I17" s="17"/>
      <c r="K17" s="17"/>
      <c r="L17" s="45"/>
      <c r="M17" s="45"/>
      <c r="N17" s="66"/>
      <c r="O17" s="1"/>
      <c r="P17" s="1"/>
      <c r="R17" s="47">
        <v>2</v>
      </c>
      <c r="S17" s="48">
        <f ca="1">AK12/Investment*100</f>
        <v>285.11779794718393</v>
      </c>
      <c r="T17" s="61">
        <f ca="1">EXP(y_inter2-(slope*LN(+S17)))</f>
        <v>7.5244144546750515</v>
      </c>
      <c r="U17" s="50">
        <f ca="1">(+S17*T17/100)/100</f>
        <v>0.21453444801589117</v>
      </c>
      <c r="V17" s="50">
        <f>regDebt_weighted</f>
        <v>3.5860000000000003E-2</v>
      </c>
      <c r="W17" s="50">
        <f ca="1">+U17-V17</f>
        <v>0.17867444801589116</v>
      </c>
      <c r="X17" s="50">
        <f ca="1">+((W17*(1-0.34))-Pfd_weighted)/Equity_percent</f>
        <v>0.3248114409607214</v>
      </c>
      <c r="Y17" s="50">
        <f>+Y16</f>
        <v>2.5000000000000001E-3</v>
      </c>
      <c r="Z17" s="50">
        <f ca="1">+X17+Y17</f>
        <v>0.3273114409607214</v>
      </c>
      <c r="AA17" s="50">
        <f ca="1">Z17*equityP</f>
        <v>0.19638686457643284</v>
      </c>
      <c r="AB17" s="50">
        <f ca="1">+AA17/(1-taxrate)</f>
        <v>0.24859096781826942</v>
      </c>
      <c r="AC17" s="50">
        <f>debtP*Debt_Rate</f>
        <v>1.6570222222287465E-2</v>
      </c>
      <c r="AD17" s="50">
        <f ca="1">+AC17+AB17</f>
        <v>0.26516119004055688</v>
      </c>
      <c r="AE17" s="50">
        <f ca="1">+AD17/(S17/100)</f>
        <v>9.3000574481736181E-2</v>
      </c>
      <c r="AF17" s="50">
        <f ca="1">1-AE17</f>
        <v>0.90699942551826385</v>
      </c>
      <c r="AG17" s="51">
        <f ca="1">expenses/(AF17)</f>
        <v>8239297.3444282431</v>
      </c>
      <c r="AH17" s="52">
        <f ca="1">+AG17-Revenue</f>
        <v>87569.701212018728</v>
      </c>
      <c r="AI17" s="53">
        <f ca="1">+AH17/$J$49</f>
        <v>99244.569348053847</v>
      </c>
      <c r="AJ17" s="53">
        <f ca="1">+AI17*$J$47</f>
        <v>2447.765288536244</v>
      </c>
      <c r="AK17" s="51">
        <f ca="1">ROUND(+AJ17+AG17,5)</f>
        <v>8241745.1097200001</v>
      </c>
    </row>
    <row r="18" spans="1:37" ht="15.75">
      <c r="A18" s="1"/>
      <c r="B18" s="364"/>
      <c r="C18" s="364"/>
      <c r="D18" s="1"/>
      <c r="E18" s="1"/>
      <c r="F18" s="55">
        <f t="shared" si="0"/>
        <v>12</v>
      </c>
      <c r="G18" s="17"/>
      <c r="H18" s="71" t="s">
        <v>72</v>
      </c>
      <c r="I18" s="72"/>
      <c r="J18" s="72"/>
      <c r="K18" s="72"/>
      <c r="L18" s="72"/>
      <c r="M18" s="73"/>
      <c r="O18" s="1"/>
      <c r="P18" s="1"/>
      <c r="R18" s="56">
        <v>3</v>
      </c>
      <c r="S18" s="48">
        <f ca="1">AK13/Investment*100</f>
        <v>285.11779794718393</v>
      </c>
      <c r="T18" s="49">
        <f ca="1">EXP(y_inter3-(slope*LN(S18)))</f>
        <v>7.5244144546750515</v>
      </c>
      <c r="U18" s="50">
        <f ca="1">(+S18*T18/100)/100</f>
        <v>0.21453444801589117</v>
      </c>
      <c r="V18" s="50">
        <f>regDebt_weighted</f>
        <v>3.5860000000000003E-2</v>
      </c>
      <c r="W18" s="50">
        <f ca="1">+U18-V18</f>
        <v>0.17867444801589116</v>
      </c>
      <c r="X18" s="50">
        <f ca="1">+((W18*(1-0.34))-Pfd_weighted)/Equity_percent</f>
        <v>0.3248114409607214</v>
      </c>
      <c r="Y18" s="50">
        <f>+Y17</f>
        <v>2.5000000000000001E-3</v>
      </c>
      <c r="Z18" s="50">
        <f ca="1">+X18+Y18</f>
        <v>0.3273114409607214</v>
      </c>
      <c r="AA18" s="50">
        <f ca="1">Z18*equityP</f>
        <v>0.19638686457643284</v>
      </c>
      <c r="AB18" s="50">
        <f ca="1">+AA18/(1-taxrate)</f>
        <v>0.24859096781826942</v>
      </c>
      <c r="AC18" s="50">
        <f>debtP*Debt_Rate</f>
        <v>1.6570222222287465E-2</v>
      </c>
      <c r="AD18" s="50">
        <f ca="1">+AC18+AB18</f>
        <v>0.26516119004055688</v>
      </c>
      <c r="AE18" s="50">
        <f ca="1">+AD18/(S18/100)</f>
        <v>9.3000574481736181E-2</v>
      </c>
      <c r="AF18" s="50">
        <f ca="1">1-AE18</f>
        <v>0.90699942551826385</v>
      </c>
      <c r="AG18" s="51">
        <f ca="1">expenses/(AF18)</f>
        <v>8239297.3444282431</v>
      </c>
      <c r="AH18" s="52">
        <f ca="1">+AG18-Revenue</f>
        <v>87569.701212018728</v>
      </c>
      <c r="AI18" s="53">
        <f ca="1">+AH18/$J$49</f>
        <v>99244.569348053847</v>
      </c>
      <c r="AJ18" s="53">
        <f ca="1">+AI18*$J$47</f>
        <v>2447.765288536244</v>
      </c>
      <c r="AK18" s="51">
        <f ca="1">ROUND(+AJ18+AG18,5)</f>
        <v>8241745.1097200001</v>
      </c>
    </row>
    <row r="19" spans="1:37" ht="15.75">
      <c r="A19" s="1"/>
      <c r="B19" s="365" t="s">
        <v>73</v>
      </c>
      <c r="C19" s="365"/>
      <c r="D19" s="1"/>
      <c r="E19" s="1"/>
      <c r="F19" s="55">
        <f t="shared" si="0"/>
        <v>13</v>
      </c>
      <c r="G19" s="17"/>
      <c r="H19" s="23"/>
      <c r="I19" s="45" t="s">
        <v>74</v>
      </c>
      <c r="J19" s="46">
        <f>+Revenue</f>
        <v>8151727.6432162244</v>
      </c>
      <c r="K19" s="74"/>
      <c r="L19" s="45" t="s">
        <v>75</v>
      </c>
      <c r="M19" s="75">
        <f ca="1">+J7</f>
        <v>87573.566675487906</v>
      </c>
      <c r="O19" s="1"/>
      <c r="P19" s="1"/>
      <c r="R19" s="59">
        <v>4</v>
      </c>
      <c r="S19" s="48">
        <f ca="1">AK14/Investment*100</f>
        <v>285.11779794718393</v>
      </c>
      <c r="T19" s="64">
        <f ca="1">EXP(y_inter4-(slope*LN(S19)))</f>
        <v>7.5244144546750515</v>
      </c>
      <c r="U19" s="50">
        <f ca="1">(+S19*T19/100)/100</f>
        <v>0.21453444801589117</v>
      </c>
      <c r="V19" s="50">
        <f>regDebt_weighted</f>
        <v>3.5860000000000003E-2</v>
      </c>
      <c r="W19" s="50">
        <f ca="1">+U19-V19</f>
        <v>0.17867444801589116</v>
      </c>
      <c r="X19" s="50">
        <f ca="1">+((W19*(1-0.34))-Pfd_weighted)/Equity_percent</f>
        <v>0.3248114409607214</v>
      </c>
      <c r="Y19" s="50">
        <f>+Y18</f>
        <v>2.5000000000000001E-3</v>
      </c>
      <c r="Z19" s="50">
        <f ca="1">+X19+Y19</f>
        <v>0.3273114409607214</v>
      </c>
      <c r="AA19" s="50">
        <f ca="1">Z19*equityP</f>
        <v>0.19638686457643284</v>
      </c>
      <c r="AB19" s="50">
        <f ca="1">+AA19/(1-taxrate)</f>
        <v>0.24859096781826942</v>
      </c>
      <c r="AC19" s="50">
        <f>debtP*Debt_Rate</f>
        <v>1.6570222222287465E-2</v>
      </c>
      <c r="AD19" s="50">
        <f ca="1">+AC19+AB19</f>
        <v>0.26516119004055688</v>
      </c>
      <c r="AE19" s="50">
        <f ca="1">+AD19/(S19/100)</f>
        <v>9.3000574481736181E-2</v>
      </c>
      <c r="AF19" s="50">
        <f ca="1">1-AE19</f>
        <v>0.90699942551826385</v>
      </c>
      <c r="AG19" s="51">
        <f ca="1">expenses/(AF19)</f>
        <v>8239297.3444282431</v>
      </c>
      <c r="AH19" s="52">
        <f ca="1">+AG19-Revenue</f>
        <v>87569.701212018728</v>
      </c>
      <c r="AI19" s="53">
        <f ca="1">+AH19/$J$49</f>
        <v>99244.569348053847</v>
      </c>
      <c r="AJ19" s="53">
        <f ca="1">+AI19*$J$47</f>
        <v>2447.765288536244</v>
      </c>
      <c r="AK19" s="51">
        <f ca="1">ROUND(+AJ19+AG19,5)</f>
        <v>8241745.1097200001</v>
      </c>
    </row>
    <row r="20" spans="1:37" ht="15.75">
      <c r="A20" s="1"/>
      <c r="B20" s="70"/>
      <c r="C20" s="1"/>
      <c r="D20" s="1"/>
      <c r="E20" s="1"/>
      <c r="F20" s="55">
        <f t="shared" si="0"/>
        <v>14</v>
      </c>
      <c r="G20" s="17"/>
      <c r="H20" s="23"/>
      <c r="I20" s="45" t="s">
        <v>76</v>
      </c>
      <c r="J20" s="46">
        <f ca="1">+J21-J19</f>
        <v>90021.440012209117</v>
      </c>
      <c r="K20" s="76"/>
      <c r="L20" s="45" t="s">
        <v>77</v>
      </c>
      <c r="M20" s="75">
        <f ca="1">+L8</f>
        <v>2447.8733367215609</v>
      </c>
      <c r="O20" s="1"/>
      <c r="P20" s="1"/>
      <c r="R20" s="20" t="s">
        <v>78</v>
      </c>
    </row>
    <row r="21" spans="1:37" ht="16.5" thickBot="1">
      <c r="A21" s="1"/>
      <c r="B21" s="70"/>
      <c r="C21" s="70"/>
      <c r="D21" s="1"/>
      <c r="E21" s="1"/>
      <c r="F21" s="55">
        <f t="shared" si="0"/>
        <v>15</v>
      </c>
      <c r="G21" s="17"/>
      <c r="H21" s="23"/>
      <c r="I21" s="77" t="s">
        <v>72</v>
      </c>
      <c r="J21" s="78">
        <f ca="1">+M7</f>
        <v>8241749.0832284335</v>
      </c>
      <c r="K21" s="79"/>
      <c r="L21" s="77" t="s">
        <v>76</v>
      </c>
      <c r="M21" s="80">
        <f ca="1">+M19+M20</f>
        <v>90021.440012209467</v>
      </c>
      <c r="O21" s="1"/>
      <c r="P21" s="1"/>
      <c r="R21" s="37">
        <v>1</v>
      </c>
      <c r="S21" s="38">
        <f ca="1">AK16/Investment*100</f>
        <v>285.1188990784612</v>
      </c>
      <c r="T21" s="39">
        <f ca="1">EXP(y_inter1-(slope*LN(+S21)))</f>
        <v>7.5244056927625511</v>
      </c>
      <c r="U21" s="40">
        <f ca="1">(+S21*T21/100)/100</f>
        <v>0.21453502673401648</v>
      </c>
      <c r="V21" s="40">
        <f>regDebt_weighted</f>
        <v>3.5860000000000003E-2</v>
      </c>
      <c r="W21" s="40">
        <f ca="1">+U21-V21</f>
        <v>0.17867502673401647</v>
      </c>
      <c r="X21" s="40">
        <f ca="1">+((W21*(1-0.34))-Pfd_weighted)/Equity_percent</f>
        <v>0.32481255129200837</v>
      </c>
      <c r="Y21" s="40">
        <f>+Y19</f>
        <v>2.5000000000000001E-3</v>
      </c>
      <c r="Z21" s="40">
        <f ca="1">+X21+Y21</f>
        <v>0.32731255129200837</v>
      </c>
      <c r="AA21" s="40">
        <f ca="1">Z21*equityP</f>
        <v>0.19638753077520502</v>
      </c>
      <c r="AB21" s="40">
        <f ca="1">+AA21/(1-taxrate)</f>
        <v>0.24859181110785444</v>
      </c>
      <c r="AC21" s="40">
        <f>debtP*Debt_Rate</f>
        <v>1.6570222222287465E-2</v>
      </c>
      <c r="AD21" s="40">
        <f ca="1">+AC21+AB21</f>
        <v>0.26516203333014193</v>
      </c>
      <c r="AE21" s="40">
        <f ca="1">+AD21/(S21/100)</f>
        <v>9.3000511080527357E-2</v>
      </c>
      <c r="AF21" s="40">
        <f ca="1">1-AE21</f>
        <v>0.90699948891947269</v>
      </c>
      <c r="AG21" s="41">
        <f ca="1">expenses/(AF21)</f>
        <v>8239296.7684836937</v>
      </c>
      <c r="AH21" s="42">
        <f ca="1">+AG21-Revenue</f>
        <v>87569.125267469324</v>
      </c>
      <c r="AI21" s="43">
        <f ca="1">+AH21/$J$49</f>
        <v>99243.916618080082</v>
      </c>
      <c r="AJ21" s="43">
        <f ca="1">+AI21*$J$47</f>
        <v>2447.7491896223887</v>
      </c>
      <c r="AK21" s="41">
        <f ca="1">ROUND(+AJ21+AG21,5)</f>
        <v>8241744.51767</v>
      </c>
    </row>
    <row r="22" spans="1:37" ht="21" customHeight="1" thickTop="1">
      <c r="A22" s="1"/>
      <c r="B22" s="70"/>
      <c r="C22" s="1"/>
      <c r="D22" s="1"/>
      <c r="E22" s="1"/>
      <c r="F22" s="55">
        <f t="shared" si="0"/>
        <v>16</v>
      </c>
      <c r="G22" s="17"/>
      <c r="H22" s="81"/>
      <c r="I22" s="82"/>
      <c r="J22" s="83" t="s">
        <v>79</v>
      </c>
      <c r="K22" s="84">
        <f ca="1">+(J21/J19)-1</f>
        <v>1.1043234508346655E-2</v>
      </c>
      <c r="L22" s="82"/>
      <c r="M22" s="85"/>
      <c r="O22" s="1"/>
      <c r="P22" s="1"/>
      <c r="R22" s="47">
        <v>2</v>
      </c>
      <c r="S22" s="48">
        <f ca="1">AK17/Investment*100</f>
        <v>285.1188990784612</v>
      </c>
      <c r="T22" s="61">
        <f ca="1">EXP(y_inter2-(slope*LN(+S22)))</f>
        <v>7.5244056927625511</v>
      </c>
      <c r="U22" s="50">
        <f ca="1">(+S22*T22/100)/100</f>
        <v>0.21453502673401648</v>
      </c>
      <c r="V22" s="50">
        <f>regDebt_weighted</f>
        <v>3.5860000000000003E-2</v>
      </c>
      <c r="W22" s="50">
        <f ca="1">+U22-V22</f>
        <v>0.17867502673401647</v>
      </c>
      <c r="X22" s="50">
        <f ca="1">+((W22*(1-0.34))-Pfd_weighted)/Equity_percent</f>
        <v>0.32481255129200837</v>
      </c>
      <c r="Y22" s="50">
        <f>+Y21</f>
        <v>2.5000000000000001E-3</v>
      </c>
      <c r="Z22" s="50">
        <f ca="1">+X22+Y22</f>
        <v>0.32731255129200837</v>
      </c>
      <c r="AA22" s="50">
        <f ca="1">Z22*equityP</f>
        <v>0.19638753077520502</v>
      </c>
      <c r="AB22" s="50">
        <f ca="1">+AA22/(1-taxrate)</f>
        <v>0.24859181110785444</v>
      </c>
      <c r="AC22" s="50">
        <f>debtP*Debt_Rate</f>
        <v>1.6570222222287465E-2</v>
      </c>
      <c r="AD22" s="50">
        <f ca="1">+AC22+AB22</f>
        <v>0.26516203333014193</v>
      </c>
      <c r="AE22" s="50">
        <f ca="1">+AD22/(S22/100)</f>
        <v>9.3000511080527357E-2</v>
      </c>
      <c r="AF22" s="50">
        <f ca="1">1-AE22</f>
        <v>0.90699948891947269</v>
      </c>
      <c r="AG22" s="51">
        <f ca="1">expenses/(AF22)</f>
        <v>8239296.7684836937</v>
      </c>
      <c r="AH22" s="52">
        <f ca="1">+AG22-Revenue</f>
        <v>87569.125267469324</v>
      </c>
      <c r="AI22" s="53">
        <f ca="1">+AH22/$J$49</f>
        <v>99243.916618080082</v>
      </c>
      <c r="AJ22" s="53">
        <f ca="1">+AI22*$J$47</f>
        <v>2447.7491896223887</v>
      </c>
      <c r="AK22" s="51">
        <f ca="1">ROUND(+AJ22+AG22,5)</f>
        <v>8241744.51767</v>
      </c>
    </row>
    <row r="23" spans="1:37" ht="15.75">
      <c r="A23" s="1"/>
      <c r="B23" s="86" t="s">
        <v>80</v>
      </c>
      <c r="C23" s="87"/>
      <c r="D23" s="87"/>
      <c r="E23" s="87"/>
      <c r="F23" s="55">
        <f t="shared" si="0"/>
        <v>17</v>
      </c>
      <c r="H23" s="17"/>
      <c r="I23" s="17"/>
      <c r="J23" s="17"/>
      <c r="K23" s="17"/>
      <c r="L23" s="17"/>
      <c r="M23" s="17"/>
      <c r="N23" s="17"/>
      <c r="O23" s="1"/>
      <c r="P23" s="1"/>
      <c r="R23" s="56">
        <v>3</v>
      </c>
      <c r="S23" s="48">
        <f ca="1">AK18/Investment*100</f>
        <v>285.1188990784612</v>
      </c>
      <c r="T23" s="49">
        <f ca="1">EXP(y_inter3-(slope*LN(S23)))</f>
        <v>7.5244056927625511</v>
      </c>
      <c r="U23" s="50">
        <f ca="1">(+S23*T23/100)/100</f>
        <v>0.21453502673401648</v>
      </c>
      <c r="V23" s="50">
        <f>regDebt_weighted</f>
        <v>3.5860000000000003E-2</v>
      </c>
      <c r="W23" s="50">
        <f ca="1">+U23-V23</f>
        <v>0.17867502673401647</v>
      </c>
      <c r="X23" s="50">
        <f ca="1">+((W23*(1-0.34))-Pfd_weighted)/Equity_percent</f>
        <v>0.32481255129200837</v>
      </c>
      <c r="Y23" s="50">
        <f>+Y22</f>
        <v>2.5000000000000001E-3</v>
      </c>
      <c r="Z23" s="50">
        <f ca="1">+X23+Y23</f>
        <v>0.32731255129200837</v>
      </c>
      <c r="AA23" s="50">
        <f ca="1">Z23*equityP</f>
        <v>0.19638753077520502</v>
      </c>
      <c r="AB23" s="50">
        <f ca="1">+AA23/(1-taxrate)</f>
        <v>0.24859181110785444</v>
      </c>
      <c r="AC23" s="50">
        <f>debtP*Debt_Rate</f>
        <v>1.6570222222287465E-2</v>
      </c>
      <c r="AD23" s="50">
        <f ca="1">+AC23+AB23</f>
        <v>0.26516203333014193</v>
      </c>
      <c r="AE23" s="50">
        <f ca="1">+AD23/(S23/100)</f>
        <v>9.3000511080527357E-2</v>
      </c>
      <c r="AF23" s="50">
        <f ca="1">1-AE23</f>
        <v>0.90699948891947269</v>
      </c>
      <c r="AG23" s="51">
        <f ca="1">expenses/(AF23)</f>
        <v>8239296.7684836937</v>
      </c>
      <c r="AH23" s="52">
        <f ca="1">+AG23-Revenue</f>
        <v>87569.125267469324</v>
      </c>
      <c r="AI23" s="53">
        <f ca="1">+AH23/$J$49</f>
        <v>99243.916618080082</v>
      </c>
      <c r="AJ23" s="53">
        <f ca="1">+AI23*$J$47</f>
        <v>2447.7491896223887</v>
      </c>
      <c r="AK23" s="51">
        <f ca="1">ROUND(+AJ23+AG23,5)</f>
        <v>8241744.51767</v>
      </c>
    </row>
    <row r="24" spans="1:37" ht="15.75">
      <c r="A24" s="1"/>
      <c r="B24" s="88" t="s">
        <v>81</v>
      </c>
      <c r="C24" s="87"/>
      <c r="D24" s="87"/>
      <c r="E24" s="87"/>
      <c r="F24" s="55">
        <f t="shared" si="0"/>
        <v>18</v>
      </c>
      <c r="H24" s="89" t="s">
        <v>82</v>
      </c>
      <c r="K24" s="90" t="s">
        <v>83</v>
      </c>
      <c r="L24" s="90"/>
      <c r="M24" s="90"/>
      <c r="N24" s="90"/>
      <c r="O24" s="1"/>
      <c r="P24" s="1"/>
      <c r="R24" s="59">
        <v>4</v>
      </c>
      <c r="S24" s="48">
        <f ca="1">AK19/Investment*100</f>
        <v>285.1188990784612</v>
      </c>
      <c r="T24" s="64">
        <f ca="1">EXP(y_inter4-(slope*LN(S24)))</f>
        <v>7.5244056927625511</v>
      </c>
      <c r="U24" s="50">
        <f ca="1">(+S24*T24/100)/100</f>
        <v>0.21453502673401648</v>
      </c>
      <c r="V24" s="50">
        <f>regDebt_weighted</f>
        <v>3.5860000000000003E-2</v>
      </c>
      <c r="W24" s="50">
        <f ca="1">+U24-V24</f>
        <v>0.17867502673401647</v>
      </c>
      <c r="X24" s="50">
        <f ca="1">+((W24*(1-0.34))-Pfd_weighted)/Equity_percent</f>
        <v>0.32481255129200837</v>
      </c>
      <c r="Y24" s="50">
        <f>+Y23</f>
        <v>2.5000000000000001E-3</v>
      </c>
      <c r="Z24" s="50">
        <f ca="1">+X24+Y24</f>
        <v>0.32731255129200837</v>
      </c>
      <c r="AA24" s="50">
        <f ca="1">Z24*equityP</f>
        <v>0.19638753077520502</v>
      </c>
      <c r="AB24" s="50">
        <f ca="1">+AA24/(1-taxrate)</f>
        <v>0.24859181110785444</v>
      </c>
      <c r="AC24" s="50">
        <f>debtP*Debt_Rate</f>
        <v>1.6570222222287465E-2</v>
      </c>
      <c r="AD24" s="50">
        <f ca="1">+AC24+AB24</f>
        <v>0.26516203333014193</v>
      </c>
      <c r="AE24" s="50">
        <f ca="1">+AD24/(S24/100)</f>
        <v>9.3000511080527357E-2</v>
      </c>
      <c r="AF24" s="50">
        <f ca="1">1-AE24</f>
        <v>0.90699948891947269</v>
      </c>
      <c r="AG24" s="51">
        <f ca="1">expenses/(AF24)</f>
        <v>8239296.7684836937</v>
      </c>
      <c r="AH24" s="52">
        <f ca="1">+AG24-Revenue</f>
        <v>87569.125267469324</v>
      </c>
      <c r="AI24" s="53">
        <f ca="1">+AH24/$J$49</f>
        <v>99243.916618080082</v>
      </c>
      <c r="AJ24" s="53">
        <f ca="1">+AI24*$J$47</f>
        <v>2447.7491896223887</v>
      </c>
      <c r="AK24" s="51">
        <f ca="1">ROUND(+AJ24+AG24,5)</f>
        <v>8241744.51767</v>
      </c>
    </row>
    <row r="25" spans="1:37" ht="15.75">
      <c r="A25" s="1"/>
      <c r="B25" s="88" t="s">
        <v>84</v>
      </c>
      <c r="C25" s="87"/>
      <c r="D25" s="87"/>
      <c r="E25" s="87"/>
      <c r="F25" s="55">
        <f t="shared" si="0"/>
        <v>19</v>
      </c>
      <c r="H25" s="91" t="s">
        <v>85</v>
      </c>
      <c r="I25" s="92" t="s">
        <v>86</v>
      </c>
      <c r="J25" s="93" t="s">
        <v>87</v>
      </c>
      <c r="K25" s="91" t="s">
        <v>88</v>
      </c>
      <c r="L25" s="93" t="s">
        <v>89</v>
      </c>
      <c r="M25" s="93" t="s">
        <v>87</v>
      </c>
      <c r="O25" s="1"/>
      <c r="P25" s="1"/>
      <c r="R25" s="20" t="s">
        <v>90</v>
      </c>
      <c r="W25" s="94"/>
      <c r="X25" s="95"/>
      <c r="Y25" s="95"/>
      <c r="Z25" s="95"/>
      <c r="AA25" s="49"/>
      <c r="AB25" s="49"/>
      <c r="AC25" s="95"/>
      <c r="AE25" s="95"/>
      <c r="AF25" s="95"/>
      <c r="AG25" s="49"/>
      <c r="AH25" s="94"/>
    </row>
    <row r="26" spans="1:37" ht="15.75">
      <c r="A26" s="1"/>
      <c r="B26" s="88" t="s">
        <v>91</v>
      </c>
      <c r="C26" s="87"/>
      <c r="D26" s="87"/>
      <c r="E26" s="87"/>
      <c r="F26" s="55">
        <f t="shared" si="0"/>
        <v>20</v>
      </c>
      <c r="H26" s="45" t="s">
        <v>41</v>
      </c>
      <c r="I26" s="96">
        <f>1-I27</f>
        <v>0.6</v>
      </c>
      <c r="J26" s="97">
        <f>+I26*J28</f>
        <v>1734380.6677898203</v>
      </c>
      <c r="K26" s="66">
        <f ca="1">+K34</f>
        <v>0.32721085971408698</v>
      </c>
      <c r="L26" s="96">
        <f ca="1">+K26*I26</f>
        <v>0.19632651582845217</v>
      </c>
      <c r="M26" s="46">
        <f ca="1">+J26*K26</f>
        <v>567508.18937899941</v>
      </c>
      <c r="O26" s="1"/>
      <c r="P26" s="1"/>
      <c r="R26" s="37">
        <v>1</v>
      </c>
      <c r="S26" s="38">
        <f ca="1">AK21/Investment*100</f>
        <v>285.11887859679842</v>
      </c>
      <c r="T26" s="39">
        <f ca="1">EXP(y_inter1-(slope*LN(+S26)))</f>
        <v>7.5244058557386673</v>
      </c>
      <c r="U26" s="40">
        <f ca="1">(+S26*T26/100)/100</f>
        <v>0.21453501596953925</v>
      </c>
      <c r="V26" s="40">
        <f>regDebt_weighted</f>
        <v>3.5860000000000003E-2</v>
      </c>
      <c r="W26" s="40">
        <f ca="1">+U26-V26</f>
        <v>0.17867501596953925</v>
      </c>
      <c r="X26" s="40">
        <f ca="1">+((W26*(1-0.34))-Pfd_weighted)/Equity_percent</f>
        <v>0.32481253063923227</v>
      </c>
      <c r="Y26" s="40">
        <f>+Y24</f>
        <v>2.5000000000000001E-3</v>
      </c>
      <c r="Z26" s="40">
        <f ca="1">+X26+Y26</f>
        <v>0.32731253063923227</v>
      </c>
      <c r="AA26" s="40">
        <f ca="1">Z26*equityP</f>
        <v>0.19638751838353935</v>
      </c>
      <c r="AB26" s="40">
        <f ca="1">+AA26/(1-taxrate)</f>
        <v>0.24859179542220169</v>
      </c>
      <c r="AC26" s="40">
        <f>debtP*Debt_Rate</f>
        <v>1.6570222222287465E-2</v>
      </c>
      <c r="AD26" s="40">
        <f ca="1">+AC26+AB26</f>
        <v>0.26516201764448916</v>
      </c>
      <c r="AE26" s="40">
        <f ca="1">+AD26/(S26/100)</f>
        <v>9.3000512259824336E-2</v>
      </c>
      <c r="AF26" s="40">
        <f ca="1">1-AE26</f>
        <v>0.90699948774017569</v>
      </c>
      <c r="AG26" s="41">
        <f ca="1">expenses/(AF26)</f>
        <v>8239296.7791965753</v>
      </c>
      <c r="AH26" s="42">
        <f ca="1">+AG26-Revenue</f>
        <v>87569.135980350897</v>
      </c>
      <c r="AI26" s="43">
        <f ca="1">+AH26/$J$49</f>
        <v>99243.928759212271</v>
      </c>
      <c r="AJ26" s="43">
        <f ca="1">+AI26*$J$47</f>
        <v>2447.749489070934</v>
      </c>
      <c r="AK26" s="41">
        <f ca="1">ROUND(+AJ26+AG26,5)</f>
        <v>8241744.5286900001</v>
      </c>
    </row>
    <row r="27" spans="1:37" ht="15.75">
      <c r="A27" s="1"/>
      <c r="B27" s="88" t="s">
        <v>92</v>
      </c>
      <c r="C27" s="87"/>
      <c r="D27" s="87"/>
      <c r="E27" s="87"/>
      <c r="F27" s="55">
        <f t="shared" si="0"/>
        <v>21</v>
      </c>
      <c r="H27" s="45" t="s">
        <v>43</v>
      </c>
      <c r="I27" s="96">
        <f>IF(A64=TRUE,C8,0)</f>
        <v>0.4</v>
      </c>
      <c r="J27" s="98">
        <f>+I27*J28</f>
        <v>1156253.7785265471</v>
      </c>
      <c r="K27" s="66">
        <f>IF(A64=TRUE,C9,0)</f>
        <v>4.1425555555718661E-2</v>
      </c>
      <c r="L27" s="96">
        <f>+K27*I27</f>
        <v>1.6570222222287465E-2</v>
      </c>
      <c r="M27" s="46">
        <f>+K27*J27</f>
        <v>47898.4551388611</v>
      </c>
      <c r="O27" s="1"/>
      <c r="P27" s="1"/>
      <c r="R27" s="47">
        <v>2</v>
      </c>
      <c r="S27" s="48">
        <f ca="1">AK22/Investment*100</f>
        <v>285.11887859679842</v>
      </c>
      <c r="T27" s="61">
        <f ca="1">EXP(y_inter2-(slope*LN(+S27)))</f>
        <v>7.5244058557386673</v>
      </c>
      <c r="U27" s="50">
        <f ca="1">(+S27*T27/100)/100</f>
        <v>0.21453501596953925</v>
      </c>
      <c r="V27" s="50">
        <f>regDebt_weighted</f>
        <v>3.5860000000000003E-2</v>
      </c>
      <c r="W27" s="50">
        <f ca="1">+U27-V27</f>
        <v>0.17867501596953925</v>
      </c>
      <c r="X27" s="50">
        <f ca="1">+((W27*(1-0.34))-Pfd_weighted)/Equity_percent</f>
        <v>0.32481253063923227</v>
      </c>
      <c r="Y27" s="50">
        <f>+Y26</f>
        <v>2.5000000000000001E-3</v>
      </c>
      <c r="Z27" s="50">
        <f ca="1">+X27+Y27</f>
        <v>0.32731253063923227</v>
      </c>
      <c r="AA27" s="50">
        <f ca="1">Z27*equityP</f>
        <v>0.19638751838353935</v>
      </c>
      <c r="AB27" s="50">
        <f ca="1">+AA27/(1-taxrate)</f>
        <v>0.24859179542220169</v>
      </c>
      <c r="AC27" s="50">
        <f>debtP*Debt_Rate</f>
        <v>1.6570222222287465E-2</v>
      </c>
      <c r="AD27" s="50">
        <f ca="1">+AC27+AB27</f>
        <v>0.26516201764448916</v>
      </c>
      <c r="AE27" s="50">
        <f ca="1">+AD27/(S27/100)</f>
        <v>9.3000512259824336E-2</v>
      </c>
      <c r="AF27" s="50">
        <f ca="1">1-AE27</f>
        <v>0.90699948774017569</v>
      </c>
      <c r="AG27" s="51">
        <f ca="1">expenses/(AF27)</f>
        <v>8239296.7791965753</v>
      </c>
      <c r="AH27" s="52">
        <f ca="1">+AG27-Revenue</f>
        <v>87569.135980350897</v>
      </c>
      <c r="AI27" s="53">
        <f ca="1">+AH27/$J$49</f>
        <v>99243.928759212271</v>
      </c>
      <c r="AJ27" s="53">
        <f ca="1">+AI27*$J$47</f>
        <v>2447.749489070934</v>
      </c>
      <c r="AK27" s="51">
        <f ca="1">ROUND(+AJ27+AG27,5)</f>
        <v>8241744.5286900001</v>
      </c>
    </row>
    <row r="28" spans="1:37" ht="16.5" thickBot="1">
      <c r="A28" s="1"/>
      <c r="B28" s="1"/>
      <c r="C28" s="1"/>
      <c r="D28" s="1"/>
      <c r="E28" s="1"/>
      <c r="F28" s="55">
        <f t="shared" si="0"/>
        <v>22</v>
      </c>
      <c r="H28" s="45" t="s">
        <v>93</v>
      </c>
      <c r="I28" s="96">
        <f>SUM(I26:I27)</f>
        <v>1</v>
      </c>
      <c r="J28" s="99">
        <f>IF(A64=TRUE,C7,0)</f>
        <v>2890634.4463163675</v>
      </c>
      <c r="K28" s="100"/>
      <c r="L28" s="101">
        <f ca="1">SUM(L26:L27)</f>
        <v>0.21289673805073964</v>
      </c>
      <c r="M28" s="99">
        <f ca="1">SUM(M26:M27)</f>
        <v>615406.64451786049</v>
      </c>
      <c r="O28" s="1"/>
      <c r="P28" s="1"/>
      <c r="R28" s="56">
        <v>3</v>
      </c>
      <c r="S28" s="48">
        <f ca="1">AK23/Investment*100</f>
        <v>285.11887859679842</v>
      </c>
      <c r="T28" s="49">
        <f ca="1">EXP(y_inter3-(slope*LN(S28)))</f>
        <v>7.5244058557386673</v>
      </c>
      <c r="U28" s="50">
        <f ca="1">(+S28*T28/100)/100</f>
        <v>0.21453501596953925</v>
      </c>
      <c r="V28" s="50">
        <f>regDebt_weighted</f>
        <v>3.5860000000000003E-2</v>
      </c>
      <c r="W28" s="50">
        <f ca="1">+U28-V28</f>
        <v>0.17867501596953925</v>
      </c>
      <c r="X28" s="50">
        <f ca="1">+((W28*(1-0.34))-Pfd_weighted)/Equity_percent</f>
        <v>0.32481253063923227</v>
      </c>
      <c r="Y28" s="50">
        <f>+Y27</f>
        <v>2.5000000000000001E-3</v>
      </c>
      <c r="Z28" s="50">
        <f ca="1">+X28+Y28</f>
        <v>0.32731253063923227</v>
      </c>
      <c r="AA28" s="50">
        <f ca="1">Z28*equityP</f>
        <v>0.19638751838353935</v>
      </c>
      <c r="AB28" s="50">
        <f ca="1">+AA28/(1-taxrate)</f>
        <v>0.24859179542220169</v>
      </c>
      <c r="AC28" s="50">
        <f>debtP*Debt_Rate</f>
        <v>1.6570222222287465E-2</v>
      </c>
      <c r="AD28" s="50">
        <f ca="1">+AC28+AB28</f>
        <v>0.26516201764448916</v>
      </c>
      <c r="AE28" s="50">
        <f ca="1">+AD28/(S28/100)</f>
        <v>9.3000512259824336E-2</v>
      </c>
      <c r="AF28" s="50">
        <f ca="1">1-AE28</f>
        <v>0.90699948774017569</v>
      </c>
      <c r="AG28" s="51">
        <f ca="1">expenses/(AF28)</f>
        <v>8239296.7791965753</v>
      </c>
      <c r="AH28" s="52">
        <f ca="1">+AG28-Revenue</f>
        <v>87569.135980350897</v>
      </c>
      <c r="AI28" s="53">
        <f ca="1">+AH28/$J$49</f>
        <v>99243.928759212271</v>
      </c>
      <c r="AJ28" s="53">
        <f ca="1">+AI28*$J$47</f>
        <v>2447.749489070934</v>
      </c>
      <c r="AK28" s="51">
        <f ca="1">ROUND(+AJ28+AG28,5)</f>
        <v>8241744.5286900001</v>
      </c>
    </row>
    <row r="29" spans="1:37" ht="16.5" thickTop="1">
      <c r="A29" s="1"/>
      <c r="B29" s="1"/>
      <c r="C29" s="1"/>
      <c r="D29" s="1"/>
      <c r="E29" s="1"/>
      <c r="F29" s="55">
        <f t="shared" si="0"/>
        <v>23</v>
      </c>
      <c r="G29" s="17"/>
      <c r="H29" s="17"/>
      <c r="I29" s="17"/>
      <c r="J29" s="17"/>
      <c r="K29" s="17"/>
      <c r="L29" s="17"/>
      <c r="M29" s="17"/>
      <c r="N29" s="17"/>
      <c r="O29" s="1"/>
      <c r="P29" s="1"/>
      <c r="R29" s="59">
        <v>4</v>
      </c>
      <c r="S29" s="48">
        <f ca="1">AK24/Investment*100</f>
        <v>285.11887859679842</v>
      </c>
      <c r="T29" s="64">
        <f ca="1">EXP(y_inter4-(slope*LN(S29)))</f>
        <v>7.5244058557386673</v>
      </c>
      <c r="U29" s="50">
        <f ca="1">(+S29*T29/100)/100</f>
        <v>0.21453501596953925</v>
      </c>
      <c r="V29" s="50">
        <f>regDebt_weighted</f>
        <v>3.5860000000000003E-2</v>
      </c>
      <c r="W29" s="50">
        <f ca="1">+U29-V29</f>
        <v>0.17867501596953925</v>
      </c>
      <c r="X29" s="50">
        <f ca="1">+((W29*(1-0.34))-Pfd_weighted)/Equity_percent</f>
        <v>0.32481253063923227</v>
      </c>
      <c r="Y29" s="50">
        <f>+Y28</f>
        <v>2.5000000000000001E-3</v>
      </c>
      <c r="Z29" s="50">
        <f ca="1">+X29+Y29</f>
        <v>0.32731253063923227</v>
      </c>
      <c r="AA29" s="50">
        <f ca="1">Z29*equityP</f>
        <v>0.19638751838353935</v>
      </c>
      <c r="AB29" s="50">
        <f ca="1">+AA29/(1-taxrate)</f>
        <v>0.24859179542220169</v>
      </c>
      <c r="AC29" s="50">
        <f>debtP*Debt_Rate</f>
        <v>1.6570222222287465E-2</v>
      </c>
      <c r="AD29" s="50">
        <f ca="1">+AC29+AB29</f>
        <v>0.26516201764448916</v>
      </c>
      <c r="AE29" s="50">
        <f ca="1">+AD29/(S29/100)</f>
        <v>9.3000512259824336E-2</v>
      </c>
      <c r="AF29" s="50">
        <f ca="1">1-AE29</f>
        <v>0.90699948774017569</v>
      </c>
      <c r="AG29" s="51">
        <f ca="1">expenses/(AF29)</f>
        <v>8239296.7791965753</v>
      </c>
      <c r="AH29" s="52">
        <f ca="1">+AG29-Revenue</f>
        <v>87569.135980350897</v>
      </c>
      <c r="AI29" s="53">
        <f ca="1">+AH29/$J$49</f>
        <v>99243.928759212271</v>
      </c>
      <c r="AJ29" s="53">
        <f ca="1">+AI29*$J$47</f>
        <v>2447.749489070934</v>
      </c>
      <c r="AK29" s="51">
        <f ca="1">ROUND(+AJ29+AG29,5)</f>
        <v>8241744.5286900001</v>
      </c>
    </row>
    <row r="30" spans="1:37" ht="15.75">
      <c r="A30" s="1"/>
      <c r="B30" s="1"/>
      <c r="C30" s="1"/>
      <c r="D30" s="102"/>
      <c r="E30" s="1"/>
      <c r="F30" s="55">
        <f t="shared" si="0"/>
        <v>24</v>
      </c>
      <c r="G30" s="17"/>
      <c r="H30" s="17"/>
      <c r="I30" s="17"/>
      <c r="J30" s="103" t="s">
        <v>94</v>
      </c>
      <c r="K30" s="103" t="s">
        <v>95</v>
      </c>
      <c r="L30" s="17"/>
      <c r="M30" s="17"/>
      <c r="N30" s="17"/>
      <c r="O30" s="1"/>
      <c r="P30" s="1"/>
      <c r="R30" s="20" t="s">
        <v>96</v>
      </c>
      <c r="W30" s="94"/>
      <c r="X30" s="95"/>
      <c r="Z30" s="95"/>
      <c r="AA30" s="49"/>
      <c r="AB30" s="49"/>
      <c r="AC30" s="95"/>
      <c r="AE30" s="95"/>
      <c r="AF30" s="95"/>
      <c r="AG30" s="49"/>
      <c r="AH30" s="94"/>
      <c r="AJ30" s="49"/>
    </row>
    <row r="31" spans="1:37" ht="15.75">
      <c r="A31" s="1"/>
      <c r="B31" s="1"/>
      <c r="C31" s="1"/>
      <c r="D31" s="102"/>
      <c r="E31" s="1"/>
      <c r="F31" s="55">
        <f t="shared" si="0"/>
        <v>25</v>
      </c>
      <c r="G31" s="17"/>
      <c r="H31" s="104" t="s">
        <v>97</v>
      </c>
      <c r="I31" s="105"/>
      <c r="J31" s="106" t="s">
        <v>98</v>
      </c>
      <c r="K31" s="106" t="s">
        <v>98</v>
      </c>
      <c r="L31" s="366"/>
      <c r="M31" s="366"/>
      <c r="N31" s="366"/>
      <c r="O31" s="1"/>
      <c r="P31" s="1"/>
      <c r="R31" s="37">
        <v>1</v>
      </c>
      <c r="S31" s="38">
        <f ca="1">AK26/Investment*100</f>
        <v>285.11887897802961</v>
      </c>
      <c r="T31" s="39">
        <f ca="1">EXP(y_inter1-(slope*LN(+S31)))</f>
        <v>7.5244058527051401</v>
      </c>
      <c r="U31" s="40">
        <f ca="1">(+S31*T31/100)/100</f>
        <v>0.21453501616990148</v>
      </c>
      <c r="V31" s="40">
        <f>regDebt_weighted</f>
        <v>3.5860000000000003E-2</v>
      </c>
      <c r="W31" s="40">
        <f ca="1">+U31-V31</f>
        <v>0.17867501616990147</v>
      </c>
      <c r="X31" s="40">
        <f ca="1">+((W31*(1-0.34))-Pfd_weighted)/Equity_percent</f>
        <v>0.32481253102364815</v>
      </c>
      <c r="Y31" s="40">
        <f>+Y29</f>
        <v>2.5000000000000001E-3</v>
      </c>
      <c r="Z31" s="40">
        <f ca="1">+X31+Y31</f>
        <v>0.32731253102364816</v>
      </c>
      <c r="AA31" s="40">
        <f ca="1">Z31*equityP</f>
        <v>0.19638751861418888</v>
      </c>
      <c r="AB31" s="40">
        <f ca="1">+AA31/(1-taxrate)</f>
        <v>0.24859179571416312</v>
      </c>
      <c r="AC31" s="40">
        <f>debtP*Debt_Rate</f>
        <v>1.6570222222287465E-2</v>
      </c>
      <c r="AD31" s="40">
        <f ca="1">+AC31+AB31</f>
        <v>0.26516201793645061</v>
      </c>
      <c r="AE31" s="40">
        <f ca="1">+AD31/(S31/100)</f>
        <v>9.3000512237873645E-2</v>
      </c>
      <c r="AF31" s="40">
        <f ca="1">1-AE31</f>
        <v>0.90699948776212636</v>
      </c>
      <c r="AG31" s="41">
        <f ca="1">expenses/(AF31)</f>
        <v>8239296.7789971726</v>
      </c>
      <c r="AH31" s="42">
        <f ca="1">+AG31-Revenue</f>
        <v>87569.135780948214</v>
      </c>
      <c r="AI31" s="43">
        <f ca="1">+AH31/$J$49</f>
        <v>99243.928533225058</v>
      </c>
      <c r="AJ31" s="43">
        <f ca="1">+AI31*$J$47</f>
        <v>2447.7494834971917</v>
      </c>
      <c r="AK31" s="41">
        <f ca="1">ROUND(+AJ31+AG31,5)</f>
        <v>8241744.5284799999</v>
      </c>
    </row>
    <row r="32" spans="1:37" ht="15.75">
      <c r="A32" s="1"/>
      <c r="B32" s="1"/>
      <c r="C32" s="1"/>
      <c r="D32" s="102"/>
      <c r="E32" s="1"/>
      <c r="F32" s="55">
        <f t="shared" si="0"/>
        <v>26</v>
      </c>
      <c r="G32" s="17"/>
      <c r="H32" s="28"/>
      <c r="I32" s="28"/>
      <c r="J32" s="28"/>
      <c r="K32" s="28"/>
      <c r="L32" s="17"/>
      <c r="M32" s="17"/>
      <c r="N32" s="17"/>
      <c r="O32" s="1"/>
      <c r="P32" s="1"/>
      <c r="R32" s="47">
        <v>2</v>
      </c>
      <c r="S32" s="48">
        <f ca="1">AK27/Investment*100</f>
        <v>285.11887897802961</v>
      </c>
      <c r="T32" s="61">
        <f ca="1">EXP(y_inter2-(slope*LN(+S32)))</f>
        <v>7.5244058527051401</v>
      </c>
      <c r="U32" s="50">
        <f ca="1">(+S32*T32/100)/100</f>
        <v>0.21453501616990148</v>
      </c>
      <c r="V32" s="50">
        <f>regDebt_weighted</f>
        <v>3.5860000000000003E-2</v>
      </c>
      <c r="W32" s="50">
        <f ca="1">+U32-V32</f>
        <v>0.17867501616990147</v>
      </c>
      <c r="X32" s="50">
        <f ca="1">+((W32*(1-0.34))-Pfd_weighted)/Equity_percent</f>
        <v>0.32481253102364815</v>
      </c>
      <c r="Y32" s="50">
        <f>+Y31</f>
        <v>2.5000000000000001E-3</v>
      </c>
      <c r="Z32" s="50">
        <f ca="1">+X32+Y32</f>
        <v>0.32731253102364816</v>
      </c>
      <c r="AA32" s="50">
        <f ca="1">Z32*equityP</f>
        <v>0.19638751861418888</v>
      </c>
      <c r="AB32" s="50">
        <f ca="1">+AA32/(1-taxrate)</f>
        <v>0.24859179571416312</v>
      </c>
      <c r="AC32" s="50">
        <f>debtP*Debt_Rate</f>
        <v>1.6570222222287465E-2</v>
      </c>
      <c r="AD32" s="50">
        <f ca="1">+AC32+AB32</f>
        <v>0.26516201793645061</v>
      </c>
      <c r="AE32" s="50">
        <f ca="1">+AD32/(S32/100)</f>
        <v>9.3000512237873645E-2</v>
      </c>
      <c r="AF32" s="50">
        <f ca="1">1-AE32</f>
        <v>0.90699948776212636</v>
      </c>
      <c r="AG32" s="51">
        <f ca="1">expenses/(AF32)</f>
        <v>8239296.7789971726</v>
      </c>
      <c r="AH32" s="52">
        <f ca="1">+AG32-Revenue</f>
        <v>87569.135780948214</v>
      </c>
      <c r="AI32" s="53">
        <f ca="1">+AH32/$J$49</f>
        <v>99243.928533225058</v>
      </c>
      <c r="AJ32" s="53">
        <f ca="1">+AI32*$J$47</f>
        <v>2447.7494834971917</v>
      </c>
      <c r="AK32" s="51">
        <f ca="1">ROUND(+AJ32+AG32,5)</f>
        <v>8241744.5284799999</v>
      </c>
    </row>
    <row r="33" spans="1:48" ht="15.75">
      <c r="A33" s="1"/>
      <c r="B33" s="1"/>
      <c r="C33" s="1"/>
      <c r="D33" s="1"/>
      <c r="E33" s="1"/>
      <c r="F33" s="55">
        <f t="shared" si="0"/>
        <v>27</v>
      </c>
      <c r="G33" s="17"/>
      <c r="H33" s="28" t="s">
        <v>99</v>
      </c>
      <c r="I33" s="28"/>
      <c r="J33" s="107">
        <f ca="1">+K9/J28</f>
        <v>0.26508479922032824</v>
      </c>
      <c r="K33" s="107">
        <f ca="1">+(M14+M11)/J28</f>
        <v>0.21289673805073964</v>
      </c>
      <c r="L33" s="45"/>
      <c r="M33" s="45"/>
      <c r="N33" s="46"/>
      <c r="O33" s="1"/>
      <c r="P33" s="1"/>
      <c r="R33" s="56">
        <v>3</v>
      </c>
      <c r="S33" s="48">
        <f ca="1">AK28/Investment*100</f>
        <v>285.11887897802961</v>
      </c>
      <c r="T33" s="49">
        <f ca="1">EXP(y_inter3-(slope*LN(S33)))</f>
        <v>7.5244058527051401</v>
      </c>
      <c r="U33" s="50">
        <f ca="1">(+S33*T33/100)/100</f>
        <v>0.21453501616990148</v>
      </c>
      <c r="V33" s="50">
        <f>regDebt_weighted</f>
        <v>3.5860000000000003E-2</v>
      </c>
      <c r="W33" s="50">
        <f ca="1">+U33-V33</f>
        <v>0.17867501616990147</v>
      </c>
      <c r="X33" s="50">
        <f ca="1">+((W33*(1-0.34))-Pfd_weighted)/Equity_percent</f>
        <v>0.32481253102364815</v>
      </c>
      <c r="Y33" s="50">
        <f>+Y32</f>
        <v>2.5000000000000001E-3</v>
      </c>
      <c r="Z33" s="50">
        <f ca="1">+X33+Y33</f>
        <v>0.32731253102364816</v>
      </c>
      <c r="AA33" s="50">
        <f ca="1">Z33*equityP</f>
        <v>0.19638751861418888</v>
      </c>
      <c r="AB33" s="50">
        <f ca="1">+AA33/(1-taxrate)</f>
        <v>0.24859179571416312</v>
      </c>
      <c r="AC33" s="50">
        <f>debtP*Debt_Rate</f>
        <v>1.6570222222287465E-2</v>
      </c>
      <c r="AD33" s="50">
        <f ca="1">+AC33+AB33</f>
        <v>0.26516201793645061</v>
      </c>
      <c r="AE33" s="50">
        <f ca="1">+AD33/(S33/100)</f>
        <v>9.3000512237873645E-2</v>
      </c>
      <c r="AF33" s="50">
        <f ca="1">1-AE33</f>
        <v>0.90699948776212636</v>
      </c>
      <c r="AG33" s="51">
        <f ca="1">expenses/(AF33)</f>
        <v>8239296.7789971726</v>
      </c>
      <c r="AH33" s="52">
        <f ca="1">+AG33-Revenue</f>
        <v>87569.135780948214</v>
      </c>
      <c r="AI33" s="53">
        <f ca="1">+AH33/$J$49</f>
        <v>99243.928533225058</v>
      </c>
      <c r="AJ33" s="53">
        <f ca="1">+AI33*$J$47</f>
        <v>2447.7494834971917</v>
      </c>
      <c r="AK33" s="51">
        <f ca="1">ROUND(+AJ33+AG33,5)</f>
        <v>8241744.5284799999</v>
      </c>
    </row>
    <row r="34" spans="1:48" ht="15.75">
      <c r="A34" s="1"/>
      <c r="B34" s="1"/>
      <c r="C34" s="1"/>
      <c r="D34" s="1"/>
      <c r="E34" s="1"/>
      <c r="F34" s="55">
        <f t="shared" si="0"/>
        <v>28</v>
      </c>
      <c r="G34" s="17"/>
      <c r="H34" s="28" t="s">
        <v>100</v>
      </c>
      <c r="I34" s="28"/>
      <c r="J34" s="107">
        <f ca="1">+(M9-M11)/J26</f>
        <v>0.4141909616634013</v>
      </c>
      <c r="K34" s="107">
        <f ca="1">+M14/J26</f>
        <v>0.32721085971408698</v>
      </c>
      <c r="L34" s="45"/>
      <c r="M34" s="45"/>
      <c r="N34" s="46"/>
      <c r="O34" s="108"/>
      <c r="P34" s="1"/>
      <c r="R34" s="59">
        <v>4</v>
      </c>
      <c r="S34" s="48">
        <f ca="1">AK29/Investment*100</f>
        <v>285.11887897802961</v>
      </c>
      <c r="T34" s="64">
        <f ca="1">EXP(y_inter4-(slope*LN(S34)))</f>
        <v>7.5244058527051401</v>
      </c>
      <c r="U34" s="50">
        <f ca="1">(+S34*T34/100)/100</f>
        <v>0.21453501616990148</v>
      </c>
      <c r="V34" s="50">
        <f>regDebt_weighted</f>
        <v>3.5860000000000003E-2</v>
      </c>
      <c r="W34" s="50">
        <f ca="1">+U34-V34</f>
        <v>0.17867501616990147</v>
      </c>
      <c r="X34" s="50">
        <f ca="1">+((W34*(1-0.34))-Pfd_weighted)/Equity_percent</f>
        <v>0.32481253102364815</v>
      </c>
      <c r="Y34" s="50">
        <f>+Y33</f>
        <v>2.5000000000000001E-3</v>
      </c>
      <c r="Z34" s="50">
        <f ca="1">+X34+Y34</f>
        <v>0.32731253102364816</v>
      </c>
      <c r="AA34" s="50">
        <f ca="1">Z34*equityP</f>
        <v>0.19638751861418888</v>
      </c>
      <c r="AB34" s="50">
        <f ca="1">+AA34/(1-taxrate)</f>
        <v>0.24859179571416312</v>
      </c>
      <c r="AC34" s="50">
        <f>debtP*Debt_Rate</f>
        <v>1.6570222222287465E-2</v>
      </c>
      <c r="AD34" s="50">
        <f ca="1">+AC34+AB34</f>
        <v>0.26516201793645061</v>
      </c>
      <c r="AE34" s="50">
        <f ca="1">+AD34/(S34/100)</f>
        <v>9.3000512237873645E-2</v>
      </c>
      <c r="AF34" s="50">
        <f ca="1">1-AE34</f>
        <v>0.90699948776212636</v>
      </c>
      <c r="AG34" s="51">
        <f ca="1">expenses/(AF34)</f>
        <v>8239296.7789971726</v>
      </c>
      <c r="AH34" s="52">
        <f ca="1">+AG34-Revenue</f>
        <v>87569.135780948214</v>
      </c>
      <c r="AI34" s="53">
        <f ca="1">+AH34/$J$49</f>
        <v>99243.928533225058</v>
      </c>
      <c r="AJ34" s="53">
        <f ca="1">+AI34*$J$47</f>
        <v>2447.7494834971917</v>
      </c>
      <c r="AK34" s="51">
        <f ca="1">ROUND(+AJ34+AG34,5)</f>
        <v>8241744.5284799999</v>
      </c>
    </row>
    <row r="35" spans="1:48" ht="15.75">
      <c r="A35" s="1"/>
      <c r="B35" s="1"/>
      <c r="C35" s="1"/>
      <c r="D35" s="1"/>
      <c r="E35" s="1"/>
      <c r="F35" s="55">
        <f t="shared" si="0"/>
        <v>29</v>
      </c>
      <c r="G35" s="17"/>
      <c r="H35" s="109" t="s">
        <v>45</v>
      </c>
      <c r="I35" s="28"/>
      <c r="J35" s="107">
        <f ca="1">+K8/K7</f>
        <v>0.906999</v>
      </c>
      <c r="K35" s="107">
        <f ca="1">+M8/M7</f>
        <v>0.90702662213043495</v>
      </c>
      <c r="L35" s="45"/>
      <c r="M35" s="45"/>
      <c r="N35" s="46"/>
      <c r="O35" s="1"/>
      <c r="P35" s="1"/>
      <c r="R35" s="20" t="s">
        <v>101</v>
      </c>
      <c r="X35" s="95"/>
      <c r="Y35" s="95"/>
      <c r="Z35" s="95"/>
      <c r="AA35" s="110"/>
      <c r="AB35" s="49"/>
      <c r="AC35" s="95"/>
      <c r="AE35" s="95"/>
      <c r="AF35" s="95"/>
      <c r="AG35" s="49"/>
      <c r="AH35" s="94"/>
      <c r="AJ35" s="49"/>
    </row>
    <row r="36" spans="1:48" ht="15.75">
      <c r="A36" s="1"/>
      <c r="B36" s="1"/>
      <c r="C36" s="1"/>
      <c r="D36" s="1"/>
      <c r="E36" s="1"/>
      <c r="F36" s="55">
        <f t="shared" si="0"/>
        <v>30</v>
      </c>
      <c r="G36" s="17"/>
      <c r="H36" s="28" t="s">
        <v>102</v>
      </c>
      <c r="I36" s="28"/>
      <c r="J36" s="107">
        <f ca="1">+K9/K7</f>
        <v>9.3000999999999973E-2</v>
      </c>
      <c r="K36" s="107">
        <f ca="1">+J36</f>
        <v>9.3000999999999973E-2</v>
      </c>
      <c r="L36" s="17"/>
      <c r="M36" s="17"/>
      <c r="N36" s="46"/>
      <c r="O36" s="1"/>
      <c r="P36" s="1"/>
      <c r="R36" s="37">
        <v>1</v>
      </c>
      <c r="S36" s="38">
        <f ca="1">AK31/Investment*100</f>
        <v>285.1188789707648</v>
      </c>
      <c r="T36" s="39">
        <f ca="1">EXP(y_inter1-(slope*LN(+S36)))</f>
        <v>7.524405852762948</v>
      </c>
      <c r="U36" s="40">
        <f ca="1">(+S36*T36/100)/100</f>
        <v>0.21453501616608331</v>
      </c>
      <c r="V36" s="40">
        <f>regDebt_weighted</f>
        <v>3.5860000000000003E-2</v>
      </c>
      <c r="W36" s="40">
        <f ca="1">+U36-V36</f>
        <v>0.17867501616608331</v>
      </c>
      <c r="X36" s="40">
        <f ca="1">+((W36*(1-0.34))-Pfd_weighted)/Equity_percent</f>
        <v>0.32481253101632263</v>
      </c>
      <c r="Y36" s="40">
        <f>+Y34</f>
        <v>2.5000000000000001E-3</v>
      </c>
      <c r="Z36" s="40">
        <f ca="1">+X36+Y36</f>
        <v>0.32731253101632263</v>
      </c>
      <c r="AA36" s="40">
        <f ca="1">Z36*equityP</f>
        <v>0.19638751860979356</v>
      </c>
      <c r="AB36" s="40">
        <f ca="1">+AA36/(1-taxrate)</f>
        <v>0.24859179570859943</v>
      </c>
      <c r="AC36" s="40">
        <f>debtP*Debt_Rate</f>
        <v>1.6570222222287465E-2</v>
      </c>
      <c r="AD36" s="40">
        <f ca="1">+AC36+AB36</f>
        <v>0.2651620179308869</v>
      </c>
      <c r="AE36" s="40">
        <f ca="1">+AD36/(S36/100)</f>
        <v>9.3000512238291949E-2</v>
      </c>
      <c r="AF36" s="40">
        <f ca="1">1-AE36</f>
        <v>0.90699948776170802</v>
      </c>
      <c r="AG36" s="41">
        <f ca="1">expenses/(AF36)</f>
        <v>8239296.7790009733</v>
      </c>
      <c r="AH36" s="42">
        <f ca="1">+AG36-Revenue</f>
        <v>87569.135784748942</v>
      </c>
      <c r="AI36" s="43">
        <f ca="1">+AH36/$J$49</f>
        <v>99243.928537532498</v>
      </c>
      <c r="AJ36" s="43">
        <f ca="1">+AI36*$J$47</f>
        <v>2447.7494836034302</v>
      </c>
      <c r="AK36" s="41">
        <f ca="1">ROUND(+AJ36+AG36,5)</f>
        <v>8241744.5284799999</v>
      </c>
    </row>
    <row r="37" spans="1:48" ht="15.75">
      <c r="A37" s="1"/>
      <c r="B37" s="1"/>
      <c r="C37" s="1"/>
      <c r="D37" s="31"/>
      <c r="E37" s="1"/>
      <c r="F37" s="55">
        <f t="shared" si="0"/>
        <v>31</v>
      </c>
      <c r="G37" s="17"/>
      <c r="H37" s="28" t="s">
        <v>103</v>
      </c>
      <c r="I37" s="111"/>
      <c r="J37" s="112">
        <f ca="1">+S39/100</f>
        <v>2.8511887897076478</v>
      </c>
      <c r="K37" s="112">
        <f ca="1">+J37</f>
        <v>2.8511887897076478</v>
      </c>
      <c r="L37" s="17"/>
      <c r="M37" s="17"/>
      <c r="N37" s="17"/>
      <c r="O37" s="1"/>
      <c r="P37" s="1"/>
      <c r="R37" s="47">
        <v>2</v>
      </c>
      <c r="S37" s="48">
        <f ca="1">AK32/Investment*100</f>
        <v>285.1188789707648</v>
      </c>
      <c r="T37" s="61">
        <f ca="1">EXP(y_inter2-(slope*LN(+S37)))</f>
        <v>7.524405852762948</v>
      </c>
      <c r="U37" s="50">
        <f ca="1">(+S37*T37/100)/100</f>
        <v>0.21453501616608331</v>
      </c>
      <c r="V37" s="50">
        <f>regDebt_weighted</f>
        <v>3.5860000000000003E-2</v>
      </c>
      <c r="W37" s="50">
        <f ca="1">+U37-V37</f>
        <v>0.17867501616608331</v>
      </c>
      <c r="X37" s="50">
        <f ca="1">+((W37*(1-0.34))-Pfd_weighted)/Equity_percent</f>
        <v>0.32481253101632263</v>
      </c>
      <c r="Y37" s="50">
        <f>+Y36</f>
        <v>2.5000000000000001E-3</v>
      </c>
      <c r="Z37" s="50">
        <f ca="1">+X37+Y37</f>
        <v>0.32731253101632263</v>
      </c>
      <c r="AA37" s="50">
        <f ca="1">Z37*equityP</f>
        <v>0.19638751860979356</v>
      </c>
      <c r="AB37" s="50">
        <f ca="1">+AA37/(1-taxrate)</f>
        <v>0.24859179570859943</v>
      </c>
      <c r="AC37" s="50">
        <f>debtP*Debt_Rate</f>
        <v>1.6570222222287465E-2</v>
      </c>
      <c r="AD37" s="50">
        <f ca="1">+AC37+AB37</f>
        <v>0.2651620179308869</v>
      </c>
      <c r="AE37" s="50">
        <f ca="1">+AD37/(S37/100)</f>
        <v>9.3000512238291949E-2</v>
      </c>
      <c r="AF37" s="50">
        <f ca="1">1-AE37</f>
        <v>0.90699948776170802</v>
      </c>
      <c r="AG37" s="51">
        <f ca="1">expenses/(AF37)</f>
        <v>8239296.7790009733</v>
      </c>
      <c r="AH37" s="52">
        <f ca="1">+AG37-Revenue</f>
        <v>87569.135784748942</v>
      </c>
      <c r="AI37" s="53">
        <f ca="1">+AH37/$J$49</f>
        <v>99243.928537532498</v>
      </c>
      <c r="AJ37" s="53">
        <f ca="1">+AI37*$J$47</f>
        <v>2447.7494836034302</v>
      </c>
      <c r="AK37" s="51">
        <f ca="1">ROUND(+AJ37+AG37,5)</f>
        <v>8241744.5284799999</v>
      </c>
    </row>
    <row r="38" spans="1:48" ht="15.75">
      <c r="A38" s="1"/>
      <c r="B38" s="1"/>
      <c r="C38" s="1"/>
      <c r="D38" s="31"/>
      <c r="E38" s="1"/>
      <c r="F38" s="55">
        <f t="shared" si="0"/>
        <v>32</v>
      </c>
      <c r="G38" s="17"/>
      <c r="H38" s="28" t="s">
        <v>104</v>
      </c>
      <c r="I38" s="17"/>
      <c r="J38" s="107">
        <f>+C10</f>
        <v>0.21</v>
      </c>
      <c r="K38" s="107">
        <f>+J38</f>
        <v>0.21</v>
      </c>
      <c r="L38" s="17"/>
      <c r="M38" s="17"/>
      <c r="N38" s="17"/>
      <c r="O38" s="1"/>
      <c r="P38" s="1"/>
      <c r="Q38" s="113"/>
      <c r="R38" s="56">
        <v>3</v>
      </c>
      <c r="S38" s="48">
        <f ca="1">AK33/Investment*100</f>
        <v>285.1188789707648</v>
      </c>
      <c r="T38" s="49">
        <f ca="1">EXP(y_inter3-(slope*LN(S38)))</f>
        <v>7.524405852762948</v>
      </c>
      <c r="U38" s="50">
        <f ca="1">(+S38*T38/100)/100</f>
        <v>0.21453501616608331</v>
      </c>
      <c r="V38" s="50">
        <f>regDebt_weighted</f>
        <v>3.5860000000000003E-2</v>
      </c>
      <c r="W38" s="50">
        <f ca="1">+U38-V38</f>
        <v>0.17867501616608331</v>
      </c>
      <c r="X38" s="50">
        <f ca="1">+((W38*(1-0.34))-Pfd_weighted)/Equity_percent</f>
        <v>0.32481253101632263</v>
      </c>
      <c r="Y38" s="50">
        <f>+Y37</f>
        <v>2.5000000000000001E-3</v>
      </c>
      <c r="Z38" s="50">
        <f ca="1">+X38+Y38</f>
        <v>0.32731253101632263</v>
      </c>
      <c r="AA38" s="50">
        <f ca="1">Z38*equityP</f>
        <v>0.19638751860979356</v>
      </c>
      <c r="AB38" s="50">
        <f ca="1">+AA38/(1-taxrate)</f>
        <v>0.24859179570859943</v>
      </c>
      <c r="AC38" s="50">
        <f>debtP*Debt_Rate</f>
        <v>1.6570222222287465E-2</v>
      </c>
      <c r="AD38" s="50">
        <f ca="1">+AC38+AB38</f>
        <v>0.2651620179308869</v>
      </c>
      <c r="AE38" s="50">
        <f ca="1">+AD38/(S38/100)</f>
        <v>9.3000512238291949E-2</v>
      </c>
      <c r="AF38" s="50">
        <f ca="1">1-AE38</f>
        <v>0.90699948776170802</v>
      </c>
      <c r="AG38" s="51">
        <f ca="1">expenses/(AF38)</f>
        <v>8239296.7790009733</v>
      </c>
      <c r="AH38" s="52">
        <f ca="1">+AG38-Revenue</f>
        <v>87569.135784748942</v>
      </c>
      <c r="AI38" s="53">
        <f ca="1">+AH38/$J$49</f>
        <v>99243.928537532498</v>
      </c>
      <c r="AJ38" s="53">
        <f ca="1">+AI38*$J$47</f>
        <v>2447.7494836034302</v>
      </c>
      <c r="AK38" s="51">
        <f ca="1">ROUND(+AJ38+AG38,5)</f>
        <v>8241744.5284799999</v>
      </c>
    </row>
    <row r="39" spans="1:48" ht="15.75">
      <c r="A39" s="1"/>
      <c r="B39" s="1"/>
      <c r="C39" s="1"/>
      <c r="D39" s="102"/>
      <c r="E39" s="1"/>
      <c r="F39" s="55">
        <f t="shared" si="0"/>
        <v>33</v>
      </c>
      <c r="G39" s="17"/>
      <c r="H39" s="17"/>
      <c r="I39" s="17"/>
      <c r="J39" s="17"/>
      <c r="K39" s="17"/>
      <c r="L39" s="17"/>
      <c r="M39" s="17"/>
      <c r="N39" s="17"/>
      <c r="O39" s="1"/>
      <c r="P39" s="1"/>
      <c r="R39" s="59">
        <v>4</v>
      </c>
      <c r="S39" s="48">
        <f ca="1">AK34/Investment*100</f>
        <v>285.1188789707648</v>
      </c>
      <c r="T39" s="64">
        <f ca="1">EXP(y_inter4-(slope*LN(S39)))</f>
        <v>7.524405852762948</v>
      </c>
      <c r="U39" s="50">
        <f ca="1">(+S39*T39/100)/100</f>
        <v>0.21453501616608331</v>
      </c>
      <c r="V39" s="50">
        <f>regDebt_weighted</f>
        <v>3.5860000000000003E-2</v>
      </c>
      <c r="W39" s="50">
        <f ca="1">+U39-V39</f>
        <v>0.17867501616608331</v>
      </c>
      <c r="X39" s="50">
        <f ca="1">+((W39*(1-0.34))-Pfd_weighted)/Equity_percent</f>
        <v>0.32481253101632263</v>
      </c>
      <c r="Y39" s="50">
        <f>+Y38</f>
        <v>2.5000000000000001E-3</v>
      </c>
      <c r="Z39" s="50">
        <f ca="1">+X39+Y39</f>
        <v>0.32731253101632263</v>
      </c>
      <c r="AA39" s="50">
        <f ca="1">Z39*equityP</f>
        <v>0.19638751860979356</v>
      </c>
      <c r="AB39" s="50">
        <f ca="1">+AA39/(1-taxrate)</f>
        <v>0.24859179570859943</v>
      </c>
      <c r="AC39" s="50">
        <f>debtP*Debt_Rate</f>
        <v>1.6570222222287465E-2</v>
      </c>
      <c r="AD39" s="50">
        <f ca="1">+AC39+AB39</f>
        <v>0.2651620179308869</v>
      </c>
      <c r="AE39" s="50">
        <f ca="1">+AD39/(S39/100)</f>
        <v>9.3000512238291949E-2</v>
      </c>
      <c r="AF39" s="50">
        <f ca="1">1-AE39</f>
        <v>0.90699948776170802</v>
      </c>
      <c r="AG39" s="51">
        <f ca="1">expenses/(AF39)</f>
        <v>8239296.7790009733</v>
      </c>
      <c r="AH39" s="52">
        <f ca="1">+AG39-Revenue</f>
        <v>87569.135784748942</v>
      </c>
      <c r="AI39" s="53">
        <f ca="1">+AH39/$J$49</f>
        <v>99243.928537532498</v>
      </c>
      <c r="AJ39" s="53">
        <f ca="1">+AI39*$J$47</f>
        <v>2447.7494836034302</v>
      </c>
      <c r="AK39" s="51">
        <f ca="1">ROUND(+AJ39+AG39,5)</f>
        <v>8241744.5284799999</v>
      </c>
    </row>
    <row r="40" spans="1:48" ht="15.75">
      <c r="A40" s="1"/>
      <c r="B40" s="1"/>
      <c r="C40" s="1"/>
      <c r="D40" s="1"/>
      <c r="E40" s="1"/>
      <c r="F40" s="55">
        <f t="shared" si="0"/>
        <v>34</v>
      </c>
      <c r="G40" s="111"/>
      <c r="H40" s="17"/>
      <c r="I40" s="17"/>
      <c r="J40" s="17"/>
      <c r="K40" s="17"/>
      <c r="L40" s="17"/>
      <c r="M40" s="17"/>
      <c r="N40" s="17"/>
      <c r="O40" s="1"/>
      <c r="P40" s="1"/>
      <c r="X40" s="95"/>
      <c r="Y40" s="95"/>
      <c r="Z40" s="95"/>
      <c r="AA40" s="110"/>
      <c r="AB40" s="49"/>
      <c r="AC40" s="95"/>
      <c r="AE40" s="95"/>
      <c r="AF40" s="95"/>
      <c r="AG40" s="49"/>
      <c r="AH40" s="94"/>
      <c r="AJ40" s="49"/>
    </row>
    <row r="41" spans="1:48" ht="15.75">
      <c r="A41" s="1"/>
      <c r="B41" s="1"/>
      <c r="C41" s="1"/>
      <c r="D41" s="1"/>
      <c r="E41" s="1"/>
      <c r="F41" s="55">
        <f t="shared" si="0"/>
        <v>35</v>
      </c>
      <c r="G41" s="17"/>
      <c r="H41" s="104" t="s">
        <v>105</v>
      </c>
      <c r="I41" s="114"/>
      <c r="J41" s="17"/>
      <c r="K41" s="17"/>
      <c r="L41" s="17"/>
      <c r="M41" s="17"/>
      <c r="N41" s="17"/>
      <c r="O41" s="1"/>
      <c r="P41" s="1"/>
      <c r="R41" s="115" t="s">
        <v>106</v>
      </c>
      <c r="S41" s="116"/>
      <c r="T41" s="72"/>
      <c r="U41" s="72"/>
      <c r="V41" s="73"/>
      <c r="X41" s="117"/>
      <c r="Y41" s="117"/>
      <c r="Z41" s="117"/>
      <c r="AA41" s="110"/>
      <c r="AB41" s="49"/>
      <c r="AC41" s="95"/>
      <c r="AE41" s="95"/>
      <c r="AF41" s="95"/>
      <c r="AG41" s="49"/>
      <c r="AH41" s="94"/>
      <c r="AJ41" s="49"/>
    </row>
    <row r="42" spans="1:48" ht="15.75">
      <c r="A42" s="1"/>
      <c r="B42" s="1"/>
      <c r="C42" s="1"/>
      <c r="D42" s="1"/>
      <c r="E42" s="1"/>
      <c r="F42" s="55">
        <f t="shared" si="0"/>
        <v>36</v>
      </c>
      <c r="G42" s="17"/>
      <c r="H42" s="17"/>
      <c r="I42" s="17"/>
      <c r="J42" s="118" t="s">
        <v>107</v>
      </c>
      <c r="K42" s="119" t="s">
        <v>46</v>
      </c>
      <c r="L42" s="17"/>
      <c r="M42" s="17"/>
      <c r="N42" s="17"/>
      <c r="O42" s="1"/>
      <c r="P42" s="1"/>
      <c r="R42" s="120" t="s">
        <v>108</v>
      </c>
      <c r="S42" s="121"/>
      <c r="V42" s="122"/>
      <c r="X42" s="95"/>
      <c r="Y42" s="95"/>
      <c r="Z42" s="95"/>
      <c r="AA42" s="110"/>
      <c r="AB42" s="49"/>
      <c r="AC42" s="95"/>
      <c r="AE42" s="95"/>
      <c r="AF42" s="95"/>
      <c r="AG42" s="49"/>
      <c r="AJ42" s="49"/>
    </row>
    <row r="43" spans="1:48" ht="15.75">
      <c r="A43" s="1"/>
      <c r="B43" s="1"/>
      <c r="C43" s="1"/>
      <c r="D43" s="1"/>
      <c r="E43" s="1"/>
      <c r="F43" s="55">
        <f t="shared" si="0"/>
        <v>37</v>
      </c>
      <c r="G43" s="17"/>
      <c r="H43" s="28" t="s">
        <v>109</v>
      </c>
      <c r="I43" s="123"/>
      <c r="J43" s="124">
        <f>IF(A64=TRUE,C11,0)</f>
        <v>1.7500000000000002E-2</v>
      </c>
      <c r="K43" s="125">
        <f ca="1">+J43*($J$7/$J$49)</f>
        <v>1736.8566277728494</v>
      </c>
      <c r="L43" s="17"/>
      <c r="M43" s="17"/>
      <c r="N43" s="17"/>
      <c r="O43" s="1"/>
      <c r="P43" s="1"/>
      <c r="R43" s="56">
        <v>0</v>
      </c>
      <c r="S43" s="126">
        <v>1</v>
      </c>
      <c r="U43" s="127" t="s">
        <v>102</v>
      </c>
      <c r="V43" s="128">
        <f ca="1">VLOOKUP(R48,R36:AG39,14)</f>
        <v>9.3000512238291949E-2</v>
      </c>
      <c r="AC43" s="95"/>
      <c r="AE43" s="95"/>
      <c r="AJ43" s="49"/>
      <c r="AN43" s="95"/>
      <c r="AO43" s="95"/>
      <c r="AP43" s="95"/>
      <c r="AQ43" s="95"/>
      <c r="AR43" s="95"/>
      <c r="AS43" s="95"/>
      <c r="AT43" s="95"/>
      <c r="AU43" s="95"/>
      <c r="AV43" s="95"/>
    </row>
    <row r="44" spans="1:48" ht="15.75">
      <c r="A44" s="1"/>
      <c r="B44" s="1"/>
      <c r="C44" s="1"/>
      <c r="D44" s="1"/>
      <c r="E44" s="1"/>
      <c r="F44" s="55">
        <f t="shared" si="0"/>
        <v>38</v>
      </c>
      <c r="G44" s="17"/>
      <c r="H44" s="28" t="s">
        <v>110</v>
      </c>
      <c r="I44" s="123"/>
      <c r="J44" s="124">
        <f>IF(A64=TRUE,C12,0)</f>
        <v>5.1000000000000004E-3</v>
      </c>
      <c r="K44" s="125">
        <f ca="1">+J44*($J$7/$J$49)</f>
        <v>506.16964580808752</v>
      </c>
      <c r="L44" s="17"/>
      <c r="M44" s="17"/>
      <c r="N44" s="17"/>
      <c r="O44" s="1"/>
      <c r="P44" s="1"/>
      <c r="R44" s="56">
        <v>50</v>
      </c>
      <c r="S44" s="126">
        <v>2</v>
      </c>
      <c r="U44" s="127" t="s">
        <v>45</v>
      </c>
      <c r="V44" s="128">
        <f ca="1">ROUND(1-V43,6)</f>
        <v>0.906999</v>
      </c>
      <c r="AA44" s="129"/>
      <c r="AB44" s="20"/>
      <c r="AC44" s="20"/>
      <c r="AE44" s="95"/>
      <c r="AH44" s="94"/>
      <c r="AJ44" s="49"/>
      <c r="AN44" s="95"/>
      <c r="AO44" s="95"/>
      <c r="AP44" s="95"/>
      <c r="AQ44" s="95"/>
      <c r="AR44" s="95"/>
      <c r="AS44" s="95"/>
      <c r="AT44" s="95"/>
      <c r="AU44" s="95"/>
      <c r="AV44" s="95"/>
    </row>
    <row r="45" spans="1:48" ht="15.75">
      <c r="A45" s="1"/>
      <c r="B45" s="1"/>
      <c r="C45" s="1"/>
      <c r="D45" s="1"/>
      <c r="E45" s="1"/>
      <c r="F45" s="55">
        <f t="shared" si="0"/>
        <v>39</v>
      </c>
      <c r="G45" s="17"/>
      <c r="H45" s="28" t="s">
        <v>111</v>
      </c>
      <c r="I45" s="123"/>
      <c r="J45" s="124">
        <f>IF(A64=TRUE,C13,0)</f>
        <v>0</v>
      </c>
      <c r="K45" s="125">
        <f ca="1">+J45*($J$7/$J$49)</f>
        <v>0</v>
      </c>
      <c r="L45" s="17"/>
      <c r="M45" s="17"/>
      <c r="N45" s="17"/>
      <c r="O45" s="1"/>
      <c r="P45" s="1"/>
      <c r="R45" s="56">
        <v>125</v>
      </c>
      <c r="S45" s="126">
        <v>3</v>
      </c>
      <c r="U45" s="11" t="s">
        <v>112</v>
      </c>
      <c r="V45" s="130">
        <f ca="1">+M7/Revenue-1</f>
        <v>1.1043234508346655E-2</v>
      </c>
      <c r="W45" s="53"/>
      <c r="X45" s="95"/>
      <c r="Y45" s="95"/>
      <c r="Z45" s="95"/>
      <c r="AA45" s="129"/>
      <c r="AB45" s="49"/>
      <c r="AC45" s="95"/>
      <c r="AE45" s="95"/>
      <c r="AF45" s="95"/>
      <c r="AG45" s="49"/>
      <c r="AH45" s="94"/>
      <c r="AJ45" s="49"/>
      <c r="AN45" s="95"/>
      <c r="AO45" s="95"/>
      <c r="AP45" s="95"/>
      <c r="AQ45" s="95"/>
      <c r="AR45" s="95"/>
      <c r="AS45" s="95"/>
      <c r="AT45" s="95"/>
      <c r="AU45" s="95"/>
      <c r="AV45" s="95"/>
    </row>
    <row r="46" spans="1:48" ht="15.75">
      <c r="A46" s="1"/>
      <c r="B46" s="1"/>
      <c r="C46" s="1"/>
      <c r="D46" s="1"/>
      <c r="E46" s="1"/>
      <c r="F46" s="55">
        <f t="shared" si="0"/>
        <v>40</v>
      </c>
      <c r="G46" s="17"/>
      <c r="H46" s="28" t="s">
        <v>113</v>
      </c>
      <c r="I46" s="123"/>
      <c r="J46" s="124">
        <f>IF(A64=TRUE,C14,0)</f>
        <v>2.0639720905216838E-3</v>
      </c>
      <c r="K46" s="125">
        <f ca="1">+J46*($J$7/$J$49)</f>
        <v>204.8470631406154</v>
      </c>
      <c r="L46" s="17"/>
      <c r="M46" s="17"/>
      <c r="N46" s="17"/>
      <c r="O46" s="1"/>
      <c r="P46" s="1"/>
      <c r="R46" s="59">
        <v>401</v>
      </c>
      <c r="S46" s="131">
        <v>4</v>
      </c>
      <c r="T46" s="82"/>
      <c r="U46" s="82"/>
      <c r="V46" s="85"/>
      <c r="X46" s="95"/>
      <c r="Y46" s="95"/>
      <c r="Z46" s="95"/>
      <c r="AA46" s="110"/>
      <c r="AB46" s="49"/>
      <c r="AC46" s="95"/>
      <c r="AE46" s="95"/>
      <c r="AF46" s="95"/>
      <c r="AG46" s="49"/>
      <c r="AH46" s="94"/>
      <c r="AJ46" s="49"/>
      <c r="AN46" s="95"/>
      <c r="AO46" s="95"/>
      <c r="AP46" s="95"/>
      <c r="AQ46" s="95"/>
      <c r="AR46" s="95"/>
      <c r="AS46" s="95"/>
      <c r="AT46" s="95"/>
      <c r="AU46" s="95"/>
      <c r="AV46" s="95"/>
    </row>
    <row r="47" spans="1:48" ht="16.5" thickBot="1">
      <c r="A47" s="1"/>
      <c r="B47" s="1"/>
      <c r="C47" s="1"/>
      <c r="D47" s="1"/>
      <c r="E47" s="1"/>
      <c r="F47" s="55">
        <f t="shared" si="0"/>
        <v>41</v>
      </c>
      <c r="G47" s="17"/>
      <c r="H47" s="28" t="s">
        <v>114</v>
      </c>
      <c r="I47" s="111"/>
      <c r="J47" s="132">
        <f>SUM(J43:J46)</f>
        <v>2.4663972090521687E-2</v>
      </c>
      <c r="K47" s="99">
        <f ca="1">+K43+K44+K45+K46</f>
        <v>2447.8733367215523</v>
      </c>
      <c r="L47" s="17"/>
      <c r="M47" s="17"/>
      <c r="N47" s="17"/>
      <c r="O47" s="1"/>
      <c r="P47" s="1"/>
      <c r="R47" s="38">
        <f ca="1">VLOOKUP(R48,R36:S39,2)</f>
        <v>285.1188789707648</v>
      </c>
      <c r="S47" s="133" t="s">
        <v>115</v>
      </c>
      <c r="T47" s="73"/>
      <c r="X47" s="11" t="s">
        <v>116</v>
      </c>
      <c r="AE47" s="95"/>
      <c r="AH47" s="94"/>
      <c r="AJ47" s="49"/>
    </row>
    <row r="48" spans="1:48" ht="16.5" thickTop="1">
      <c r="A48" s="1"/>
      <c r="B48" s="1"/>
      <c r="C48" s="1"/>
      <c r="D48" s="1"/>
      <c r="E48" s="1"/>
      <c r="F48" s="55">
        <f t="shared" si="0"/>
        <v>42</v>
      </c>
      <c r="G48" s="17"/>
      <c r="H48" s="17"/>
      <c r="I48" s="17"/>
      <c r="J48" s="134"/>
      <c r="K48" s="17"/>
      <c r="L48" s="17"/>
      <c r="M48" s="17"/>
      <c r="N48" s="17"/>
      <c r="O48" s="1"/>
      <c r="P48" s="1"/>
      <c r="R48" s="56">
        <f ca="1">VLOOKUP(S36,R43:S46,2)</f>
        <v>3</v>
      </c>
      <c r="S48" s="135" t="s">
        <v>117</v>
      </c>
      <c r="T48" s="122"/>
      <c r="X48" s="11" t="s">
        <v>118</v>
      </c>
      <c r="AC48" s="20"/>
      <c r="AE48" s="95"/>
      <c r="AJ48" s="49"/>
    </row>
    <row r="49" spans="1:48" ht="15.75">
      <c r="A49" s="1"/>
      <c r="B49" s="1"/>
      <c r="C49" s="1"/>
      <c r="D49" s="1"/>
      <c r="E49" s="1"/>
      <c r="F49" s="55">
        <f t="shared" si="0"/>
        <v>43</v>
      </c>
      <c r="G49" s="23"/>
      <c r="H49" s="28" t="s">
        <v>119</v>
      </c>
      <c r="I49" s="17"/>
      <c r="J49" s="107">
        <f ca="1">((K35)-J47)</f>
        <v>0.88236265003991321</v>
      </c>
      <c r="K49" s="17"/>
      <c r="L49" s="17"/>
      <c r="M49" s="17"/>
      <c r="N49" s="17"/>
      <c r="O49" s="1"/>
      <c r="P49" s="1"/>
      <c r="R49" s="56"/>
      <c r="S49" s="135"/>
      <c r="T49" s="122"/>
      <c r="X49" s="11" t="s">
        <v>120</v>
      </c>
      <c r="AC49" s="95"/>
      <c r="AE49" s="95"/>
      <c r="AF49" s="95"/>
      <c r="AG49" s="49"/>
      <c r="AJ49" s="49"/>
    </row>
    <row r="50" spans="1:48">
      <c r="A50" s="1"/>
      <c r="B50" s="1"/>
      <c r="C50" s="1"/>
      <c r="D50" s="1"/>
      <c r="E50" s="1"/>
      <c r="F50" s="1"/>
      <c r="G50" s="1"/>
      <c r="H50" s="1"/>
      <c r="I50" s="1"/>
      <c r="J50" s="1"/>
      <c r="K50" s="136"/>
      <c r="L50" s="1"/>
      <c r="M50" s="1"/>
      <c r="N50" s="137"/>
      <c r="O50" s="1"/>
      <c r="P50" s="1"/>
      <c r="R50" s="138">
        <f ca="1">+V44</f>
        <v>0.906999</v>
      </c>
      <c r="S50" s="139" t="s">
        <v>45</v>
      </c>
      <c r="T50" s="140"/>
      <c r="X50" s="11" t="s">
        <v>121</v>
      </c>
      <c r="AC50" s="95"/>
      <c r="AE50" s="95"/>
      <c r="AF50" s="95"/>
      <c r="AG50" s="49"/>
      <c r="AH50" s="95"/>
      <c r="AJ50" s="49"/>
      <c r="AN50" s="95"/>
      <c r="AO50" s="95"/>
      <c r="AP50" s="95"/>
      <c r="AQ50" s="95"/>
      <c r="AR50" s="95"/>
      <c r="AS50" s="95"/>
      <c r="AT50" s="95"/>
      <c r="AU50" s="95"/>
      <c r="AV50" s="95"/>
    </row>
    <row r="51" spans="1:4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R51" s="11"/>
      <c r="V51" s="141"/>
      <c r="W51" s="141"/>
      <c r="X51" s="141"/>
      <c r="Y51" s="141"/>
      <c r="Z51" s="141"/>
      <c r="AA51" s="141"/>
      <c r="AB51" s="142"/>
      <c r="AC51" s="95"/>
      <c r="AE51" s="95"/>
      <c r="AF51" s="95"/>
      <c r="AG51" s="49"/>
      <c r="AH51" s="94"/>
      <c r="AJ51" s="49"/>
      <c r="AN51" s="95"/>
      <c r="AO51" s="95"/>
      <c r="AP51" s="95"/>
      <c r="AQ51" s="95"/>
      <c r="AR51" s="95"/>
      <c r="AS51" s="95"/>
      <c r="AT51" s="95"/>
      <c r="AU51" s="95"/>
      <c r="AV51" s="95"/>
    </row>
    <row r="52" spans="1:48">
      <c r="A52" s="1"/>
      <c r="B52" s="1"/>
      <c r="C52" s="1"/>
      <c r="D52" s="1"/>
      <c r="E52" s="1"/>
      <c r="F52" s="1"/>
      <c r="G52" s="1"/>
      <c r="H52" s="1"/>
      <c r="I52" s="1"/>
      <c r="J52" s="143"/>
      <c r="K52" s="143"/>
      <c r="L52" s="143"/>
      <c r="M52" s="143"/>
      <c r="N52" s="1"/>
      <c r="O52" s="1"/>
      <c r="P52" s="1"/>
      <c r="R52" s="11"/>
      <c r="V52" s="141"/>
      <c r="W52" s="141"/>
      <c r="X52" s="141"/>
      <c r="Y52" s="141"/>
      <c r="Z52" s="141"/>
      <c r="AA52" s="141"/>
      <c r="AB52" s="142"/>
      <c r="AC52" s="95"/>
      <c r="AE52" s="95"/>
      <c r="AF52" s="95"/>
      <c r="AG52" s="49"/>
      <c r="AH52" s="94"/>
      <c r="AJ52" s="49"/>
      <c r="AN52" s="95"/>
      <c r="AO52" s="95"/>
      <c r="AP52" s="95"/>
      <c r="AQ52" s="95"/>
      <c r="AR52" s="95"/>
      <c r="AS52" s="95"/>
      <c r="AT52" s="95"/>
      <c r="AU52" s="95"/>
      <c r="AV52" s="95"/>
    </row>
    <row r="53" spans="1:48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43"/>
      <c r="L53" s="143"/>
      <c r="M53" s="143"/>
      <c r="N53" s="1"/>
      <c r="O53" s="1"/>
      <c r="P53" s="1"/>
      <c r="R53" s="11"/>
      <c r="S53" s="11" t="s">
        <v>122</v>
      </c>
      <c r="T53" s="95"/>
      <c r="U53" s="144"/>
      <c r="V53" s="141"/>
      <c r="W53" s="145" t="s">
        <v>123</v>
      </c>
      <c r="X53" s="146"/>
      <c r="Y53" s="146"/>
      <c r="Z53" s="146"/>
      <c r="AA53" s="146"/>
      <c r="AB53" s="146"/>
      <c r="AE53" s="95"/>
      <c r="AH53" s="94"/>
      <c r="AJ53" s="49"/>
      <c r="AN53" s="95"/>
      <c r="AO53" s="95"/>
      <c r="AP53" s="95"/>
      <c r="AQ53" s="95"/>
      <c r="AR53" s="95"/>
      <c r="AS53" s="95"/>
      <c r="AT53" s="95"/>
      <c r="AU53" s="95"/>
      <c r="AV53" s="95"/>
    </row>
    <row r="54" spans="1:4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47"/>
      <c r="M54" s="147"/>
      <c r="N54" s="1"/>
      <c r="O54" s="1"/>
      <c r="P54" s="1"/>
      <c r="R54" s="148"/>
      <c r="S54" s="149" t="s">
        <v>86</v>
      </c>
      <c r="T54" s="149" t="s">
        <v>124</v>
      </c>
      <c r="U54" s="150" t="s">
        <v>89</v>
      </c>
      <c r="V54" s="141"/>
      <c r="W54" s="151" t="s">
        <v>125</v>
      </c>
      <c r="X54" s="152">
        <v>3.7226020000000002</v>
      </c>
      <c r="Y54" s="153" t="s">
        <v>126</v>
      </c>
      <c r="Z54" s="154">
        <v>3.7226020000000002</v>
      </c>
      <c r="AA54" s="141"/>
      <c r="AB54" s="141"/>
      <c r="AC54" s="20"/>
      <c r="AE54" s="95"/>
      <c r="AJ54" s="49"/>
    </row>
    <row r="55" spans="1:48">
      <c r="A55" s="1"/>
      <c r="B55" s="1"/>
      <c r="C55" s="1"/>
      <c r="D55" s="1"/>
      <c r="E55" s="1"/>
      <c r="F55" s="1"/>
      <c r="G55" s="1"/>
      <c r="H55" s="1"/>
      <c r="I55" s="1"/>
      <c r="J55" s="147"/>
      <c r="K55" s="1"/>
      <c r="L55" s="147"/>
      <c r="M55" s="147"/>
      <c r="N55" s="1"/>
      <c r="O55" s="1"/>
      <c r="P55" s="1"/>
      <c r="R55" s="12" t="s">
        <v>43</v>
      </c>
      <c r="S55" s="129">
        <v>0.56200000000000006</v>
      </c>
      <c r="T55" s="129">
        <v>6.3799999999999996E-2</v>
      </c>
      <c r="U55" s="155">
        <f>ROUND(+S55*T55,5)</f>
        <v>3.5860000000000003E-2</v>
      </c>
      <c r="V55" s="141"/>
      <c r="W55" s="156" t="s">
        <v>127</v>
      </c>
      <c r="X55" s="157">
        <v>3.7226020000000002</v>
      </c>
      <c r="Y55" s="158" t="s">
        <v>128</v>
      </c>
      <c r="Z55" s="159">
        <v>3.7226020000000002</v>
      </c>
      <c r="AA55" s="141"/>
      <c r="AB55" s="141"/>
      <c r="AC55" s="95"/>
      <c r="AE55" s="95"/>
      <c r="AF55" s="95"/>
      <c r="AG55" s="49"/>
      <c r="AJ55" s="49"/>
    </row>
    <row r="56" spans="1:48">
      <c r="A56" s="1"/>
      <c r="B56" s="1"/>
      <c r="C56" s="1"/>
      <c r="D56" s="1"/>
      <c r="E56" s="143"/>
      <c r="F56" s="1"/>
      <c r="G56" s="1"/>
      <c r="H56" s="1"/>
      <c r="I56" s="1"/>
      <c r="J56" s="147"/>
      <c r="K56" s="1"/>
      <c r="L56" s="147"/>
      <c r="M56" s="147"/>
      <c r="N56" s="1"/>
      <c r="O56" s="1"/>
      <c r="P56" s="1"/>
      <c r="R56" s="12" t="s">
        <v>129</v>
      </c>
      <c r="S56" s="129">
        <v>9.4E-2</v>
      </c>
      <c r="T56" s="129">
        <v>6.59E-2</v>
      </c>
      <c r="U56" s="155">
        <f>ROUND(+S56*T56,5)</f>
        <v>6.1900000000000002E-3</v>
      </c>
      <c r="V56" s="141"/>
      <c r="W56" s="160"/>
      <c r="X56" s="141"/>
      <c r="Y56" s="161"/>
      <c r="Z56" s="162"/>
      <c r="AA56" s="141"/>
      <c r="AB56" s="141"/>
      <c r="AC56" s="95"/>
      <c r="AE56" s="95"/>
      <c r="AF56" s="95"/>
      <c r="AG56" s="49"/>
      <c r="AH56" s="94"/>
      <c r="AJ56" s="49"/>
      <c r="AN56" s="95"/>
    </row>
    <row r="57" spans="1:48" ht="15.75">
      <c r="A57" s="1"/>
      <c r="B57" s="1"/>
      <c r="C57" s="1"/>
      <c r="D57" s="1"/>
      <c r="E57" s="143"/>
      <c r="F57" s="143"/>
      <c r="G57" s="143"/>
      <c r="H57" s="163"/>
      <c r="I57" s="143"/>
      <c r="J57" s="147"/>
      <c r="K57" s="1"/>
      <c r="L57" s="1"/>
      <c r="M57" s="1"/>
      <c r="N57" s="1"/>
      <c r="O57" s="1"/>
      <c r="P57" s="1"/>
      <c r="R57" s="12" t="s">
        <v>41</v>
      </c>
      <c r="S57" s="164">
        <v>0.34399999999999997</v>
      </c>
      <c r="T57" s="165"/>
      <c r="U57" s="166"/>
      <c r="V57" s="141"/>
      <c r="W57" s="167"/>
      <c r="X57" s="168" t="s">
        <v>130</v>
      </c>
      <c r="Y57" s="169">
        <v>0.30151749999999999</v>
      </c>
      <c r="Z57" s="170"/>
      <c r="AA57" s="141"/>
      <c r="AB57" s="141"/>
      <c r="AC57" s="95"/>
      <c r="AE57" s="95"/>
      <c r="AF57" s="95"/>
      <c r="AG57" s="49"/>
      <c r="AH57" s="94"/>
      <c r="AJ57" s="49"/>
    </row>
    <row r="58" spans="1:48" ht="15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R58" s="81"/>
      <c r="S58" s="164">
        <f>SUM(S55:S57)</f>
        <v>1</v>
      </c>
      <c r="T58" s="171"/>
      <c r="U58" s="172"/>
      <c r="V58" s="141"/>
      <c r="W58" s="141"/>
      <c r="X58" s="173"/>
      <c r="Y58" s="173"/>
      <c r="Z58" s="173"/>
      <c r="AA58" s="174"/>
      <c r="AB58" s="142"/>
      <c r="AC58" s="95"/>
      <c r="AE58" s="95"/>
      <c r="AF58" s="95"/>
      <c r="AG58" s="49"/>
      <c r="AH58" s="94"/>
      <c r="AJ58" s="49"/>
    </row>
    <row r="59" spans="1:4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V59" s="141"/>
      <c r="W59" s="141"/>
      <c r="X59" s="175"/>
      <c r="Y59" s="175"/>
      <c r="Z59" s="175"/>
      <c r="AA59" s="141"/>
      <c r="AB59" s="141"/>
      <c r="AE59" s="95"/>
      <c r="AH59" s="94"/>
      <c r="AJ59" s="49"/>
      <c r="AN59" s="94"/>
      <c r="AO59" s="94"/>
      <c r="AP59" s="94"/>
      <c r="AQ59" s="94"/>
      <c r="AR59" s="94"/>
      <c r="AS59" s="94"/>
      <c r="AT59" s="94"/>
      <c r="AU59" s="94"/>
      <c r="AV59" s="94"/>
    </row>
    <row r="60" spans="1:48">
      <c r="A60" s="1"/>
      <c r="B60" s="1"/>
      <c r="C60" s="1"/>
      <c r="D60" s="1"/>
      <c r="E60" s="14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R60" s="11"/>
      <c r="S60" s="176"/>
      <c r="W60" s="148"/>
      <c r="X60" s="177" t="s">
        <v>97</v>
      </c>
      <c r="Y60" s="177" t="s">
        <v>131</v>
      </c>
      <c r="Z60" s="178" t="s">
        <v>22</v>
      </c>
      <c r="AE60" s="95"/>
      <c r="AJ60" s="49"/>
      <c r="AN60" s="94"/>
      <c r="AO60" s="94"/>
      <c r="AP60" s="94"/>
      <c r="AQ60" s="94"/>
      <c r="AR60" s="94"/>
      <c r="AS60" s="94"/>
      <c r="AT60" s="94"/>
      <c r="AU60" s="94"/>
      <c r="AV60" s="94"/>
    </row>
    <row r="61" spans="1:48">
      <c r="A61" s="1"/>
      <c r="B61" s="1"/>
      <c r="C61" s="1"/>
      <c r="D61" s="1"/>
      <c r="E61" s="1"/>
      <c r="F61" s="143"/>
      <c r="G61" s="143"/>
      <c r="H61" s="143"/>
      <c r="I61" s="143"/>
      <c r="J61" s="143"/>
      <c r="K61" s="143"/>
      <c r="L61" s="143"/>
      <c r="M61" s="143"/>
      <c r="N61" s="143"/>
      <c r="O61" s="1"/>
      <c r="P61" s="1"/>
      <c r="R61" s="11"/>
      <c r="W61" s="12"/>
      <c r="X61" s="179"/>
      <c r="Y61" s="179"/>
      <c r="Z61" s="180"/>
      <c r="AE61" s="95"/>
      <c r="AF61" s="95"/>
      <c r="AG61" s="49"/>
      <c r="AJ61" s="49"/>
      <c r="AN61" s="94"/>
      <c r="AO61" s="94"/>
      <c r="AP61" s="94"/>
      <c r="AQ61" s="94"/>
      <c r="AR61" s="94"/>
      <c r="AS61" s="94"/>
      <c r="AT61" s="94"/>
      <c r="AU61" s="94"/>
      <c r="AV61" s="94"/>
    </row>
    <row r="62" spans="1:4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R62" s="11"/>
      <c r="S62" s="176"/>
      <c r="W62" s="12"/>
      <c r="X62" s="127" t="s">
        <v>99</v>
      </c>
      <c r="Y62" s="128">
        <f t="shared" ref="Y62:Z67" ca="1" si="1">+J33</f>
        <v>0.26508479922032824</v>
      </c>
      <c r="Z62" s="128">
        <f t="shared" ca="1" si="1"/>
        <v>0.21289673805073964</v>
      </c>
      <c r="AE62" s="95"/>
      <c r="AF62" s="95"/>
      <c r="AG62" s="49"/>
      <c r="AH62" s="94"/>
      <c r="AJ62" s="49"/>
      <c r="AN62" s="94"/>
      <c r="AO62" s="94"/>
      <c r="AP62" s="94"/>
      <c r="AQ62" s="94"/>
      <c r="AR62" s="94"/>
      <c r="AS62" s="94"/>
      <c r="AT62" s="94"/>
      <c r="AU62" s="94"/>
      <c r="AV62" s="94"/>
    </row>
    <row r="63" spans="1:4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R63" s="11"/>
      <c r="W63" s="12"/>
      <c r="X63" s="127" t="s">
        <v>100</v>
      </c>
      <c r="Y63" s="128">
        <f t="shared" ca="1" si="1"/>
        <v>0.4141909616634013</v>
      </c>
      <c r="Z63" s="128">
        <f t="shared" ca="1" si="1"/>
        <v>0.32721085971408698</v>
      </c>
      <c r="AE63" s="95"/>
      <c r="AF63" s="95"/>
      <c r="AG63" s="49"/>
      <c r="AH63" s="94"/>
      <c r="AJ63" s="49"/>
    </row>
    <row r="64" spans="1:48">
      <c r="A64" s="11" t="b">
        <v>1</v>
      </c>
      <c r="B64" s="1"/>
      <c r="C64" s="1"/>
      <c r="F64" s="1"/>
      <c r="G64" s="1"/>
      <c r="H64" s="1"/>
      <c r="I64" s="1"/>
      <c r="J64" s="1"/>
      <c r="K64" s="1"/>
      <c r="L64" s="1"/>
      <c r="M64" s="1"/>
      <c r="N64" s="1"/>
      <c r="R64" s="11"/>
      <c r="S64" s="176"/>
      <c r="W64" s="12"/>
      <c r="X64" s="127" t="s">
        <v>45</v>
      </c>
      <c r="Y64" s="128">
        <f t="shared" ca="1" si="1"/>
        <v>0.906999</v>
      </c>
      <c r="Z64" s="128">
        <f t="shared" ca="1" si="1"/>
        <v>0.90702662213043495</v>
      </c>
      <c r="AE64" s="95"/>
      <c r="AF64" s="95"/>
      <c r="AG64" s="49"/>
      <c r="AH64" s="94"/>
      <c r="AJ64" s="49"/>
    </row>
    <row r="65" spans="8:40">
      <c r="H65" s="94"/>
      <c r="I65" s="94"/>
      <c r="J65" s="94"/>
      <c r="K65" s="94"/>
      <c r="L65" s="94"/>
      <c r="M65" s="94"/>
      <c r="N65" s="94"/>
      <c r="O65" s="94"/>
      <c r="R65" s="11"/>
      <c r="W65" s="12"/>
      <c r="X65" s="127" t="s">
        <v>102</v>
      </c>
      <c r="Y65" s="128">
        <f t="shared" ca="1" si="1"/>
        <v>9.3000999999999973E-2</v>
      </c>
      <c r="Z65" s="128">
        <f t="shared" ca="1" si="1"/>
        <v>9.3000999999999973E-2</v>
      </c>
      <c r="AE65" s="95"/>
      <c r="AH65" s="94"/>
      <c r="AJ65" s="49"/>
      <c r="AN65" s="94"/>
    </row>
    <row r="66" spans="8:40">
      <c r="H66" s="94"/>
      <c r="I66" s="94"/>
      <c r="J66" s="94"/>
      <c r="K66" s="94"/>
      <c r="L66" s="94"/>
      <c r="M66" s="94"/>
      <c r="N66" s="94"/>
      <c r="O66" s="94"/>
      <c r="R66" s="11"/>
      <c r="S66" s="176"/>
      <c r="W66" s="12"/>
      <c r="X66" s="127" t="s">
        <v>103</v>
      </c>
      <c r="Y66" s="128">
        <f t="shared" ca="1" si="1"/>
        <v>2.8511887897076478</v>
      </c>
      <c r="Z66" s="128">
        <f t="shared" ca="1" si="1"/>
        <v>2.8511887897076478</v>
      </c>
      <c r="AE66" s="95"/>
      <c r="AJ66" s="49"/>
    </row>
    <row r="67" spans="8:40">
      <c r="O67" s="94"/>
      <c r="W67" s="81"/>
      <c r="X67" s="182" t="s">
        <v>104</v>
      </c>
      <c r="Y67" s="183">
        <f t="shared" si="1"/>
        <v>0.21</v>
      </c>
      <c r="Z67" s="183">
        <f t="shared" si="1"/>
        <v>0.21</v>
      </c>
      <c r="AE67" s="95"/>
      <c r="AF67" s="95"/>
      <c r="AG67" s="49"/>
      <c r="AJ67" s="49"/>
    </row>
    <row r="68" spans="8:40">
      <c r="O68" s="94"/>
      <c r="W68" s="127"/>
      <c r="AE68" s="95"/>
      <c r="AF68" s="95"/>
      <c r="AG68" s="49"/>
      <c r="AH68" s="94"/>
      <c r="AJ68" s="49"/>
    </row>
    <row r="69" spans="8:40">
      <c r="O69" s="94"/>
      <c r="X69" s="95"/>
      <c r="Y69" s="95"/>
      <c r="Z69" s="95"/>
      <c r="AA69" s="110"/>
      <c r="AB69" s="49"/>
      <c r="AC69" s="95"/>
      <c r="AE69" s="95"/>
      <c r="AF69" s="95"/>
      <c r="AG69" s="49"/>
      <c r="AH69" s="94"/>
      <c r="AJ69" s="49"/>
    </row>
    <row r="70" spans="8:40">
      <c r="X70" s="95"/>
      <c r="Y70" s="95"/>
      <c r="Z70" s="95"/>
      <c r="AA70" s="110"/>
      <c r="AB70" s="49"/>
      <c r="AC70" s="95"/>
      <c r="AE70" s="95"/>
      <c r="AF70" s="95"/>
      <c r="AG70" s="49"/>
      <c r="AH70" s="94"/>
      <c r="AJ70" s="49"/>
    </row>
    <row r="71" spans="8:40">
      <c r="AE71" s="95"/>
      <c r="AH71" s="94"/>
      <c r="AJ71" s="49"/>
    </row>
    <row r="72" spans="8:40">
      <c r="AA72" s="20"/>
      <c r="AB72" s="20"/>
      <c r="AC72" s="20"/>
      <c r="AE72" s="95"/>
      <c r="AJ72" s="49"/>
    </row>
    <row r="73" spans="8:40">
      <c r="X73" s="95"/>
      <c r="Y73" s="95"/>
      <c r="Z73" s="95"/>
      <c r="AA73" s="110"/>
      <c r="AB73" s="49"/>
      <c r="AC73" s="95"/>
      <c r="AE73" s="95"/>
      <c r="AF73" s="95"/>
      <c r="AG73" s="49"/>
      <c r="AJ73" s="49"/>
    </row>
    <row r="74" spans="8:40">
      <c r="X74" s="95"/>
      <c r="Y74" s="95"/>
      <c r="Z74" s="95"/>
      <c r="AA74" s="110"/>
      <c r="AB74" s="49"/>
      <c r="AC74" s="95"/>
      <c r="AE74" s="95"/>
      <c r="AF74" s="95"/>
      <c r="AG74" s="49"/>
      <c r="AH74" s="94"/>
      <c r="AJ74" s="49"/>
    </row>
    <row r="75" spans="8:40">
      <c r="X75" s="95"/>
      <c r="Y75" s="95"/>
      <c r="Z75" s="95"/>
      <c r="AA75" s="110"/>
      <c r="AB75" s="49"/>
      <c r="AC75" s="95"/>
      <c r="AE75" s="95"/>
      <c r="AF75" s="95"/>
      <c r="AG75" s="49"/>
      <c r="AH75" s="94"/>
      <c r="AJ75" s="49"/>
    </row>
    <row r="76" spans="8:40">
      <c r="X76" s="95"/>
      <c r="Y76" s="95"/>
      <c r="Z76" s="95"/>
      <c r="AA76" s="110"/>
      <c r="AB76" s="49"/>
      <c r="AC76" s="95"/>
      <c r="AE76" s="95"/>
      <c r="AF76" s="95"/>
      <c r="AG76" s="49"/>
      <c r="AH76" s="94"/>
      <c r="AJ76" s="49"/>
    </row>
    <row r="77" spans="8:40">
      <c r="AE77" s="95"/>
      <c r="AH77" s="94"/>
      <c r="AJ77" s="49"/>
    </row>
    <row r="79" spans="8:40">
      <c r="X79" s="95"/>
      <c r="Y79" s="95"/>
      <c r="Z79" s="95"/>
      <c r="AA79" s="110"/>
      <c r="AB79" s="49"/>
      <c r="AC79" s="95"/>
      <c r="AF79" s="95"/>
      <c r="AG79" s="49"/>
    </row>
    <row r="80" spans="8:40">
      <c r="X80" s="95"/>
      <c r="Y80" s="95"/>
      <c r="Z80" s="95"/>
      <c r="AA80" s="110"/>
      <c r="AB80" s="49"/>
      <c r="AC80" s="95"/>
      <c r="AF80" s="95"/>
      <c r="AG80" s="49"/>
      <c r="AH80" s="94"/>
    </row>
    <row r="81" spans="24:34">
      <c r="X81" s="95"/>
      <c r="Y81" s="95"/>
      <c r="Z81" s="95"/>
      <c r="AA81" s="110"/>
      <c r="AB81" s="49"/>
      <c r="AC81" s="95"/>
      <c r="AF81" s="95"/>
      <c r="AG81" s="49"/>
      <c r="AH81" s="94"/>
    </row>
    <row r="82" spans="24:34">
      <c r="X82" s="95"/>
      <c r="Y82" s="95"/>
      <c r="Z82" s="95"/>
      <c r="AA82" s="110"/>
      <c r="AB82" s="49"/>
      <c r="AC82" s="95"/>
      <c r="AF82" s="95"/>
      <c r="AG82" s="49"/>
      <c r="AH82" s="94"/>
    </row>
    <row r="83" spans="24:34">
      <c r="AH83" s="94"/>
    </row>
    <row r="85" spans="24:34">
      <c r="X85" s="95"/>
      <c r="Y85" s="95"/>
      <c r="Z85" s="95"/>
      <c r="AA85" s="110"/>
      <c r="AB85" s="49"/>
      <c r="AC85" s="95"/>
      <c r="AF85" s="95"/>
      <c r="AG85" s="49"/>
    </row>
    <row r="86" spans="24:34">
      <c r="X86" s="95"/>
      <c r="Y86" s="95"/>
      <c r="Z86" s="95"/>
      <c r="AA86" s="110"/>
      <c r="AB86" s="49"/>
      <c r="AC86" s="95"/>
      <c r="AF86" s="95"/>
      <c r="AG86" s="49"/>
      <c r="AH86" s="94"/>
    </row>
    <row r="87" spans="24:34">
      <c r="X87" s="95"/>
      <c r="Y87" s="95"/>
      <c r="Z87" s="95"/>
      <c r="AA87" s="110"/>
      <c r="AB87" s="49"/>
      <c r="AC87" s="95"/>
      <c r="AF87" s="95"/>
      <c r="AG87" s="49"/>
      <c r="AH87" s="94"/>
    </row>
    <row r="88" spans="24:34">
      <c r="X88" s="95"/>
      <c r="Y88" s="95"/>
      <c r="Z88" s="95"/>
      <c r="AA88" s="110"/>
      <c r="AB88" s="49"/>
      <c r="AC88" s="95"/>
      <c r="AF88" s="95"/>
      <c r="AG88" s="49"/>
      <c r="AH88" s="94"/>
    </row>
    <row r="89" spans="24:34">
      <c r="AH89" s="94"/>
    </row>
    <row r="91" spans="24:34">
      <c r="X91" s="95"/>
      <c r="Y91" s="95"/>
      <c r="Z91" s="95"/>
      <c r="AA91" s="110"/>
      <c r="AB91" s="49"/>
      <c r="AC91" s="95"/>
      <c r="AF91" s="95"/>
      <c r="AG91" s="49"/>
    </row>
    <row r="92" spans="24:34">
      <c r="X92" s="95"/>
      <c r="Y92" s="95"/>
      <c r="Z92" s="95"/>
      <c r="AA92" s="110"/>
      <c r="AB92" s="49"/>
      <c r="AC92" s="95"/>
      <c r="AF92" s="95"/>
      <c r="AG92" s="49"/>
      <c r="AH92" s="94"/>
    </row>
    <row r="93" spans="24:34">
      <c r="X93" s="95"/>
      <c r="Y93" s="95"/>
      <c r="Z93" s="95"/>
      <c r="AA93" s="110"/>
      <c r="AB93" s="49"/>
      <c r="AC93" s="95"/>
      <c r="AF93" s="95"/>
      <c r="AG93" s="49"/>
      <c r="AH93" s="94"/>
    </row>
    <row r="94" spans="24:34">
      <c r="X94" s="95"/>
      <c r="Y94" s="95"/>
      <c r="Z94" s="95"/>
      <c r="AA94" s="110"/>
      <c r="AB94" s="49"/>
      <c r="AC94" s="95"/>
      <c r="AF94" s="95"/>
      <c r="AG94" s="49"/>
      <c r="AH94" s="94"/>
    </row>
    <row r="95" spans="24:34">
      <c r="AH95" s="94"/>
    </row>
    <row r="97" spans="24:34">
      <c r="X97" s="95"/>
      <c r="Y97" s="95"/>
      <c r="Z97" s="95"/>
      <c r="AA97" s="110"/>
      <c r="AB97" s="49"/>
      <c r="AC97" s="95"/>
      <c r="AF97" s="95"/>
      <c r="AG97" s="49"/>
    </row>
    <row r="98" spans="24:34">
      <c r="X98" s="95"/>
      <c r="Y98" s="95"/>
      <c r="Z98" s="95"/>
      <c r="AA98" s="110"/>
      <c r="AB98" s="49"/>
      <c r="AC98" s="95"/>
      <c r="AF98" s="95"/>
      <c r="AG98" s="49"/>
      <c r="AH98" s="94"/>
    </row>
    <row r="99" spans="24:34">
      <c r="X99" s="95"/>
      <c r="Y99" s="95"/>
      <c r="Z99" s="95"/>
      <c r="AA99" s="110"/>
      <c r="AB99" s="49"/>
      <c r="AC99" s="95"/>
      <c r="AF99" s="95"/>
      <c r="AG99" s="49"/>
      <c r="AH99" s="94"/>
    </row>
    <row r="100" spans="24:34">
      <c r="X100" s="95"/>
      <c r="Y100" s="95"/>
      <c r="Z100" s="95"/>
      <c r="AA100" s="110"/>
      <c r="AB100" s="49"/>
      <c r="AC100" s="95"/>
      <c r="AF100" s="95"/>
      <c r="AG100" s="49"/>
      <c r="AH100" s="94"/>
    </row>
    <row r="101" spans="24:34">
      <c r="AH101" s="94"/>
    </row>
    <row r="103" spans="24:34">
      <c r="X103" s="95"/>
      <c r="Y103" s="95"/>
      <c r="Z103" s="95"/>
      <c r="AA103" s="110"/>
      <c r="AB103" s="49"/>
      <c r="AC103" s="95"/>
      <c r="AF103" s="95"/>
      <c r="AG103" s="49"/>
    </row>
    <row r="104" spans="24:34">
      <c r="X104" s="95"/>
      <c r="Y104" s="95"/>
      <c r="Z104" s="95"/>
      <c r="AA104" s="110"/>
      <c r="AB104" s="49"/>
      <c r="AC104" s="95"/>
      <c r="AF104" s="95"/>
      <c r="AG104" s="49"/>
      <c r="AH104" s="94"/>
    </row>
    <row r="105" spans="24:34">
      <c r="X105" s="95"/>
      <c r="Y105" s="95"/>
      <c r="Z105" s="95"/>
      <c r="AA105" s="110"/>
      <c r="AB105" s="49"/>
      <c r="AC105" s="95"/>
      <c r="AF105" s="95"/>
      <c r="AG105" s="49"/>
      <c r="AH105" s="94"/>
    </row>
    <row r="106" spans="24:34">
      <c r="X106" s="95"/>
      <c r="Y106" s="95"/>
      <c r="Z106" s="95"/>
      <c r="AA106" s="110"/>
      <c r="AB106" s="49"/>
      <c r="AC106" s="95"/>
      <c r="AF106" s="95"/>
      <c r="AG106" s="49"/>
      <c r="AH106" s="94"/>
    </row>
    <row r="107" spans="24:34">
      <c r="AH107" s="94"/>
    </row>
    <row r="109" spans="24:34">
      <c r="X109" s="95"/>
      <c r="Y109" s="95"/>
      <c r="Z109" s="95"/>
      <c r="AA109" s="110"/>
      <c r="AB109" s="49"/>
      <c r="AC109" s="95"/>
      <c r="AF109" s="95"/>
      <c r="AG109" s="49"/>
    </row>
    <row r="110" spans="24:34">
      <c r="X110" s="95"/>
      <c r="Y110" s="95"/>
      <c r="Z110" s="95"/>
      <c r="AA110" s="110"/>
      <c r="AB110" s="49"/>
      <c r="AC110" s="95"/>
      <c r="AF110" s="95"/>
      <c r="AG110" s="49"/>
    </row>
    <row r="111" spans="24:34">
      <c r="X111" s="95"/>
      <c r="Y111" s="95"/>
      <c r="Z111" s="95"/>
      <c r="AA111" s="110"/>
      <c r="AB111" s="49"/>
      <c r="AC111" s="95"/>
      <c r="AF111" s="95"/>
      <c r="AG111" s="49"/>
    </row>
    <row r="112" spans="24:34">
      <c r="X112" s="95"/>
      <c r="Y112" s="95"/>
      <c r="Z112" s="95"/>
      <c r="AA112" s="110"/>
      <c r="AB112" s="49"/>
      <c r="AC112" s="95"/>
      <c r="AF112" s="95"/>
      <c r="AG112" s="49"/>
    </row>
  </sheetData>
  <mergeCells count="5">
    <mergeCell ref="B2:C2"/>
    <mergeCell ref="AH2:AK2"/>
    <mergeCell ref="B18:C18"/>
    <mergeCell ref="B19:C19"/>
    <mergeCell ref="L31:N31"/>
  </mergeCells>
  <pageMargins left="0.25" right="0.25" top="0.75" bottom="0.75" header="0.3" footer="0.3"/>
  <pageSetup scale="70" orientation="landscape" errors="blank" r:id="rId1"/>
  <headerFooter>
    <oddHeader>&amp;C&amp;"-,Bold"&amp;KFF0000TEXT IN RED BOX CONFIDENTIAL PER WAC 480-07-160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DF426-20DC-4DE0-A192-D3DDFC94BDD4}">
  <sheetPr>
    <tabColor theme="8" tint="0.39997558519241921"/>
  </sheetPr>
  <dimension ref="A1:AV112"/>
  <sheetViews>
    <sheetView tabSelected="1" zoomScaleNormal="100" zoomScaleSheetLayoutView="100" workbookViewId="0">
      <selection activeCell="AY49" sqref="AY49:AZ49"/>
    </sheetView>
  </sheetViews>
  <sheetFormatPr defaultColWidth="16.7109375" defaultRowHeight="15"/>
  <cols>
    <col min="1" max="1" width="4.7109375" style="11" customWidth="1"/>
    <col min="2" max="2" width="33.5703125" style="181" bestFit="1" customWidth="1"/>
    <col min="3" max="3" width="21.28515625" style="181" customWidth="1"/>
    <col min="4" max="4" width="21.28515625" style="181" hidden="1" customWidth="1"/>
    <col min="5" max="5" width="7.28515625" style="181" customWidth="1"/>
    <col min="6" max="6" width="5.7109375" style="11" customWidth="1"/>
    <col min="7" max="7" width="8.5703125" style="11" customWidth="1"/>
    <col min="8" max="8" width="15" style="11" customWidth="1"/>
    <col min="9" max="9" width="17.7109375" style="11" customWidth="1"/>
    <col min="10" max="10" width="17.28515625" style="11" bestFit="1" customWidth="1"/>
    <col min="11" max="11" width="15.28515625" style="11" bestFit="1" customWidth="1"/>
    <col min="12" max="13" width="20.28515625" style="11" customWidth="1"/>
    <col min="14" max="14" width="2.42578125" style="11" customWidth="1"/>
    <col min="15" max="15" width="6.28515625" style="181" customWidth="1"/>
    <col min="16" max="16" width="40.42578125" style="181" customWidth="1"/>
    <col min="17" max="17" width="16.7109375" style="12"/>
    <col min="18" max="18" width="13.7109375" style="20" customWidth="1"/>
    <col min="19" max="19" width="16.7109375" style="11"/>
    <col min="20" max="20" width="13.42578125" style="11" customWidth="1"/>
    <col min="21" max="21" width="15.7109375" style="11" customWidth="1"/>
    <col min="22" max="22" width="16.7109375" style="11"/>
    <col min="23" max="26" width="17.7109375" style="11" customWidth="1"/>
    <col min="27" max="27" width="16" style="11" customWidth="1"/>
    <col min="28" max="28" width="16.7109375" style="11"/>
    <col min="29" max="29" width="15.7109375" style="11" customWidth="1"/>
    <col min="30" max="31" width="16.7109375" style="11"/>
    <col min="32" max="32" width="16.42578125" style="11" customWidth="1"/>
    <col min="33" max="33" width="17.28515625" style="11" customWidth="1"/>
    <col min="34" max="34" width="20.7109375" style="11" customWidth="1"/>
    <col min="35" max="35" width="18.28515625" style="11" customWidth="1"/>
    <col min="36" max="36" width="16.42578125" style="11" customWidth="1"/>
    <col min="37" max="37" width="16.7109375" style="11"/>
    <col min="38" max="38" width="13.7109375" style="11" customWidth="1"/>
    <col min="39" max="39" width="16.42578125" style="11" customWidth="1"/>
    <col min="40" max="51" width="15.28515625" style="11" customWidth="1"/>
    <col min="52" max="16384" width="16.7109375" style="11"/>
  </cols>
  <sheetData>
    <row r="1" spans="1:37" s="6" customFormat="1" ht="15.75" thickBot="1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2"/>
      <c r="P1" s="2"/>
      <c r="Q1" s="4"/>
      <c r="R1" s="5"/>
    </row>
    <row r="2" spans="1:37" ht="19.5" thickBot="1">
      <c r="A2" s="1"/>
      <c r="B2" s="360" t="s">
        <v>0</v>
      </c>
      <c r="C2" s="360"/>
      <c r="D2" s="1"/>
      <c r="E2" s="1"/>
      <c r="F2" s="7" t="s">
        <v>1</v>
      </c>
      <c r="G2" s="8"/>
      <c r="H2" s="8"/>
      <c r="I2" s="9" t="s">
        <v>2</v>
      </c>
      <c r="J2" s="8"/>
      <c r="K2" s="8"/>
      <c r="L2" s="8"/>
      <c r="M2" s="10" t="s">
        <v>1</v>
      </c>
      <c r="O2" s="1"/>
      <c r="P2" s="2"/>
      <c r="R2" s="13" t="s">
        <v>3</v>
      </c>
      <c r="S2" s="14"/>
      <c r="T2" s="15"/>
      <c r="AH2" s="361" t="s">
        <v>4</v>
      </c>
      <c r="AI2" s="362"/>
      <c r="AJ2" s="362"/>
      <c r="AK2" s="363"/>
    </row>
    <row r="3" spans="1:37" ht="16.5" thickBot="1">
      <c r="A3" s="1"/>
      <c r="B3" s="1"/>
      <c r="C3" s="1"/>
      <c r="D3" s="1"/>
      <c r="E3" s="1"/>
      <c r="F3" s="16"/>
      <c r="G3" s="17"/>
      <c r="H3" s="18"/>
      <c r="I3" s="18"/>
      <c r="J3" s="18"/>
      <c r="K3" s="19" t="s">
        <v>5</v>
      </c>
      <c r="L3" s="18"/>
      <c r="M3" s="19" t="s">
        <v>6</v>
      </c>
      <c r="O3" s="1"/>
      <c r="P3" s="2"/>
      <c r="R3" s="11"/>
      <c r="T3" s="11" t="s">
        <v>7</v>
      </c>
      <c r="V3" s="20" t="s">
        <v>7</v>
      </c>
      <c r="W3" s="20" t="s">
        <v>7</v>
      </c>
      <c r="X3" s="20" t="s">
        <v>7</v>
      </c>
      <c r="Y3" s="20"/>
      <c r="Z3" s="20" t="s">
        <v>8</v>
      </c>
      <c r="AA3" s="20" t="s">
        <v>9</v>
      </c>
      <c r="AB3" s="20" t="s">
        <v>9</v>
      </c>
      <c r="AC3" s="20" t="s">
        <v>9</v>
      </c>
      <c r="AD3" s="20" t="s">
        <v>9</v>
      </c>
      <c r="AE3" s="20" t="s">
        <v>9</v>
      </c>
      <c r="AF3" s="20" t="s">
        <v>9</v>
      </c>
      <c r="AG3" s="20" t="s">
        <v>10</v>
      </c>
      <c r="AH3" s="20" t="s">
        <v>11</v>
      </c>
      <c r="AI3" s="20" t="s">
        <v>12</v>
      </c>
      <c r="AJ3" s="20"/>
    </row>
    <row r="4" spans="1:37" ht="19.5" thickBot="1">
      <c r="A4" s="1"/>
      <c r="B4" s="21" t="s">
        <v>13</v>
      </c>
      <c r="C4" s="9"/>
      <c r="D4" s="22"/>
      <c r="E4" s="1"/>
      <c r="F4" s="23"/>
      <c r="G4" s="17"/>
      <c r="H4" s="18" t="s">
        <v>14</v>
      </c>
      <c r="I4" s="18" t="s">
        <v>15</v>
      </c>
      <c r="J4" s="18" t="s">
        <v>16</v>
      </c>
      <c r="K4" s="18" t="s">
        <v>17</v>
      </c>
      <c r="L4" s="18" t="s">
        <v>18</v>
      </c>
      <c r="M4" s="18" t="s">
        <v>19</v>
      </c>
      <c r="O4" s="24"/>
      <c r="P4" s="2"/>
      <c r="R4" s="11"/>
      <c r="T4" s="20" t="s">
        <v>20</v>
      </c>
      <c r="V4" s="20" t="s">
        <v>21</v>
      </c>
      <c r="W4" s="20" t="s">
        <v>8</v>
      </c>
      <c r="X4" s="20" t="s">
        <v>22</v>
      </c>
      <c r="Y4" s="20" t="s">
        <v>23</v>
      </c>
      <c r="Z4" s="20" t="s">
        <v>22</v>
      </c>
      <c r="AA4" s="20" t="s">
        <v>24</v>
      </c>
      <c r="AB4" s="20" t="s">
        <v>24</v>
      </c>
      <c r="AC4" s="20" t="s">
        <v>24</v>
      </c>
      <c r="AD4" s="20" t="s">
        <v>8</v>
      </c>
      <c r="AE4" s="20" t="s">
        <v>20</v>
      </c>
      <c r="AF4" s="20" t="s">
        <v>20</v>
      </c>
      <c r="AG4" s="20" t="s">
        <v>25</v>
      </c>
      <c r="AH4" s="20" t="s">
        <v>26</v>
      </c>
      <c r="AI4" s="20" t="s">
        <v>27</v>
      </c>
      <c r="AJ4" s="20" t="s">
        <v>28</v>
      </c>
      <c r="AK4" s="20" t="s">
        <v>29</v>
      </c>
    </row>
    <row r="5" spans="1:37" ht="15.75">
      <c r="A5" s="1"/>
      <c r="B5" s="25" t="s">
        <v>30</v>
      </c>
      <c r="C5" s="26">
        <v>1747676.725527731</v>
      </c>
      <c r="D5" s="22"/>
      <c r="E5" s="1"/>
      <c r="F5" s="27" t="s">
        <v>31</v>
      </c>
      <c r="G5" s="28"/>
      <c r="H5" s="28"/>
      <c r="I5" s="18" t="s">
        <v>32</v>
      </c>
      <c r="J5" s="18" t="s">
        <v>11</v>
      </c>
      <c r="K5" s="29" t="s">
        <v>33</v>
      </c>
      <c r="L5" s="30" t="s">
        <v>34</v>
      </c>
      <c r="M5" s="29" t="s">
        <v>11</v>
      </c>
      <c r="O5" s="31"/>
      <c r="P5" s="2"/>
      <c r="R5" s="32"/>
      <c r="T5" s="20" t="s">
        <v>35</v>
      </c>
      <c r="U5" s="20" t="s">
        <v>36</v>
      </c>
      <c r="V5" s="20" t="s">
        <v>37</v>
      </c>
      <c r="W5" s="20" t="s">
        <v>38</v>
      </c>
      <c r="X5" s="20" t="s">
        <v>39</v>
      </c>
      <c r="Y5" s="20" t="s">
        <v>40</v>
      </c>
      <c r="Z5" s="20" t="s">
        <v>39</v>
      </c>
      <c r="AA5" s="20" t="s">
        <v>41</v>
      </c>
      <c r="AB5" s="20" t="s">
        <v>42</v>
      </c>
      <c r="AC5" s="20" t="s">
        <v>43</v>
      </c>
      <c r="AD5" s="20" t="s">
        <v>44</v>
      </c>
      <c r="AE5" s="20" t="s">
        <v>35</v>
      </c>
      <c r="AF5" s="20" t="s">
        <v>45</v>
      </c>
      <c r="AG5" s="20" t="s">
        <v>46</v>
      </c>
      <c r="AH5" s="20" t="s">
        <v>47</v>
      </c>
      <c r="AI5" s="20" t="s">
        <v>47</v>
      </c>
      <c r="AJ5" s="20" t="s">
        <v>46</v>
      </c>
      <c r="AK5" s="20" t="s">
        <v>10</v>
      </c>
    </row>
    <row r="6" spans="1:37" ht="15.75">
      <c r="A6" s="1"/>
      <c r="B6" s="25" t="s">
        <v>48</v>
      </c>
      <c r="C6" s="26">
        <v>1988122.2712928578</v>
      </c>
      <c r="D6" s="22"/>
      <c r="E6" s="1"/>
      <c r="F6" s="33" t="s">
        <v>49</v>
      </c>
      <c r="G6" s="28"/>
      <c r="H6" s="28"/>
      <c r="I6" s="34"/>
      <c r="J6" s="35" t="s">
        <v>50</v>
      </c>
      <c r="K6" s="36"/>
      <c r="L6" s="35" t="s">
        <v>51</v>
      </c>
      <c r="M6" s="35" t="s">
        <v>52</v>
      </c>
      <c r="O6" s="31"/>
      <c r="P6" s="2"/>
      <c r="R6" s="37">
        <v>1</v>
      </c>
      <c r="S6" s="38">
        <f>Revenue/Investment*100</f>
        <v>95.881106381299261</v>
      </c>
      <c r="T6" s="39">
        <f>EXP(y_inter1-(slope*LN(+S6)))</f>
        <v>10.451492566602683</v>
      </c>
      <c r="U6" s="40">
        <f>(+S6*T6/100)/100</f>
        <v>0.10021006706217904</v>
      </c>
      <c r="V6" s="40">
        <f>regDebt_weighted</f>
        <v>3.5860000000000003E-2</v>
      </c>
      <c r="W6" s="40">
        <f>+U6-V6</f>
        <v>6.4350067062179037E-2</v>
      </c>
      <c r="X6" s="40">
        <f>+((W6*(1-0.34))-Pfd_weighted)/Equity_percent</f>
        <v>0.10546815192162255</v>
      </c>
      <c r="Y6" s="40">
        <f>+C15</f>
        <v>2.5000000000000001E-3</v>
      </c>
      <c r="Z6" s="40">
        <f>+X6+Y6</f>
        <v>0.10796815192162255</v>
      </c>
      <c r="AA6" s="40">
        <f>Z6*equityP</f>
        <v>6.478089115297353E-2</v>
      </c>
      <c r="AB6" s="40">
        <f>+AA6/(1-taxrate)</f>
        <v>8.2001128041738647E-2</v>
      </c>
      <c r="AC6" s="40">
        <f>debtP*Debt_Rate</f>
        <v>1.6570222222287465E-2</v>
      </c>
      <c r="AD6" s="40">
        <f>AC6+AB6</f>
        <v>9.8571350264026109E-2</v>
      </c>
      <c r="AE6" s="40">
        <f>AD6/(S6/100)</f>
        <v>0.10280581230678368</v>
      </c>
      <c r="AF6" s="40">
        <f>1-AE6</f>
        <v>0.89719418769321635</v>
      </c>
      <c r="AG6" s="41">
        <f>expenses/(AF6)</f>
        <v>2215933.0706371781</v>
      </c>
      <c r="AH6" s="42">
        <f>+AG6-Revenue</f>
        <v>468256.34510944714</v>
      </c>
      <c r="AI6" s="43">
        <f ca="1">+AH6/$J$49</f>
        <v>536238.96504712396</v>
      </c>
      <c r="AJ6" s="43">
        <f ca="1">+AI6*$J$47</f>
        <v>13225.782867772499</v>
      </c>
      <c r="AK6" s="41">
        <f ca="1">ROUND(+AJ6+AG6,5)</f>
        <v>2229158.8535000002</v>
      </c>
    </row>
    <row r="7" spans="1:37" ht="15.75">
      <c r="A7" s="1"/>
      <c r="B7" s="25" t="s">
        <v>53</v>
      </c>
      <c r="C7" s="26">
        <v>1822754.0247372442</v>
      </c>
      <c r="D7" s="22"/>
      <c r="E7" s="1"/>
      <c r="F7" s="44">
        <v>1</v>
      </c>
      <c r="G7" s="28"/>
      <c r="H7" s="45" t="s">
        <v>30</v>
      </c>
      <c r="I7" s="46">
        <f>IF(A64=TRUE,C5,0)</f>
        <v>1747676.725527731</v>
      </c>
      <c r="J7" s="46">
        <f ca="1">(+$I8/($R50))-I7</f>
        <v>468049.36080544326</v>
      </c>
      <c r="K7" s="46">
        <f ca="1">+I7+J7</f>
        <v>2215726.0863331743</v>
      </c>
      <c r="L7" s="46">
        <f ca="1">((+J7/J49*K35)-J7)</f>
        <v>13219.936648088857</v>
      </c>
      <c r="M7" s="46">
        <f ca="1">IFERROR(+K7+L7,0.00001)</f>
        <v>2228946.0229812632</v>
      </c>
      <c r="O7" s="31"/>
      <c r="P7" s="2"/>
      <c r="R7" s="47">
        <v>2</v>
      </c>
      <c r="S7" s="48">
        <f>Revenue/Investment*100</f>
        <v>95.881106381299261</v>
      </c>
      <c r="T7" s="49">
        <f>EXP(y_inter1-(slope*LN(+S7)))</f>
        <v>10.451492566602683</v>
      </c>
      <c r="U7" s="50">
        <f>(+S7*T7/100)/100</f>
        <v>0.10021006706217904</v>
      </c>
      <c r="V7" s="50">
        <f>regDebt_weighted</f>
        <v>3.5860000000000003E-2</v>
      </c>
      <c r="W7" s="50">
        <f>+U7-V7</f>
        <v>6.4350067062179037E-2</v>
      </c>
      <c r="X7" s="50">
        <f>+((W7*(1-0.34))-Pfd_weighted)/Equity_percent</f>
        <v>0.10546815192162255</v>
      </c>
      <c r="Y7" s="50">
        <f>+Y6</f>
        <v>2.5000000000000001E-3</v>
      </c>
      <c r="Z7" s="50">
        <f>+X7+Y7</f>
        <v>0.10796815192162255</v>
      </c>
      <c r="AA7" s="50">
        <f>Z7*equityP</f>
        <v>6.478089115297353E-2</v>
      </c>
      <c r="AB7" s="50">
        <f>+AA7/(1-taxrate)</f>
        <v>8.2001128041738647E-2</v>
      </c>
      <c r="AC7" s="50">
        <f>debtP*Debt_Rate</f>
        <v>1.6570222222287465E-2</v>
      </c>
      <c r="AD7" s="50">
        <f>AC7+AB7</f>
        <v>9.8571350264026109E-2</v>
      </c>
      <c r="AE7" s="50">
        <f>AD7/(S7/100)</f>
        <v>0.10280581230678368</v>
      </c>
      <c r="AF7" s="50">
        <f>1-AE7</f>
        <v>0.89719418769321635</v>
      </c>
      <c r="AG7" s="51">
        <f>expenses/(AF7)</f>
        <v>2215933.0706371781</v>
      </c>
      <c r="AH7" s="52">
        <f>+AG7-Revenue</f>
        <v>468256.34510944714</v>
      </c>
      <c r="AI7" s="53">
        <f ca="1">+AH7/$J$49</f>
        <v>536238.96504712396</v>
      </c>
      <c r="AJ7" s="53">
        <f ca="1">+AI7*$J$47</f>
        <v>13225.782867772499</v>
      </c>
      <c r="AK7" s="51">
        <f ca="1">ROUND(+AJ7+AG7,5)</f>
        <v>2229158.8535000002</v>
      </c>
    </row>
    <row r="8" spans="1:37" ht="15.75">
      <c r="A8" s="1"/>
      <c r="B8" s="25" t="s">
        <v>54</v>
      </c>
      <c r="C8" s="54">
        <v>0.4</v>
      </c>
      <c r="D8" s="22"/>
      <c r="E8" s="1"/>
      <c r="F8" s="55">
        <f>+F7+1</f>
        <v>2</v>
      </c>
      <c r="G8" s="28"/>
      <c r="H8" s="45" t="s">
        <v>48</v>
      </c>
      <c r="I8" s="46">
        <f>IF(A64=TRUE,C6,0)</f>
        <v>1988122.2712928578</v>
      </c>
      <c r="J8" s="17"/>
      <c r="K8" s="46">
        <f>+I8</f>
        <v>1988122.2712928578</v>
      </c>
      <c r="L8" s="46">
        <f ca="1">+L7</f>
        <v>13219.936648088857</v>
      </c>
      <c r="M8" s="46">
        <f ca="1">IFERROR(+K8+L8,0.00001)</f>
        <v>2001342.2079409468</v>
      </c>
      <c r="O8" s="31"/>
      <c r="P8" s="2"/>
      <c r="R8" s="56">
        <v>3</v>
      </c>
      <c r="S8" s="48">
        <f>Revenue/Investment*100</f>
        <v>95.881106381299261</v>
      </c>
      <c r="T8" s="49">
        <f>EXP(y_inter1-(slope*LN(+S8)))</f>
        <v>10.451492566602683</v>
      </c>
      <c r="U8" s="50">
        <f>(+S8*T8/100)/100</f>
        <v>0.10021006706217904</v>
      </c>
      <c r="V8" s="50">
        <f>regDebt_weighted</f>
        <v>3.5860000000000003E-2</v>
      </c>
      <c r="W8" s="50">
        <f>+U8-V8</f>
        <v>6.4350067062179037E-2</v>
      </c>
      <c r="X8" s="50">
        <f>+((W8*(1-0.34))-Pfd_weighted)/Equity_percent</f>
        <v>0.10546815192162255</v>
      </c>
      <c r="Y8" s="50">
        <f>+Y7</f>
        <v>2.5000000000000001E-3</v>
      </c>
      <c r="Z8" s="50">
        <f>+X8+Y8</f>
        <v>0.10796815192162255</v>
      </c>
      <c r="AA8" s="50">
        <f>Z8*equityP</f>
        <v>6.478089115297353E-2</v>
      </c>
      <c r="AB8" s="50">
        <f>+AA8/(1-taxrate)</f>
        <v>8.2001128041738647E-2</v>
      </c>
      <c r="AC8" s="50">
        <f>debtP*Debt_Rate</f>
        <v>1.6570222222287465E-2</v>
      </c>
      <c r="AD8" s="50">
        <f>AC8+AB8</f>
        <v>9.8571350264026109E-2</v>
      </c>
      <c r="AE8" s="50">
        <f>AD8/(S8/100)</f>
        <v>0.10280581230678368</v>
      </c>
      <c r="AF8" s="50">
        <f>1-AE8</f>
        <v>0.89719418769321635</v>
      </c>
      <c r="AG8" s="51">
        <f>expenses/(AF8)</f>
        <v>2215933.0706371781</v>
      </c>
      <c r="AH8" s="52">
        <f>+AG8-Revenue</f>
        <v>468256.34510944714</v>
      </c>
      <c r="AI8" s="53">
        <f ca="1">+AH8/$J$49</f>
        <v>536238.96504712396</v>
      </c>
      <c r="AJ8" s="53">
        <f ca="1">+AI8*$J$47</f>
        <v>13225.782867772499</v>
      </c>
      <c r="AK8" s="51">
        <f ca="1">ROUND(+AJ8+AG8,5)</f>
        <v>2229158.8535000002</v>
      </c>
    </row>
    <row r="9" spans="1:37" ht="15.75">
      <c r="A9" s="1"/>
      <c r="B9" s="25" t="s">
        <v>55</v>
      </c>
      <c r="C9" s="54">
        <v>4.1425555555718661E-2</v>
      </c>
      <c r="D9" s="22"/>
      <c r="E9" s="1"/>
      <c r="F9" s="55">
        <f t="shared" ref="F9:F49" si="0">+F8+1</f>
        <v>3</v>
      </c>
      <c r="G9" s="28"/>
      <c r="H9" s="45" t="s">
        <v>56</v>
      </c>
      <c r="I9" s="57">
        <f>+I7-I8</f>
        <v>-240445.54576512682</v>
      </c>
      <c r="J9" s="17"/>
      <c r="K9" s="57">
        <f ca="1">+K7-K8</f>
        <v>227603.81504031643</v>
      </c>
      <c r="L9" s="28"/>
      <c r="M9" s="58">
        <f ca="1">+M7-M8</f>
        <v>227603.81504031643</v>
      </c>
      <c r="O9" s="31"/>
      <c r="P9" s="2"/>
      <c r="R9" s="59">
        <v>4</v>
      </c>
      <c r="S9" s="48">
        <f>Revenue/Investment*100</f>
        <v>95.881106381299261</v>
      </c>
      <c r="T9" s="49">
        <f>EXP(y_inter1-(slope*LN(+S9)))</f>
        <v>10.451492566602683</v>
      </c>
      <c r="U9" s="50">
        <f>(+S9*T9/100)/100</f>
        <v>0.10021006706217904</v>
      </c>
      <c r="V9" s="50">
        <f>regDebt_weighted</f>
        <v>3.5860000000000003E-2</v>
      </c>
      <c r="W9" s="50">
        <f>+U9-V9</f>
        <v>6.4350067062179037E-2</v>
      </c>
      <c r="X9" s="50">
        <f>+((W9*(1-0.34))-Pfd_weighted)/Equity_percent</f>
        <v>0.10546815192162255</v>
      </c>
      <c r="Y9" s="50">
        <f>+Y8</f>
        <v>2.5000000000000001E-3</v>
      </c>
      <c r="Z9" s="50">
        <f>+X9+Y9</f>
        <v>0.10796815192162255</v>
      </c>
      <c r="AA9" s="50">
        <f>Z9*equityP</f>
        <v>6.478089115297353E-2</v>
      </c>
      <c r="AB9" s="50">
        <f>+AA9/(1-taxrate)</f>
        <v>8.2001128041738647E-2</v>
      </c>
      <c r="AC9" s="50">
        <f>debtP*Debt_Rate</f>
        <v>1.6570222222287465E-2</v>
      </c>
      <c r="AD9" s="50">
        <f>AC9+AB9</f>
        <v>9.8571350264026109E-2</v>
      </c>
      <c r="AE9" s="50">
        <f>AD9/(S9/100)</f>
        <v>0.10280581230678368</v>
      </c>
      <c r="AF9" s="50">
        <f>1-AE9</f>
        <v>0.89719418769321635</v>
      </c>
      <c r="AG9" s="51">
        <f>expenses/(AF9)</f>
        <v>2215933.0706371781</v>
      </c>
      <c r="AH9" s="52">
        <f>+AG9-Revenue</f>
        <v>468256.34510944714</v>
      </c>
      <c r="AI9" s="53">
        <f ca="1">+AH9/$J$49</f>
        <v>536238.96504712396</v>
      </c>
      <c r="AJ9" s="53">
        <f ca="1">+AI9*$J$47</f>
        <v>13225.782867772499</v>
      </c>
      <c r="AK9" s="51">
        <f ca="1">ROUND(+AJ9+AG9,5)</f>
        <v>2229158.8535000002</v>
      </c>
    </row>
    <row r="10" spans="1:37" ht="15.75">
      <c r="A10" s="1"/>
      <c r="B10" s="60" t="s">
        <v>57</v>
      </c>
      <c r="C10" s="54">
        <v>0.21</v>
      </c>
      <c r="D10" s="22"/>
      <c r="E10" s="1"/>
      <c r="F10" s="55">
        <f t="shared" si="0"/>
        <v>4</v>
      </c>
      <c r="G10" s="28"/>
      <c r="H10" s="28"/>
      <c r="I10" s="17"/>
      <c r="J10" s="17"/>
      <c r="K10" s="46"/>
      <c r="L10" s="28"/>
      <c r="M10" s="28"/>
      <c r="O10" s="31"/>
      <c r="P10" s="1"/>
      <c r="R10" s="20" t="s">
        <v>58</v>
      </c>
    </row>
    <row r="11" spans="1:37" ht="15.75">
      <c r="A11" s="1"/>
      <c r="B11" s="25" t="s">
        <v>59</v>
      </c>
      <c r="C11" s="54">
        <v>1.7500000000000002E-2</v>
      </c>
      <c r="D11" s="22"/>
      <c r="E11" s="1"/>
      <c r="F11" s="55">
        <f t="shared" si="0"/>
        <v>5</v>
      </c>
      <c r="G11" s="28"/>
      <c r="H11" s="45" t="s">
        <v>60</v>
      </c>
      <c r="I11" s="46">
        <f>+K11</f>
        <v>30203.439246465005</v>
      </c>
      <c r="J11" s="17"/>
      <c r="K11" s="46">
        <f>+M27</f>
        <v>30203.439246465005</v>
      </c>
      <c r="L11" s="28"/>
      <c r="M11" s="46">
        <f>+K11</f>
        <v>30203.439246465005</v>
      </c>
      <c r="O11" s="31"/>
      <c r="P11" s="1"/>
      <c r="R11" s="37">
        <v>1</v>
      </c>
      <c r="S11" s="38">
        <f ca="1">IF((AK6/Investment*100)&gt;0,(AK6/Investment*100),0)</f>
        <v>122.29619703192485</v>
      </c>
      <c r="T11" s="39">
        <f ca="1">EXP(y_inter1-(slope*LN(S11)))</f>
        <v>9.7121184863195111</v>
      </c>
      <c r="U11" s="40">
        <f ca="1">(+S11*T11/100)/100</f>
        <v>0.11877551560003305</v>
      </c>
      <c r="V11" s="40">
        <f>regDebt_weighted</f>
        <v>3.5860000000000003E-2</v>
      </c>
      <c r="W11" s="40">
        <f ca="1">+U11-V11</f>
        <v>8.2915515600033046E-2</v>
      </c>
      <c r="X11" s="40">
        <f ca="1">+((W11*(1-0.34))-Pfd_weighted)/Equity_percent</f>
        <v>0.14108790783727271</v>
      </c>
      <c r="Y11" s="40">
        <f>+Y9</f>
        <v>2.5000000000000001E-3</v>
      </c>
      <c r="Z11" s="40">
        <f ca="1">+X11+Y11</f>
        <v>0.14358790783727271</v>
      </c>
      <c r="AA11" s="40">
        <f ca="1">Z11*equityP</f>
        <v>8.6152744702363629E-2</v>
      </c>
      <c r="AB11" s="40">
        <f ca="1">+AA11/(1-taxrate)</f>
        <v>0.1090541072181818</v>
      </c>
      <c r="AC11" s="40">
        <f>debtP*Debt_Rate</f>
        <v>1.6570222222287465E-2</v>
      </c>
      <c r="AD11" s="40">
        <f ca="1">+AC11+AB11</f>
        <v>0.12562432944046928</v>
      </c>
      <c r="AE11" s="40">
        <f ca="1">+AD11/(S11/100)</f>
        <v>0.10272137032002364</v>
      </c>
      <c r="AF11" s="40">
        <f ca="1">1-AE11</f>
        <v>0.8972786296799764</v>
      </c>
      <c r="AG11" s="41">
        <f ca="1">expenses/(AF11)</f>
        <v>2215724.5314110979</v>
      </c>
      <c r="AH11" s="42">
        <f ca="1">+AG11-Revenue</f>
        <v>468047.80588336685</v>
      </c>
      <c r="AI11" s="43">
        <f ca="1">+AH11/$J$49</f>
        <v>536000.14957792009</v>
      </c>
      <c r="AJ11" s="43">
        <f ca="1">+AI11*$J$47</f>
        <v>13219.892729705271</v>
      </c>
      <c r="AK11" s="41">
        <f ca="1">ROUND(+AJ11+AG11,5)</f>
        <v>2228944.4241399998</v>
      </c>
    </row>
    <row r="12" spans="1:37" ht="15.75">
      <c r="A12" s="1"/>
      <c r="B12" s="25" t="s">
        <v>61</v>
      </c>
      <c r="C12" s="54">
        <v>5.1000000000000004E-3</v>
      </c>
      <c r="D12" s="22"/>
      <c r="E12" s="1"/>
      <c r="F12" s="55">
        <f t="shared" si="0"/>
        <v>6</v>
      </c>
      <c r="G12" s="28"/>
      <c r="H12" s="45" t="s">
        <v>62</v>
      </c>
      <c r="I12" s="46" t="e">
        <f ca="1">IF(I14&lt;0,0,+J38*I14)</f>
        <v>#VALUE!</v>
      </c>
      <c r="J12" s="46" t="e">
        <f ca="1">+K12-I12</f>
        <v>#VALUE!</v>
      </c>
      <c r="K12" s="46">
        <f ca="1">+(K9-K11)*taxrate</f>
        <v>41454.078916708793</v>
      </c>
      <c r="L12" s="28"/>
      <c r="M12" s="46">
        <f ca="1">+K12</f>
        <v>41454.078916708793</v>
      </c>
      <c r="O12" s="31"/>
      <c r="P12" s="1"/>
      <c r="R12" s="47">
        <v>2</v>
      </c>
      <c r="S12" s="48">
        <f ca="1">IF((AK7/Investment*100)&gt;0,(AK7/Investment*100),0)</f>
        <v>122.29619703192485</v>
      </c>
      <c r="T12" s="61">
        <f ca="1">EXP(y_inter2-(slope*LN(+S12)))</f>
        <v>9.7121184863195111</v>
      </c>
      <c r="U12" s="50">
        <f ca="1">(+S12*T12/100)/100</f>
        <v>0.11877551560003305</v>
      </c>
      <c r="V12" s="50">
        <f>regDebt_weighted</f>
        <v>3.5860000000000003E-2</v>
      </c>
      <c r="W12" s="50">
        <f ca="1">+U12-V12</f>
        <v>8.2915515600033046E-2</v>
      </c>
      <c r="X12" s="50">
        <f ca="1">+((W12*(1-0.34))-Pfd_weighted)/Equity_percent</f>
        <v>0.14108790783727271</v>
      </c>
      <c r="Y12" s="50">
        <f>+Y11</f>
        <v>2.5000000000000001E-3</v>
      </c>
      <c r="Z12" s="50">
        <f ca="1">+X12+Y12</f>
        <v>0.14358790783727271</v>
      </c>
      <c r="AA12" s="50">
        <f ca="1">Z12*equityP</f>
        <v>8.6152744702363629E-2</v>
      </c>
      <c r="AB12" s="50">
        <f ca="1">+AA12/(1-taxrate)</f>
        <v>0.1090541072181818</v>
      </c>
      <c r="AC12" s="50">
        <f>debtP*Debt_Rate</f>
        <v>1.6570222222287465E-2</v>
      </c>
      <c r="AD12" s="50">
        <f ca="1">+AC12+AB12</f>
        <v>0.12562432944046928</v>
      </c>
      <c r="AE12" s="50">
        <f ca="1">+AD12/(S12/100)</f>
        <v>0.10272137032002364</v>
      </c>
      <c r="AF12" s="50">
        <f ca="1">1-AE12</f>
        <v>0.8972786296799764</v>
      </c>
      <c r="AG12" s="51">
        <f ca="1">expenses/(AF12)</f>
        <v>2215724.5314110979</v>
      </c>
      <c r="AH12" s="52">
        <f ca="1">+AG12-Revenue</f>
        <v>468047.80588336685</v>
      </c>
      <c r="AI12" s="53">
        <f ca="1">+AH12/$J$49</f>
        <v>536000.14957792009</v>
      </c>
      <c r="AJ12" s="53">
        <f ca="1">+AI12*$J$47</f>
        <v>13219.892729705271</v>
      </c>
      <c r="AK12" s="51">
        <f ca="1">ROUND(+AJ12+AG12,5)</f>
        <v>2228944.4241399998</v>
      </c>
    </row>
    <row r="13" spans="1:37" ht="15.75">
      <c r="A13" s="1"/>
      <c r="B13" s="25" t="s">
        <v>63</v>
      </c>
      <c r="C13" s="54">
        <v>0</v>
      </c>
      <c r="D13" s="22"/>
      <c r="E13" s="1"/>
      <c r="F13" s="55">
        <f t="shared" si="0"/>
        <v>7</v>
      </c>
      <c r="G13" s="28"/>
      <c r="H13" s="28"/>
      <c r="I13" s="17"/>
      <c r="J13" s="17"/>
      <c r="K13" s="46"/>
      <c r="L13" s="28"/>
      <c r="M13" s="28"/>
      <c r="O13" s="31"/>
      <c r="P13" s="1"/>
      <c r="R13" s="56">
        <v>3</v>
      </c>
      <c r="S13" s="48">
        <f ca="1">IF((AK8/Investment*100)&gt;0,(AK8/Investment*100),0)</f>
        <v>122.29619703192485</v>
      </c>
      <c r="T13" s="49">
        <f ca="1">EXP(y_inter3-(slope*LN(S13)))</f>
        <v>9.7121184863195111</v>
      </c>
      <c r="U13" s="50">
        <f ca="1">(+S13*T13/100)/100</f>
        <v>0.11877551560003305</v>
      </c>
      <c r="V13" s="50">
        <f>regDebt_weighted</f>
        <v>3.5860000000000003E-2</v>
      </c>
      <c r="W13" s="50">
        <f ca="1">+U13-V13</f>
        <v>8.2915515600033046E-2</v>
      </c>
      <c r="X13" s="50">
        <f ca="1">+((W13*(1-0.34))-Pfd_weighted)/Equity_percent</f>
        <v>0.14108790783727271</v>
      </c>
      <c r="Y13" s="50">
        <f>+Y12</f>
        <v>2.5000000000000001E-3</v>
      </c>
      <c r="Z13" s="50">
        <f ca="1">+X13+Y13</f>
        <v>0.14358790783727271</v>
      </c>
      <c r="AA13" s="50">
        <f ca="1">Z13*equityP</f>
        <v>8.6152744702363629E-2</v>
      </c>
      <c r="AB13" s="50">
        <f ca="1">+AA13/(1-taxrate)</f>
        <v>0.1090541072181818</v>
      </c>
      <c r="AC13" s="50">
        <f>debtP*Debt_Rate</f>
        <v>1.6570222222287465E-2</v>
      </c>
      <c r="AD13" s="50">
        <f ca="1">+AC13+AB13</f>
        <v>0.12562432944046928</v>
      </c>
      <c r="AE13" s="50">
        <f ca="1">+AD13/(S13/100)</f>
        <v>0.10272137032002364</v>
      </c>
      <c r="AF13" s="50">
        <f ca="1">1-AE13</f>
        <v>0.8972786296799764</v>
      </c>
      <c r="AG13" s="51">
        <f ca="1">expenses/(AF13)</f>
        <v>2215724.5314110979</v>
      </c>
      <c r="AH13" s="52">
        <f ca="1">+AG13-Revenue</f>
        <v>468047.80588336685</v>
      </c>
      <c r="AI13" s="53">
        <f ca="1">+AH13/$J$49</f>
        <v>536000.14957792009</v>
      </c>
      <c r="AJ13" s="53">
        <f ca="1">+AI13*$J$47</f>
        <v>13219.892729705271</v>
      </c>
      <c r="AK13" s="51">
        <f ca="1">ROUND(+AJ13+AG13,5)</f>
        <v>2228944.4241399998</v>
      </c>
    </row>
    <row r="14" spans="1:37" ht="16.5" thickBot="1">
      <c r="A14" s="1"/>
      <c r="B14" s="62" t="s">
        <v>64</v>
      </c>
      <c r="C14" s="54">
        <v>2.0639720905216838E-3</v>
      </c>
      <c r="D14" s="22"/>
      <c r="E14" s="1"/>
      <c r="F14" s="55">
        <f t="shared" si="0"/>
        <v>8</v>
      </c>
      <c r="G14" s="28"/>
      <c r="H14" s="28" t="s">
        <v>65</v>
      </c>
      <c r="I14" s="63" t="e">
        <f ca="1">+I9-SUM(I11:I13)</f>
        <v>#VALUE!</v>
      </c>
      <c r="J14" s="17"/>
      <c r="K14" s="63">
        <f ca="1">+K9-SUM(K11:K13)</f>
        <v>155946.29687714262</v>
      </c>
      <c r="L14" s="28"/>
      <c r="M14" s="63">
        <f ca="1">+M9-SUM(M11:M13)</f>
        <v>155946.29687714262</v>
      </c>
      <c r="O14" s="31"/>
      <c r="P14" s="1"/>
      <c r="R14" s="59">
        <v>4</v>
      </c>
      <c r="S14" s="48">
        <f ca="1">IF((AK9/Investment*100)&gt;0,(AK9/Investment*100),0)</f>
        <v>122.29619703192485</v>
      </c>
      <c r="T14" s="64">
        <f ca="1">EXP(y_inter4-(slope*LN(S14)))</f>
        <v>9.7121184863195111</v>
      </c>
      <c r="U14" s="50">
        <f ca="1">(+S14*T14/100)/100</f>
        <v>0.11877551560003305</v>
      </c>
      <c r="V14" s="50">
        <f>regDebt_weighted</f>
        <v>3.5860000000000003E-2</v>
      </c>
      <c r="W14" s="50">
        <f ca="1">+U14-V14</f>
        <v>8.2915515600033046E-2</v>
      </c>
      <c r="X14" s="50">
        <f ca="1">+((W14*(1-0.34))-Pfd_weighted)/Equity_percent</f>
        <v>0.14108790783727271</v>
      </c>
      <c r="Y14" s="50">
        <f>+Y13</f>
        <v>2.5000000000000001E-3</v>
      </c>
      <c r="Z14" s="50">
        <f ca="1">+X14+Y14</f>
        <v>0.14358790783727271</v>
      </c>
      <c r="AA14" s="50">
        <f ca="1">Z14*equityP</f>
        <v>8.6152744702363629E-2</v>
      </c>
      <c r="AB14" s="50">
        <f ca="1">+AA14/(1-taxrate)</f>
        <v>0.1090541072181818</v>
      </c>
      <c r="AC14" s="50">
        <f>debtP*Debt_Rate</f>
        <v>1.6570222222287465E-2</v>
      </c>
      <c r="AD14" s="50">
        <f ca="1">+AC14+AB14</f>
        <v>0.12562432944046928</v>
      </c>
      <c r="AE14" s="50">
        <f ca="1">+AD14/(S14/100)</f>
        <v>0.10272137032002364</v>
      </c>
      <c r="AF14" s="50">
        <f ca="1">1-AE14</f>
        <v>0.8972786296799764</v>
      </c>
      <c r="AG14" s="51">
        <f ca="1">expenses/(AF14)</f>
        <v>2215724.5314110979</v>
      </c>
      <c r="AH14" s="52">
        <f ca="1">+AG14-Revenue</f>
        <v>468047.80588336685</v>
      </c>
      <c r="AI14" s="53">
        <f ca="1">+AH14/$J$49</f>
        <v>536000.14957792009</v>
      </c>
      <c r="AJ14" s="53">
        <f ca="1">+AI14*$J$47</f>
        <v>13219.892729705271</v>
      </c>
      <c r="AK14" s="51">
        <f ca="1">ROUND(+AJ14+AG14,5)</f>
        <v>2228944.4241399998</v>
      </c>
    </row>
    <row r="15" spans="1:37" ht="16.5" thickTop="1">
      <c r="A15" s="1"/>
      <c r="B15" s="62" t="s">
        <v>66</v>
      </c>
      <c r="C15" s="54">
        <v>2.5000000000000001E-3</v>
      </c>
      <c r="D15" s="1"/>
      <c r="E15" s="1"/>
      <c r="F15" s="55">
        <f t="shared" si="0"/>
        <v>9</v>
      </c>
      <c r="G15" s="17"/>
      <c r="H15" s="17"/>
      <c r="I15" s="17"/>
      <c r="J15" s="17"/>
      <c r="K15" s="65"/>
      <c r="L15" s="17"/>
      <c r="M15" s="17"/>
      <c r="O15" s="31"/>
      <c r="P15" s="1"/>
      <c r="R15" s="20" t="s">
        <v>67</v>
      </c>
    </row>
    <row r="16" spans="1:37" ht="15.75">
      <c r="A16" s="1"/>
      <c r="B16" s="1"/>
      <c r="C16" s="1"/>
      <c r="D16" s="22" t="s">
        <v>68</v>
      </c>
      <c r="E16" s="1"/>
      <c r="F16" s="55">
        <f t="shared" si="0"/>
        <v>10</v>
      </c>
      <c r="G16" s="17"/>
      <c r="H16" s="45" t="s">
        <v>69</v>
      </c>
      <c r="I16" s="66">
        <f>+I8/I7</f>
        <v>1.1375801040621638</v>
      </c>
      <c r="J16" s="67"/>
      <c r="K16" s="66">
        <f ca="1">+K8/K7</f>
        <v>0.89727799999999991</v>
      </c>
      <c r="L16" s="68"/>
      <c r="M16" s="66">
        <f ca="1">+M8/M7</f>
        <v>0.89788724684508447</v>
      </c>
      <c r="O16" s="31"/>
      <c r="P16" s="1"/>
      <c r="R16" s="37">
        <v>1</v>
      </c>
      <c r="S16" s="38">
        <f ca="1">AK11/Investment*100</f>
        <v>122.28443300029521</v>
      </c>
      <c r="T16" s="39">
        <f ca="1">EXP(y_inter1-(slope*LN(+S16)))</f>
        <v>9.7124001928495538</v>
      </c>
      <c r="U16" s="40">
        <f ca="1">(+S16*T16/100)/100</f>
        <v>0.11876753506545656</v>
      </c>
      <c r="V16" s="40">
        <f>regDebt_weighted</f>
        <v>3.5860000000000003E-2</v>
      </c>
      <c r="W16" s="40">
        <f ca="1">+U16-V16</f>
        <v>8.2907535065456561E-2</v>
      </c>
      <c r="X16" s="40">
        <f ca="1">+((W16*(1-0.34))-Pfd_weighted)/Equity_percent</f>
        <v>0.14107259634651548</v>
      </c>
      <c r="Y16" s="40">
        <f>+Y14</f>
        <v>2.5000000000000001E-3</v>
      </c>
      <c r="Z16" s="40">
        <f ca="1">+X16+Y16</f>
        <v>0.14357259634651548</v>
      </c>
      <c r="AA16" s="40">
        <f ca="1">Z16*equityP</f>
        <v>8.6143557807909291E-2</v>
      </c>
      <c r="AB16" s="40">
        <f ca="1">+AA16/(1-taxrate)</f>
        <v>0.10904247823785986</v>
      </c>
      <c r="AC16" s="40">
        <f>debtP*Debt_Rate</f>
        <v>1.6570222222287465E-2</v>
      </c>
      <c r="AD16" s="40">
        <f ca="1">+AC16+AB16</f>
        <v>0.12561270046014733</v>
      </c>
      <c r="AE16" s="40">
        <f ca="1">+AD16/(S16/100)</f>
        <v>0.10272174256214942</v>
      </c>
      <c r="AF16" s="40">
        <f ca="1">1-AE16</f>
        <v>0.89727825743785061</v>
      </c>
      <c r="AG16" s="41">
        <f ca="1">expenses/(AF16)</f>
        <v>2215725.4506198303</v>
      </c>
      <c r="AH16" s="42">
        <f ca="1">+AG16-Revenue</f>
        <v>468048.72509209928</v>
      </c>
      <c r="AI16" s="43">
        <f ca="1">+AH16/$J$49</f>
        <v>536001.20223966078</v>
      </c>
      <c r="AJ16" s="43">
        <f ca="1">+AI16*$J$47</f>
        <v>13219.918692525063</v>
      </c>
      <c r="AK16" s="41">
        <f ca="1">ROUND(+AJ16+AG16,5)</f>
        <v>2228945.36931</v>
      </c>
    </row>
    <row r="17" spans="1:37" ht="15.75">
      <c r="A17" s="1"/>
      <c r="B17" s="69" t="s">
        <v>70</v>
      </c>
      <c r="C17" s="70"/>
      <c r="D17" s="1" t="s">
        <v>71</v>
      </c>
      <c r="E17" s="1"/>
      <c r="F17" s="55">
        <f t="shared" si="0"/>
        <v>11</v>
      </c>
      <c r="G17" s="17"/>
      <c r="H17" s="17"/>
      <c r="I17" s="17"/>
      <c r="K17" s="17"/>
      <c r="L17" s="45"/>
      <c r="M17" s="45"/>
      <c r="N17" s="66"/>
      <c r="O17" s="1"/>
      <c r="P17" s="1"/>
      <c r="R17" s="47">
        <v>2</v>
      </c>
      <c r="S17" s="48">
        <f ca="1">AK12/Investment*100</f>
        <v>122.28443300029521</v>
      </c>
      <c r="T17" s="61">
        <f ca="1">EXP(y_inter2-(slope*LN(+S17)))</f>
        <v>9.7124001928495538</v>
      </c>
      <c r="U17" s="50">
        <f ca="1">(+S17*T17/100)/100</f>
        <v>0.11876753506545656</v>
      </c>
      <c r="V17" s="50">
        <f>regDebt_weighted</f>
        <v>3.5860000000000003E-2</v>
      </c>
      <c r="W17" s="50">
        <f ca="1">+U17-V17</f>
        <v>8.2907535065456561E-2</v>
      </c>
      <c r="X17" s="50">
        <f ca="1">+((W17*(1-0.34))-Pfd_weighted)/Equity_percent</f>
        <v>0.14107259634651548</v>
      </c>
      <c r="Y17" s="50">
        <f>+Y16</f>
        <v>2.5000000000000001E-3</v>
      </c>
      <c r="Z17" s="50">
        <f ca="1">+X17+Y17</f>
        <v>0.14357259634651548</v>
      </c>
      <c r="AA17" s="50">
        <f ca="1">Z17*equityP</f>
        <v>8.6143557807909291E-2</v>
      </c>
      <c r="AB17" s="50">
        <f ca="1">+AA17/(1-taxrate)</f>
        <v>0.10904247823785986</v>
      </c>
      <c r="AC17" s="50">
        <f>debtP*Debt_Rate</f>
        <v>1.6570222222287465E-2</v>
      </c>
      <c r="AD17" s="50">
        <f ca="1">+AC17+AB17</f>
        <v>0.12561270046014733</v>
      </c>
      <c r="AE17" s="50">
        <f ca="1">+AD17/(S17/100)</f>
        <v>0.10272174256214942</v>
      </c>
      <c r="AF17" s="50">
        <f ca="1">1-AE17</f>
        <v>0.89727825743785061</v>
      </c>
      <c r="AG17" s="51">
        <f ca="1">expenses/(AF17)</f>
        <v>2215725.4506198303</v>
      </c>
      <c r="AH17" s="52">
        <f ca="1">+AG17-Revenue</f>
        <v>468048.72509209928</v>
      </c>
      <c r="AI17" s="53">
        <f ca="1">+AH17/$J$49</f>
        <v>536001.20223966078</v>
      </c>
      <c r="AJ17" s="53">
        <f ca="1">+AI17*$J$47</f>
        <v>13219.918692525063</v>
      </c>
      <c r="AK17" s="51">
        <f ca="1">ROUND(+AJ17+AG17,5)</f>
        <v>2228945.36931</v>
      </c>
    </row>
    <row r="18" spans="1:37" ht="15.75">
      <c r="A18" s="1"/>
      <c r="B18" s="364"/>
      <c r="C18" s="364"/>
      <c r="D18" s="1"/>
      <c r="E18" s="1"/>
      <c r="F18" s="55">
        <f t="shared" si="0"/>
        <v>12</v>
      </c>
      <c r="G18" s="17"/>
      <c r="H18" s="71" t="s">
        <v>72</v>
      </c>
      <c r="I18" s="72"/>
      <c r="J18" s="72"/>
      <c r="K18" s="72"/>
      <c r="L18" s="72"/>
      <c r="M18" s="73"/>
      <c r="O18" s="1"/>
      <c r="P18" s="1"/>
      <c r="R18" s="56">
        <v>3</v>
      </c>
      <c r="S18" s="48">
        <f ca="1">AK13/Investment*100</f>
        <v>122.28443300029521</v>
      </c>
      <c r="T18" s="49">
        <f ca="1">EXP(y_inter3-(slope*LN(S18)))</f>
        <v>9.7124001928495538</v>
      </c>
      <c r="U18" s="50">
        <f ca="1">(+S18*T18/100)/100</f>
        <v>0.11876753506545656</v>
      </c>
      <c r="V18" s="50">
        <f>regDebt_weighted</f>
        <v>3.5860000000000003E-2</v>
      </c>
      <c r="W18" s="50">
        <f ca="1">+U18-V18</f>
        <v>8.2907535065456561E-2</v>
      </c>
      <c r="X18" s="50">
        <f ca="1">+((W18*(1-0.34))-Pfd_weighted)/Equity_percent</f>
        <v>0.14107259634651548</v>
      </c>
      <c r="Y18" s="50">
        <f>+Y17</f>
        <v>2.5000000000000001E-3</v>
      </c>
      <c r="Z18" s="50">
        <f ca="1">+X18+Y18</f>
        <v>0.14357259634651548</v>
      </c>
      <c r="AA18" s="50">
        <f ca="1">Z18*equityP</f>
        <v>8.6143557807909291E-2</v>
      </c>
      <c r="AB18" s="50">
        <f ca="1">+AA18/(1-taxrate)</f>
        <v>0.10904247823785986</v>
      </c>
      <c r="AC18" s="50">
        <f>debtP*Debt_Rate</f>
        <v>1.6570222222287465E-2</v>
      </c>
      <c r="AD18" s="50">
        <f ca="1">+AC18+AB18</f>
        <v>0.12561270046014733</v>
      </c>
      <c r="AE18" s="50">
        <f ca="1">+AD18/(S18/100)</f>
        <v>0.10272174256214942</v>
      </c>
      <c r="AF18" s="50">
        <f ca="1">1-AE18</f>
        <v>0.89727825743785061</v>
      </c>
      <c r="AG18" s="51">
        <f ca="1">expenses/(AF18)</f>
        <v>2215725.4506198303</v>
      </c>
      <c r="AH18" s="52">
        <f ca="1">+AG18-Revenue</f>
        <v>468048.72509209928</v>
      </c>
      <c r="AI18" s="53">
        <f ca="1">+AH18/$J$49</f>
        <v>536001.20223966078</v>
      </c>
      <c r="AJ18" s="53">
        <f ca="1">+AI18*$J$47</f>
        <v>13219.918692525063</v>
      </c>
      <c r="AK18" s="51">
        <f ca="1">ROUND(+AJ18+AG18,5)</f>
        <v>2228945.36931</v>
      </c>
    </row>
    <row r="19" spans="1:37" ht="15.75">
      <c r="A19" s="1"/>
      <c r="B19" s="365" t="s">
        <v>73</v>
      </c>
      <c r="C19" s="365"/>
      <c r="D19" s="1"/>
      <c r="E19" s="1"/>
      <c r="F19" s="55">
        <f t="shared" si="0"/>
        <v>13</v>
      </c>
      <c r="G19" s="17"/>
      <c r="H19" s="23"/>
      <c r="I19" s="45" t="s">
        <v>74</v>
      </c>
      <c r="J19" s="46">
        <f>+Revenue</f>
        <v>1747676.725527731</v>
      </c>
      <c r="K19" s="74"/>
      <c r="L19" s="45" t="s">
        <v>75</v>
      </c>
      <c r="M19" s="75">
        <f ca="1">+J7</f>
        <v>468049.36080544326</v>
      </c>
      <c r="O19" s="1"/>
      <c r="P19" s="1"/>
      <c r="R19" s="59">
        <v>4</v>
      </c>
      <c r="S19" s="48">
        <f ca="1">AK14/Investment*100</f>
        <v>122.28443300029521</v>
      </c>
      <c r="T19" s="64">
        <f ca="1">EXP(y_inter4-(slope*LN(S19)))</f>
        <v>9.7124001928495538</v>
      </c>
      <c r="U19" s="50">
        <f ca="1">(+S19*T19/100)/100</f>
        <v>0.11876753506545656</v>
      </c>
      <c r="V19" s="50">
        <f>regDebt_weighted</f>
        <v>3.5860000000000003E-2</v>
      </c>
      <c r="W19" s="50">
        <f ca="1">+U19-V19</f>
        <v>8.2907535065456561E-2</v>
      </c>
      <c r="X19" s="50">
        <f ca="1">+((W19*(1-0.34))-Pfd_weighted)/Equity_percent</f>
        <v>0.14107259634651548</v>
      </c>
      <c r="Y19" s="50">
        <f>+Y18</f>
        <v>2.5000000000000001E-3</v>
      </c>
      <c r="Z19" s="50">
        <f ca="1">+X19+Y19</f>
        <v>0.14357259634651548</v>
      </c>
      <c r="AA19" s="50">
        <f ca="1">Z19*equityP</f>
        <v>8.6143557807909291E-2</v>
      </c>
      <c r="AB19" s="50">
        <f ca="1">+AA19/(1-taxrate)</f>
        <v>0.10904247823785986</v>
      </c>
      <c r="AC19" s="50">
        <f>debtP*Debt_Rate</f>
        <v>1.6570222222287465E-2</v>
      </c>
      <c r="AD19" s="50">
        <f ca="1">+AC19+AB19</f>
        <v>0.12561270046014733</v>
      </c>
      <c r="AE19" s="50">
        <f ca="1">+AD19/(S19/100)</f>
        <v>0.10272174256214942</v>
      </c>
      <c r="AF19" s="50">
        <f ca="1">1-AE19</f>
        <v>0.89727825743785061</v>
      </c>
      <c r="AG19" s="51">
        <f ca="1">expenses/(AF19)</f>
        <v>2215725.4506198303</v>
      </c>
      <c r="AH19" s="52">
        <f ca="1">+AG19-Revenue</f>
        <v>468048.72509209928</v>
      </c>
      <c r="AI19" s="53">
        <f ca="1">+AH19/$J$49</f>
        <v>536001.20223966078</v>
      </c>
      <c r="AJ19" s="53">
        <f ca="1">+AI19*$J$47</f>
        <v>13219.918692525063</v>
      </c>
      <c r="AK19" s="51">
        <f ca="1">ROUND(+AJ19+AG19,5)</f>
        <v>2228945.36931</v>
      </c>
    </row>
    <row r="20" spans="1:37" ht="15.75">
      <c r="A20" s="1"/>
      <c r="B20" s="70"/>
      <c r="C20" s="1"/>
      <c r="D20" s="1"/>
      <c r="E20" s="1"/>
      <c r="F20" s="55">
        <f t="shared" si="0"/>
        <v>14</v>
      </c>
      <c r="G20" s="17"/>
      <c r="H20" s="23"/>
      <c r="I20" s="45" t="s">
        <v>76</v>
      </c>
      <c r="J20" s="46">
        <f ca="1">+J21-J19</f>
        <v>481269.29745353223</v>
      </c>
      <c r="K20" s="76"/>
      <c r="L20" s="45" t="s">
        <v>77</v>
      </c>
      <c r="M20" s="75">
        <f ca="1">+L8</f>
        <v>13219.936648088857</v>
      </c>
      <c r="O20" s="1"/>
      <c r="P20" s="1"/>
      <c r="R20" s="20" t="s">
        <v>78</v>
      </c>
    </row>
    <row r="21" spans="1:37" ht="16.5" thickBot="1">
      <c r="A21" s="1"/>
      <c r="B21" s="70"/>
      <c r="C21" s="70"/>
      <c r="D21" s="1"/>
      <c r="E21" s="1"/>
      <c r="F21" s="55">
        <f t="shared" si="0"/>
        <v>15</v>
      </c>
      <c r="G21" s="17"/>
      <c r="H21" s="23"/>
      <c r="I21" s="77" t="s">
        <v>72</v>
      </c>
      <c r="J21" s="78">
        <f ca="1">+M7</f>
        <v>2228946.0229812632</v>
      </c>
      <c r="K21" s="79"/>
      <c r="L21" s="77" t="s">
        <v>76</v>
      </c>
      <c r="M21" s="80">
        <f ca="1">+M19+M20</f>
        <v>481269.29745353211</v>
      </c>
      <c r="O21" s="1"/>
      <c r="P21" s="1"/>
      <c r="R21" s="37">
        <v>1</v>
      </c>
      <c r="S21" s="38">
        <f ca="1">AK16/Investment*100</f>
        <v>122.28448485424738</v>
      </c>
      <c r="T21" s="39">
        <f ca="1">EXP(y_inter1-(slope*LN(+S21)))</f>
        <v>9.712398951055258</v>
      </c>
      <c r="U21" s="40">
        <f ca="1">(+S21*T21/100)/100</f>
        <v>0.11876757024287249</v>
      </c>
      <c r="V21" s="40">
        <f>regDebt_weighted</f>
        <v>3.5860000000000003E-2</v>
      </c>
      <c r="W21" s="40">
        <f ca="1">+U21-V21</f>
        <v>8.2907570242872486E-2</v>
      </c>
      <c r="X21" s="40">
        <f ca="1">+((W21*(1-0.34))-Pfd_weighted)/Equity_percent</f>
        <v>0.1410726638380693</v>
      </c>
      <c r="Y21" s="40">
        <f>+Y19</f>
        <v>2.5000000000000001E-3</v>
      </c>
      <c r="Z21" s="40">
        <f ca="1">+X21+Y21</f>
        <v>0.1435726638380693</v>
      </c>
      <c r="AA21" s="40">
        <f ca="1">Z21*equityP</f>
        <v>8.6143598302841573E-2</v>
      </c>
      <c r="AB21" s="40">
        <f ca="1">+AA21/(1-taxrate)</f>
        <v>0.10904252949726781</v>
      </c>
      <c r="AC21" s="40">
        <f>debtP*Debt_Rate</f>
        <v>1.6570222222287465E-2</v>
      </c>
      <c r="AD21" s="40">
        <f ca="1">+AC21+AB21</f>
        <v>0.12561275171955527</v>
      </c>
      <c r="AE21" s="40">
        <f ca="1">+AD21/(S21/100)</f>
        <v>0.10272174092181431</v>
      </c>
      <c r="AF21" s="40">
        <f ca="1">1-AE21</f>
        <v>0.8972782590781857</v>
      </c>
      <c r="AG21" s="41">
        <f ca="1">expenses/(AF21)</f>
        <v>2215725.4465692118</v>
      </c>
      <c r="AH21" s="42">
        <f ca="1">+AG21-Revenue</f>
        <v>468048.72104148078</v>
      </c>
      <c r="AI21" s="43">
        <f ca="1">+AH21/$J$49</f>
        <v>536001.19760096341</v>
      </c>
      <c r="AJ21" s="43">
        <f ca="1">+AI21*$J$47</f>
        <v>13219.918578116361</v>
      </c>
      <c r="AK21" s="41">
        <f ca="1">ROUND(+AJ21+AG21,5)</f>
        <v>2228945.36515</v>
      </c>
    </row>
    <row r="22" spans="1:37" ht="21" customHeight="1" thickTop="1">
      <c r="A22" s="1"/>
      <c r="B22" s="70"/>
      <c r="C22" s="1"/>
      <c r="D22" s="1"/>
      <c r="E22" s="1"/>
      <c r="F22" s="55">
        <f t="shared" si="0"/>
        <v>16</v>
      </c>
      <c r="G22" s="17"/>
      <c r="H22" s="81"/>
      <c r="I22" s="82"/>
      <c r="J22" s="83" t="s">
        <v>79</v>
      </c>
      <c r="K22" s="84">
        <f ca="1">+(J21/J19)-1</f>
        <v>0.27537661309084926</v>
      </c>
      <c r="L22" s="82"/>
      <c r="M22" s="85"/>
      <c r="O22" s="1"/>
      <c r="P22" s="1"/>
      <c r="R22" s="47">
        <v>2</v>
      </c>
      <c r="S22" s="48">
        <f ca="1">AK17/Investment*100</f>
        <v>122.28448485424738</v>
      </c>
      <c r="T22" s="61">
        <f ca="1">EXP(y_inter2-(slope*LN(+S22)))</f>
        <v>9.712398951055258</v>
      </c>
      <c r="U22" s="50">
        <f ca="1">(+S22*T22/100)/100</f>
        <v>0.11876757024287249</v>
      </c>
      <c r="V22" s="50">
        <f>regDebt_weighted</f>
        <v>3.5860000000000003E-2</v>
      </c>
      <c r="W22" s="50">
        <f ca="1">+U22-V22</f>
        <v>8.2907570242872486E-2</v>
      </c>
      <c r="X22" s="50">
        <f ca="1">+((W22*(1-0.34))-Pfd_weighted)/Equity_percent</f>
        <v>0.1410726638380693</v>
      </c>
      <c r="Y22" s="50">
        <f>+Y21</f>
        <v>2.5000000000000001E-3</v>
      </c>
      <c r="Z22" s="50">
        <f ca="1">+X22+Y22</f>
        <v>0.1435726638380693</v>
      </c>
      <c r="AA22" s="50">
        <f ca="1">Z22*equityP</f>
        <v>8.6143598302841573E-2</v>
      </c>
      <c r="AB22" s="50">
        <f ca="1">+AA22/(1-taxrate)</f>
        <v>0.10904252949726781</v>
      </c>
      <c r="AC22" s="50">
        <f>debtP*Debt_Rate</f>
        <v>1.6570222222287465E-2</v>
      </c>
      <c r="AD22" s="50">
        <f ca="1">+AC22+AB22</f>
        <v>0.12561275171955527</v>
      </c>
      <c r="AE22" s="50">
        <f ca="1">+AD22/(S22/100)</f>
        <v>0.10272174092181431</v>
      </c>
      <c r="AF22" s="50">
        <f ca="1">1-AE22</f>
        <v>0.8972782590781857</v>
      </c>
      <c r="AG22" s="51">
        <f ca="1">expenses/(AF22)</f>
        <v>2215725.4465692118</v>
      </c>
      <c r="AH22" s="52">
        <f ca="1">+AG22-Revenue</f>
        <v>468048.72104148078</v>
      </c>
      <c r="AI22" s="53">
        <f ca="1">+AH22/$J$49</f>
        <v>536001.19760096341</v>
      </c>
      <c r="AJ22" s="53">
        <f ca="1">+AI22*$J$47</f>
        <v>13219.918578116361</v>
      </c>
      <c r="AK22" s="51">
        <f ca="1">ROUND(+AJ22+AG22,5)</f>
        <v>2228945.36515</v>
      </c>
    </row>
    <row r="23" spans="1:37" ht="15.75">
      <c r="A23" s="1"/>
      <c r="B23" s="86" t="s">
        <v>80</v>
      </c>
      <c r="C23" s="87"/>
      <c r="D23" s="87"/>
      <c r="E23" s="87"/>
      <c r="F23" s="55">
        <f t="shared" si="0"/>
        <v>17</v>
      </c>
      <c r="H23" s="17"/>
      <c r="I23" s="17"/>
      <c r="J23" s="17"/>
      <c r="K23" s="17"/>
      <c r="L23" s="17"/>
      <c r="M23" s="17"/>
      <c r="N23" s="17"/>
      <c r="O23" s="1"/>
      <c r="P23" s="1"/>
      <c r="R23" s="56">
        <v>3</v>
      </c>
      <c r="S23" s="48">
        <f ca="1">AK18/Investment*100</f>
        <v>122.28448485424738</v>
      </c>
      <c r="T23" s="49">
        <f ca="1">EXP(y_inter3-(slope*LN(S23)))</f>
        <v>9.712398951055258</v>
      </c>
      <c r="U23" s="50">
        <f ca="1">(+S23*T23/100)/100</f>
        <v>0.11876757024287249</v>
      </c>
      <c r="V23" s="50">
        <f>regDebt_weighted</f>
        <v>3.5860000000000003E-2</v>
      </c>
      <c r="W23" s="50">
        <f ca="1">+U23-V23</f>
        <v>8.2907570242872486E-2</v>
      </c>
      <c r="X23" s="50">
        <f ca="1">+((W23*(1-0.34))-Pfd_weighted)/Equity_percent</f>
        <v>0.1410726638380693</v>
      </c>
      <c r="Y23" s="50">
        <f>+Y22</f>
        <v>2.5000000000000001E-3</v>
      </c>
      <c r="Z23" s="50">
        <f ca="1">+X23+Y23</f>
        <v>0.1435726638380693</v>
      </c>
      <c r="AA23" s="50">
        <f ca="1">Z23*equityP</f>
        <v>8.6143598302841573E-2</v>
      </c>
      <c r="AB23" s="50">
        <f ca="1">+AA23/(1-taxrate)</f>
        <v>0.10904252949726781</v>
      </c>
      <c r="AC23" s="50">
        <f>debtP*Debt_Rate</f>
        <v>1.6570222222287465E-2</v>
      </c>
      <c r="AD23" s="50">
        <f ca="1">+AC23+AB23</f>
        <v>0.12561275171955527</v>
      </c>
      <c r="AE23" s="50">
        <f ca="1">+AD23/(S23/100)</f>
        <v>0.10272174092181431</v>
      </c>
      <c r="AF23" s="50">
        <f ca="1">1-AE23</f>
        <v>0.8972782590781857</v>
      </c>
      <c r="AG23" s="51">
        <f ca="1">expenses/(AF23)</f>
        <v>2215725.4465692118</v>
      </c>
      <c r="AH23" s="52">
        <f ca="1">+AG23-Revenue</f>
        <v>468048.72104148078</v>
      </c>
      <c r="AI23" s="53">
        <f ca="1">+AH23/$J$49</f>
        <v>536001.19760096341</v>
      </c>
      <c r="AJ23" s="53">
        <f ca="1">+AI23*$J$47</f>
        <v>13219.918578116361</v>
      </c>
      <c r="AK23" s="51">
        <f ca="1">ROUND(+AJ23+AG23,5)</f>
        <v>2228945.36515</v>
      </c>
    </row>
    <row r="24" spans="1:37" ht="15.75">
      <c r="A24" s="1"/>
      <c r="B24" s="88" t="s">
        <v>81</v>
      </c>
      <c r="C24" s="87"/>
      <c r="D24" s="87"/>
      <c r="E24" s="87"/>
      <c r="F24" s="55">
        <f t="shared" si="0"/>
        <v>18</v>
      </c>
      <c r="H24" s="89" t="s">
        <v>82</v>
      </c>
      <c r="K24" s="90" t="s">
        <v>83</v>
      </c>
      <c r="L24" s="90"/>
      <c r="M24" s="90"/>
      <c r="N24" s="90"/>
      <c r="O24" s="1"/>
      <c r="P24" s="1"/>
      <c r="R24" s="59">
        <v>4</v>
      </c>
      <c r="S24" s="48">
        <f ca="1">AK19/Investment*100</f>
        <v>122.28448485424738</v>
      </c>
      <c r="T24" s="64">
        <f ca="1">EXP(y_inter4-(slope*LN(S24)))</f>
        <v>9.712398951055258</v>
      </c>
      <c r="U24" s="50">
        <f ca="1">(+S24*T24/100)/100</f>
        <v>0.11876757024287249</v>
      </c>
      <c r="V24" s="50">
        <f>regDebt_weighted</f>
        <v>3.5860000000000003E-2</v>
      </c>
      <c r="W24" s="50">
        <f ca="1">+U24-V24</f>
        <v>8.2907570242872486E-2</v>
      </c>
      <c r="X24" s="50">
        <f ca="1">+((W24*(1-0.34))-Pfd_weighted)/Equity_percent</f>
        <v>0.1410726638380693</v>
      </c>
      <c r="Y24" s="50">
        <f>+Y23</f>
        <v>2.5000000000000001E-3</v>
      </c>
      <c r="Z24" s="50">
        <f ca="1">+X24+Y24</f>
        <v>0.1435726638380693</v>
      </c>
      <c r="AA24" s="50">
        <f ca="1">Z24*equityP</f>
        <v>8.6143598302841573E-2</v>
      </c>
      <c r="AB24" s="50">
        <f ca="1">+AA24/(1-taxrate)</f>
        <v>0.10904252949726781</v>
      </c>
      <c r="AC24" s="50">
        <f>debtP*Debt_Rate</f>
        <v>1.6570222222287465E-2</v>
      </c>
      <c r="AD24" s="50">
        <f ca="1">+AC24+AB24</f>
        <v>0.12561275171955527</v>
      </c>
      <c r="AE24" s="50">
        <f ca="1">+AD24/(S24/100)</f>
        <v>0.10272174092181431</v>
      </c>
      <c r="AF24" s="50">
        <f ca="1">1-AE24</f>
        <v>0.8972782590781857</v>
      </c>
      <c r="AG24" s="51">
        <f ca="1">expenses/(AF24)</f>
        <v>2215725.4465692118</v>
      </c>
      <c r="AH24" s="52">
        <f ca="1">+AG24-Revenue</f>
        <v>468048.72104148078</v>
      </c>
      <c r="AI24" s="53">
        <f ca="1">+AH24/$J$49</f>
        <v>536001.19760096341</v>
      </c>
      <c r="AJ24" s="53">
        <f ca="1">+AI24*$J$47</f>
        <v>13219.918578116361</v>
      </c>
      <c r="AK24" s="51">
        <f ca="1">ROUND(+AJ24+AG24,5)</f>
        <v>2228945.36515</v>
      </c>
    </row>
    <row r="25" spans="1:37" ht="15.75">
      <c r="A25" s="1"/>
      <c r="B25" s="88" t="s">
        <v>84</v>
      </c>
      <c r="C25" s="87"/>
      <c r="D25" s="87"/>
      <c r="E25" s="87"/>
      <c r="F25" s="55">
        <f t="shared" si="0"/>
        <v>19</v>
      </c>
      <c r="H25" s="91" t="s">
        <v>85</v>
      </c>
      <c r="I25" s="92" t="s">
        <v>86</v>
      </c>
      <c r="J25" s="93" t="s">
        <v>87</v>
      </c>
      <c r="K25" s="91" t="s">
        <v>88</v>
      </c>
      <c r="L25" s="93" t="s">
        <v>89</v>
      </c>
      <c r="M25" s="93" t="s">
        <v>87</v>
      </c>
      <c r="O25" s="1"/>
      <c r="P25" s="1"/>
      <c r="R25" s="20" t="s">
        <v>90</v>
      </c>
      <c r="W25" s="94"/>
      <c r="X25" s="95"/>
      <c r="Y25" s="95"/>
      <c r="Z25" s="95"/>
      <c r="AA25" s="49"/>
      <c r="AB25" s="49"/>
      <c r="AC25" s="95"/>
      <c r="AE25" s="95"/>
      <c r="AF25" s="95"/>
      <c r="AG25" s="49"/>
      <c r="AH25" s="94"/>
    </row>
    <row r="26" spans="1:37" ht="15.75">
      <c r="A26" s="1"/>
      <c r="B26" s="88" t="s">
        <v>91</v>
      </c>
      <c r="C26" s="87"/>
      <c r="D26" s="87"/>
      <c r="E26" s="87"/>
      <c r="F26" s="55">
        <f t="shared" si="0"/>
        <v>20</v>
      </c>
      <c r="H26" s="45" t="s">
        <v>41</v>
      </c>
      <c r="I26" s="96">
        <f>1-I27</f>
        <v>0.6</v>
      </c>
      <c r="J26" s="97">
        <f>+I26*J28</f>
        <v>1093652.4148423465</v>
      </c>
      <c r="K26" s="66">
        <f ca="1">+K34</f>
        <v>0.14259219360807865</v>
      </c>
      <c r="L26" s="96">
        <f ca="1">+K26*I26</f>
        <v>8.5555316164847184E-2</v>
      </c>
      <c r="M26" s="46">
        <f ca="1">+J26*K26</f>
        <v>155946.29687714262</v>
      </c>
      <c r="O26" s="1"/>
      <c r="P26" s="1"/>
      <c r="R26" s="37">
        <v>1</v>
      </c>
      <c r="S26" s="38">
        <f ca="1">AK21/Investment*100</f>
        <v>122.28448462602131</v>
      </c>
      <c r="T26" s="39">
        <f ca="1">EXP(y_inter1-(slope*LN(+S26)))</f>
        <v>9.7123989565207971</v>
      </c>
      <c r="U26" s="40">
        <f ca="1">(+S26*T26/100)/100</f>
        <v>0.11876757008804527</v>
      </c>
      <c r="V26" s="40">
        <f>regDebt_weighted</f>
        <v>3.5860000000000003E-2</v>
      </c>
      <c r="W26" s="40">
        <f ca="1">+U26-V26</f>
        <v>8.2907570088045265E-2</v>
      </c>
      <c r="X26" s="40">
        <f ca="1">+((W26*(1-0.34))-Pfd_weighted)/Equity_percent</f>
        <v>0.14107266354101705</v>
      </c>
      <c r="Y26" s="40">
        <f>+Y24</f>
        <v>2.5000000000000001E-3</v>
      </c>
      <c r="Z26" s="40">
        <f ca="1">+X26+Y26</f>
        <v>0.14357266354101705</v>
      </c>
      <c r="AA26" s="40">
        <f ca="1">Z26*equityP</f>
        <v>8.6143598124610227E-2</v>
      </c>
      <c r="AB26" s="40">
        <f ca="1">+AA26/(1-taxrate)</f>
        <v>0.10904252927165851</v>
      </c>
      <c r="AC26" s="40">
        <f>debtP*Debt_Rate</f>
        <v>1.6570222222287465E-2</v>
      </c>
      <c r="AD26" s="40">
        <f ca="1">+AC26+AB26</f>
        <v>0.12561275149394599</v>
      </c>
      <c r="AE26" s="40">
        <f ca="1">+AD26/(S26/100)</f>
        <v>0.10272174092903398</v>
      </c>
      <c r="AF26" s="40">
        <f ca="1">1-AE26</f>
        <v>0.89727825907096603</v>
      </c>
      <c r="AG26" s="41">
        <f ca="1">expenses/(AF26)</f>
        <v>2215725.4465870396</v>
      </c>
      <c r="AH26" s="42">
        <f ca="1">+AG26-Revenue</f>
        <v>468048.72105930862</v>
      </c>
      <c r="AI26" s="43">
        <f ca="1">+AH26/$J$49</f>
        <v>536001.19762137963</v>
      </c>
      <c r="AJ26" s="43">
        <f ca="1">+AI26*$J$47</f>
        <v>13219.918578619907</v>
      </c>
      <c r="AK26" s="41">
        <f ca="1">ROUND(+AJ26+AG26,5)</f>
        <v>2228945.3651700001</v>
      </c>
    </row>
    <row r="27" spans="1:37" ht="15.75">
      <c r="A27" s="1"/>
      <c r="B27" s="88" t="s">
        <v>92</v>
      </c>
      <c r="C27" s="87"/>
      <c r="D27" s="87"/>
      <c r="E27" s="87"/>
      <c r="F27" s="55">
        <f t="shared" si="0"/>
        <v>21</v>
      </c>
      <c r="H27" s="45" t="s">
        <v>43</v>
      </c>
      <c r="I27" s="96">
        <f>IF(A64=TRUE,C8,0)</f>
        <v>0.4</v>
      </c>
      <c r="J27" s="98">
        <f>+I27*J28</f>
        <v>729101.60989489779</v>
      </c>
      <c r="K27" s="66">
        <f>IF(A64=TRUE,C9,0)</f>
        <v>4.1425555555718661E-2</v>
      </c>
      <c r="L27" s="96">
        <f>+K27*I27</f>
        <v>1.6570222222287465E-2</v>
      </c>
      <c r="M27" s="46">
        <f>+K27*J27</f>
        <v>30203.439246465005</v>
      </c>
      <c r="O27" s="1"/>
      <c r="P27" s="1"/>
      <c r="R27" s="47">
        <v>2</v>
      </c>
      <c r="S27" s="48">
        <f ca="1">AK22/Investment*100</f>
        <v>122.28448462602131</v>
      </c>
      <c r="T27" s="61">
        <f ca="1">EXP(y_inter2-(slope*LN(+S27)))</f>
        <v>9.7123989565207971</v>
      </c>
      <c r="U27" s="50">
        <f ca="1">(+S27*T27/100)/100</f>
        <v>0.11876757008804527</v>
      </c>
      <c r="V27" s="50">
        <f>regDebt_weighted</f>
        <v>3.5860000000000003E-2</v>
      </c>
      <c r="W27" s="50">
        <f ca="1">+U27-V27</f>
        <v>8.2907570088045265E-2</v>
      </c>
      <c r="X27" s="50">
        <f ca="1">+((W27*(1-0.34))-Pfd_weighted)/Equity_percent</f>
        <v>0.14107266354101705</v>
      </c>
      <c r="Y27" s="50">
        <f>+Y26</f>
        <v>2.5000000000000001E-3</v>
      </c>
      <c r="Z27" s="50">
        <f ca="1">+X27+Y27</f>
        <v>0.14357266354101705</v>
      </c>
      <c r="AA27" s="50">
        <f ca="1">Z27*equityP</f>
        <v>8.6143598124610227E-2</v>
      </c>
      <c r="AB27" s="50">
        <f ca="1">+AA27/(1-taxrate)</f>
        <v>0.10904252927165851</v>
      </c>
      <c r="AC27" s="50">
        <f>debtP*Debt_Rate</f>
        <v>1.6570222222287465E-2</v>
      </c>
      <c r="AD27" s="50">
        <f ca="1">+AC27+AB27</f>
        <v>0.12561275149394599</v>
      </c>
      <c r="AE27" s="50">
        <f ca="1">+AD27/(S27/100)</f>
        <v>0.10272174092903398</v>
      </c>
      <c r="AF27" s="50">
        <f ca="1">1-AE27</f>
        <v>0.89727825907096603</v>
      </c>
      <c r="AG27" s="51">
        <f ca="1">expenses/(AF27)</f>
        <v>2215725.4465870396</v>
      </c>
      <c r="AH27" s="52">
        <f ca="1">+AG27-Revenue</f>
        <v>468048.72105930862</v>
      </c>
      <c r="AI27" s="53">
        <f ca="1">+AH27/$J$49</f>
        <v>536001.19762137963</v>
      </c>
      <c r="AJ27" s="53">
        <f ca="1">+AI27*$J$47</f>
        <v>13219.918578619907</v>
      </c>
      <c r="AK27" s="51">
        <f ca="1">ROUND(+AJ27+AG27,5)</f>
        <v>2228945.3651700001</v>
      </c>
    </row>
    <row r="28" spans="1:37" ht="16.5" thickBot="1">
      <c r="A28" s="1"/>
      <c r="B28" s="1"/>
      <c r="C28" s="1"/>
      <c r="D28" s="1"/>
      <c r="E28" s="1"/>
      <c r="F28" s="55">
        <f t="shared" si="0"/>
        <v>22</v>
      </c>
      <c r="H28" s="45" t="s">
        <v>93</v>
      </c>
      <c r="I28" s="96">
        <f>SUM(I26:I27)</f>
        <v>1</v>
      </c>
      <c r="J28" s="99">
        <f>IF(A64=TRUE,C7,0)</f>
        <v>1822754.0247372442</v>
      </c>
      <c r="K28" s="100"/>
      <c r="L28" s="101">
        <f ca="1">SUM(L26:L27)</f>
        <v>0.10212553838713465</v>
      </c>
      <c r="M28" s="99">
        <f ca="1">SUM(M26:M27)</f>
        <v>186149.73612360764</v>
      </c>
      <c r="O28" s="1"/>
      <c r="P28" s="1"/>
      <c r="R28" s="56">
        <v>3</v>
      </c>
      <c r="S28" s="48">
        <f ca="1">AK23/Investment*100</f>
        <v>122.28448462602131</v>
      </c>
      <c r="T28" s="49">
        <f ca="1">EXP(y_inter3-(slope*LN(S28)))</f>
        <v>9.7123989565207971</v>
      </c>
      <c r="U28" s="50">
        <f ca="1">(+S28*T28/100)/100</f>
        <v>0.11876757008804527</v>
      </c>
      <c r="V28" s="50">
        <f>regDebt_weighted</f>
        <v>3.5860000000000003E-2</v>
      </c>
      <c r="W28" s="50">
        <f ca="1">+U28-V28</f>
        <v>8.2907570088045265E-2</v>
      </c>
      <c r="X28" s="50">
        <f ca="1">+((W28*(1-0.34))-Pfd_weighted)/Equity_percent</f>
        <v>0.14107266354101705</v>
      </c>
      <c r="Y28" s="50">
        <f>+Y27</f>
        <v>2.5000000000000001E-3</v>
      </c>
      <c r="Z28" s="50">
        <f ca="1">+X28+Y28</f>
        <v>0.14357266354101705</v>
      </c>
      <c r="AA28" s="50">
        <f ca="1">Z28*equityP</f>
        <v>8.6143598124610227E-2</v>
      </c>
      <c r="AB28" s="50">
        <f ca="1">+AA28/(1-taxrate)</f>
        <v>0.10904252927165851</v>
      </c>
      <c r="AC28" s="50">
        <f>debtP*Debt_Rate</f>
        <v>1.6570222222287465E-2</v>
      </c>
      <c r="AD28" s="50">
        <f ca="1">+AC28+AB28</f>
        <v>0.12561275149394599</v>
      </c>
      <c r="AE28" s="50">
        <f ca="1">+AD28/(S28/100)</f>
        <v>0.10272174092903398</v>
      </c>
      <c r="AF28" s="50">
        <f ca="1">1-AE28</f>
        <v>0.89727825907096603</v>
      </c>
      <c r="AG28" s="51">
        <f ca="1">expenses/(AF28)</f>
        <v>2215725.4465870396</v>
      </c>
      <c r="AH28" s="52">
        <f ca="1">+AG28-Revenue</f>
        <v>468048.72105930862</v>
      </c>
      <c r="AI28" s="53">
        <f ca="1">+AH28/$J$49</f>
        <v>536001.19762137963</v>
      </c>
      <c r="AJ28" s="53">
        <f ca="1">+AI28*$J$47</f>
        <v>13219.918578619907</v>
      </c>
      <c r="AK28" s="51">
        <f ca="1">ROUND(+AJ28+AG28,5)</f>
        <v>2228945.3651700001</v>
      </c>
    </row>
    <row r="29" spans="1:37" ht="16.5" thickTop="1">
      <c r="A29" s="1"/>
      <c r="B29" s="1"/>
      <c r="C29" s="1"/>
      <c r="D29" s="1"/>
      <c r="E29" s="1"/>
      <c r="F29" s="55">
        <f t="shared" si="0"/>
        <v>23</v>
      </c>
      <c r="G29" s="17"/>
      <c r="H29" s="17"/>
      <c r="I29" s="17"/>
      <c r="J29" s="17"/>
      <c r="K29" s="17"/>
      <c r="L29" s="17"/>
      <c r="M29" s="17"/>
      <c r="N29" s="17"/>
      <c r="O29" s="1"/>
      <c r="P29" s="1"/>
      <c r="R29" s="59">
        <v>4</v>
      </c>
      <c r="S29" s="48">
        <f ca="1">AK24/Investment*100</f>
        <v>122.28448462602131</v>
      </c>
      <c r="T29" s="64">
        <f ca="1">EXP(y_inter4-(slope*LN(S29)))</f>
        <v>9.7123989565207971</v>
      </c>
      <c r="U29" s="50">
        <f ca="1">(+S29*T29/100)/100</f>
        <v>0.11876757008804527</v>
      </c>
      <c r="V29" s="50">
        <f>regDebt_weighted</f>
        <v>3.5860000000000003E-2</v>
      </c>
      <c r="W29" s="50">
        <f ca="1">+U29-V29</f>
        <v>8.2907570088045265E-2</v>
      </c>
      <c r="X29" s="50">
        <f ca="1">+((W29*(1-0.34))-Pfd_weighted)/Equity_percent</f>
        <v>0.14107266354101705</v>
      </c>
      <c r="Y29" s="50">
        <f>+Y28</f>
        <v>2.5000000000000001E-3</v>
      </c>
      <c r="Z29" s="50">
        <f ca="1">+X29+Y29</f>
        <v>0.14357266354101705</v>
      </c>
      <c r="AA29" s="50">
        <f ca="1">Z29*equityP</f>
        <v>8.6143598124610227E-2</v>
      </c>
      <c r="AB29" s="50">
        <f ca="1">+AA29/(1-taxrate)</f>
        <v>0.10904252927165851</v>
      </c>
      <c r="AC29" s="50">
        <f>debtP*Debt_Rate</f>
        <v>1.6570222222287465E-2</v>
      </c>
      <c r="AD29" s="50">
        <f ca="1">+AC29+AB29</f>
        <v>0.12561275149394599</v>
      </c>
      <c r="AE29" s="50">
        <f ca="1">+AD29/(S29/100)</f>
        <v>0.10272174092903398</v>
      </c>
      <c r="AF29" s="50">
        <f ca="1">1-AE29</f>
        <v>0.89727825907096603</v>
      </c>
      <c r="AG29" s="51">
        <f ca="1">expenses/(AF29)</f>
        <v>2215725.4465870396</v>
      </c>
      <c r="AH29" s="52">
        <f ca="1">+AG29-Revenue</f>
        <v>468048.72105930862</v>
      </c>
      <c r="AI29" s="53">
        <f ca="1">+AH29/$J$49</f>
        <v>536001.19762137963</v>
      </c>
      <c r="AJ29" s="53">
        <f ca="1">+AI29*$J$47</f>
        <v>13219.918578619907</v>
      </c>
      <c r="AK29" s="51">
        <f ca="1">ROUND(+AJ29+AG29,5)</f>
        <v>2228945.3651700001</v>
      </c>
    </row>
    <row r="30" spans="1:37" ht="15.75">
      <c r="A30" s="1"/>
      <c r="B30" s="1"/>
      <c r="C30" s="1"/>
      <c r="D30" s="102"/>
      <c r="E30" s="1"/>
      <c r="F30" s="55">
        <f t="shared" si="0"/>
        <v>24</v>
      </c>
      <c r="G30" s="17"/>
      <c r="H30" s="17"/>
      <c r="I30" s="17"/>
      <c r="J30" s="103" t="s">
        <v>94</v>
      </c>
      <c r="K30" s="103" t="s">
        <v>95</v>
      </c>
      <c r="L30" s="17"/>
      <c r="M30" s="17"/>
      <c r="N30" s="17"/>
      <c r="O30" s="1"/>
      <c r="P30" s="1"/>
      <c r="R30" s="20" t="s">
        <v>96</v>
      </c>
      <c r="W30" s="94"/>
      <c r="X30" s="95"/>
      <c r="Z30" s="95"/>
      <c r="AA30" s="49"/>
      <c r="AB30" s="49"/>
      <c r="AC30" s="95"/>
      <c r="AE30" s="95"/>
      <c r="AF30" s="95"/>
      <c r="AG30" s="49"/>
      <c r="AH30" s="94"/>
      <c r="AJ30" s="49"/>
    </row>
    <row r="31" spans="1:37" ht="15.75">
      <c r="A31" s="1"/>
      <c r="B31" s="1"/>
      <c r="C31" s="1"/>
      <c r="D31" s="102"/>
      <c r="E31" s="1"/>
      <c r="F31" s="55">
        <f t="shared" si="0"/>
        <v>25</v>
      </c>
      <c r="G31" s="17"/>
      <c r="H31" s="104" t="s">
        <v>97</v>
      </c>
      <c r="I31" s="105"/>
      <c r="J31" s="106" t="s">
        <v>98</v>
      </c>
      <c r="K31" s="106" t="s">
        <v>98</v>
      </c>
      <c r="L31" s="366"/>
      <c r="M31" s="366"/>
      <c r="N31" s="366"/>
      <c r="O31" s="1"/>
      <c r="P31" s="1"/>
      <c r="R31" s="37">
        <v>1</v>
      </c>
      <c r="S31" s="38">
        <f ca="1">AK26/Investment*100</f>
        <v>122.28448462711856</v>
      </c>
      <c r="T31" s="39">
        <f ca="1">EXP(y_inter1-(slope*LN(+S31)))</f>
        <v>9.7123989564945212</v>
      </c>
      <c r="U31" s="40">
        <f ca="1">(+S31*T31/100)/100</f>
        <v>0.11876757008878966</v>
      </c>
      <c r="V31" s="40">
        <f>regDebt_weighted</f>
        <v>3.5860000000000003E-2</v>
      </c>
      <c r="W31" s="40">
        <f ca="1">+U31-V31</f>
        <v>8.2907570088789656E-2</v>
      </c>
      <c r="X31" s="40">
        <f ca="1">+((W31*(1-0.34))-Pfd_weighted)/Equity_percent</f>
        <v>0.14107266354244527</v>
      </c>
      <c r="Y31" s="40">
        <f>+Y29</f>
        <v>2.5000000000000001E-3</v>
      </c>
      <c r="Z31" s="40">
        <f ca="1">+X31+Y31</f>
        <v>0.14357266354244527</v>
      </c>
      <c r="AA31" s="40">
        <f ca="1">Z31*equityP</f>
        <v>8.6143598125467166E-2</v>
      </c>
      <c r="AB31" s="40">
        <f ca="1">+AA31/(1-taxrate)</f>
        <v>0.10904252927274324</v>
      </c>
      <c r="AC31" s="40">
        <f>debtP*Debt_Rate</f>
        <v>1.6570222222287465E-2</v>
      </c>
      <c r="AD31" s="40">
        <f ca="1">+AC31+AB31</f>
        <v>0.12561275149503071</v>
      </c>
      <c r="AE31" s="40">
        <f ca="1">+AD31/(S31/100)</f>
        <v>0.1027217409289993</v>
      </c>
      <c r="AF31" s="40">
        <f ca="1">1-AE31</f>
        <v>0.89727825907100067</v>
      </c>
      <c r="AG31" s="41">
        <f ca="1">expenses/(AF31)</f>
        <v>2215725.4465869544</v>
      </c>
      <c r="AH31" s="42">
        <f ca="1">+AG31-Revenue</f>
        <v>468048.7210592234</v>
      </c>
      <c r="AI31" s="43">
        <f ca="1">+AH31/$J$49</f>
        <v>536001.19762128196</v>
      </c>
      <c r="AJ31" s="43">
        <f ca="1">+AI31*$J$47</f>
        <v>13219.918578617497</v>
      </c>
      <c r="AK31" s="41">
        <f ca="1">ROUND(+AJ31+AG31,5)</f>
        <v>2228945.3651700001</v>
      </c>
    </row>
    <row r="32" spans="1:37" ht="15.75">
      <c r="A32" s="1"/>
      <c r="B32" s="1"/>
      <c r="C32" s="1"/>
      <c r="D32" s="102"/>
      <c r="E32" s="1"/>
      <c r="F32" s="55">
        <f t="shared" si="0"/>
        <v>26</v>
      </c>
      <c r="G32" s="17"/>
      <c r="H32" s="28"/>
      <c r="I32" s="28"/>
      <c r="J32" s="28"/>
      <c r="K32" s="28"/>
      <c r="L32" s="17"/>
      <c r="M32" s="17"/>
      <c r="N32" s="17"/>
      <c r="O32" s="1"/>
      <c r="P32" s="1"/>
      <c r="R32" s="47">
        <v>2</v>
      </c>
      <c r="S32" s="48">
        <f ca="1">AK27/Investment*100</f>
        <v>122.28448462711856</v>
      </c>
      <c r="T32" s="61">
        <f ca="1">EXP(y_inter2-(slope*LN(+S32)))</f>
        <v>9.7123989564945212</v>
      </c>
      <c r="U32" s="50">
        <f ca="1">(+S32*T32/100)/100</f>
        <v>0.11876757008878966</v>
      </c>
      <c r="V32" s="50">
        <f>regDebt_weighted</f>
        <v>3.5860000000000003E-2</v>
      </c>
      <c r="W32" s="50">
        <f ca="1">+U32-V32</f>
        <v>8.2907570088789656E-2</v>
      </c>
      <c r="X32" s="50">
        <f ca="1">+((W32*(1-0.34))-Pfd_weighted)/Equity_percent</f>
        <v>0.14107266354244527</v>
      </c>
      <c r="Y32" s="50">
        <f>+Y31</f>
        <v>2.5000000000000001E-3</v>
      </c>
      <c r="Z32" s="50">
        <f ca="1">+X32+Y32</f>
        <v>0.14357266354244527</v>
      </c>
      <c r="AA32" s="50">
        <f ca="1">Z32*equityP</f>
        <v>8.6143598125467166E-2</v>
      </c>
      <c r="AB32" s="50">
        <f ca="1">+AA32/(1-taxrate)</f>
        <v>0.10904252927274324</v>
      </c>
      <c r="AC32" s="50">
        <f>debtP*Debt_Rate</f>
        <v>1.6570222222287465E-2</v>
      </c>
      <c r="AD32" s="50">
        <f ca="1">+AC32+AB32</f>
        <v>0.12561275149503071</v>
      </c>
      <c r="AE32" s="50">
        <f ca="1">+AD32/(S32/100)</f>
        <v>0.1027217409289993</v>
      </c>
      <c r="AF32" s="50">
        <f ca="1">1-AE32</f>
        <v>0.89727825907100067</v>
      </c>
      <c r="AG32" s="51">
        <f ca="1">expenses/(AF32)</f>
        <v>2215725.4465869544</v>
      </c>
      <c r="AH32" s="52">
        <f ca="1">+AG32-Revenue</f>
        <v>468048.7210592234</v>
      </c>
      <c r="AI32" s="53">
        <f ca="1">+AH32/$J$49</f>
        <v>536001.19762128196</v>
      </c>
      <c r="AJ32" s="53">
        <f ca="1">+AI32*$J$47</f>
        <v>13219.918578617497</v>
      </c>
      <c r="AK32" s="51">
        <f ca="1">ROUND(+AJ32+AG32,5)</f>
        <v>2228945.3651700001</v>
      </c>
    </row>
    <row r="33" spans="1:48" ht="15.75">
      <c r="A33" s="1"/>
      <c r="B33" s="1"/>
      <c r="C33" s="1"/>
      <c r="D33" s="1"/>
      <c r="E33" s="1"/>
      <c r="F33" s="55">
        <f t="shared" si="0"/>
        <v>27</v>
      </c>
      <c r="G33" s="17"/>
      <c r="H33" s="28" t="s">
        <v>99</v>
      </c>
      <c r="I33" s="28"/>
      <c r="J33" s="107">
        <f ca="1">+K9/J28</f>
        <v>0.12486809078538517</v>
      </c>
      <c r="K33" s="107">
        <f ca="1">+(M14+M11)/J28</f>
        <v>0.10212553838713466</v>
      </c>
      <c r="L33" s="45"/>
      <c r="M33" s="45"/>
      <c r="N33" s="46"/>
      <c r="O33" s="1"/>
      <c r="P33" s="1"/>
      <c r="R33" s="56">
        <v>3</v>
      </c>
      <c r="S33" s="48">
        <f ca="1">AK28/Investment*100</f>
        <v>122.28448462711856</v>
      </c>
      <c r="T33" s="49">
        <f ca="1">EXP(y_inter3-(slope*LN(S33)))</f>
        <v>9.7123989564945212</v>
      </c>
      <c r="U33" s="50">
        <f ca="1">(+S33*T33/100)/100</f>
        <v>0.11876757008878966</v>
      </c>
      <c r="V33" s="50">
        <f>regDebt_weighted</f>
        <v>3.5860000000000003E-2</v>
      </c>
      <c r="W33" s="50">
        <f ca="1">+U33-V33</f>
        <v>8.2907570088789656E-2</v>
      </c>
      <c r="X33" s="50">
        <f ca="1">+((W33*(1-0.34))-Pfd_weighted)/Equity_percent</f>
        <v>0.14107266354244527</v>
      </c>
      <c r="Y33" s="50">
        <f>+Y32</f>
        <v>2.5000000000000001E-3</v>
      </c>
      <c r="Z33" s="50">
        <f ca="1">+X33+Y33</f>
        <v>0.14357266354244527</v>
      </c>
      <c r="AA33" s="50">
        <f ca="1">Z33*equityP</f>
        <v>8.6143598125467166E-2</v>
      </c>
      <c r="AB33" s="50">
        <f ca="1">+AA33/(1-taxrate)</f>
        <v>0.10904252927274324</v>
      </c>
      <c r="AC33" s="50">
        <f>debtP*Debt_Rate</f>
        <v>1.6570222222287465E-2</v>
      </c>
      <c r="AD33" s="50">
        <f ca="1">+AC33+AB33</f>
        <v>0.12561275149503071</v>
      </c>
      <c r="AE33" s="50">
        <f ca="1">+AD33/(S33/100)</f>
        <v>0.1027217409289993</v>
      </c>
      <c r="AF33" s="50">
        <f ca="1">1-AE33</f>
        <v>0.89727825907100067</v>
      </c>
      <c r="AG33" s="51">
        <f ca="1">expenses/(AF33)</f>
        <v>2215725.4465869544</v>
      </c>
      <c r="AH33" s="52">
        <f ca="1">+AG33-Revenue</f>
        <v>468048.7210592234</v>
      </c>
      <c r="AI33" s="53">
        <f ca="1">+AH33/$J$49</f>
        <v>536001.19762128196</v>
      </c>
      <c r="AJ33" s="53">
        <f ca="1">+AI33*$J$47</f>
        <v>13219.918578617497</v>
      </c>
      <c r="AK33" s="51">
        <f ca="1">ROUND(+AJ33+AG33,5)</f>
        <v>2228945.3651700001</v>
      </c>
    </row>
    <row r="34" spans="1:48" ht="15.75">
      <c r="A34" s="1"/>
      <c r="B34" s="1"/>
      <c r="C34" s="1"/>
      <c r="D34" s="1"/>
      <c r="E34" s="1"/>
      <c r="F34" s="55">
        <f t="shared" si="0"/>
        <v>28</v>
      </c>
      <c r="G34" s="17"/>
      <c r="H34" s="28" t="s">
        <v>100</v>
      </c>
      <c r="I34" s="28"/>
      <c r="J34" s="107">
        <f ca="1">+(M9-M11)/J26</f>
        <v>0.18049644760516287</v>
      </c>
      <c r="K34" s="107">
        <f ca="1">+M14/J26</f>
        <v>0.14259219360807865</v>
      </c>
      <c r="L34" s="45"/>
      <c r="M34" s="45"/>
      <c r="N34" s="46"/>
      <c r="O34" s="108"/>
      <c r="P34" s="1"/>
      <c r="R34" s="59">
        <v>4</v>
      </c>
      <c r="S34" s="48">
        <f ca="1">AK29/Investment*100</f>
        <v>122.28448462711856</v>
      </c>
      <c r="T34" s="64">
        <f ca="1">EXP(y_inter4-(slope*LN(S34)))</f>
        <v>9.7123989564945212</v>
      </c>
      <c r="U34" s="50">
        <f ca="1">(+S34*T34/100)/100</f>
        <v>0.11876757008878966</v>
      </c>
      <c r="V34" s="50">
        <f>regDebt_weighted</f>
        <v>3.5860000000000003E-2</v>
      </c>
      <c r="W34" s="50">
        <f ca="1">+U34-V34</f>
        <v>8.2907570088789656E-2</v>
      </c>
      <c r="X34" s="50">
        <f ca="1">+((W34*(1-0.34))-Pfd_weighted)/Equity_percent</f>
        <v>0.14107266354244527</v>
      </c>
      <c r="Y34" s="50">
        <f>+Y33</f>
        <v>2.5000000000000001E-3</v>
      </c>
      <c r="Z34" s="50">
        <f ca="1">+X34+Y34</f>
        <v>0.14357266354244527</v>
      </c>
      <c r="AA34" s="50">
        <f ca="1">Z34*equityP</f>
        <v>8.6143598125467166E-2</v>
      </c>
      <c r="AB34" s="50">
        <f ca="1">+AA34/(1-taxrate)</f>
        <v>0.10904252927274324</v>
      </c>
      <c r="AC34" s="50">
        <f>debtP*Debt_Rate</f>
        <v>1.6570222222287465E-2</v>
      </c>
      <c r="AD34" s="50">
        <f ca="1">+AC34+AB34</f>
        <v>0.12561275149503071</v>
      </c>
      <c r="AE34" s="50">
        <f ca="1">+AD34/(S34/100)</f>
        <v>0.1027217409289993</v>
      </c>
      <c r="AF34" s="50">
        <f ca="1">1-AE34</f>
        <v>0.89727825907100067</v>
      </c>
      <c r="AG34" s="51">
        <f ca="1">expenses/(AF34)</f>
        <v>2215725.4465869544</v>
      </c>
      <c r="AH34" s="52">
        <f ca="1">+AG34-Revenue</f>
        <v>468048.7210592234</v>
      </c>
      <c r="AI34" s="53">
        <f ca="1">+AH34/$J$49</f>
        <v>536001.19762128196</v>
      </c>
      <c r="AJ34" s="53">
        <f ca="1">+AI34*$J$47</f>
        <v>13219.918578617497</v>
      </c>
      <c r="AK34" s="51">
        <f ca="1">ROUND(+AJ34+AG34,5)</f>
        <v>2228945.3651700001</v>
      </c>
    </row>
    <row r="35" spans="1:48" ht="15.75">
      <c r="A35" s="1"/>
      <c r="B35" s="1"/>
      <c r="C35" s="1"/>
      <c r="D35" s="1"/>
      <c r="E35" s="1"/>
      <c r="F35" s="55">
        <f t="shared" si="0"/>
        <v>29</v>
      </c>
      <c r="G35" s="17"/>
      <c r="H35" s="109" t="s">
        <v>45</v>
      </c>
      <c r="I35" s="28"/>
      <c r="J35" s="107">
        <f ca="1">+K8/K7</f>
        <v>0.89727799999999991</v>
      </c>
      <c r="K35" s="107">
        <f ca="1">+M8/M7</f>
        <v>0.89788724684508447</v>
      </c>
      <c r="L35" s="45"/>
      <c r="M35" s="45"/>
      <c r="N35" s="46"/>
      <c r="O35" s="1"/>
      <c r="P35" s="1"/>
      <c r="R35" s="20" t="s">
        <v>101</v>
      </c>
      <c r="X35" s="95"/>
      <c r="Y35" s="95"/>
      <c r="Z35" s="95"/>
      <c r="AA35" s="110"/>
      <c r="AB35" s="49"/>
      <c r="AC35" s="95"/>
      <c r="AE35" s="95"/>
      <c r="AF35" s="95"/>
      <c r="AG35" s="49"/>
      <c r="AH35" s="94"/>
      <c r="AJ35" s="49"/>
    </row>
    <row r="36" spans="1:48" ht="15.75">
      <c r="A36" s="1"/>
      <c r="B36" s="1"/>
      <c r="C36" s="1"/>
      <c r="D36" s="1"/>
      <c r="E36" s="1"/>
      <c r="F36" s="55">
        <f t="shared" si="0"/>
        <v>30</v>
      </c>
      <c r="G36" s="17"/>
      <c r="H36" s="28" t="s">
        <v>102</v>
      </c>
      <c r="I36" s="28"/>
      <c r="J36" s="107">
        <f ca="1">+K9/K7</f>
        <v>0.10272200000000005</v>
      </c>
      <c r="K36" s="107">
        <f ca="1">+J36</f>
        <v>0.10272200000000005</v>
      </c>
      <c r="L36" s="17"/>
      <c r="M36" s="17"/>
      <c r="N36" s="46"/>
      <c r="O36" s="1"/>
      <c r="P36" s="1"/>
      <c r="R36" s="37">
        <v>1</v>
      </c>
      <c r="S36" s="38">
        <f ca="1">AK31/Investment*100</f>
        <v>122.28448462711856</v>
      </c>
      <c r="T36" s="39">
        <f ca="1">EXP(y_inter1-(slope*LN(+S36)))</f>
        <v>9.7123989564945212</v>
      </c>
      <c r="U36" s="40">
        <f ca="1">(+S36*T36/100)/100</f>
        <v>0.11876757008878966</v>
      </c>
      <c r="V36" s="40">
        <f>regDebt_weighted</f>
        <v>3.5860000000000003E-2</v>
      </c>
      <c r="W36" s="40">
        <f ca="1">+U36-V36</f>
        <v>8.2907570088789656E-2</v>
      </c>
      <c r="X36" s="40">
        <f ca="1">+((W36*(1-0.34))-Pfd_weighted)/Equity_percent</f>
        <v>0.14107266354244527</v>
      </c>
      <c r="Y36" s="40">
        <f>+Y34</f>
        <v>2.5000000000000001E-3</v>
      </c>
      <c r="Z36" s="40">
        <f ca="1">+X36+Y36</f>
        <v>0.14357266354244527</v>
      </c>
      <c r="AA36" s="40">
        <f ca="1">Z36*equityP</f>
        <v>8.6143598125467166E-2</v>
      </c>
      <c r="AB36" s="40">
        <f ca="1">+AA36/(1-taxrate)</f>
        <v>0.10904252927274324</v>
      </c>
      <c r="AC36" s="40">
        <f>debtP*Debt_Rate</f>
        <v>1.6570222222287465E-2</v>
      </c>
      <c r="AD36" s="40">
        <f ca="1">+AC36+AB36</f>
        <v>0.12561275149503071</v>
      </c>
      <c r="AE36" s="40">
        <f ca="1">+AD36/(S36/100)</f>
        <v>0.1027217409289993</v>
      </c>
      <c r="AF36" s="40">
        <f ca="1">1-AE36</f>
        <v>0.89727825907100067</v>
      </c>
      <c r="AG36" s="41">
        <f ca="1">expenses/(AF36)</f>
        <v>2215725.4465869544</v>
      </c>
      <c r="AH36" s="42">
        <f ca="1">+AG36-Revenue</f>
        <v>468048.7210592234</v>
      </c>
      <c r="AI36" s="43">
        <f ca="1">+AH36/$J$49</f>
        <v>536001.19762128196</v>
      </c>
      <c r="AJ36" s="43">
        <f ca="1">+AI36*$J$47</f>
        <v>13219.918578617497</v>
      </c>
      <c r="AK36" s="41">
        <f ca="1">ROUND(+AJ36+AG36,5)</f>
        <v>2228945.3651700001</v>
      </c>
    </row>
    <row r="37" spans="1:48" ht="15.75">
      <c r="A37" s="1"/>
      <c r="B37" s="1"/>
      <c r="C37" s="1"/>
      <c r="D37" s="31"/>
      <c r="E37" s="1"/>
      <c r="F37" s="55">
        <f t="shared" si="0"/>
        <v>31</v>
      </c>
      <c r="G37" s="17"/>
      <c r="H37" s="28" t="s">
        <v>103</v>
      </c>
      <c r="I37" s="111"/>
      <c r="J37" s="112">
        <f ca="1">+S39/100</f>
        <v>1.2228448462711856</v>
      </c>
      <c r="K37" s="112">
        <f ca="1">+J37</f>
        <v>1.2228448462711856</v>
      </c>
      <c r="L37" s="17"/>
      <c r="M37" s="17"/>
      <c r="N37" s="17"/>
      <c r="O37" s="1"/>
      <c r="P37" s="1"/>
      <c r="R37" s="47">
        <v>2</v>
      </c>
      <c r="S37" s="48">
        <f ca="1">AK32/Investment*100</f>
        <v>122.28448462711856</v>
      </c>
      <c r="T37" s="61">
        <f ca="1">EXP(y_inter2-(slope*LN(+S37)))</f>
        <v>9.7123989564945212</v>
      </c>
      <c r="U37" s="50">
        <f ca="1">(+S37*T37/100)/100</f>
        <v>0.11876757008878966</v>
      </c>
      <c r="V37" s="50">
        <f>regDebt_weighted</f>
        <v>3.5860000000000003E-2</v>
      </c>
      <c r="W37" s="50">
        <f ca="1">+U37-V37</f>
        <v>8.2907570088789656E-2</v>
      </c>
      <c r="X37" s="50">
        <f ca="1">+((W37*(1-0.34))-Pfd_weighted)/Equity_percent</f>
        <v>0.14107266354244527</v>
      </c>
      <c r="Y37" s="50">
        <f>+Y36</f>
        <v>2.5000000000000001E-3</v>
      </c>
      <c r="Z37" s="50">
        <f ca="1">+X37+Y37</f>
        <v>0.14357266354244527</v>
      </c>
      <c r="AA37" s="50">
        <f ca="1">Z37*equityP</f>
        <v>8.6143598125467166E-2</v>
      </c>
      <c r="AB37" s="50">
        <f ca="1">+AA37/(1-taxrate)</f>
        <v>0.10904252927274324</v>
      </c>
      <c r="AC37" s="50">
        <f>debtP*Debt_Rate</f>
        <v>1.6570222222287465E-2</v>
      </c>
      <c r="AD37" s="50">
        <f ca="1">+AC37+AB37</f>
        <v>0.12561275149503071</v>
      </c>
      <c r="AE37" s="50">
        <f ca="1">+AD37/(S37/100)</f>
        <v>0.1027217409289993</v>
      </c>
      <c r="AF37" s="50">
        <f ca="1">1-AE37</f>
        <v>0.89727825907100067</v>
      </c>
      <c r="AG37" s="51">
        <f ca="1">expenses/(AF37)</f>
        <v>2215725.4465869544</v>
      </c>
      <c r="AH37" s="52">
        <f ca="1">+AG37-Revenue</f>
        <v>468048.7210592234</v>
      </c>
      <c r="AI37" s="53">
        <f ca="1">+AH37/$J$49</f>
        <v>536001.19762128196</v>
      </c>
      <c r="AJ37" s="53">
        <f ca="1">+AI37*$J$47</f>
        <v>13219.918578617497</v>
      </c>
      <c r="AK37" s="51">
        <f ca="1">ROUND(+AJ37+AG37,5)</f>
        <v>2228945.3651700001</v>
      </c>
    </row>
    <row r="38" spans="1:48" ht="15.75">
      <c r="A38" s="1"/>
      <c r="B38" s="1"/>
      <c r="C38" s="1"/>
      <c r="D38" s="31"/>
      <c r="E38" s="1"/>
      <c r="F38" s="55">
        <f t="shared" si="0"/>
        <v>32</v>
      </c>
      <c r="G38" s="17"/>
      <c r="H38" s="28" t="s">
        <v>104</v>
      </c>
      <c r="I38" s="17"/>
      <c r="J38" s="107">
        <f>+C10</f>
        <v>0.21</v>
      </c>
      <c r="K38" s="107">
        <f>+J38</f>
        <v>0.21</v>
      </c>
      <c r="L38" s="17"/>
      <c r="M38" s="17"/>
      <c r="N38" s="17"/>
      <c r="O38" s="1"/>
      <c r="P38" s="1"/>
      <c r="Q38" s="113"/>
      <c r="R38" s="56">
        <v>3</v>
      </c>
      <c r="S38" s="48">
        <f ca="1">AK33/Investment*100</f>
        <v>122.28448462711856</v>
      </c>
      <c r="T38" s="49">
        <f ca="1">EXP(y_inter3-(slope*LN(S38)))</f>
        <v>9.7123989564945212</v>
      </c>
      <c r="U38" s="50">
        <f ca="1">(+S38*T38/100)/100</f>
        <v>0.11876757008878966</v>
      </c>
      <c r="V38" s="50">
        <f>regDebt_weighted</f>
        <v>3.5860000000000003E-2</v>
      </c>
      <c r="W38" s="50">
        <f ca="1">+U38-V38</f>
        <v>8.2907570088789656E-2</v>
      </c>
      <c r="X38" s="50">
        <f ca="1">+((W38*(1-0.34))-Pfd_weighted)/Equity_percent</f>
        <v>0.14107266354244527</v>
      </c>
      <c r="Y38" s="50">
        <f>+Y37</f>
        <v>2.5000000000000001E-3</v>
      </c>
      <c r="Z38" s="50">
        <f ca="1">+X38+Y38</f>
        <v>0.14357266354244527</v>
      </c>
      <c r="AA38" s="50">
        <f ca="1">Z38*equityP</f>
        <v>8.6143598125467166E-2</v>
      </c>
      <c r="AB38" s="50">
        <f ca="1">+AA38/(1-taxrate)</f>
        <v>0.10904252927274324</v>
      </c>
      <c r="AC38" s="50">
        <f>debtP*Debt_Rate</f>
        <v>1.6570222222287465E-2</v>
      </c>
      <c r="AD38" s="50">
        <f ca="1">+AC38+AB38</f>
        <v>0.12561275149503071</v>
      </c>
      <c r="AE38" s="50">
        <f ca="1">+AD38/(S38/100)</f>
        <v>0.1027217409289993</v>
      </c>
      <c r="AF38" s="50">
        <f ca="1">1-AE38</f>
        <v>0.89727825907100067</v>
      </c>
      <c r="AG38" s="51">
        <f ca="1">expenses/(AF38)</f>
        <v>2215725.4465869544</v>
      </c>
      <c r="AH38" s="52">
        <f ca="1">+AG38-Revenue</f>
        <v>468048.7210592234</v>
      </c>
      <c r="AI38" s="53">
        <f ca="1">+AH38/$J$49</f>
        <v>536001.19762128196</v>
      </c>
      <c r="AJ38" s="53">
        <f ca="1">+AI38*$J$47</f>
        <v>13219.918578617497</v>
      </c>
      <c r="AK38" s="51">
        <f ca="1">ROUND(+AJ38+AG38,5)</f>
        <v>2228945.3651700001</v>
      </c>
    </row>
    <row r="39" spans="1:48" ht="15.75">
      <c r="A39" s="1"/>
      <c r="B39" s="1"/>
      <c r="C39" s="1"/>
      <c r="D39" s="102"/>
      <c r="E39" s="1"/>
      <c r="F39" s="55">
        <f t="shared" si="0"/>
        <v>33</v>
      </c>
      <c r="G39" s="17"/>
      <c r="H39" s="17"/>
      <c r="I39" s="17"/>
      <c r="J39" s="17"/>
      <c r="K39" s="17"/>
      <c r="L39" s="17"/>
      <c r="M39" s="17"/>
      <c r="N39" s="17"/>
      <c r="O39" s="1"/>
      <c r="P39" s="1"/>
      <c r="R39" s="59">
        <v>4</v>
      </c>
      <c r="S39" s="48">
        <f ca="1">AK34/Investment*100</f>
        <v>122.28448462711856</v>
      </c>
      <c r="T39" s="64">
        <f ca="1">EXP(y_inter4-(slope*LN(S39)))</f>
        <v>9.7123989564945212</v>
      </c>
      <c r="U39" s="50">
        <f ca="1">(+S39*T39/100)/100</f>
        <v>0.11876757008878966</v>
      </c>
      <c r="V39" s="50">
        <f>regDebt_weighted</f>
        <v>3.5860000000000003E-2</v>
      </c>
      <c r="W39" s="50">
        <f ca="1">+U39-V39</f>
        <v>8.2907570088789656E-2</v>
      </c>
      <c r="X39" s="50">
        <f ca="1">+((W39*(1-0.34))-Pfd_weighted)/Equity_percent</f>
        <v>0.14107266354244527</v>
      </c>
      <c r="Y39" s="50">
        <f>+Y38</f>
        <v>2.5000000000000001E-3</v>
      </c>
      <c r="Z39" s="50">
        <f ca="1">+X39+Y39</f>
        <v>0.14357266354244527</v>
      </c>
      <c r="AA39" s="50">
        <f ca="1">Z39*equityP</f>
        <v>8.6143598125467166E-2</v>
      </c>
      <c r="AB39" s="50">
        <f ca="1">+AA39/(1-taxrate)</f>
        <v>0.10904252927274324</v>
      </c>
      <c r="AC39" s="50">
        <f>debtP*Debt_Rate</f>
        <v>1.6570222222287465E-2</v>
      </c>
      <c r="AD39" s="50">
        <f ca="1">+AC39+AB39</f>
        <v>0.12561275149503071</v>
      </c>
      <c r="AE39" s="50">
        <f ca="1">+AD39/(S39/100)</f>
        <v>0.1027217409289993</v>
      </c>
      <c r="AF39" s="50">
        <f ca="1">1-AE39</f>
        <v>0.89727825907100067</v>
      </c>
      <c r="AG39" s="51">
        <f ca="1">expenses/(AF39)</f>
        <v>2215725.4465869544</v>
      </c>
      <c r="AH39" s="52">
        <f ca="1">+AG39-Revenue</f>
        <v>468048.7210592234</v>
      </c>
      <c r="AI39" s="53">
        <f ca="1">+AH39/$J$49</f>
        <v>536001.19762128196</v>
      </c>
      <c r="AJ39" s="53">
        <f ca="1">+AI39*$J$47</f>
        <v>13219.918578617497</v>
      </c>
      <c r="AK39" s="51">
        <f ca="1">ROUND(+AJ39+AG39,5)</f>
        <v>2228945.3651700001</v>
      </c>
    </row>
    <row r="40" spans="1:48" ht="15.75">
      <c r="A40" s="1"/>
      <c r="B40" s="1"/>
      <c r="C40" s="1"/>
      <c r="D40" s="1"/>
      <c r="E40" s="1"/>
      <c r="F40" s="55">
        <f t="shared" si="0"/>
        <v>34</v>
      </c>
      <c r="G40" s="111"/>
      <c r="H40" s="17"/>
      <c r="I40" s="17"/>
      <c r="J40" s="17"/>
      <c r="K40" s="17"/>
      <c r="L40" s="17"/>
      <c r="M40" s="17"/>
      <c r="N40" s="17"/>
      <c r="O40" s="1"/>
      <c r="P40" s="1"/>
      <c r="X40" s="95"/>
      <c r="Y40" s="95"/>
      <c r="Z40" s="95"/>
      <c r="AA40" s="110"/>
      <c r="AB40" s="49"/>
      <c r="AC40" s="95"/>
      <c r="AE40" s="95"/>
      <c r="AF40" s="95"/>
      <c r="AG40" s="49"/>
      <c r="AH40" s="94"/>
      <c r="AJ40" s="49"/>
    </row>
    <row r="41" spans="1:48" ht="15.75">
      <c r="A41" s="1"/>
      <c r="B41" s="1"/>
      <c r="C41" s="1"/>
      <c r="D41" s="1"/>
      <c r="E41" s="1"/>
      <c r="F41" s="55">
        <f t="shared" si="0"/>
        <v>35</v>
      </c>
      <c r="G41" s="17"/>
      <c r="H41" s="104" t="s">
        <v>105</v>
      </c>
      <c r="I41" s="114"/>
      <c r="J41" s="17"/>
      <c r="K41" s="17"/>
      <c r="L41" s="17"/>
      <c r="M41" s="17"/>
      <c r="N41" s="17"/>
      <c r="O41" s="1"/>
      <c r="P41" s="1"/>
      <c r="R41" s="115" t="s">
        <v>106</v>
      </c>
      <c r="S41" s="116"/>
      <c r="T41" s="72"/>
      <c r="U41" s="72"/>
      <c r="V41" s="73"/>
      <c r="X41" s="117"/>
      <c r="Y41" s="117"/>
      <c r="Z41" s="117"/>
      <c r="AA41" s="110"/>
      <c r="AB41" s="49"/>
      <c r="AC41" s="95"/>
      <c r="AE41" s="95"/>
      <c r="AF41" s="95"/>
      <c r="AG41" s="49"/>
      <c r="AH41" s="94"/>
      <c r="AJ41" s="49"/>
    </row>
    <row r="42" spans="1:48" ht="15.75">
      <c r="A42" s="1"/>
      <c r="B42" s="1"/>
      <c r="C42" s="1"/>
      <c r="D42" s="1"/>
      <c r="E42" s="1"/>
      <c r="F42" s="55">
        <f t="shared" si="0"/>
        <v>36</v>
      </c>
      <c r="G42" s="17"/>
      <c r="H42" s="17"/>
      <c r="I42" s="17"/>
      <c r="J42" s="118" t="s">
        <v>107</v>
      </c>
      <c r="K42" s="119" t="s">
        <v>46</v>
      </c>
      <c r="L42" s="17"/>
      <c r="M42" s="17"/>
      <c r="N42" s="17"/>
      <c r="O42" s="1"/>
      <c r="P42" s="1"/>
      <c r="R42" s="120" t="s">
        <v>108</v>
      </c>
      <c r="S42" s="121"/>
      <c r="V42" s="122"/>
      <c r="X42" s="95"/>
      <c r="Y42" s="95"/>
      <c r="Z42" s="95"/>
      <c r="AA42" s="110"/>
      <c r="AB42" s="49"/>
      <c r="AC42" s="95"/>
      <c r="AE42" s="95"/>
      <c r="AF42" s="95"/>
      <c r="AG42" s="49"/>
      <c r="AJ42" s="49"/>
    </row>
    <row r="43" spans="1:48" ht="15.75">
      <c r="A43" s="1"/>
      <c r="B43" s="1"/>
      <c r="C43" s="1"/>
      <c r="D43" s="1"/>
      <c r="E43" s="1"/>
      <c r="F43" s="55">
        <f t="shared" si="0"/>
        <v>37</v>
      </c>
      <c r="G43" s="17"/>
      <c r="H43" s="28" t="s">
        <v>109</v>
      </c>
      <c r="I43" s="123"/>
      <c r="J43" s="124">
        <f>IF(A64=TRUE,C11,0)</f>
        <v>1.7500000000000002E-2</v>
      </c>
      <c r="K43" s="125">
        <f ca="1">+J43*($J$7/$J$49)</f>
        <v>9380.0337793303406</v>
      </c>
      <c r="L43" s="17"/>
      <c r="M43" s="17"/>
      <c r="N43" s="17"/>
      <c r="O43" s="1"/>
      <c r="P43" s="1"/>
      <c r="R43" s="56">
        <v>0</v>
      </c>
      <c r="S43" s="126">
        <v>1</v>
      </c>
      <c r="U43" s="127" t="s">
        <v>102</v>
      </c>
      <c r="V43" s="128">
        <f ca="1">VLOOKUP(R48,R36:AG39,14)</f>
        <v>0.1027217409289993</v>
      </c>
      <c r="AC43" s="95"/>
      <c r="AE43" s="95"/>
      <c r="AJ43" s="49"/>
      <c r="AN43" s="95"/>
      <c r="AO43" s="95"/>
      <c r="AP43" s="95"/>
      <c r="AQ43" s="95"/>
      <c r="AR43" s="95"/>
      <c r="AS43" s="95"/>
      <c r="AT43" s="95"/>
      <c r="AU43" s="95"/>
      <c r="AV43" s="95"/>
    </row>
    <row r="44" spans="1:48" ht="15.75">
      <c r="A44" s="1"/>
      <c r="B44" s="1"/>
      <c r="C44" s="1"/>
      <c r="D44" s="1"/>
      <c r="E44" s="1"/>
      <c r="F44" s="55">
        <f t="shared" si="0"/>
        <v>38</v>
      </c>
      <c r="G44" s="17"/>
      <c r="H44" s="28" t="s">
        <v>110</v>
      </c>
      <c r="I44" s="123"/>
      <c r="J44" s="124">
        <f>IF(A64=TRUE,C12,0)</f>
        <v>5.1000000000000004E-3</v>
      </c>
      <c r="K44" s="125">
        <f ca="1">+J44*($J$7/$J$49)</f>
        <v>2733.609844261985</v>
      </c>
      <c r="L44" s="17"/>
      <c r="M44" s="17"/>
      <c r="N44" s="17"/>
      <c r="O44" s="1"/>
      <c r="P44" s="1"/>
      <c r="R44" s="56">
        <v>50</v>
      </c>
      <c r="S44" s="126">
        <v>2</v>
      </c>
      <c r="U44" s="127" t="s">
        <v>45</v>
      </c>
      <c r="V44" s="128">
        <f ca="1">ROUND(1-V43,6)</f>
        <v>0.89727800000000002</v>
      </c>
      <c r="AA44" s="129"/>
      <c r="AB44" s="20"/>
      <c r="AC44" s="20"/>
      <c r="AE44" s="95"/>
      <c r="AH44" s="94"/>
      <c r="AJ44" s="49"/>
      <c r="AN44" s="95"/>
      <c r="AO44" s="95"/>
      <c r="AP44" s="95"/>
      <c r="AQ44" s="95"/>
      <c r="AR44" s="95"/>
      <c r="AS44" s="95"/>
      <c r="AT44" s="95"/>
      <c r="AU44" s="95"/>
      <c r="AV44" s="95"/>
    </row>
    <row r="45" spans="1:48" ht="15.75">
      <c r="A45" s="1"/>
      <c r="B45" s="1"/>
      <c r="C45" s="1"/>
      <c r="D45" s="1"/>
      <c r="E45" s="1"/>
      <c r="F45" s="55">
        <f t="shared" si="0"/>
        <v>39</v>
      </c>
      <c r="G45" s="17"/>
      <c r="H45" s="28" t="s">
        <v>111</v>
      </c>
      <c r="I45" s="123"/>
      <c r="J45" s="124">
        <f>IF(A64=TRUE,C13,0)</f>
        <v>0</v>
      </c>
      <c r="K45" s="125">
        <f ca="1">+J45*($J$7/$J$49)</f>
        <v>0</v>
      </c>
      <c r="L45" s="17"/>
      <c r="M45" s="17"/>
      <c r="N45" s="17"/>
      <c r="O45" s="1"/>
      <c r="P45" s="1"/>
      <c r="R45" s="56">
        <v>125</v>
      </c>
      <c r="S45" s="126">
        <v>3</v>
      </c>
      <c r="U45" s="11" t="s">
        <v>112</v>
      </c>
      <c r="V45" s="130">
        <f ca="1">+M7/Revenue-1</f>
        <v>0.27537661309084926</v>
      </c>
      <c r="W45" s="53"/>
      <c r="X45" s="95"/>
      <c r="Y45" s="95"/>
      <c r="Z45" s="95"/>
      <c r="AA45" s="129"/>
      <c r="AB45" s="49"/>
      <c r="AC45" s="95"/>
      <c r="AE45" s="95"/>
      <c r="AF45" s="95"/>
      <c r="AG45" s="49"/>
      <c r="AH45" s="94"/>
      <c r="AJ45" s="49"/>
      <c r="AN45" s="95"/>
      <c r="AO45" s="95"/>
      <c r="AP45" s="95"/>
      <c r="AQ45" s="95"/>
      <c r="AR45" s="95"/>
      <c r="AS45" s="95"/>
      <c r="AT45" s="95"/>
      <c r="AU45" s="95"/>
      <c r="AV45" s="95"/>
    </row>
    <row r="46" spans="1:48" ht="15.75">
      <c r="A46" s="1"/>
      <c r="B46" s="1"/>
      <c r="C46" s="1"/>
      <c r="D46" s="1"/>
      <c r="E46" s="1"/>
      <c r="F46" s="55">
        <f t="shared" si="0"/>
        <v>40</v>
      </c>
      <c r="G46" s="17"/>
      <c r="H46" s="28" t="s">
        <v>113</v>
      </c>
      <c r="I46" s="123"/>
      <c r="J46" s="124">
        <f>IF(A64=TRUE,C14,0)</f>
        <v>2.0639720905216838E-3</v>
      </c>
      <c r="K46" s="125">
        <f ca="1">+J46*($J$7/$J$49)</f>
        <v>1106.293024496483</v>
      </c>
      <c r="L46" s="17"/>
      <c r="M46" s="17"/>
      <c r="N46" s="17"/>
      <c r="O46" s="1"/>
      <c r="P46" s="1"/>
      <c r="R46" s="59">
        <v>401</v>
      </c>
      <c r="S46" s="131">
        <v>4</v>
      </c>
      <c r="T46" s="82"/>
      <c r="U46" s="82"/>
      <c r="V46" s="85"/>
      <c r="X46" s="95"/>
      <c r="Y46" s="95"/>
      <c r="Z46" s="95"/>
      <c r="AA46" s="110"/>
      <c r="AB46" s="49"/>
      <c r="AC46" s="95"/>
      <c r="AE46" s="95"/>
      <c r="AF46" s="95"/>
      <c r="AG46" s="49"/>
      <c r="AH46" s="94"/>
      <c r="AJ46" s="49"/>
      <c r="AN46" s="95"/>
      <c r="AO46" s="95"/>
      <c r="AP46" s="95"/>
      <c r="AQ46" s="95"/>
      <c r="AR46" s="95"/>
      <c r="AS46" s="95"/>
      <c r="AT46" s="95"/>
      <c r="AU46" s="95"/>
      <c r="AV46" s="95"/>
    </row>
    <row r="47" spans="1:48" ht="16.5" thickBot="1">
      <c r="A47" s="1"/>
      <c r="B47" s="1"/>
      <c r="C47" s="1"/>
      <c r="D47" s="1"/>
      <c r="E47" s="1"/>
      <c r="F47" s="55">
        <f t="shared" si="0"/>
        <v>41</v>
      </c>
      <c r="G47" s="17"/>
      <c r="H47" s="28" t="s">
        <v>114</v>
      </c>
      <c r="I47" s="111"/>
      <c r="J47" s="132">
        <f>SUM(J43:J46)</f>
        <v>2.4663972090521687E-2</v>
      </c>
      <c r="K47" s="99">
        <f ca="1">+K43+K44+K45+K46</f>
        <v>13219.936648088807</v>
      </c>
      <c r="L47" s="17"/>
      <c r="M47" s="17"/>
      <c r="N47" s="17"/>
      <c r="O47" s="1"/>
      <c r="P47" s="1"/>
      <c r="R47" s="38">
        <f ca="1">VLOOKUP(R48,R36:S39,2)</f>
        <v>122.28448462711856</v>
      </c>
      <c r="S47" s="133" t="s">
        <v>115</v>
      </c>
      <c r="T47" s="73"/>
      <c r="X47" s="11" t="s">
        <v>116</v>
      </c>
      <c r="AE47" s="95"/>
      <c r="AH47" s="94"/>
      <c r="AJ47" s="49"/>
    </row>
    <row r="48" spans="1:48" ht="16.5" thickTop="1">
      <c r="A48" s="1"/>
      <c r="B48" s="1"/>
      <c r="C48" s="1"/>
      <c r="D48" s="1"/>
      <c r="E48" s="1"/>
      <c r="F48" s="55">
        <f t="shared" si="0"/>
        <v>42</v>
      </c>
      <c r="G48" s="17"/>
      <c r="H48" s="17"/>
      <c r="I48" s="17"/>
      <c r="J48" s="134"/>
      <c r="K48" s="17"/>
      <c r="L48" s="17"/>
      <c r="M48" s="17"/>
      <c r="N48" s="17"/>
      <c r="O48" s="1"/>
      <c r="P48" s="1"/>
      <c r="R48" s="56">
        <f ca="1">VLOOKUP(S36,R43:S46,2)</f>
        <v>2</v>
      </c>
      <c r="S48" s="135" t="s">
        <v>117</v>
      </c>
      <c r="T48" s="122"/>
      <c r="X48" s="11" t="s">
        <v>118</v>
      </c>
      <c r="AC48" s="20"/>
      <c r="AE48" s="95"/>
      <c r="AJ48" s="49"/>
    </row>
    <row r="49" spans="1:48" ht="15.75">
      <c r="A49" s="1"/>
      <c r="B49" s="1"/>
      <c r="C49" s="1"/>
      <c r="D49" s="1"/>
      <c r="E49" s="1"/>
      <c r="F49" s="55">
        <f t="shared" si="0"/>
        <v>43</v>
      </c>
      <c r="G49" s="23"/>
      <c r="H49" s="28" t="s">
        <v>119</v>
      </c>
      <c r="I49" s="17"/>
      <c r="J49" s="107">
        <f ca="1">((K35)-J47)</f>
        <v>0.87322327475456274</v>
      </c>
      <c r="K49" s="17"/>
      <c r="L49" s="17"/>
      <c r="M49" s="17"/>
      <c r="N49" s="17"/>
      <c r="O49" s="1"/>
      <c r="P49" s="1"/>
      <c r="R49" s="56"/>
      <c r="S49" s="135"/>
      <c r="T49" s="122"/>
      <c r="X49" s="11" t="s">
        <v>120</v>
      </c>
      <c r="AC49" s="95"/>
      <c r="AE49" s="95"/>
      <c r="AF49" s="95"/>
      <c r="AG49" s="49"/>
      <c r="AJ49" s="49"/>
    </row>
    <row r="50" spans="1:48">
      <c r="A50" s="1"/>
      <c r="B50" s="1"/>
      <c r="C50" s="1"/>
      <c r="D50" s="1"/>
      <c r="E50" s="1"/>
      <c r="F50" s="1"/>
      <c r="G50" s="1"/>
      <c r="H50" s="1"/>
      <c r="I50" s="1"/>
      <c r="J50" s="1"/>
      <c r="K50" s="136"/>
      <c r="L50" s="1"/>
      <c r="M50" s="1"/>
      <c r="N50" s="137"/>
      <c r="O50" s="1"/>
      <c r="P50" s="1"/>
      <c r="R50" s="138">
        <f ca="1">+V44</f>
        <v>0.89727800000000002</v>
      </c>
      <c r="S50" s="139" t="s">
        <v>45</v>
      </c>
      <c r="T50" s="140"/>
      <c r="X50" s="11" t="s">
        <v>121</v>
      </c>
      <c r="AC50" s="95"/>
      <c r="AE50" s="95"/>
      <c r="AF50" s="95"/>
      <c r="AG50" s="49"/>
      <c r="AH50" s="95"/>
      <c r="AJ50" s="49"/>
      <c r="AN50" s="95"/>
      <c r="AO50" s="95"/>
      <c r="AP50" s="95"/>
      <c r="AQ50" s="95"/>
      <c r="AR50" s="95"/>
      <c r="AS50" s="95"/>
      <c r="AT50" s="95"/>
      <c r="AU50" s="95"/>
      <c r="AV50" s="95"/>
    </row>
    <row r="51" spans="1:4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R51" s="11"/>
      <c r="W51" s="141"/>
      <c r="X51" s="141"/>
      <c r="Y51" s="141"/>
      <c r="Z51" s="141"/>
      <c r="AB51" s="49"/>
      <c r="AC51" s="95"/>
      <c r="AE51" s="95"/>
      <c r="AF51" s="95"/>
      <c r="AG51" s="49"/>
      <c r="AH51" s="94"/>
      <c r="AJ51" s="49"/>
      <c r="AN51" s="95"/>
      <c r="AO51" s="95"/>
      <c r="AP51" s="95"/>
      <c r="AQ51" s="95"/>
      <c r="AR51" s="95"/>
      <c r="AS51" s="95"/>
      <c r="AT51" s="95"/>
      <c r="AU51" s="95"/>
      <c r="AV51" s="95"/>
    </row>
    <row r="52" spans="1:48">
      <c r="A52" s="1"/>
      <c r="B52" s="1"/>
      <c r="C52" s="1"/>
      <c r="D52" s="1"/>
      <c r="E52" s="1"/>
      <c r="F52" s="1"/>
      <c r="G52" s="1"/>
      <c r="H52" s="1"/>
      <c r="I52" s="1"/>
      <c r="J52" s="143"/>
      <c r="K52" s="143"/>
      <c r="L52" s="143"/>
      <c r="M52" s="143"/>
      <c r="N52" s="1"/>
      <c r="O52" s="1"/>
      <c r="P52" s="1"/>
      <c r="R52" s="11"/>
      <c r="W52" s="141"/>
      <c r="X52" s="141"/>
      <c r="Y52" s="141"/>
      <c r="Z52" s="141"/>
      <c r="AB52" s="49"/>
      <c r="AC52" s="95"/>
      <c r="AE52" s="95"/>
      <c r="AF52" s="95"/>
      <c r="AG52" s="49"/>
      <c r="AH52" s="94"/>
      <c r="AJ52" s="49"/>
      <c r="AN52" s="95"/>
      <c r="AO52" s="95"/>
      <c r="AP52" s="95"/>
      <c r="AQ52" s="95"/>
      <c r="AR52" s="95"/>
      <c r="AS52" s="95"/>
      <c r="AT52" s="95"/>
      <c r="AU52" s="95"/>
      <c r="AV52" s="95"/>
    </row>
    <row r="53" spans="1:48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43"/>
      <c r="L53" s="143"/>
      <c r="M53" s="143"/>
      <c r="N53" s="1"/>
      <c r="O53" s="1"/>
      <c r="P53" s="1"/>
      <c r="R53" s="11"/>
      <c r="S53" s="11" t="s">
        <v>122</v>
      </c>
      <c r="T53" s="95"/>
      <c r="U53" s="144"/>
      <c r="W53" s="145" t="s">
        <v>123</v>
      </c>
      <c r="X53" s="146"/>
      <c r="Y53" s="146"/>
      <c r="Z53" s="146"/>
      <c r="AA53" s="184"/>
      <c r="AB53" s="184"/>
      <c r="AE53" s="95"/>
      <c r="AH53" s="94"/>
      <c r="AJ53" s="49"/>
      <c r="AN53" s="95"/>
      <c r="AO53" s="95"/>
      <c r="AP53" s="95"/>
      <c r="AQ53" s="95"/>
      <c r="AR53" s="95"/>
      <c r="AS53" s="95"/>
      <c r="AT53" s="95"/>
      <c r="AU53" s="95"/>
      <c r="AV53" s="95"/>
    </row>
    <row r="54" spans="1:4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47"/>
      <c r="M54" s="147"/>
      <c r="N54" s="1"/>
      <c r="O54" s="1"/>
      <c r="P54" s="1"/>
      <c r="R54" s="148"/>
      <c r="S54" s="149" t="s">
        <v>86</v>
      </c>
      <c r="T54" s="149" t="s">
        <v>124</v>
      </c>
      <c r="U54" s="150" t="s">
        <v>89</v>
      </c>
      <c r="W54" s="151" t="s">
        <v>125</v>
      </c>
      <c r="X54" s="152">
        <v>3.7226020000000002</v>
      </c>
      <c r="Y54" s="153" t="s">
        <v>126</v>
      </c>
      <c r="Z54" s="154">
        <v>3.7226020000000002</v>
      </c>
      <c r="AC54" s="20"/>
      <c r="AE54" s="95"/>
      <c r="AJ54" s="49"/>
    </row>
    <row r="55" spans="1:48">
      <c r="A55" s="1"/>
      <c r="B55" s="1"/>
      <c r="C55" s="1"/>
      <c r="D55" s="1"/>
      <c r="E55" s="1"/>
      <c r="F55" s="1"/>
      <c r="G55" s="1"/>
      <c r="H55" s="1"/>
      <c r="I55" s="1"/>
      <c r="J55" s="147"/>
      <c r="K55" s="1"/>
      <c r="L55" s="147"/>
      <c r="M55" s="147"/>
      <c r="N55" s="1"/>
      <c r="O55" s="1"/>
      <c r="P55" s="1"/>
      <c r="R55" s="12" t="s">
        <v>43</v>
      </c>
      <c r="S55" s="129">
        <v>0.56200000000000006</v>
      </c>
      <c r="T55" s="129">
        <v>6.3799999999999996E-2</v>
      </c>
      <c r="U55" s="155">
        <f>ROUND(+S55*T55,5)</f>
        <v>3.5860000000000003E-2</v>
      </c>
      <c r="W55" s="156" t="s">
        <v>127</v>
      </c>
      <c r="X55" s="157">
        <v>3.7226020000000002</v>
      </c>
      <c r="Y55" s="158" t="s">
        <v>128</v>
      </c>
      <c r="Z55" s="159">
        <v>3.7226020000000002</v>
      </c>
      <c r="AC55" s="95"/>
      <c r="AE55" s="95"/>
      <c r="AF55" s="95"/>
      <c r="AG55" s="49"/>
      <c r="AJ55" s="49"/>
    </row>
    <row r="56" spans="1:48">
      <c r="A56" s="1"/>
      <c r="B56" s="1"/>
      <c r="C56" s="1"/>
      <c r="D56" s="1"/>
      <c r="E56" s="143"/>
      <c r="F56" s="1"/>
      <c r="G56" s="1"/>
      <c r="H56" s="1"/>
      <c r="I56" s="1"/>
      <c r="J56" s="147"/>
      <c r="K56" s="1"/>
      <c r="L56" s="147"/>
      <c r="M56" s="147"/>
      <c r="N56" s="1"/>
      <c r="O56" s="1"/>
      <c r="P56" s="1"/>
      <c r="R56" s="12" t="s">
        <v>129</v>
      </c>
      <c r="S56" s="129">
        <v>9.4E-2</v>
      </c>
      <c r="T56" s="129">
        <v>6.59E-2</v>
      </c>
      <c r="U56" s="155">
        <f>ROUND(+S56*T56,5)</f>
        <v>6.1900000000000002E-3</v>
      </c>
      <c r="W56" s="160"/>
      <c r="X56" s="141"/>
      <c r="Y56" s="161"/>
      <c r="Z56" s="162"/>
      <c r="AC56" s="95"/>
      <c r="AE56" s="95"/>
      <c r="AF56" s="95"/>
      <c r="AG56" s="49"/>
      <c r="AH56" s="94"/>
      <c r="AJ56" s="49"/>
      <c r="AN56" s="95"/>
    </row>
    <row r="57" spans="1:48" ht="15.75">
      <c r="A57" s="1"/>
      <c r="B57" s="1"/>
      <c r="C57" s="1"/>
      <c r="D57" s="1"/>
      <c r="E57" s="143"/>
      <c r="F57" s="143"/>
      <c r="G57" s="143"/>
      <c r="H57" s="163"/>
      <c r="I57" s="143"/>
      <c r="J57" s="147"/>
      <c r="K57" s="1"/>
      <c r="L57" s="1"/>
      <c r="M57" s="1"/>
      <c r="N57" s="1"/>
      <c r="O57" s="1"/>
      <c r="P57" s="1"/>
      <c r="R57" s="12" t="s">
        <v>41</v>
      </c>
      <c r="S57" s="164">
        <v>0.34399999999999997</v>
      </c>
      <c r="T57" s="165"/>
      <c r="U57" s="166"/>
      <c r="W57" s="167"/>
      <c r="X57" s="168" t="s">
        <v>130</v>
      </c>
      <c r="Y57" s="169">
        <v>0.30151749999999999</v>
      </c>
      <c r="Z57" s="170"/>
      <c r="AC57" s="95"/>
      <c r="AE57" s="95"/>
      <c r="AF57" s="95"/>
      <c r="AG57" s="49"/>
      <c r="AH57" s="94"/>
      <c r="AJ57" s="49"/>
    </row>
    <row r="58" spans="1:48" ht="15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R58" s="81"/>
      <c r="S58" s="164">
        <f>SUM(S55:S57)</f>
        <v>1</v>
      </c>
      <c r="T58" s="171"/>
      <c r="U58" s="172"/>
      <c r="W58" s="141"/>
      <c r="X58" s="173"/>
      <c r="Y58" s="173"/>
      <c r="Z58" s="173"/>
      <c r="AA58" s="110"/>
      <c r="AB58" s="49"/>
      <c r="AC58" s="95"/>
      <c r="AE58" s="95"/>
      <c r="AF58" s="95"/>
      <c r="AG58" s="49"/>
      <c r="AH58" s="94"/>
      <c r="AJ58" s="49"/>
    </row>
    <row r="59" spans="1:4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W59" s="141"/>
      <c r="X59" s="175"/>
      <c r="Y59" s="175"/>
      <c r="Z59" s="175"/>
      <c r="AE59" s="95"/>
      <c r="AH59" s="94"/>
      <c r="AJ59" s="49"/>
      <c r="AN59" s="94"/>
      <c r="AO59" s="94"/>
      <c r="AP59" s="94"/>
      <c r="AQ59" s="94"/>
      <c r="AR59" s="94"/>
      <c r="AS59" s="94"/>
      <c r="AT59" s="94"/>
      <c r="AU59" s="94"/>
      <c r="AV59" s="94"/>
    </row>
    <row r="60" spans="1:48">
      <c r="A60" s="1"/>
      <c r="B60" s="1"/>
      <c r="C60" s="1"/>
      <c r="D60" s="1"/>
      <c r="E60" s="14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R60" s="11"/>
      <c r="S60" s="176"/>
      <c r="W60" s="148"/>
      <c r="X60" s="177" t="s">
        <v>97</v>
      </c>
      <c r="Y60" s="177" t="s">
        <v>131</v>
      </c>
      <c r="Z60" s="178" t="s">
        <v>22</v>
      </c>
      <c r="AE60" s="95"/>
      <c r="AJ60" s="49"/>
      <c r="AN60" s="94"/>
      <c r="AO60" s="94"/>
      <c r="AP60" s="94"/>
      <c r="AQ60" s="94"/>
      <c r="AR60" s="94"/>
      <c r="AS60" s="94"/>
      <c r="AT60" s="94"/>
      <c r="AU60" s="94"/>
      <c r="AV60" s="94"/>
    </row>
    <row r="61" spans="1:48">
      <c r="A61" s="1"/>
      <c r="B61" s="1"/>
      <c r="C61" s="1"/>
      <c r="D61" s="1"/>
      <c r="E61" s="1"/>
      <c r="F61" s="143"/>
      <c r="G61" s="143"/>
      <c r="H61" s="143"/>
      <c r="I61" s="143"/>
      <c r="J61" s="143"/>
      <c r="K61" s="143"/>
      <c r="L61" s="143"/>
      <c r="M61" s="143"/>
      <c r="N61" s="143"/>
      <c r="O61" s="1"/>
      <c r="P61" s="1"/>
      <c r="R61" s="11"/>
      <c r="W61" s="12"/>
      <c r="X61" s="179"/>
      <c r="Y61" s="179"/>
      <c r="Z61" s="180"/>
      <c r="AE61" s="95"/>
      <c r="AF61" s="95"/>
      <c r="AG61" s="49"/>
      <c r="AJ61" s="49"/>
      <c r="AN61" s="94"/>
      <c r="AO61" s="94"/>
      <c r="AP61" s="94"/>
      <c r="AQ61" s="94"/>
      <c r="AR61" s="94"/>
      <c r="AS61" s="94"/>
      <c r="AT61" s="94"/>
      <c r="AU61" s="94"/>
      <c r="AV61" s="94"/>
    </row>
    <row r="62" spans="1:4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R62" s="11"/>
      <c r="S62" s="176"/>
      <c r="W62" s="12"/>
      <c r="X62" s="127" t="s">
        <v>99</v>
      </c>
      <c r="Y62" s="128">
        <f t="shared" ref="Y62:Z67" ca="1" si="1">+J33</f>
        <v>0.12486809078538517</v>
      </c>
      <c r="Z62" s="128">
        <f t="shared" ca="1" si="1"/>
        <v>0.10212553838713466</v>
      </c>
      <c r="AE62" s="95"/>
      <c r="AF62" s="95"/>
      <c r="AG62" s="49"/>
      <c r="AH62" s="94"/>
      <c r="AJ62" s="49"/>
      <c r="AN62" s="94"/>
      <c r="AO62" s="94"/>
      <c r="AP62" s="94"/>
      <c r="AQ62" s="94"/>
      <c r="AR62" s="94"/>
      <c r="AS62" s="94"/>
      <c r="AT62" s="94"/>
      <c r="AU62" s="94"/>
      <c r="AV62" s="94"/>
    </row>
    <row r="63" spans="1:4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R63" s="11"/>
      <c r="W63" s="12"/>
      <c r="X63" s="127" t="s">
        <v>100</v>
      </c>
      <c r="Y63" s="128">
        <f t="shared" ca="1" si="1"/>
        <v>0.18049644760516287</v>
      </c>
      <c r="Z63" s="128">
        <f t="shared" ca="1" si="1"/>
        <v>0.14259219360807865</v>
      </c>
      <c r="AE63" s="95"/>
      <c r="AF63" s="95"/>
      <c r="AG63" s="49"/>
      <c r="AH63" s="94"/>
      <c r="AJ63" s="49"/>
    </row>
    <row r="64" spans="1:48">
      <c r="A64" s="11" t="b">
        <v>1</v>
      </c>
      <c r="B64" s="1"/>
      <c r="C64" s="1"/>
      <c r="F64" s="1"/>
      <c r="G64" s="1"/>
      <c r="H64" s="1"/>
      <c r="I64" s="1"/>
      <c r="J64" s="1"/>
      <c r="K64" s="1"/>
      <c r="L64" s="1"/>
      <c r="M64" s="1"/>
      <c r="N64" s="1"/>
      <c r="R64" s="11"/>
      <c r="S64" s="176"/>
      <c r="W64" s="12"/>
      <c r="X64" s="127" t="s">
        <v>45</v>
      </c>
      <c r="Y64" s="128">
        <f t="shared" ca="1" si="1"/>
        <v>0.89727799999999991</v>
      </c>
      <c r="Z64" s="128">
        <f t="shared" ca="1" si="1"/>
        <v>0.89788724684508447</v>
      </c>
      <c r="AE64" s="95"/>
      <c r="AF64" s="95"/>
      <c r="AG64" s="49"/>
      <c r="AH64" s="94"/>
      <c r="AJ64" s="49"/>
    </row>
    <row r="65" spans="8:40">
      <c r="H65" s="94"/>
      <c r="I65" s="94"/>
      <c r="J65" s="94"/>
      <c r="K65" s="94"/>
      <c r="L65" s="94"/>
      <c r="M65" s="94"/>
      <c r="N65" s="94"/>
      <c r="O65" s="94"/>
      <c r="R65" s="11"/>
      <c r="W65" s="12"/>
      <c r="X65" s="127" t="s">
        <v>102</v>
      </c>
      <c r="Y65" s="128">
        <f t="shared" ca="1" si="1"/>
        <v>0.10272200000000005</v>
      </c>
      <c r="Z65" s="128">
        <f t="shared" ca="1" si="1"/>
        <v>0.10272200000000005</v>
      </c>
      <c r="AE65" s="95"/>
      <c r="AH65" s="94"/>
      <c r="AJ65" s="49"/>
      <c r="AN65" s="94"/>
    </row>
    <row r="66" spans="8:40">
      <c r="H66" s="94"/>
      <c r="I66" s="94"/>
      <c r="J66" s="94"/>
      <c r="K66" s="94"/>
      <c r="L66" s="94"/>
      <c r="M66" s="94"/>
      <c r="N66" s="94"/>
      <c r="O66" s="94"/>
      <c r="R66" s="11"/>
      <c r="S66" s="176"/>
      <c r="W66" s="12"/>
      <c r="X66" s="127" t="s">
        <v>103</v>
      </c>
      <c r="Y66" s="128">
        <f t="shared" ca="1" si="1"/>
        <v>1.2228448462711856</v>
      </c>
      <c r="Z66" s="128">
        <f t="shared" ca="1" si="1"/>
        <v>1.2228448462711856</v>
      </c>
      <c r="AE66" s="95"/>
      <c r="AJ66" s="49"/>
    </row>
    <row r="67" spans="8:40">
      <c r="O67" s="94"/>
      <c r="W67" s="81"/>
      <c r="X67" s="182" t="s">
        <v>104</v>
      </c>
      <c r="Y67" s="183">
        <f t="shared" si="1"/>
        <v>0.21</v>
      </c>
      <c r="Z67" s="183">
        <f t="shared" si="1"/>
        <v>0.21</v>
      </c>
      <c r="AE67" s="95"/>
      <c r="AF67" s="95"/>
      <c r="AG67" s="49"/>
      <c r="AJ67" s="49"/>
    </row>
    <row r="68" spans="8:40">
      <c r="O68" s="94"/>
      <c r="W68" s="127"/>
      <c r="AE68" s="95"/>
      <c r="AF68" s="95"/>
      <c r="AG68" s="49"/>
      <c r="AH68" s="94"/>
      <c r="AJ68" s="49"/>
    </row>
    <row r="69" spans="8:40">
      <c r="O69" s="94"/>
      <c r="X69" s="95"/>
      <c r="Y69" s="95"/>
      <c r="Z69" s="95"/>
      <c r="AA69" s="110"/>
      <c r="AB69" s="49"/>
      <c r="AC69" s="95"/>
      <c r="AE69" s="95"/>
      <c r="AF69" s="95"/>
      <c r="AG69" s="49"/>
      <c r="AH69" s="94"/>
      <c r="AJ69" s="49"/>
    </row>
    <row r="70" spans="8:40">
      <c r="X70" s="95"/>
      <c r="Y70" s="95"/>
      <c r="Z70" s="95"/>
      <c r="AA70" s="110"/>
      <c r="AB70" s="49"/>
      <c r="AC70" s="95"/>
      <c r="AE70" s="95"/>
      <c r="AF70" s="95"/>
      <c r="AG70" s="49"/>
      <c r="AH70" s="94"/>
      <c r="AJ70" s="49"/>
    </row>
    <row r="71" spans="8:40">
      <c r="AE71" s="95"/>
      <c r="AH71" s="94"/>
      <c r="AJ71" s="49"/>
    </row>
    <row r="72" spans="8:40">
      <c r="AA72" s="20"/>
      <c r="AB72" s="20"/>
      <c r="AC72" s="20"/>
      <c r="AE72" s="95"/>
      <c r="AJ72" s="49"/>
    </row>
    <row r="73" spans="8:40">
      <c r="X73" s="95"/>
      <c r="Y73" s="95"/>
      <c r="Z73" s="95"/>
      <c r="AA73" s="110"/>
      <c r="AB73" s="49"/>
      <c r="AC73" s="95"/>
      <c r="AE73" s="95"/>
      <c r="AF73" s="95"/>
      <c r="AG73" s="49"/>
      <c r="AJ73" s="49"/>
    </row>
    <row r="74" spans="8:40">
      <c r="X74" s="95"/>
      <c r="Y74" s="95"/>
      <c r="Z74" s="95"/>
      <c r="AA74" s="110"/>
      <c r="AB74" s="49"/>
      <c r="AC74" s="95"/>
      <c r="AE74" s="95"/>
      <c r="AF74" s="95"/>
      <c r="AG74" s="49"/>
      <c r="AH74" s="94"/>
      <c r="AJ74" s="49"/>
    </row>
    <row r="75" spans="8:40">
      <c r="X75" s="95"/>
      <c r="Y75" s="95"/>
      <c r="Z75" s="95"/>
      <c r="AA75" s="110"/>
      <c r="AB75" s="49"/>
      <c r="AC75" s="95"/>
      <c r="AE75" s="95"/>
      <c r="AF75" s="95"/>
      <c r="AG75" s="49"/>
      <c r="AH75" s="94"/>
      <c r="AJ75" s="49"/>
    </row>
    <row r="76" spans="8:40">
      <c r="X76" s="95"/>
      <c r="Y76" s="95"/>
      <c r="Z76" s="95"/>
      <c r="AA76" s="110"/>
      <c r="AB76" s="49"/>
      <c r="AC76" s="95"/>
      <c r="AE76" s="95"/>
      <c r="AF76" s="95"/>
      <c r="AG76" s="49"/>
      <c r="AH76" s="94"/>
      <c r="AJ76" s="49"/>
    </row>
    <row r="77" spans="8:40">
      <c r="AE77" s="95"/>
      <c r="AH77" s="94"/>
      <c r="AJ77" s="49"/>
    </row>
    <row r="79" spans="8:40">
      <c r="X79" s="95"/>
      <c r="Y79" s="95"/>
      <c r="Z79" s="95"/>
      <c r="AA79" s="110"/>
      <c r="AB79" s="49"/>
      <c r="AC79" s="95"/>
      <c r="AF79" s="95"/>
      <c r="AG79" s="49"/>
    </row>
    <row r="80" spans="8:40">
      <c r="X80" s="95"/>
      <c r="Y80" s="95"/>
      <c r="Z80" s="95"/>
      <c r="AA80" s="110"/>
      <c r="AB80" s="49"/>
      <c r="AC80" s="95"/>
      <c r="AF80" s="95"/>
      <c r="AG80" s="49"/>
      <c r="AH80" s="94"/>
    </row>
    <row r="81" spans="24:34">
      <c r="X81" s="95"/>
      <c r="Y81" s="95"/>
      <c r="Z81" s="95"/>
      <c r="AA81" s="110"/>
      <c r="AB81" s="49"/>
      <c r="AC81" s="95"/>
      <c r="AF81" s="95"/>
      <c r="AG81" s="49"/>
      <c r="AH81" s="94"/>
    </row>
    <row r="82" spans="24:34">
      <c r="X82" s="95"/>
      <c r="Y82" s="95"/>
      <c r="Z82" s="95"/>
      <c r="AA82" s="110"/>
      <c r="AB82" s="49"/>
      <c r="AC82" s="95"/>
      <c r="AF82" s="95"/>
      <c r="AG82" s="49"/>
      <c r="AH82" s="94"/>
    </row>
    <row r="83" spans="24:34">
      <c r="AH83" s="94"/>
    </row>
    <row r="85" spans="24:34">
      <c r="X85" s="95"/>
      <c r="Y85" s="95"/>
      <c r="Z85" s="95"/>
      <c r="AA85" s="110"/>
      <c r="AB85" s="49"/>
      <c r="AC85" s="95"/>
      <c r="AF85" s="95"/>
      <c r="AG85" s="49"/>
    </row>
    <row r="86" spans="24:34">
      <c r="X86" s="95"/>
      <c r="Y86" s="95"/>
      <c r="Z86" s="95"/>
      <c r="AA86" s="110"/>
      <c r="AB86" s="49"/>
      <c r="AC86" s="95"/>
      <c r="AF86" s="95"/>
      <c r="AG86" s="49"/>
      <c r="AH86" s="94"/>
    </row>
    <row r="87" spans="24:34">
      <c r="X87" s="95"/>
      <c r="Y87" s="95"/>
      <c r="Z87" s="95"/>
      <c r="AA87" s="110"/>
      <c r="AB87" s="49"/>
      <c r="AC87" s="95"/>
      <c r="AF87" s="95"/>
      <c r="AG87" s="49"/>
      <c r="AH87" s="94"/>
    </row>
    <row r="88" spans="24:34">
      <c r="X88" s="95"/>
      <c r="Y88" s="95"/>
      <c r="Z88" s="95"/>
      <c r="AA88" s="110"/>
      <c r="AB88" s="49"/>
      <c r="AC88" s="95"/>
      <c r="AF88" s="95"/>
      <c r="AG88" s="49"/>
      <c r="AH88" s="94"/>
    </row>
    <row r="89" spans="24:34">
      <c r="AH89" s="94"/>
    </row>
    <row r="91" spans="24:34">
      <c r="X91" s="95"/>
      <c r="Y91" s="95"/>
      <c r="Z91" s="95"/>
      <c r="AA91" s="110"/>
      <c r="AB91" s="49"/>
      <c r="AC91" s="95"/>
      <c r="AF91" s="95"/>
      <c r="AG91" s="49"/>
    </row>
    <row r="92" spans="24:34">
      <c r="X92" s="95"/>
      <c r="Y92" s="95"/>
      <c r="Z92" s="95"/>
      <c r="AA92" s="110"/>
      <c r="AB92" s="49"/>
      <c r="AC92" s="95"/>
      <c r="AF92" s="95"/>
      <c r="AG92" s="49"/>
      <c r="AH92" s="94"/>
    </row>
    <row r="93" spans="24:34">
      <c r="X93" s="95"/>
      <c r="Y93" s="95"/>
      <c r="Z93" s="95"/>
      <c r="AA93" s="110"/>
      <c r="AB93" s="49"/>
      <c r="AC93" s="95"/>
      <c r="AF93" s="95"/>
      <c r="AG93" s="49"/>
      <c r="AH93" s="94"/>
    </row>
    <row r="94" spans="24:34">
      <c r="X94" s="95"/>
      <c r="Y94" s="95"/>
      <c r="Z94" s="95"/>
      <c r="AA94" s="110"/>
      <c r="AB94" s="49"/>
      <c r="AC94" s="95"/>
      <c r="AF94" s="95"/>
      <c r="AG94" s="49"/>
      <c r="AH94" s="94"/>
    </row>
    <row r="95" spans="24:34">
      <c r="AH95" s="94"/>
    </row>
    <row r="97" spans="24:34">
      <c r="X97" s="95"/>
      <c r="Y97" s="95"/>
      <c r="Z97" s="95"/>
      <c r="AA97" s="110"/>
      <c r="AB97" s="49"/>
      <c r="AC97" s="95"/>
      <c r="AF97" s="95"/>
      <c r="AG97" s="49"/>
    </row>
    <row r="98" spans="24:34">
      <c r="X98" s="95"/>
      <c r="Y98" s="95"/>
      <c r="Z98" s="95"/>
      <c r="AA98" s="110"/>
      <c r="AB98" s="49"/>
      <c r="AC98" s="95"/>
      <c r="AF98" s="95"/>
      <c r="AG98" s="49"/>
      <c r="AH98" s="94"/>
    </row>
    <row r="99" spans="24:34">
      <c r="X99" s="95"/>
      <c r="Y99" s="95"/>
      <c r="Z99" s="95"/>
      <c r="AA99" s="110"/>
      <c r="AB99" s="49"/>
      <c r="AC99" s="95"/>
      <c r="AF99" s="95"/>
      <c r="AG99" s="49"/>
      <c r="AH99" s="94"/>
    </row>
    <row r="100" spans="24:34">
      <c r="X100" s="95"/>
      <c r="Y100" s="95"/>
      <c r="Z100" s="95"/>
      <c r="AA100" s="110"/>
      <c r="AB100" s="49"/>
      <c r="AC100" s="95"/>
      <c r="AF100" s="95"/>
      <c r="AG100" s="49"/>
      <c r="AH100" s="94"/>
    </row>
    <row r="101" spans="24:34">
      <c r="AH101" s="94"/>
    </row>
    <row r="103" spans="24:34">
      <c r="X103" s="95"/>
      <c r="Y103" s="95"/>
      <c r="Z103" s="95"/>
      <c r="AA103" s="110"/>
      <c r="AB103" s="49"/>
      <c r="AC103" s="95"/>
      <c r="AF103" s="95"/>
      <c r="AG103" s="49"/>
    </row>
    <row r="104" spans="24:34">
      <c r="X104" s="95"/>
      <c r="Y104" s="95"/>
      <c r="Z104" s="95"/>
      <c r="AA104" s="110"/>
      <c r="AB104" s="49"/>
      <c r="AC104" s="95"/>
      <c r="AF104" s="95"/>
      <c r="AG104" s="49"/>
      <c r="AH104" s="94"/>
    </row>
    <row r="105" spans="24:34">
      <c r="X105" s="95"/>
      <c r="Y105" s="95"/>
      <c r="Z105" s="95"/>
      <c r="AA105" s="110"/>
      <c r="AB105" s="49"/>
      <c r="AC105" s="95"/>
      <c r="AF105" s="95"/>
      <c r="AG105" s="49"/>
      <c r="AH105" s="94"/>
    </row>
    <row r="106" spans="24:34">
      <c r="X106" s="95"/>
      <c r="Y106" s="95"/>
      <c r="Z106" s="95"/>
      <c r="AA106" s="110"/>
      <c r="AB106" s="49"/>
      <c r="AC106" s="95"/>
      <c r="AF106" s="95"/>
      <c r="AG106" s="49"/>
      <c r="AH106" s="94"/>
    </row>
    <row r="107" spans="24:34">
      <c r="AH107" s="94"/>
    </row>
    <row r="109" spans="24:34">
      <c r="X109" s="95"/>
      <c r="Y109" s="95"/>
      <c r="Z109" s="95"/>
      <c r="AA109" s="110"/>
      <c r="AB109" s="49"/>
      <c r="AC109" s="95"/>
      <c r="AF109" s="95"/>
      <c r="AG109" s="49"/>
    </row>
    <row r="110" spans="24:34">
      <c r="X110" s="95"/>
      <c r="Y110" s="95"/>
      <c r="Z110" s="95"/>
      <c r="AA110" s="110"/>
      <c r="AB110" s="49"/>
      <c r="AC110" s="95"/>
      <c r="AF110" s="95"/>
      <c r="AG110" s="49"/>
    </row>
    <row r="111" spans="24:34">
      <c r="X111" s="95"/>
      <c r="Y111" s="95"/>
      <c r="Z111" s="95"/>
      <c r="AA111" s="110"/>
      <c r="AB111" s="49"/>
      <c r="AC111" s="95"/>
      <c r="AF111" s="95"/>
      <c r="AG111" s="49"/>
    </row>
    <row r="112" spans="24:34">
      <c r="X112" s="95"/>
      <c r="Y112" s="95"/>
      <c r="Z112" s="95"/>
      <c r="AA112" s="110"/>
      <c r="AB112" s="49"/>
      <c r="AC112" s="95"/>
      <c r="AF112" s="95"/>
      <c r="AG112" s="49"/>
    </row>
  </sheetData>
  <mergeCells count="5">
    <mergeCell ref="B2:C2"/>
    <mergeCell ref="AH2:AK2"/>
    <mergeCell ref="B18:C18"/>
    <mergeCell ref="B19:C19"/>
    <mergeCell ref="L31:N31"/>
  </mergeCells>
  <pageMargins left="0.25" right="0.25" top="0.75" bottom="0.75" header="0.3" footer="0.3"/>
  <pageSetup scale="70" orientation="landscape" errors="blank" r:id="rId1"/>
  <headerFooter>
    <oddHeader>&amp;C&amp;"-,Bold"&amp;KFF0000TEXT IN RED BOX CONFIDENTIAL PER WAC 480-07-160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D5045-7F81-46B8-8047-184981729F27}">
  <sheetPr>
    <tabColor rgb="FF00B050"/>
  </sheetPr>
  <dimension ref="A1:AZ284"/>
  <sheetViews>
    <sheetView tabSelected="1" topLeftCell="AN1" zoomScale="115" zoomScaleNormal="115" zoomScaleSheetLayoutView="100" workbookViewId="0">
      <pane ySplit="5" topLeftCell="A43" activePane="bottomLeft" state="frozen"/>
      <selection activeCell="L12" sqref="L12"/>
      <selection pane="bottomLeft" activeCell="AY49" sqref="AY49:AZ49"/>
    </sheetView>
  </sheetViews>
  <sheetFormatPr defaultRowHeight="15" outlineLevelCol="1"/>
  <cols>
    <col min="1" max="1" width="47.7109375" style="256" hidden="1" customWidth="1" outlineLevel="1"/>
    <col min="2" max="2" width="8.28515625" style="256" hidden="1" customWidth="1" outlineLevel="1"/>
    <col min="3" max="3" width="23.7109375" style="256" customWidth="1" collapsed="1"/>
    <col min="4" max="4" width="27.5703125" style="256" bestFit="1" customWidth="1"/>
    <col min="5" max="5" width="14.5703125" style="254" customWidth="1"/>
    <col min="6" max="7" width="14.7109375" style="254" customWidth="1"/>
    <col min="8" max="8" width="11" style="255" customWidth="1"/>
    <col min="9" max="9" width="10.42578125" style="256" customWidth="1"/>
    <col min="10" max="20" width="15.28515625" style="256" hidden="1" customWidth="1" outlineLevel="1"/>
    <col min="21" max="21" width="15.28515625" style="256" hidden="1" customWidth="1" outlineLevel="1" collapsed="1"/>
    <col min="22" max="22" width="15.28515625" style="256" bestFit="1" customWidth="1" collapsed="1"/>
    <col min="23" max="23" width="6" style="256" bestFit="1" customWidth="1"/>
    <col min="24" max="34" width="13.28515625" style="256" hidden="1" customWidth="1" outlineLevel="1"/>
    <col min="35" max="35" width="13.28515625" style="256" hidden="1" customWidth="1" outlineLevel="1" collapsed="1"/>
    <col min="36" max="36" width="21.42578125" style="256" bestFit="1" customWidth="1" collapsed="1"/>
    <col min="37" max="37" width="8.7109375" style="256" bestFit="1" customWidth="1"/>
    <col min="38" max="38" width="10.28515625" style="256" bestFit="1" customWidth="1"/>
    <col min="39" max="39" width="9.7109375" style="256" bestFit="1" customWidth="1"/>
    <col min="40" max="40" width="15.28515625" style="256" bestFit="1" customWidth="1"/>
    <col min="41" max="41" width="9.5703125" style="256" bestFit="1" customWidth="1"/>
    <col min="42" max="42" width="7.28515625" style="256" bestFit="1" customWidth="1"/>
    <col min="43" max="43" width="28.28515625" style="256" bestFit="1" customWidth="1"/>
    <col min="44" max="44" width="16.7109375" style="256" bestFit="1" customWidth="1"/>
    <col min="45" max="49" width="13" style="256" customWidth="1"/>
    <col min="50" max="50" width="10.7109375" bestFit="1" customWidth="1"/>
    <col min="51" max="51" width="12.140625" style="354" customWidth="1"/>
    <col min="52" max="52" width="15.42578125" style="354" customWidth="1"/>
  </cols>
  <sheetData>
    <row r="1" spans="1:52">
      <c r="A1" s="253" t="s">
        <v>281</v>
      </c>
      <c r="B1" s="253"/>
      <c r="C1" s="253" t="s">
        <v>282</v>
      </c>
      <c r="D1" s="254"/>
      <c r="AR1" s="257" t="s">
        <v>283</v>
      </c>
      <c r="AS1" s="253" t="s">
        <v>284</v>
      </c>
      <c r="AT1" s="258">
        <f ca="1">'LG BRG - MSW'!$K$22</f>
        <v>1.1043234508346655E-2</v>
      </c>
      <c r="AU1" s="259">
        <v>3.9915000000000003E-3</v>
      </c>
      <c r="AV1" s="259">
        <f ca="1">+AT1+AU1</f>
        <v>1.5034734508346656E-2</v>
      </c>
      <c r="AW1" s="260">
        <f ca="1">AT221</f>
        <v>-3946.3199117551412</v>
      </c>
      <c r="AY1" s="356" t="s">
        <v>560</v>
      </c>
      <c r="AZ1" s="356"/>
    </row>
    <row r="2" spans="1:52">
      <c r="C2" s="253" t="s">
        <v>285</v>
      </c>
      <c r="D2" s="254"/>
      <c r="X2" s="256">
        <v>0</v>
      </c>
      <c r="Y2" s="256">
        <v>0</v>
      </c>
      <c r="Z2" s="256">
        <v>0</v>
      </c>
      <c r="AA2" s="256">
        <v>0</v>
      </c>
      <c r="AB2" s="256">
        <v>0</v>
      </c>
      <c r="AC2" s="256">
        <v>0</v>
      </c>
      <c r="AD2" s="256">
        <v>0</v>
      </c>
      <c r="AE2" s="256">
        <v>0</v>
      </c>
      <c r="AF2" s="256">
        <v>0</v>
      </c>
      <c r="AG2" s="256">
        <v>0</v>
      </c>
      <c r="AH2" s="256">
        <v>0</v>
      </c>
      <c r="AS2" s="253" t="s">
        <v>286</v>
      </c>
      <c r="AT2" s="258">
        <f ca="1">'LG BRG - Recycle'!$K$22</f>
        <v>0.27537661309084926</v>
      </c>
      <c r="AU2" s="261">
        <v>0</v>
      </c>
      <c r="AV2" s="259">
        <f ca="1">+AT2+AU2</f>
        <v>0.27537661309084926</v>
      </c>
      <c r="AW2" s="260">
        <f ca="1">AT222</f>
        <v>-682.53402282402385</v>
      </c>
      <c r="AY2" s="356" t="s">
        <v>284</v>
      </c>
      <c r="AZ2" s="357">
        <f ca="1">+'Rate Sheet'!K4</f>
        <v>3.8723152550250921E-3</v>
      </c>
    </row>
    <row r="3" spans="1:52">
      <c r="C3" s="253" t="s">
        <v>553</v>
      </c>
      <c r="M3" s="262"/>
      <c r="AR3" s="263"/>
      <c r="AW3" s="254"/>
      <c r="AY3" s="356" t="s">
        <v>133</v>
      </c>
      <c r="AZ3" s="357">
        <f ca="1">+'Rate Sheet'!K5</f>
        <v>3.9117306075242102E-3</v>
      </c>
    </row>
    <row r="4" spans="1:52">
      <c r="D4" s="264"/>
      <c r="E4" s="265" t="s">
        <v>287</v>
      </c>
      <c r="F4" s="265" t="s">
        <v>287</v>
      </c>
      <c r="G4" s="265" t="s">
        <v>287</v>
      </c>
      <c r="H4" s="266" t="s">
        <v>136</v>
      </c>
      <c r="J4" s="267">
        <v>44986</v>
      </c>
      <c r="K4" s="267">
        <f>EDATE(J4,1)</f>
        <v>45017</v>
      </c>
      <c r="L4" s="267">
        <f t="shared" ref="L4:U4" si="0">EDATE(K4,1)</f>
        <v>45047</v>
      </c>
      <c r="M4" s="267">
        <f t="shared" si="0"/>
        <v>45078</v>
      </c>
      <c r="N4" s="267">
        <f t="shared" si="0"/>
        <v>45108</v>
      </c>
      <c r="O4" s="267">
        <f t="shared" si="0"/>
        <v>45139</v>
      </c>
      <c r="P4" s="267">
        <f t="shared" si="0"/>
        <v>45170</v>
      </c>
      <c r="Q4" s="267">
        <f t="shared" si="0"/>
        <v>45200</v>
      </c>
      <c r="R4" s="267">
        <f t="shared" si="0"/>
        <v>45231</v>
      </c>
      <c r="S4" s="267">
        <f t="shared" si="0"/>
        <v>45261</v>
      </c>
      <c r="T4" s="267">
        <f t="shared" si="0"/>
        <v>45292</v>
      </c>
      <c r="U4" s="267">
        <f t="shared" si="0"/>
        <v>45323</v>
      </c>
      <c r="V4" s="264" t="s">
        <v>93</v>
      </c>
      <c r="X4" s="267">
        <f>J4</f>
        <v>44986</v>
      </c>
      <c r="Y4" s="267">
        <f t="shared" ref="Y4:AI4" si="1">K4</f>
        <v>45017</v>
      </c>
      <c r="Z4" s="267">
        <f t="shared" si="1"/>
        <v>45047</v>
      </c>
      <c r="AA4" s="267">
        <f t="shared" si="1"/>
        <v>45078</v>
      </c>
      <c r="AB4" s="267">
        <f t="shared" si="1"/>
        <v>45108</v>
      </c>
      <c r="AC4" s="267">
        <f t="shared" si="1"/>
        <v>45139</v>
      </c>
      <c r="AD4" s="267">
        <f t="shared" si="1"/>
        <v>45170</v>
      </c>
      <c r="AE4" s="267">
        <f t="shared" si="1"/>
        <v>45200</v>
      </c>
      <c r="AF4" s="267">
        <f t="shared" si="1"/>
        <v>45231</v>
      </c>
      <c r="AG4" s="267">
        <f t="shared" si="1"/>
        <v>45261</v>
      </c>
      <c r="AH4" s="267">
        <f t="shared" si="1"/>
        <v>45292</v>
      </c>
      <c r="AI4" s="267">
        <f t="shared" si="1"/>
        <v>45323</v>
      </c>
      <c r="AL4" s="367" t="s">
        <v>288</v>
      </c>
      <c r="AM4" s="367"/>
      <c r="AN4" s="367"/>
      <c r="AO4" s="367"/>
      <c r="AP4" s="367"/>
      <c r="AQ4" s="265"/>
      <c r="AW4" s="254"/>
    </row>
    <row r="5" spans="1:52" ht="45">
      <c r="C5" s="265" t="s">
        <v>289</v>
      </c>
      <c r="D5" s="264" t="s">
        <v>290</v>
      </c>
      <c r="E5" s="268">
        <v>44593</v>
      </c>
      <c r="F5" s="268">
        <v>45078</v>
      </c>
      <c r="G5" s="268">
        <v>45292</v>
      </c>
      <c r="H5" s="266" t="s">
        <v>291</v>
      </c>
      <c r="I5" s="264"/>
      <c r="J5" s="264" t="s">
        <v>11</v>
      </c>
      <c r="K5" s="264" t="s">
        <v>11</v>
      </c>
      <c r="L5" s="264" t="s">
        <v>11</v>
      </c>
      <c r="M5" s="264" t="s">
        <v>11</v>
      </c>
      <c r="N5" s="264" t="s">
        <v>11</v>
      </c>
      <c r="O5" s="264" t="s">
        <v>11</v>
      </c>
      <c r="P5" s="264" t="s">
        <v>11</v>
      </c>
      <c r="Q5" s="264" t="s">
        <v>11</v>
      </c>
      <c r="R5" s="264" t="s">
        <v>11</v>
      </c>
      <c r="S5" s="264" t="s">
        <v>11</v>
      </c>
      <c r="T5" s="264" t="s">
        <v>11</v>
      </c>
      <c r="U5" s="264" t="s">
        <v>11</v>
      </c>
      <c r="V5" s="264" t="s">
        <v>11</v>
      </c>
      <c r="X5" s="264" t="s">
        <v>292</v>
      </c>
      <c r="Y5" s="264" t="s">
        <v>292</v>
      </c>
      <c r="Z5" s="264" t="s">
        <v>292</v>
      </c>
      <c r="AA5" s="264" t="s">
        <v>292</v>
      </c>
      <c r="AB5" s="264" t="s">
        <v>292</v>
      </c>
      <c r="AC5" s="264" t="s">
        <v>292</v>
      </c>
      <c r="AD5" s="264" t="s">
        <v>292</v>
      </c>
      <c r="AE5" s="264" t="s">
        <v>292</v>
      </c>
      <c r="AF5" s="264" t="s">
        <v>292</v>
      </c>
      <c r="AG5" s="264" t="s">
        <v>292</v>
      </c>
      <c r="AH5" s="264" t="s">
        <v>292</v>
      </c>
      <c r="AI5" s="264" t="s">
        <v>292</v>
      </c>
      <c r="AJ5" s="264" t="s">
        <v>293</v>
      </c>
      <c r="AL5" s="265" t="s">
        <v>294</v>
      </c>
      <c r="AM5" s="265" t="s">
        <v>295</v>
      </c>
      <c r="AN5" s="265" t="s">
        <v>296</v>
      </c>
      <c r="AO5" s="265" t="s">
        <v>297</v>
      </c>
      <c r="AP5" s="265" t="s">
        <v>298</v>
      </c>
      <c r="AQ5" s="265"/>
      <c r="AR5" s="264" t="s">
        <v>299</v>
      </c>
      <c r="AS5" s="264" t="s">
        <v>300</v>
      </c>
      <c r="AT5" s="269" t="s">
        <v>301</v>
      </c>
      <c r="AU5" s="264" t="s">
        <v>302</v>
      </c>
      <c r="AV5" s="264" t="s">
        <v>303</v>
      </c>
      <c r="AW5"/>
      <c r="AY5" s="355" t="s">
        <v>561</v>
      </c>
      <c r="AZ5" s="355" t="s">
        <v>302</v>
      </c>
    </row>
    <row r="6" spans="1:52">
      <c r="AT6" s="270"/>
      <c r="AW6"/>
    </row>
    <row r="7" spans="1:52">
      <c r="B7" s="256">
        <f>COUNTIF(C:C,C7)</f>
        <v>1</v>
      </c>
      <c r="C7" s="271" t="s">
        <v>304</v>
      </c>
      <c r="D7" s="271" t="s">
        <v>304</v>
      </c>
      <c r="I7" s="272"/>
      <c r="J7" s="272"/>
      <c r="AT7" s="270"/>
      <c r="AW7"/>
    </row>
    <row r="8" spans="1:52">
      <c r="C8" s="271"/>
      <c r="D8" s="273"/>
      <c r="I8" s="272"/>
      <c r="J8" s="272"/>
      <c r="X8" s="274"/>
      <c r="Y8" s="274"/>
      <c r="Z8" s="274"/>
      <c r="AA8" s="274"/>
      <c r="AB8" s="274"/>
      <c r="AC8" s="274"/>
      <c r="AD8" s="274"/>
      <c r="AE8" s="274"/>
      <c r="AF8" s="274"/>
      <c r="AG8" s="274"/>
      <c r="AR8"/>
      <c r="AS8"/>
      <c r="AT8" s="275"/>
      <c r="AU8"/>
      <c r="AV8"/>
      <c r="AW8"/>
    </row>
    <row r="9" spans="1:52">
      <c r="A9" s="253" t="s">
        <v>305</v>
      </c>
      <c r="B9" s="253" t="s">
        <v>306</v>
      </c>
      <c r="C9" s="276" t="s">
        <v>307</v>
      </c>
      <c r="D9" s="276" t="s">
        <v>307</v>
      </c>
      <c r="I9" s="272"/>
      <c r="J9" s="272"/>
      <c r="AR9" s="265"/>
      <c r="AS9" s="265"/>
      <c r="AT9" s="277"/>
      <c r="AU9" s="265"/>
      <c r="AV9" s="265"/>
      <c r="AW9"/>
    </row>
    <row r="10" spans="1:52">
      <c r="A10" s="256" t="str">
        <f>$A$1&amp;C10</f>
        <v>MASON CO-REGULATED35RE1</v>
      </c>
      <c r="B10" s="256">
        <f t="shared" ref="B10:B47" si="2">COUNTIF(C:C,C10)</f>
        <v>1</v>
      </c>
      <c r="C10" s="278" t="s">
        <v>308</v>
      </c>
      <c r="D10" s="278" t="s">
        <v>309</v>
      </c>
      <c r="E10" s="278">
        <v>12.14</v>
      </c>
      <c r="F10" s="279">
        <v>12.11</v>
      </c>
      <c r="G10" s="280">
        <v>12.32</v>
      </c>
      <c r="H10" s="255">
        <v>21</v>
      </c>
      <c r="I10" s="281"/>
      <c r="J10" s="282">
        <v>25436.39</v>
      </c>
      <c r="K10" s="282">
        <v>25427.070000000003</v>
      </c>
      <c r="L10" s="282">
        <v>26132.41</v>
      </c>
      <c r="M10" s="282">
        <v>26101.305</v>
      </c>
      <c r="N10" s="282">
        <v>26375.295000000002</v>
      </c>
      <c r="O10" s="282">
        <v>25940.650000000005</v>
      </c>
      <c r="P10" s="282">
        <v>26113.055</v>
      </c>
      <c r="Q10" s="282">
        <v>25931.050000000003</v>
      </c>
      <c r="R10" s="282">
        <v>25438.025000000001</v>
      </c>
      <c r="S10" s="282">
        <v>25390.11</v>
      </c>
      <c r="T10" s="282">
        <v>25842.109999999997</v>
      </c>
      <c r="U10" s="282">
        <v>25581.689999999995</v>
      </c>
      <c r="V10" s="282">
        <f t="shared" ref="V10:V47" si="3">SUM(J10:U10)</f>
        <v>309709.16000000003</v>
      </c>
      <c r="W10" s="283"/>
      <c r="X10" s="283">
        <f>IFERROR(J10/$E10,0)</f>
        <v>2095.2545304777595</v>
      </c>
      <c r="Y10" s="283">
        <f t="shared" ref="Y10:Z47" si="4">IFERROR(K10/$E10,0)</f>
        <v>2094.4868204283362</v>
      </c>
      <c r="Z10" s="283">
        <f t="shared" si="4"/>
        <v>2152.5873146622735</v>
      </c>
      <c r="AA10" s="283">
        <f t="shared" ref="AA10:AG46" si="5">IFERROR(M10/$F10,0)</f>
        <v>2155.3513625103224</v>
      </c>
      <c r="AB10" s="283">
        <f t="shared" si="5"/>
        <v>2177.9764657308015</v>
      </c>
      <c r="AC10" s="283">
        <f t="shared" si="5"/>
        <v>2142.0850536746498</v>
      </c>
      <c r="AD10" s="283">
        <f t="shared" si="5"/>
        <v>2156.3216350123867</v>
      </c>
      <c r="AE10" s="283">
        <f t="shared" si="5"/>
        <v>2141.2923203963669</v>
      </c>
      <c r="AF10" s="283">
        <f t="shared" si="5"/>
        <v>2100.58009909166</v>
      </c>
      <c r="AG10" s="283">
        <f t="shared" si="5"/>
        <v>2096.6234516928162</v>
      </c>
      <c r="AH10" s="283">
        <f t="shared" ref="AH10:AI47" si="6">IFERROR(T10/$G10,0)</f>
        <v>2097.5738636363635</v>
      </c>
      <c r="AI10" s="283">
        <f t="shared" si="6"/>
        <v>2076.4358766233763</v>
      </c>
      <c r="AJ10" s="274">
        <f>AVERAGE(X10:AI10)</f>
        <v>2123.8807328280927</v>
      </c>
      <c r="AL10" s="256">
        <v>35</v>
      </c>
      <c r="AO10" s="256">
        <v>1</v>
      </c>
      <c r="AP10" s="283">
        <f t="shared" ref="AP10:AP22" si="7">+AJ10*AO10</f>
        <v>2123.8807328280927</v>
      </c>
      <c r="AQ10" s="283"/>
      <c r="AR10" s="284">
        <f>V10</f>
        <v>309709.16000000003</v>
      </c>
      <c r="AS10" s="285">
        <f>G10*12*AJ10</f>
        <v>313994.52754130523</v>
      </c>
      <c r="AT10" s="286">
        <f t="shared" ref="AT10:AT47" ca="1" si="8">+IFERROR($G10*(1+$AV$1),0)</f>
        <v>12.50522792914283</v>
      </c>
      <c r="AU10" s="287">
        <f ca="1">AT10*12*AJ10</f>
        <v>318715.35189996246</v>
      </c>
      <c r="AV10" s="285">
        <f ca="1">AU10-AS10</f>
        <v>4720.8243586572353</v>
      </c>
      <c r="AW10" s="288">
        <f ca="1">AV10/AS10</f>
        <v>1.5034734508346557E-2</v>
      </c>
      <c r="AY10" s="358">
        <f ca="1">+AZ$2*AU10</f>
        <v>1234.1663191729151</v>
      </c>
      <c r="AZ10" s="358">
        <f ca="1">+AU10+AY10</f>
        <v>319949.51821913535</v>
      </c>
    </row>
    <row r="11" spans="1:52">
      <c r="A11" s="256" t="str">
        <f t="shared" ref="A11:A47" si="9">$A$1&amp;C11</f>
        <v>MASON CO-REGULATED48RE1</v>
      </c>
      <c r="B11" s="256">
        <f t="shared" si="2"/>
        <v>1</v>
      </c>
      <c r="C11" s="278" t="s">
        <v>310</v>
      </c>
      <c r="D11" s="278" t="s">
        <v>311</v>
      </c>
      <c r="E11" s="278">
        <v>16.02</v>
      </c>
      <c r="F11" s="279">
        <v>15.98</v>
      </c>
      <c r="G11" s="280">
        <v>16.25</v>
      </c>
      <c r="H11" s="255">
        <v>21</v>
      </c>
      <c r="I11" s="281"/>
      <c r="J11" s="282">
        <v>13894</v>
      </c>
      <c r="K11" s="282">
        <v>13972.57</v>
      </c>
      <c r="L11" s="282">
        <v>14941.09</v>
      </c>
      <c r="M11" s="282">
        <v>14917.414999999999</v>
      </c>
      <c r="N11" s="282">
        <v>15610.174999999999</v>
      </c>
      <c r="O11" s="282">
        <v>15426.244999999999</v>
      </c>
      <c r="P11" s="282">
        <v>15665.254999999999</v>
      </c>
      <c r="Q11" s="282">
        <v>15619.710000000001</v>
      </c>
      <c r="R11" s="282">
        <v>15600.49</v>
      </c>
      <c r="S11" s="282">
        <v>15566.14</v>
      </c>
      <c r="T11" s="282">
        <v>16320.09</v>
      </c>
      <c r="U11" s="282">
        <v>16191.375</v>
      </c>
      <c r="V11" s="282">
        <f t="shared" si="3"/>
        <v>183724.55500000002</v>
      </c>
      <c r="W11" s="283"/>
      <c r="X11" s="283">
        <f t="shared" ref="X11:X47" si="10">IFERROR(J11/$E11,0)</f>
        <v>867.29088639201007</v>
      </c>
      <c r="Y11" s="283">
        <f t="shared" si="4"/>
        <v>872.19538077403251</v>
      </c>
      <c r="Z11" s="283">
        <f t="shared" si="4"/>
        <v>932.6523096129838</v>
      </c>
      <c r="AA11" s="283">
        <f t="shared" si="5"/>
        <v>933.50531914893611</v>
      </c>
      <c r="AB11" s="283">
        <f t="shared" si="5"/>
        <v>976.85700876095109</v>
      </c>
      <c r="AC11" s="283">
        <f t="shared" si="5"/>
        <v>965.34699624530651</v>
      </c>
      <c r="AD11" s="283">
        <f t="shared" si="5"/>
        <v>980.30381727158942</v>
      </c>
      <c r="AE11" s="283">
        <f t="shared" si="5"/>
        <v>977.45369211514401</v>
      </c>
      <c r="AF11" s="283">
        <f t="shared" si="5"/>
        <v>976.25093867334169</v>
      </c>
      <c r="AG11" s="283">
        <f t="shared" si="5"/>
        <v>974.10137672090104</v>
      </c>
      <c r="AH11" s="283">
        <f t="shared" si="6"/>
        <v>1004.3132307692308</v>
      </c>
      <c r="AI11" s="283">
        <f t="shared" si="6"/>
        <v>996.39230769230767</v>
      </c>
      <c r="AJ11" s="274">
        <f t="shared" ref="AJ11:AJ47" si="11">AVERAGE(X11:AI11)</f>
        <v>954.72193868139448</v>
      </c>
      <c r="AL11" s="256">
        <v>48</v>
      </c>
      <c r="AO11" s="256">
        <v>1</v>
      </c>
      <c r="AP11" s="283">
        <f t="shared" si="7"/>
        <v>954.72193868139448</v>
      </c>
      <c r="AQ11" s="283"/>
      <c r="AR11" s="284">
        <f t="shared" ref="AR11:AR47" si="12">V11</f>
        <v>183724.55500000002</v>
      </c>
      <c r="AS11" s="285">
        <f t="shared" ref="AS11:AS47" si="13">G11*12*AJ11</f>
        <v>186170.77804287191</v>
      </c>
      <c r="AT11" s="286">
        <f t="shared" ca="1" si="8"/>
        <v>16.494314435760632</v>
      </c>
      <c r="AU11" s="287">
        <f t="shared" ref="AU11:AU47" ca="1" si="14">AT11*12*AJ11</f>
        <v>188969.80626395883</v>
      </c>
      <c r="AV11" s="285">
        <f t="shared" ref="AV11:AV47" ca="1" si="15">AU11-AS11</f>
        <v>2799.0282210869191</v>
      </c>
      <c r="AW11"/>
      <c r="AY11" s="358">
        <f t="shared" ref="AY11:AY47" ca="1" si="16">+AZ$2*AU11</f>
        <v>731.75066353506395</v>
      </c>
      <c r="AZ11" s="358">
        <f t="shared" ref="AZ11:AZ47" ca="1" si="17">+AU11+AY11</f>
        <v>189701.55692749389</v>
      </c>
    </row>
    <row r="12" spans="1:52">
      <c r="A12" s="256" t="str">
        <f t="shared" si="9"/>
        <v>MASON CO-REGULATED64RE1</v>
      </c>
      <c r="B12" s="256">
        <f t="shared" si="2"/>
        <v>1</v>
      </c>
      <c r="C12" s="289" t="s">
        <v>312</v>
      </c>
      <c r="D12" s="278" t="s">
        <v>313</v>
      </c>
      <c r="E12" s="278">
        <v>19.010000000000002</v>
      </c>
      <c r="F12" s="279">
        <v>18.96</v>
      </c>
      <c r="G12" s="280">
        <v>19.25</v>
      </c>
      <c r="H12" s="255">
        <v>21</v>
      </c>
      <c r="I12" s="281"/>
      <c r="J12" s="282">
        <v>20828.144999999997</v>
      </c>
      <c r="K12" s="282">
        <v>20775.240000000002</v>
      </c>
      <c r="L12" s="282">
        <v>21196.154999999999</v>
      </c>
      <c r="M12" s="282">
        <v>21464.114999999998</v>
      </c>
      <c r="N12" s="282">
        <v>22070.604999999996</v>
      </c>
      <c r="O12" s="282">
        <v>21739.41</v>
      </c>
      <c r="P12" s="282">
        <v>21855.16</v>
      </c>
      <c r="Q12" s="282">
        <v>21890.255000000001</v>
      </c>
      <c r="R12" s="282">
        <v>21735.74</v>
      </c>
      <c r="S12" s="282">
        <v>21793.8</v>
      </c>
      <c r="T12" s="282">
        <v>22407.379999999997</v>
      </c>
      <c r="U12" s="282">
        <v>22313.69</v>
      </c>
      <c r="V12" s="282">
        <f t="shared" si="3"/>
        <v>260069.69499999998</v>
      </c>
      <c r="W12" s="283"/>
      <c r="X12" s="283">
        <f t="shared" si="10"/>
        <v>1095.6415044713306</v>
      </c>
      <c r="Y12" s="283">
        <f t="shared" si="4"/>
        <v>1092.8584955286692</v>
      </c>
      <c r="Z12" s="283">
        <f t="shared" si="4"/>
        <v>1115.0002630194633</v>
      </c>
      <c r="AA12" s="283">
        <f t="shared" si="5"/>
        <v>1132.0735759493668</v>
      </c>
      <c r="AB12" s="283">
        <f t="shared" si="5"/>
        <v>1164.061445147679</v>
      </c>
      <c r="AC12" s="283">
        <f t="shared" si="5"/>
        <v>1146.5933544303796</v>
      </c>
      <c r="AD12" s="283">
        <f t="shared" si="5"/>
        <v>1152.6983122362869</v>
      </c>
      <c r="AE12" s="283">
        <f t="shared" si="5"/>
        <v>1154.5493143459917</v>
      </c>
      <c r="AF12" s="283">
        <f t="shared" si="5"/>
        <v>1146.3997890295359</v>
      </c>
      <c r="AG12" s="283">
        <f t="shared" si="5"/>
        <v>1149.4620253164555</v>
      </c>
      <c r="AH12" s="283">
        <f t="shared" si="6"/>
        <v>1164.01974025974</v>
      </c>
      <c r="AI12" s="283">
        <f t="shared" si="6"/>
        <v>1159.1527272727271</v>
      </c>
      <c r="AJ12" s="274">
        <f t="shared" si="11"/>
        <v>1139.3758789173023</v>
      </c>
      <c r="AL12" s="256">
        <v>64</v>
      </c>
      <c r="AO12" s="256">
        <v>1</v>
      </c>
      <c r="AP12" s="283">
        <f t="shared" si="7"/>
        <v>1139.3758789173023</v>
      </c>
      <c r="AQ12" s="283"/>
      <c r="AR12" s="284">
        <f t="shared" si="12"/>
        <v>260069.69499999998</v>
      </c>
      <c r="AS12" s="285">
        <f t="shared" si="13"/>
        <v>263195.82802989683</v>
      </c>
      <c r="AT12" s="286">
        <f t="shared" ca="1" si="8"/>
        <v>19.539418639285671</v>
      </c>
      <c r="AU12" s="287">
        <f t="shared" ca="1" si="14"/>
        <v>267152.90742803074</v>
      </c>
      <c r="AV12" s="285">
        <f t="shared" ca="1" si="15"/>
        <v>3957.0793981339084</v>
      </c>
      <c r="AW12"/>
      <c r="AY12" s="358">
        <f t="shared" ca="1" si="16"/>
        <v>1034.5002788578697</v>
      </c>
      <c r="AZ12" s="358">
        <f t="shared" ca="1" si="17"/>
        <v>268187.40770688863</v>
      </c>
    </row>
    <row r="13" spans="1:52">
      <c r="A13" s="256" t="str">
        <f t="shared" si="9"/>
        <v>MASON CO-REGULATED96RE1</v>
      </c>
      <c r="B13" s="256">
        <f t="shared" si="2"/>
        <v>1</v>
      </c>
      <c r="C13" s="289" t="s">
        <v>314</v>
      </c>
      <c r="D13" s="278" t="s">
        <v>315</v>
      </c>
      <c r="E13" s="278">
        <v>24.05</v>
      </c>
      <c r="F13" s="279">
        <v>23.99</v>
      </c>
      <c r="G13" s="280">
        <v>24.42</v>
      </c>
      <c r="H13" s="255">
        <v>21</v>
      </c>
      <c r="I13" s="281"/>
      <c r="J13" s="282">
        <v>17878.875</v>
      </c>
      <c r="K13" s="282">
        <v>17908.715</v>
      </c>
      <c r="L13" s="282">
        <v>18757.75</v>
      </c>
      <c r="M13" s="282">
        <v>18844.750000000004</v>
      </c>
      <c r="N13" s="282">
        <v>20007.09</v>
      </c>
      <c r="O13" s="282">
        <v>19659.059999999998</v>
      </c>
      <c r="P13" s="282">
        <v>20059.82</v>
      </c>
      <c r="Q13" s="282">
        <v>20011.89</v>
      </c>
      <c r="R13" s="282">
        <v>20242.185000000001</v>
      </c>
      <c r="S13" s="282">
        <v>20299.800000000003</v>
      </c>
      <c r="T13" s="282">
        <v>20967.98</v>
      </c>
      <c r="U13" s="282">
        <v>20798.099999999999</v>
      </c>
      <c r="V13" s="282">
        <f t="shared" si="3"/>
        <v>235436.01500000001</v>
      </c>
      <c r="W13" s="283"/>
      <c r="X13" s="283">
        <f t="shared" si="10"/>
        <v>743.40436590436593</v>
      </c>
      <c r="Y13" s="283">
        <f t="shared" si="4"/>
        <v>744.64511434511428</v>
      </c>
      <c r="Z13" s="283">
        <f t="shared" si="4"/>
        <v>779.94802494802491</v>
      </c>
      <c r="AA13" s="283">
        <f t="shared" si="5"/>
        <v>785.52521884118403</v>
      </c>
      <c r="AB13" s="283">
        <f t="shared" si="5"/>
        <v>833.97624010004176</v>
      </c>
      <c r="AC13" s="283">
        <f t="shared" si="5"/>
        <v>819.46894539391405</v>
      </c>
      <c r="AD13" s="283">
        <f t="shared" si="5"/>
        <v>836.17423926636104</v>
      </c>
      <c r="AE13" s="283">
        <f t="shared" si="5"/>
        <v>834.17632346811172</v>
      </c>
      <c r="AF13" s="283">
        <f t="shared" si="5"/>
        <v>843.7759483117967</v>
      </c>
      <c r="AG13" s="283">
        <f t="shared" si="5"/>
        <v>846.17757398916228</v>
      </c>
      <c r="AH13" s="283">
        <f t="shared" si="6"/>
        <v>858.63963963963954</v>
      </c>
      <c r="AI13" s="283">
        <f t="shared" si="6"/>
        <v>851.68304668304654</v>
      </c>
      <c r="AJ13" s="274">
        <f t="shared" si="11"/>
        <v>814.79955674089695</v>
      </c>
      <c r="AL13" s="256">
        <v>96</v>
      </c>
      <c r="AO13" s="256">
        <v>1</v>
      </c>
      <c r="AP13" s="283">
        <f t="shared" si="7"/>
        <v>814.79955674089695</v>
      </c>
      <c r="AQ13" s="283"/>
      <c r="AR13" s="284">
        <f t="shared" si="12"/>
        <v>235436.01500000001</v>
      </c>
      <c r="AS13" s="285">
        <f t="shared" si="13"/>
        <v>238768.86210735247</v>
      </c>
      <c r="AT13" s="286">
        <f t="shared" ca="1" si="8"/>
        <v>24.787148216693826</v>
      </c>
      <c r="AU13" s="287">
        <f t="shared" ca="1" si="14"/>
        <v>242358.68855799653</v>
      </c>
      <c r="AV13" s="285">
        <f t="shared" ca="1" si="15"/>
        <v>3589.826450644061</v>
      </c>
      <c r="AW13"/>
      <c r="AY13" s="358">
        <f t="shared" ca="1" si="16"/>
        <v>938.48924689100522</v>
      </c>
      <c r="AZ13" s="358">
        <f t="shared" ca="1" si="17"/>
        <v>243297.17780488753</v>
      </c>
    </row>
    <row r="14" spans="1:52">
      <c r="A14" s="256" t="str">
        <f t="shared" si="9"/>
        <v>MASON CO-REGULATED20RW1</v>
      </c>
      <c r="B14" s="256">
        <f t="shared" si="2"/>
        <v>1</v>
      </c>
      <c r="C14" s="289" t="s">
        <v>316</v>
      </c>
      <c r="D14" s="278" t="s">
        <v>317</v>
      </c>
      <c r="E14" s="278">
        <v>14.82</v>
      </c>
      <c r="F14" s="279">
        <v>14.78</v>
      </c>
      <c r="G14" s="280">
        <v>15</v>
      </c>
      <c r="H14" s="255">
        <v>21</v>
      </c>
      <c r="I14" s="281"/>
      <c r="J14" s="282">
        <v>103.74</v>
      </c>
      <c r="K14" s="282">
        <v>103.74</v>
      </c>
      <c r="L14" s="282">
        <v>103.6</v>
      </c>
      <c r="M14" s="282">
        <v>103.6</v>
      </c>
      <c r="N14" s="282">
        <v>103.46</v>
      </c>
      <c r="O14" s="282">
        <v>103.46</v>
      </c>
      <c r="P14" s="282">
        <v>103.46</v>
      </c>
      <c r="Q14" s="282">
        <v>103.46</v>
      </c>
      <c r="R14" s="282">
        <v>103.46</v>
      </c>
      <c r="S14" s="282">
        <v>103.46</v>
      </c>
      <c r="T14" s="282">
        <v>96.665000000000006</v>
      </c>
      <c r="U14" s="282">
        <v>98.330000000000013</v>
      </c>
      <c r="V14" s="282">
        <f t="shared" si="3"/>
        <v>1230.4349999999999</v>
      </c>
      <c r="W14" s="283"/>
      <c r="X14" s="283">
        <f t="shared" si="10"/>
        <v>6.9999999999999991</v>
      </c>
      <c r="Y14" s="283">
        <f t="shared" si="4"/>
        <v>6.9999999999999991</v>
      </c>
      <c r="Z14" s="283">
        <f t="shared" si="4"/>
        <v>6.9905533063427798</v>
      </c>
      <c r="AA14" s="283">
        <f t="shared" si="5"/>
        <v>7.009472259810555</v>
      </c>
      <c r="AB14" s="283">
        <f t="shared" si="5"/>
        <v>7</v>
      </c>
      <c r="AC14" s="283">
        <f t="shared" si="5"/>
        <v>7</v>
      </c>
      <c r="AD14" s="283">
        <f t="shared" si="5"/>
        <v>7</v>
      </c>
      <c r="AE14" s="283">
        <f t="shared" si="5"/>
        <v>7</v>
      </c>
      <c r="AF14" s="283">
        <f t="shared" si="5"/>
        <v>7</v>
      </c>
      <c r="AG14" s="283">
        <f t="shared" si="5"/>
        <v>7</v>
      </c>
      <c r="AH14" s="283">
        <f t="shared" si="6"/>
        <v>6.4443333333333337</v>
      </c>
      <c r="AI14" s="283">
        <f t="shared" si="6"/>
        <v>6.5553333333333343</v>
      </c>
      <c r="AJ14" s="274">
        <f t="shared" si="11"/>
        <v>6.9166410194016672</v>
      </c>
      <c r="AM14" s="256">
        <v>20</v>
      </c>
      <c r="AO14" s="256">
        <v>1</v>
      </c>
      <c r="AP14" s="283">
        <f t="shared" si="7"/>
        <v>6.9166410194016672</v>
      </c>
      <c r="AQ14" s="283"/>
      <c r="AR14" s="284">
        <f t="shared" si="12"/>
        <v>1230.4349999999999</v>
      </c>
      <c r="AS14" s="285">
        <f t="shared" si="13"/>
        <v>1244.9953834923001</v>
      </c>
      <c r="AT14" s="286">
        <f t="shared" ca="1" si="8"/>
        <v>15.225521017625198</v>
      </c>
      <c r="AU14" s="287">
        <f t="shared" ca="1" si="14"/>
        <v>1263.7135585472238</v>
      </c>
      <c r="AV14" s="285">
        <f t="shared" ca="1" si="15"/>
        <v>18.718175054923677</v>
      </c>
      <c r="AW14"/>
      <c r="AY14" s="358">
        <f t="shared" ca="1" si="16"/>
        <v>4.8934972907444596</v>
      </c>
      <c r="AZ14" s="358">
        <f t="shared" ca="1" si="17"/>
        <v>1268.6070558379683</v>
      </c>
    </row>
    <row r="15" spans="1:52">
      <c r="A15" s="256" t="str">
        <f t="shared" si="9"/>
        <v>MASON CO-REGULATED35RW1</v>
      </c>
      <c r="B15" s="256">
        <f t="shared" si="2"/>
        <v>1</v>
      </c>
      <c r="C15" s="278" t="s">
        <v>318</v>
      </c>
      <c r="D15" s="278" t="s">
        <v>319</v>
      </c>
      <c r="E15" s="278">
        <v>20.64</v>
      </c>
      <c r="F15" s="279">
        <v>20.59</v>
      </c>
      <c r="G15" s="280">
        <v>21</v>
      </c>
      <c r="H15" s="255">
        <v>21</v>
      </c>
      <c r="I15" s="281"/>
      <c r="J15" s="282">
        <v>63998.014999999992</v>
      </c>
      <c r="K15" s="282">
        <v>64159.64</v>
      </c>
      <c r="L15" s="282">
        <v>67372.040000000008</v>
      </c>
      <c r="M15" s="282">
        <v>67144.024999999994</v>
      </c>
      <c r="N15" s="282">
        <v>69553.53</v>
      </c>
      <c r="O15" s="282">
        <v>68880</v>
      </c>
      <c r="P15" s="282">
        <v>67593.600000000006</v>
      </c>
      <c r="Q15" s="282">
        <v>66351.994999999995</v>
      </c>
      <c r="R15" s="282">
        <v>63068.855000000003</v>
      </c>
      <c r="S15" s="282">
        <v>63411.7</v>
      </c>
      <c r="T15" s="282">
        <v>63656.314999999995</v>
      </c>
      <c r="U15" s="282">
        <v>63044.279999999992</v>
      </c>
      <c r="V15" s="282">
        <f t="shared" si="3"/>
        <v>788233.99499999988</v>
      </c>
      <c r="W15" s="283"/>
      <c r="X15" s="283">
        <f t="shared" si="10"/>
        <v>3100.6790213178292</v>
      </c>
      <c r="Y15" s="283">
        <f t="shared" si="4"/>
        <v>3108.5096899224804</v>
      </c>
      <c r="Z15" s="283">
        <f t="shared" si="4"/>
        <v>3264.1492248062018</v>
      </c>
      <c r="AA15" s="283">
        <f t="shared" si="5"/>
        <v>3261.0016998542978</v>
      </c>
      <c r="AB15" s="283">
        <f t="shared" si="5"/>
        <v>3378.024769305488</v>
      </c>
      <c r="AC15" s="283">
        <f t="shared" si="5"/>
        <v>3345.3132588635258</v>
      </c>
      <c r="AD15" s="283">
        <f t="shared" si="5"/>
        <v>3282.8363283147164</v>
      </c>
      <c r="AE15" s="283">
        <f t="shared" si="5"/>
        <v>3222.5349684312773</v>
      </c>
      <c r="AF15" s="283">
        <f t="shared" si="5"/>
        <v>3063.0818358426422</v>
      </c>
      <c r="AG15" s="283">
        <f t="shared" si="5"/>
        <v>3079.7328800388536</v>
      </c>
      <c r="AH15" s="283">
        <f t="shared" si="6"/>
        <v>3031.2530952380948</v>
      </c>
      <c r="AI15" s="283">
        <f t="shared" si="6"/>
        <v>3002.1085714285709</v>
      </c>
      <c r="AJ15" s="274">
        <f t="shared" si="11"/>
        <v>3178.2687786136648</v>
      </c>
      <c r="AL15" s="256">
        <v>35</v>
      </c>
      <c r="AO15" s="256">
        <v>1</v>
      </c>
      <c r="AP15" s="283">
        <f t="shared" si="7"/>
        <v>3178.2687786136648</v>
      </c>
      <c r="AQ15" s="283"/>
      <c r="AR15" s="284">
        <f t="shared" si="12"/>
        <v>788233.99499999988</v>
      </c>
      <c r="AS15" s="285">
        <f t="shared" si="13"/>
        <v>800923.73221064359</v>
      </c>
      <c r="AT15" s="286">
        <f t="shared" ca="1" si="8"/>
        <v>21.315729424675279</v>
      </c>
      <c r="AU15" s="287">
        <f t="shared" ca="1" si="14"/>
        <v>812965.40788586461</v>
      </c>
      <c r="AV15" s="285">
        <f t="shared" ca="1" si="15"/>
        <v>12041.67567522102</v>
      </c>
      <c r="AW15"/>
      <c r="AY15" s="358">
        <f t="shared" ca="1" si="16"/>
        <v>3148.05835076413</v>
      </c>
      <c r="AZ15" s="358">
        <f t="shared" ca="1" si="17"/>
        <v>816113.46623662871</v>
      </c>
    </row>
    <row r="16" spans="1:52">
      <c r="A16" s="256" t="str">
        <f t="shared" si="9"/>
        <v>MASON CO-REGULATED48RW1</v>
      </c>
      <c r="B16" s="256">
        <f t="shared" si="2"/>
        <v>1</v>
      </c>
      <c r="C16" s="278" t="s">
        <v>320</v>
      </c>
      <c r="D16" s="278" t="s">
        <v>321</v>
      </c>
      <c r="E16" s="278">
        <v>26.26</v>
      </c>
      <c r="F16" s="279">
        <v>26.19</v>
      </c>
      <c r="G16" s="280">
        <v>26.73</v>
      </c>
      <c r="H16" s="255">
        <v>21</v>
      </c>
      <c r="I16" s="281"/>
      <c r="J16" s="282">
        <v>57878.284999999996</v>
      </c>
      <c r="K16" s="282">
        <v>57957.54</v>
      </c>
      <c r="L16" s="282">
        <v>60255.659999999996</v>
      </c>
      <c r="M16" s="282">
        <v>60067.12</v>
      </c>
      <c r="N16" s="282">
        <v>62652.794999999998</v>
      </c>
      <c r="O16" s="282">
        <v>61931.25499999999</v>
      </c>
      <c r="P16" s="282">
        <v>61789.364999999998</v>
      </c>
      <c r="Q16" s="282">
        <v>60680.35</v>
      </c>
      <c r="R16" s="282">
        <v>59193.8</v>
      </c>
      <c r="S16" s="282">
        <v>59211.42</v>
      </c>
      <c r="T16" s="282">
        <v>60130.82</v>
      </c>
      <c r="U16" s="282">
        <v>59619.59</v>
      </c>
      <c r="V16" s="282">
        <f t="shared" si="3"/>
        <v>721367.99999999988</v>
      </c>
      <c r="W16" s="283"/>
      <c r="X16" s="283">
        <f t="shared" si="10"/>
        <v>2204.0474105102817</v>
      </c>
      <c r="Y16" s="283">
        <f t="shared" si="4"/>
        <v>2207.0654988575779</v>
      </c>
      <c r="Z16" s="283">
        <f t="shared" si="4"/>
        <v>2294.5795887281033</v>
      </c>
      <c r="AA16" s="283">
        <f t="shared" si="5"/>
        <v>2293.5135547919053</v>
      </c>
      <c r="AB16" s="283">
        <f t="shared" si="5"/>
        <v>2392.2411225658648</v>
      </c>
      <c r="AC16" s="283">
        <f t="shared" si="5"/>
        <v>2364.6909125620459</v>
      </c>
      <c r="AD16" s="283">
        <f t="shared" si="5"/>
        <v>2359.2731958762884</v>
      </c>
      <c r="AE16" s="283">
        <f t="shared" si="5"/>
        <v>2316.9282168766704</v>
      </c>
      <c r="AF16" s="283">
        <f t="shared" si="5"/>
        <v>2260.1680030546008</v>
      </c>
      <c r="AG16" s="283">
        <f t="shared" si="5"/>
        <v>2260.8407789232529</v>
      </c>
      <c r="AH16" s="283">
        <f t="shared" si="6"/>
        <v>2249.5630377852599</v>
      </c>
      <c r="AI16" s="283">
        <f t="shared" si="6"/>
        <v>2230.4373363262252</v>
      </c>
      <c r="AJ16" s="274">
        <f t="shared" si="11"/>
        <v>2286.1123880715063</v>
      </c>
      <c r="AL16" s="256">
        <v>48</v>
      </c>
      <c r="AO16" s="256">
        <v>1</v>
      </c>
      <c r="AP16" s="283">
        <f t="shared" si="7"/>
        <v>2286.1123880715063</v>
      </c>
      <c r="AQ16" s="283"/>
      <c r="AR16" s="284">
        <f t="shared" si="12"/>
        <v>721367.99999999988</v>
      </c>
      <c r="AS16" s="285">
        <f t="shared" si="13"/>
        <v>733293.40959781629</v>
      </c>
      <c r="AT16" s="286">
        <f t="shared" ca="1" si="8"/>
        <v>27.131878453408106</v>
      </c>
      <c r="AU16" s="287">
        <f t="shared" ca="1" si="14"/>
        <v>744318.28132783982</v>
      </c>
      <c r="AV16" s="285">
        <f t="shared" ca="1" si="15"/>
        <v>11024.871730023529</v>
      </c>
      <c r="AW16"/>
      <c r="AY16" s="358">
        <f t="shared" ca="1" si="16"/>
        <v>2882.2350353798524</v>
      </c>
      <c r="AZ16" s="358">
        <f t="shared" ca="1" si="17"/>
        <v>747200.51636321971</v>
      </c>
    </row>
    <row r="17" spans="1:52">
      <c r="A17" s="256" t="str">
        <f t="shared" si="9"/>
        <v>MASON CO-REGULATED64RW1</v>
      </c>
      <c r="B17" s="256">
        <f t="shared" si="2"/>
        <v>1</v>
      </c>
      <c r="C17" s="278" t="s">
        <v>322</v>
      </c>
      <c r="D17" s="278" t="s">
        <v>323</v>
      </c>
      <c r="E17" s="278">
        <v>31.78</v>
      </c>
      <c r="F17" s="279">
        <v>31.7</v>
      </c>
      <c r="G17" s="280">
        <v>32.270000000000003</v>
      </c>
      <c r="H17" s="255">
        <v>21</v>
      </c>
      <c r="I17" s="281"/>
      <c r="J17" s="282">
        <v>72829.014999999999</v>
      </c>
      <c r="K17" s="282">
        <v>72643.900000000009</v>
      </c>
      <c r="L17" s="282">
        <v>74811.55</v>
      </c>
      <c r="M17" s="282">
        <v>74686.720000000016</v>
      </c>
      <c r="N17" s="282">
        <v>77360.650000000009</v>
      </c>
      <c r="O17" s="282">
        <v>76868.840000000011</v>
      </c>
      <c r="P17" s="282">
        <v>77547.264999999999</v>
      </c>
      <c r="Q17" s="282">
        <v>75897.23</v>
      </c>
      <c r="R17" s="282">
        <v>74905.695000000007</v>
      </c>
      <c r="S17" s="282">
        <v>74823.55</v>
      </c>
      <c r="T17" s="282">
        <v>76689.304999999993</v>
      </c>
      <c r="U17" s="282">
        <v>75830.069999999992</v>
      </c>
      <c r="V17" s="282">
        <f t="shared" si="3"/>
        <v>904893.78999999992</v>
      </c>
      <c r="W17" s="283"/>
      <c r="X17" s="283">
        <f t="shared" si="10"/>
        <v>2291.6618942731275</v>
      </c>
      <c r="Y17" s="283">
        <f t="shared" si="4"/>
        <v>2285.8370044052867</v>
      </c>
      <c r="Z17" s="283">
        <f t="shared" si="4"/>
        <v>2354.0449968533667</v>
      </c>
      <c r="AA17" s="283">
        <f t="shared" si="5"/>
        <v>2356.0479495268146</v>
      </c>
      <c r="AB17" s="283">
        <f t="shared" si="5"/>
        <v>2440.3990536277606</v>
      </c>
      <c r="AC17" s="283">
        <f t="shared" si="5"/>
        <v>2424.8845425867512</v>
      </c>
      <c r="AD17" s="283">
        <f t="shared" si="5"/>
        <v>2446.2859621451103</v>
      </c>
      <c r="AE17" s="283">
        <f t="shared" si="5"/>
        <v>2394.234384858044</v>
      </c>
      <c r="AF17" s="283">
        <f t="shared" si="5"/>
        <v>2362.9556782334389</v>
      </c>
      <c r="AG17" s="283">
        <f t="shared" si="5"/>
        <v>2360.3643533123031</v>
      </c>
      <c r="AH17" s="283">
        <f t="shared" si="6"/>
        <v>2376.4891540130147</v>
      </c>
      <c r="AI17" s="283">
        <f t="shared" si="6"/>
        <v>2349.8627207933059</v>
      </c>
      <c r="AJ17" s="274">
        <f t="shared" si="11"/>
        <v>2370.2556412190274</v>
      </c>
      <c r="AL17" s="256">
        <v>64</v>
      </c>
      <c r="AO17" s="256">
        <v>1</v>
      </c>
      <c r="AP17" s="283">
        <f t="shared" si="7"/>
        <v>2370.2556412190274</v>
      </c>
      <c r="AQ17" s="283"/>
      <c r="AR17" s="284">
        <f t="shared" si="12"/>
        <v>904893.78999999992</v>
      </c>
      <c r="AS17" s="285">
        <f t="shared" si="13"/>
        <v>917857.79450565623</v>
      </c>
      <c r="AT17" s="286">
        <f t="shared" ca="1" si="8"/>
        <v>32.755170882584345</v>
      </c>
      <c r="AU17" s="287">
        <f t="shared" ca="1" si="14"/>
        <v>931657.54276246531</v>
      </c>
      <c r="AV17" s="285">
        <f t="shared" ca="1" si="15"/>
        <v>13799.748256809078</v>
      </c>
      <c r="AW17"/>
      <c r="AY17" s="358">
        <f t="shared" ca="1" si="16"/>
        <v>3607.6717152982865</v>
      </c>
      <c r="AZ17" s="358">
        <f t="shared" ca="1" si="17"/>
        <v>935265.21447776363</v>
      </c>
    </row>
    <row r="18" spans="1:52">
      <c r="A18" s="256" t="str">
        <f t="shared" si="9"/>
        <v>MASON CO-REGULATED96RW1</v>
      </c>
      <c r="B18" s="256">
        <f t="shared" si="2"/>
        <v>1</v>
      </c>
      <c r="C18" s="289" t="s">
        <v>324</v>
      </c>
      <c r="D18" s="278" t="s">
        <v>325</v>
      </c>
      <c r="E18" s="278">
        <v>40.15</v>
      </c>
      <c r="F18" s="279">
        <v>40.049999999999997</v>
      </c>
      <c r="G18" s="280">
        <v>40.909999999999997</v>
      </c>
      <c r="H18" s="255">
        <v>21</v>
      </c>
      <c r="I18" s="281"/>
      <c r="J18" s="282">
        <v>79251.425000000003</v>
      </c>
      <c r="K18" s="282">
        <v>78932.385000000009</v>
      </c>
      <c r="L18" s="282">
        <v>81071.595000000001</v>
      </c>
      <c r="M18" s="282">
        <v>81243.775000000009</v>
      </c>
      <c r="N18" s="282">
        <v>84717.639999999985</v>
      </c>
      <c r="O18" s="282">
        <v>82968.740000000005</v>
      </c>
      <c r="P18" s="282">
        <v>84563.085000000006</v>
      </c>
      <c r="Q18" s="282">
        <v>83641.305000000022</v>
      </c>
      <c r="R18" s="282">
        <v>83434.524999999994</v>
      </c>
      <c r="S18" s="282">
        <v>83368.604999999996</v>
      </c>
      <c r="T18" s="282">
        <v>86080.704999999987</v>
      </c>
      <c r="U18" s="282">
        <v>84570.36500000002</v>
      </c>
      <c r="V18" s="282">
        <f t="shared" si="3"/>
        <v>993844.14999999991</v>
      </c>
      <c r="W18" s="283"/>
      <c r="X18" s="283">
        <f t="shared" si="10"/>
        <v>1973.8835616438357</v>
      </c>
      <c r="Y18" s="283">
        <f t="shared" si="4"/>
        <v>1965.9373599003738</v>
      </c>
      <c r="Z18" s="283">
        <f t="shared" si="4"/>
        <v>2019.2178082191781</v>
      </c>
      <c r="AA18" s="283">
        <f t="shared" si="5"/>
        <v>2028.5586766541826</v>
      </c>
      <c r="AB18" s="283">
        <f t="shared" si="5"/>
        <v>2115.296878901373</v>
      </c>
      <c r="AC18" s="283">
        <f t="shared" si="5"/>
        <v>2071.6289637952564</v>
      </c>
      <c r="AD18" s="283">
        <f t="shared" si="5"/>
        <v>2111.437827715356</v>
      </c>
      <c r="AE18" s="283">
        <f t="shared" si="5"/>
        <v>2088.4220973782781</v>
      </c>
      <c r="AF18" s="283">
        <f t="shared" si="5"/>
        <v>2083.2590511860176</v>
      </c>
      <c r="AG18" s="283">
        <f t="shared" si="5"/>
        <v>2081.6131086142323</v>
      </c>
      <c r="AH18" s="283">
        <f t="shared" si="6"/>
        <v>2104.1482522610609</v>
      </c>
      <c r="AI18" s="283">
        <f t="shared" si="6"/>
        <v>2067.2296504522128</v>
      </c>
      <c r="AJ18" s="274">
        <f t="shared" si="11"/>
        <v>2059.2194363934464</v>
      </c>
      <c r="AL18" s="256">
        <v>96</v>
      </c>
      <c r="AO18" s="256">
        <v>1</v>
      </c>
      <c r="AP18" s="283">
        <f t="shared" si="7"/>
        <v>2059.2194363934464</v>
      </c>
      <c r="AQ18" s="283"/>
      <c r="AR18" s="284">
        <f t="shared" si="12"/>
        <v>993844.14999999991</v>
      </c>
      <c r="AS18" s="285">
        <f t="shared" si="13"/>
        <v>1010912.0057142706</v>
      </c>
      <c r="AT18" s="286">
        <f t="shared" ca="1" si="8"/>
        <v>41.525070988736452</v>
      </c>
      <c r="AU18" s="287">
        <f t="shared" ca="1" si="14"/>
        <v>1026110.7993314848</v>
      </c>
      <c r="AV18" s="285">
        <f t="shared" ca="1" si="15"/>
        <v>15198.793617214193</v>
      </c>
      <c r="AW18"/>
      <c r="AY18" s="358">
        <f t="shared" ca="1" si="16"/>
        <v>3973.4245015972997</v>
      </c>
      <c r="AZ18" s="358">
        <f t="shared" ca="1" si="17"/>
        <v>1030084.2238330821</v>
      </c>
    </row>
    <row r="19" spans="1:52">
      <c r="A19" s="256" t="str">
        <f t="shared" si="9"/>
        <v>MASON CO-REGULATED35RM1</v>
      </c>
      <c r="B19" s="256">
        <f t="shared" si="2"/>
        <v>1</v>
      </c>
      <c r="C19" s="289" t="s">
        <v>326</v>
      </c>
      <c r="D19" s="278" t="s">
        <v>327</v>
      </c>
      <c r="E19" s="278">
        <v>7.12</v>
      </c>
      <c r="F19" s="279">
        <v>7.1</v>
      </c>
      <c r="G19" s="280">
        <v>7.2</v>
      </c>
      <c r="H19" s="255">
        <v>21</v>
      </c>
      <c r="I19" s="281"/>
      <c r="J19" s="282">
        <v>1794.24</v>
      </c>
      <c r="K19" s="282">
        <v>1790.68</v>
      </c>
      <c r="L19" s="282">
        <v>1777.53</v>
      </c>
      <c r="M19" s="282">
        <v>1761.5249999999999</v>
      </c>
      <c r="N19" s="282">
        <v>1741.2749999999999</v>
      </c>
      <c r="O19" s="282">
        <v>1704</v>
      </c>
      <c r="P19" s="282">
        <v>1711.1</v>
      </c>
      <c r="Q19" s="282">
        <v>1711.1</v>
      </c>
      <c r="R19" s="282">
        <v>1721.75</v>
      </c>
      <c r="S19" s="282">
        <v>1728.8500000000001</v>
      </c>
      <c r="T19" s="282">
        <v>1810.5</v>
      </c>
      <c r="U19" s="282">
        <v>1814.25</v>
      </c>
      <c r="V19" s="282">
        <f t="shared" si="3"/>
        <v>21066.799999999999</v>
      </c>
      <c r="W19" s="283"/>
      <c r="X19" s="283">
        <f t="shared" si="10"/>
        <v>252</v>
      </c>
      <c r="Y19" s="283">
        <f t="shared" si="4"/>
        <v>251.5</v>
      </c>
      <c r="Z19" s="283">
        <f t="shared" si="4"/>
        <v>249.65308988764045</v>
      </c>
      <c r="AA19" s="283">
        <f t="shared" si="5"/>
        <v>248.10211267605632</v>
      </c>
      <c r="AB19" s="283">
        <f t="shared" si="5"/>
        <v>245.25</v>
      </c>
      <c r="AC19" s="283">
        <f t="shared" si="5"/>
        <v>240</v>
      </c>
      <c r="AD19" s="283">
        <f t="shared" si="5"/>
        <v>241</v>
      </c>
      <c r="AE19" s="283">
        <f t="shared" si="5"/>
        <v>241</v>
      </c>
      <c r="AF19" s="283">
        <f t="shared" si="5"/>
        <v>242.5</v>
      </c>
      <c r="AG19" s="283">
        <f t="shared" si="5"/>
        <v>243.50000000000003</v>
      </c>
      <c r="AH19" s="283">
        <f t="shared" si="6"/>
        <v>251.45833333333331</v>
      </c>
      <c r="AI19" s="283">
        <f t="shared" si="6"/>
        <v>251.97916666666666</v>
      </c>
      <c r="AJ19" s="274">
        <f t="shared" si="11"/>
        <v>246.49522521364142</v>
      </c>
      <c r="AL19" s="256">
        <v>35</v>
      </c>
      <c r="AO19" s="256">
        <v>1</v>
      </c>
      <c r="AP19" s="283">
        <f t="shared" si="7"/>
        <v>246.49522521364142</v>
      </c>
      <c r="AQ19" s="283"/>
      <c r="AR19" s="284">
        <f t="shared" si="12"/>
        <v>21066.799999999999</v>
      </c>
      <c r="AS19" s="285">
        <f t="shared" si="13"/>
        <v>21297.187458458618</v>
      </c>
      <c r="AT19" s="286">
        <f t="shared" ca="1" si="8"/>
        <v>7.3082500884600954</v>
      </c>
      <c r="AU19" s="287">
        <f t="shared" ca="1" si="14"/>
        <v>21617.385017671033</v>
      </c>
      <c r="AV19" s="285">
        <f t="shared" ca="1" si="15"/>
        <v>320.19755921241449</v>
      </c>
      <c r="AW19"/>
      <c r="AY19" s="358">
        <f t="shared" ca="1" si="16"/>
        <v>83.709329777678406</v>
      </c>
      <c r="AZ19" s="358">
        <f t="shared" ca="1" si="17"/>
        <v>21701.09434744871</v>
      </c>
    </row>
    <row r="20" spans="1:52">
      <c r="A20" s="256" t="str">
        <f t="shared" si="9"/>
        <v>MASON CO-REGULATED48RM1</v>
      </c>
      <c r="B20" s="256">
        <f t="shared" si="2"/>
        <v>1</v>
      </c>
      <c r="C20" s="289" t="s">
        <v>328</v>
      </c>
      <c r="D20" s="278" t="s">
        <v>329</v>
      </c>
      <c r="E20" s="278">
        <v>8.93</v>
      </c>
      <c r="F20" s="279">
        <v>8.9</v>
      </c>
      <c r="G20" s="280">
        <v>9.02</v>
      </c>
      <c r="H20" s="255">
        <v>21</v>
      </c>
      <c r="I20" s="281"/>
      <c r="J20" s="282">
        <v>602.77499999999998</v>
      </c>
      <c r="K20" s="282">
        <v>607.24</v>
      </c>
      <c r="L20" s="282">
        <v>592.85500000000002</v>
      </c>
      <c r="M20" s="282">
        <v>601.755</v>
      </c>
      <c r="N20" s="282">
        <v>574.04999999999995</v>
      </c>
      <c r="O20" s="282">
        <v>547.35</v>
      </c>
      <c r="P20" s="282">
        <v>560.62</v>
      </c>
      <c r="Q20" s="282">
        <v>587.4</v>
      </c>
      <c r="R20" s="282">
        <v>569.6</v>
      </c>
      <c r="S20" s="282">
        <v>556.25</v>
      </c>
      <c r="T20" s="282">
        <v>541.26</v>
      </c>
      <c r="U20" s="282">
        <v>536.69000000000005</v>
      </c>
      <c r="V20" s="282">
        <f t="shared" si="3"/>
        <v>6877.8450000000012</v>
      </c>
      <c r="W20" s="283"/>
      <c r="X20" s="283">
        <f t="shared" si="10"/>
        <v>67.5</v>
      </c>
      <c r="Y20" s="283">
        <f t="shared" si="4"/>
        <v>68</v>
      </c>
      <c r="Z20" s="283">
        <f t="shared" si="4"/>
        <v>66.389137737961931</v>
      </c>
      <c r="AA20" s="283">
        <f t="shared" si="5"/>
        <v>67.6129213483146</v>
      </c>
      <c r="AB20" s="283">
        <f t="shared" si="5"/>
        <v>64.499999999999986</v>
      </c>
      <c r="AC20" s="283">
        <f t="shared" si="5"/>
        <v>61.5</v>
      </c>
      <c r="AD20" s="283">
        <f t="shared" si="5"/>
        <v>62.991011235955057</v>
      </c>
      <c r="AE20" s="283">
        <f t="shared" si="5"/>
        <v>66</v>
      </c>
      <c r="AF20" s="283">
        <f t="shared" si="5"/>
        <v>64</v>
      </c>
      <c r="AG20" s="283">
        <f t="shared" si="5"/>
        <v>62.5</v>
      </c>
      <c r="AH20" s="283">
        <f t="shared" si="6"/>
        <v>60.006651884700666</v>
      </c>
      <c r="AI20" s="283">
        <f t="shared" si="6"/>
        <v>59.500000000000007</v>
      </c>
      <c r="AJ20" s="274">
        <f t="shared" si="11"/>
        <v>64.208310183911024</v>
      </c>
      <c r="AL20" s="256">
        <v>48</v>
      </c>
      <c r="AO20" s="256">
        <v>1</v>
      </c>
      <c r="AP20" s="283">
        <f t="shared" si="7"/>
        <v>64.208310183911024</v>
      </c>
      <c r="AQ20" s="283"/>
      <c r="AR20" s="284">
        <f t="shared" si="12"/>
        <v>6877.8450000000012</v>
      </c>
      <c r="AS20" s="285">
        <f t="shared" si="13"/>
        <v>6949.9074943065289</v>
      </c>
      <c r="AT20" s="286">
        <f t="shared" ca="1" si="8"/>
        <v>9.1556133052652857</v>
      </c>
      <c r="AU20" s="287">
        <f t="shared" ca="1" si="14"/>
        <v>7054.397508340996</v>
      </c>
      <c r="AV20" s="285">
        <f t="shared" ca="1" si="15"/>
        <v>104.49001403446709</v>
      </c>
      <c r="AW20"/>
      <c r="AY20" s="358">
        <f t="shared" ca="1" si="16"/>
        <v>27.316851086559836</v>
      </c>
      <c r="AZ20" s="358">
        <f t="shared" ca="1" si="17"/>
        <v>7081.7143594275558</v>
      </c>
    </row>
    <row r="21" spans="1:52">
      <c r="A21" s="256" t="str">
        <f t="shared" si="9"/>
        <v>MASON CO-REGULATED64RM1</v>
      </c>
      <c r="B21" s="256">
        <f t="shared" si="2"/>
        <v>1</v>
      </c>
      <c r="C21" s="289" t="s">
        <v>330</v>
      </c>
      <c r="D21" s="278" t="s">
        <v>331</v>
      </c>
      <c r="E21" s="278">
        <v>10.5</v>
      </c>
      <c r="F21" s="279">
        <v>10.47</v>
      </c>
      <c r="G21" s="280">
        <v>10.6</v>
      </c>
      <c r="H21" s="255">
        <v>21</v>
      </c>
      <c r="I21" s="281"/>
      <c r="J21" s="282">
        <v>561.75</v>
      </c>
      <c r="K21" s="282">
        <v>567</v>
      </c>
      <c r="L21" s="282">
        <v>608.17499999999995</v>
      </c>
      <c r="M21" s="282">
        <v>597.68999999999994</v>
      </c>
      <c r="N21" s="282">
        <v>575.85</v>
      </c>
      <c r="O21" s="282">
        <v>575.85</v>
      </c>
      <c r="P21" s="282">
        <v>575.85</v>
      </c>
      <c r="Q21" s="282">
        <v>633.43500000000006</v>
      </c>
      <c r="R21" s="282">
        <v>622.96500000000003</v>
      </c>
      <c r="S21" s="282">
        <v>622.96500000000003</v>
      </c>
      <c r="T21" s="282">
        <v>694.3</v>
      </c>
      <c r="U21" s="282">
        <v>704.9</v>
      </c>
      <c r="V21" s="282">
        <f t="shared" si="3"/>
        <v>7340.73</v>
      </c>
      <c r="W21" s="283"/>
      <c r="X21" s="283">
        <f t="shared" si="10"/>
        <v>53.5</v>
      </c>
      <c r="Y21" s="283">
        <f t="shared" si="4"/>
        <v>54</v>
      </c>
      <c r="Z21" s="283">
        <f t="shared" si="4"/>
        <v>57.921428571428564</v>
      </c>
      <c r="AA21" s="283">
        <f t="shared" si="5"/>
        <v>57.085959885386814</v>
      </c>
      <c r="AB21" s="283">
        <f t="shared" si="5"/>
        <v>55</v>
      </c>
      <c r="AC21" s="283">
        <f t="shared" si="5"/>
        <v>55</v>
      </c>
      <c r="AD21" s="283">
        <f t="shared" si="5"/>
        <v>55</v>
      </c>
      <c r="AE21" s="283">
        <f t="shared" si="5"/>
        <v>60.5</v>
      </c>
      <c r="AF21" s="283">
        <f t="shared" si="5"/>
        <v>59.5</v>
      </c>
      <c r="AG21" s="283">
        <f t="shared" si="5"/>
        <v>59.5</v>
      </c>
      <c r="AH21" s="283">
        <f t="shared" si="6"/>
        <v>65.5</v>
      </c>
      <c r="AI21" s="283">
        <f t="shared" si="6"/>
        <v>66.5</v>
      </c>
      <c r="AJ21" s="274">
        <f t="shared" si="11"/>
        <v>58.250615704734621</v>
      </c>
      <c r="AL21" s="256">
        <v>64</v>
      </c>
      <c r="AO21" s="256">
        <v>1</v>
      </c>
      <c r="AP21" s="283">
        <f t="shared" si="7"/>
        <v>58.250615704734621</v>
      </c>
      <c r="AQ21" s="283"/>
      <c r="AR21" s="284">
        <f t="shared" si="12"/>
        <v>7340.73</v>
      </c>
      <c r="AS21" s="285">
        <f t="shared" si="13"/>
        <v>7409.4783176422434</v>
      </c>
      <c r="AT21" s="286">
        <f t="shared" ca="1" si="8"/>
        <v>10.759368185788473</v>
      </c>
      <c r="AU21" s="287">
        <f t="shared" ca="1" si="14"/>
        <v>7520.8778569933447</v>
      </c>
      <c r="AV21" s="285">
        <f t="shared" ca="1" si="15"/>
        <v>111.39953935110134</v>
      </c>
      <c r="AW21"/>
      <c r="AY21" s="358">
        <f t="shared" ca="1" si="16"/>
        <v>29.123210056815751</v>
      </c>
      <c r="AZ21" s="358">
        <f t="shared" ca="1" si="17"/>
        <v>7550.0010670501606</v>
      </c>
    </row>
    <row r="22" spans="1:52">
      <c r="A22" s="256" t="str">
        <f t="shared" si="9"/>
        <v>MASON CO-REGULATED96RM1</v>
      </c>
      <c r="B22" s="256">
        <f t="shared" si="2"/>
        <v>1</v>
      </c>
      <c r="C22" s="289" t="s">
        <v>332</v>
      </c>
      <c r="D22" s="278" t="s">
        <v>333</v>
      </c>
      <c r="E22" s="278">
        <v>13.05</v>
      </c>
      <c r="F22" s="279">
        <v>13.02</v>
      </c>
      <c r="G22" s="280">
        <v>13.22</v>
      </c>
      <c r="H22" s="255">
        <v>21</v>
      </c>
      <c r="I22" s="281"/>
      <c r="J22" s="282">
        <v>959.17499999999995</v>
      </c>
      <c r="K22" s="282">
        <v>946.125</v>
      </c>
      <c r="L22" s="282">
        <v>899.41499999999996</v>
      </c>
      <c r="M22" s="282">
        <v>912.46500000000003</v>
      </c>
      <c r="N22" s="282">
        <v>891.90000000000009</v>
      </c>
      <c r="O22" s="282">
        <v>865.83</v>
      </c>
      <c r="P22" s="282">
        <v>891.87</v>
      </c>
      <c r="Q22" s="282">
        <v>930.93</v>
      </c>
      <c r="R22" s="282">
        <v>983.01</v>
      </c>
      <c r="S22" s="282">
        <v>969.99</v>
      </c>
      <c r="T22" s="282">
        <v>1004.52</v>
      </c>
      <c r="U22" s="282">
        <v>991.5</v>
      </c>
      <c r="V22" s="282">
        <f t="shared" si="3"/>
        <v>11246.73</v>
      </c>
      <c r="W22" s="283"/>
      <c r="X22" s="283">
        <f t="shared" si="10"/>
        <v>73.499999999999986</v>
      </c>
      <c r="Y22" s="283">
        <f t="shared" si="4"/>
        <v>72.5</v>
      </c>
      <c r="Z22" s="283">
        <f t="shared" si="4"/>
        <v>68.92068965517241</v>
      </c>
      <c r="AA22" s="283">
        <f t="shared" si="5"/>
        <v>70.081797235023046</v>
      </c>
      <c r="AB22" s="283">
        <f t="shared" si="5"/>
        <v>68.502304147465452</v>
      </c>
      <c r="AC22" s="283">
        <f t="shared" si="5"/>
        <v>66.5</v>
      </c>
      <c r="AD22" s="283">
        <f t="shared" si="5"/>
        <v>68.5</v>
      </c>
      <c r="AE22" s="283">
        <f t="shared" si="5"/>
        <v>71.5</v>
      </c>
      <c r="AF22" s="283">
        <f t="shared" si="5"/>
        <v>75.5</v>
      </c>
      <c r="AG22" s="283">
        <f t="shared" si="5"/>
        <v>74.5</v>
      </c>
      <c r="AH22" s="283">
        <f t="shared" si="6"/>
        <v>75.984871406959144</v>
      </c>
      <c r="AI22" s="283">
        <f t="shared" si="6"/>
        <v>75</v>
      </c>
      <c r="AJ22" s="274">
        <f t="shared" si="11"/>
        <v>71.749138537051678</v>
      </c>
      <c r="AL22" s="256">
        <v>96</v>
      </c>
      <c r="AO22" s="256">
        <v>1</v>
      </c>
      <c r="AP22" s="283">
        <f t="shared" si="7"/>
        <v>71.749138537051678</v>
      </c>
      <c r="AQ22" s="283"/>
      <c r="AR22" s="284">
        <f t="shared" si="12"/>
        <v>11246.73</v>
      </c>
      <c r="AS22" s="285">
        <f t="shared" si="13"/>
        <v>11382.28333751788</v>
      </c>
      <c r="AT22" s="286">
        <f t="shared" ca="1" si="8"/>
        <v>13.418759190200342</v>
      </c>
      <c r="AU22" s="287">
        <f t="shared" ca="1" si="14"/>
        <v>11553.412945596237</v>
      </c>
      <c r="AV22" s="285">
        <f t="shared" ca="1" si="15"/>
        <v>171.12960807835771</v>
      </c>
      <c r="AW22"/>
      <c r="AY22" s="358">
        <f t="shared" ca="1" si="16"/>
        <v>44.738457196836691</v>
      </c>
      <c r="AZ22" s="358">
        <f t="shared" ca="1" si="17"/>
        <v>11598.151402793073</v>
      </c>
    </row>
    <row r="23" spans="1:52">
      <c r="A23" s="256" t="str">
        <f t="shared" si="9"/>
        <v>MASON CO-REGULATEDEXPUR</v>
      </c>
      <c r="B23" s="256">
        <f t="shared" si="2"/>
        <v>1</v>
      </c>
      <c r="C23" s="289" t="s">
        <v>334</v>
      </c>
      <c r="D23" s="278" t="s">
        <v>335</v>
      </c>
      <c r="E23" s="290">
        <v>5.04</v>
      </c>
      <c r="F23" s="290">
        <v>5.03</v>
      </c>
      <c r="G23" s="291">
        <v>5.12</v>
      </c>
      <c r="H23" s="255">
        <v>22</v>
      </c>
      <c r="I23" s="281"/>
      <c r="J23" s="282">
        <v>1996.81</v>
      </c>
      <c r="K23" s="282">
        <v>2492.2800000000002</v>
      </c>
      <c r="L23" s="282">
        <v>3301.42</v>
      </c>
      <c r="M23" s="282">
        <v>2977.91</v>
      </c>
      <c r="N23" s="282">
        <v>3171.7599999999998</v>
      </c>
      <c r="O23" s="282">
        <v>3320.0400000000004</v>
      </c>
      <c r="P23" s="282">
        <v>2668.67</v>
      </c>
      <c r="Q23" s="282">
        <v>2003.6</v>
      </c>
      <c r="R23" s="282">
        <v>1878.87</v>
      </c>
      <c r="S23" s="282">
        <v>1481.52</v>
      </c>
      <c r="T23" s="282">
        <v>827.25</v>
      </c>
      <c r="U23" s="282">
        <v>1001.59</v>
      </c>
      <c r="V23" s="282">
        <f t="shared" si="3"/>
        <v>27121.719999999998</v>
      </c>
      <c r="W23" s="283"/>
      <c r="X23" s="283">
        <f t="shared" si="10"/>
        <v>396.1924603174603</v>
      </c>
      <c r="Y23" s="283">
        <f t="shared" si="4"/>
        <v>494.50000000000006</v>
      </c>
      <c r="Z23" s="283">
        <f t="shared" si="4"/>
        <v>655.04365079365084</v>
      </c>
      <c r="AA23" s="283">
        <f t="shared" si="5"/>
        <v>592.02982107355854</v>
      </c>
      <c r="AB23" s="283">
        <f t="shared" si="5"/>
        <v>630.56858846918476</v>
      </c>
      <c r="AC23" s="283">
        <f t="shared" si="5"/>
        <v>660.04771371769391</v>
      </c>
      <c r="AD23" s="283">
        <f t="shared" si="5"/>
        <v>530.55069582504973</v>
      </c>
      <c r="AE23" s="283">
        <f t="shared" si="5"/>
        <v>398.33001988071567</v>
      </c>
      <c r="AF23" s="283">
        <f t="shared" si="5"/>
        <v>373.53280318091447</v>
      </c>
      <c r="AG23" s="283">
        <f t="shared" si="5"/>
        <v>294.53677932405566</v>
      </c>
      <c r="AH23" s="283">
        <f t="shared" si="6"/>
        <v>161.572265625</v>
      </c>
      <c r="AI23" s="283">
        <f t="shared" si="6"/>
        <v>195.623046875</v>
      </c>
      <c r="AJ23" s="274">
        <f t="shared" si="11"/>
        <v>448.54398709019046</v>
      </c>
      <c r="AR23" s="284">
        <f t="shared" si="12"/>
        <v>27121.719999999998</v>
      </c>
      <c r="AS23" s="285">
        <f t="shared" si="13"/>
        <v>27558.542566821299</v>
      </c>
      <c r="AT23" s="286">
        <f t="shared" ca="1" si="8"/>
        <v>5.1969778406827345</v>
      </c>
      <c r="AU23" s="287">
        <f t="shared" ca="1" si="14"/>
        <v>27972.877937750429</v>
      </c>
      <c r="AV23" s="285">
        <f t="shared" ca="1" si="15"/>
        <v>414.33537092912957</v>
      </c>
      <c r="AW23"/>
      <c r="AY23" s="358">
        <f t="shared" ca="1" si="16"/>
        <v>108.31980196530583</v>
      </c>
      <c r="AZ23" s="358">
        <f t="shared" ca="1" si="17"/>
        <v>28081.197739715735</v>
      </c>
    </row>
    <row r="24" spans="1:52">
      <c r="A24" s="256" t="str">
        <f t="shared" si="9"/>
        <v>MASON CO-REGULATEDEXTRAR</v>
      </c>
      <c r="B24" s="256">
        <f t="shared" si="2"/>
        <v>1</v>
      </c>
      <c r="C24" s="289" t="s">
        <v>336</v>
      </c>
      <c r="D24" s="278" t="s">
        <v>337</v>
      </c>
      <c r="E24" s="290">
        <v>5.04</v>
      </c>
      <c r="F24" s="290">
        <v>5.03</v>
      </c>
      <c r="G24" s="291">
        <v>5.12</v>
      </c>
      <c r="H24" s="255">
        <v>22</v>
      </c>
      <c r="I24" s="281"/>
      <c r="J24" s="282">
        <v>3958.42</v>
      </c>
      <c r="K24" s="282">
        <v>3414.6</v>
      </c>
      <c r="L24" s="282">
        <v>5352.4800000000005</v>
      </c>
      <c r="M24" s="282">
        <v>4698.07</v>
      </c>
      <c r="N24" s="282">
        <v>6702.6</v>
      </c>
      <c r="O24" s="282">
        <v>5344.51</v>
      </c>
      <c r="P24" s="282">
        <v>4442.66</v>
      </c>
      <c r="Q24" s="282">
        <v>3727.3</v>
      </c>
      <c r="R24" s="282">
        <v>3684.5899999999997</v>
      </c>
      <c r="S24" s="282">
        <v>3425.51</v>
      </c>
      <c r="T24" s="282">
        <v>3606.36</v>
      </c>
      <c r="U24" s="282">
        <v>2135.13</v>
      </c>
      <c r="V24" s="282">
        <f t="shared" si="3"/>
        <v>50492.229999999996</v>
      </c>
      <c r="W24" s="283"/>
      <c r="X24" s="283">
        <f t="shared" si="10"/>
        <v>785.40079365079362</v>
      </c>
      <c r="Y24" s="283">
        <f t="shared" si="4"/>
        <v>677.5</v>
      </c>
      <c r="Z24" s="283">
        <f t="shared" si="4"/>
        <v>1062</v>
      </c>
      <c r="AA24" s="283">
        <f t="shared" si="5"/>
        <v>934.00994035785277</v>
      </c>
      <c r="AB24" s="283">
        <f t="shared" si="5"/>
        <v>1332.5248508946322</v>
      </c>
      <c r="AC24" s="283">
        <f t="shared" si="5"/>
        <v>1062.5268389662028</v>
      </c>
      <c r="AD24" s="283">
        <f t="shared" si="5"/>
        <v>883.23260437375734</v>
      </c>
      <c r="AE24" s="283">
        <f t="shared" si="5"/>
        <v>741.01391650099401</v>
      </c>
      <c r="AF24" s="283">
        <f t="shared" si="5"/>
        <v>732.52286282306159</v>
      </c>
      <c r="AG24" s="283">
        <f t="shared" si="5"/>
        <v>681.01590457256464</v>
      </c>
      <c r="AH24" s="283">
        <f t="shared" si="6"/>
        <v>704.3671875</v>
      </c>
      <c r="AI24" s="283">
        <f t="shared" si="6"/>
        <v>417.017578125</v>
      </c>
      <c r="AJ24" s="274">
        <f t="shared" si="11"/>
        <v>834.42770648040505</v>
      </c>
      <c r="AR24" s="284">
        <f t="shared" si="12"/>
        <v>50492.229999999996</v>
      </c>
      <c r="AS24" s="285">
        <f t="shared" si="13"/>
        <v>51267.238286156084</v>
      </c>
      <c r="AT24" s="286">
        <f t="shared" ca="1" si="8"/>
        <v>5.1969778406827345</v>
      </c>
      <c r="AU24" s="287">
        <f t="shared" ca="1" si="14"/>
        <v>52038.027602764581</v>
      </c>
      <c r="AV24" s="285">
        <f t="shared" ca="1" si="15"/>
        <v>770.78931660849776</v>
      </c>
      <c r="AW24"/>
      <c r="AY24" s="358">
        <f t="shared" ca="1" si="16"/>
        <v>201.50764812760212</v>
      </c>
      <c r="AZ24" s="358">
        <f t="shared" ca="1" si="17"/>
        <v>52239.535250892186</v>
      </c>
    </row>
    <row r="25" spans="1:52">
      <c r="A25" s="256" t="str">
        <f t="shared" si="9"/>
        <v>MASON CO-REGULATED35ROC1</v>
      </c>
      <c r="B25" s="256">
        <f t="shared" si="2"/>
        <v>1</v>
      </c>
      <c r="C25" s="289" t="s">
        <v>338</v>
      </c>
      <c r="D25" s="278" t="s">
        <v>339</v>
      </c>
      <c r="E25" s="290">
        <v>7.12</v>
      </c>
      <c r="F25" s="290">
        <v>7.1</v>
      </c>
      <c r="G25" s="291">
        <v>7.2</v>
      </c>
      <c r="H25" s="255">
        <v>22</v>
      </c>
      <c r="I25" s="281"/>
      <c r="J25" s="282">
        <v>2556.0800000000004</v>
      </c>
      <c r="K25" s="282">
        <v>2235.6799999999998</v>
      </c>
      <c r="L25" s="282">
        <v>3396.2400000000002</v>
      </c>
      <c r="M25" s="282">
        <v>3180.8</v>
      </c>
      <c r="N25" s="282">
        <v>3912.1</v>
      </c>
      <c r="O25" s="282">
        <v>4189</v>
      </c>
      <c r="P25" s="282">
        <v>2818.7000000000003</v>
      </c>
      <c r="Q25" s="282">
        <v>2272</v>
      </c>
      <c r="R25" s="282">
        <v>2158.4</v>
      </c>
      <c r="S25" s="282">
        <v>1711.1000000000001</v>
      </c>
      <c r="T25" s="282">
        <v>1604.7</v>
      </c>
      <c r="U25" s="282">
        <v>1512</v>
      </c>
      <c r="V25" s="282">
        <f t="shared" si="3"/>
        <v>31546.800000000003</v>
      </c>
      <c r="W25" s="283"/>
      <c r="X25" s="283">
        <f t="shared" si="10"/>
        <v>359.00000000000006</v>
      </c>
      <c r="Y25" s="283">
        <f t="shared" si="4"/>
        <v>314</v>
      </c>
      <c r="Z25" s="283">
        <f t="shared" si="4"/>
        <v>477</v>
      </c>
      <c r="AA25" s="283">
        <f t="shared" si="5"/>
        <v>448.00000000000006</v>
      </c>
      <c r="AB25" s="283">
        <f t="shared" si="5"/>
        <v>551</v>
      </c>
      <c r="AC25" s="283">
        <f t="shared" si="5"/>
        <v>590</v>
      </c>
      <c r="AD25" s="283">
        <f t="shared" si="5"/>
        <v>397.00000000000006</v>
      </c>
      <c r="AE25" s="283">
        <f t="shared" si="5"/>
        <v>320</v>
      </c>
      <c r="AF25" s="283">
        <f t="shared" si="5"/>
        <v>304</v>
      </c>
      <c r="AG25" s="283">
        <f t="shared" si="5"/>
        <v>241.00000000000003</v>
      </c>
      <c r="AH25" s="283">
        <f t="shared" si="6"/>
        <v>222.875</v>
      </c>
      <c r="AI25" s="283">
        <f t="shared" si="6"/>
        <v>210</v>
      </c>
      <c r="AJ25" s="274">
        <f t="shared" si="11"/>
        <v>369.48958333333331</v>
      </c>
      <c r="AL25" s="256">
        <v>35</v>
      </c>
      <c r="AO25" s="256">
        <v>1</v>
      </c>
      <c r="AP25" s="283">
        <f>+AJ25*AO25</f>
        <v>369.48958333333331</v>
      </c>
      <c r="AQ25" s="283"/>
      <c r="AR25" s="284">
        <f t="shared" si="12"/>
        <v>31546.800000000003</v>
      </c>
      <c r="AS25" s="285">
        <f t="shared" si="13"/>
        <v>31923.9</v>
      </c>
      <c r="AT25" s="286">
        <f t="shared" ca="1" si="8"/>
        <v>7.3082500884600954</v>
      </c>
      <c r="AU25" s="287">
        <f t="shared" ca="1" si="14"/>
        <v>32403.867360971002</v>
      </c>
      <c r="AV25" s="285">
        <f t="shared" ca="1" si="15"/>
        <v>479.96736097100074</v>
      </c>
      <c r="AW25"/>
      <c r="AY25" s="358">
        <f t="shared" ca="1" si="16"/>
        <v>125.47798990369769</v>
      </c>
      <c r="AZ25" s="358">
        <f t="shared" ca="1" si="17"/>
        <v>32529.345350874701</v>
      </c>
    </row>
    <row r="26" spans="1:52">
      <c r="A26" s="256" t="str">
        <f t="shared" si="9"/>
        <v>MASON CO-REGULATED48ROC1</v>
      </c>
      <c r="B26" s="256">
        <f t="shared" si="2"/>
        <v>1</v>
      </c>
      <c r="C26" s="289" t="s">
        <v>340</v>
      </c>
      <c r="D26" s="278" t="s">
        <v>341</v>
      </c>
      <c r="E26" s="290">
        <v>8.92</v>
      </c>
      <c r="F26" s="290">
        <v>8.9</v>
      </c>
      <c r="G26" s="291">
        <v>9.02</v>
      </c>
      <c r="H26" s="255">
        <v>22</v>
      </c>
      <c r="I26" s="281"/>
      <c r="J26" s="282">
        <v>446</v>
      </c>
      <c r="K26" s="282">
        <v>446</v>
      </c>
      <c r="L26" s="282">
        <v>646.69999999999993</v>
      </c>
      <c r="M26" s="282">
        <v>614.08000000000004</v>
      </c>
      <c r="N26" s="282">
        <v>832.15000000000009</v>
      </c>
      <c r="O26" s="282">
        <v>938.95</v>
      </c>
      <c r="P26" s="282">
        <v>676.4</v>
      </c>
      <c r="Q26" s="282">
        <v>534</v>
      </c>
      <c r="R26" s="282">
        <v>409.4</v>
      </c>
      <c r="S26" s="282">
        <v>382.7</v>
      </c>
      <c r="T26" s="282">
        <v>306.68</v>
      </c>
      <c r="U26" s="282">
        <v>315.7</v>
      </c>
      <c r="V26" s="282">
        <f t="shared" si="3"/>
        <v>6548.7599999999993</v>
      </c>
      <c r="W26" s="283"/>
      <c r="X26" s="283">
        <f t="shared" si="10"/>
        <v>50</v>
      </c>
      <c r="Y26" s="283">
        <f t="shared" si="4"/>
        <v>50</v>
      </c>
      <c r="Z26" s="283">
        <f t="shared" si="4"/>
        <v>72.5</v>
      </c>
      <c r="AA26" s="283">
        <f t="shared" si="5"/>
        <v>68.997752808988764</v>
      </c>
      <c r="AB26" s="283">
        <f t="shared" si="5"/>
        <v>93.5</v>
      </c>
      <c r="AC26" s="283">
        <f t="shared" si="5"/>
        <v>105.5</v>
      </c>
      <c r="AD26" s="283">
        <f t="shared" si="5"/>
        <v>76</v>
      </c>
      <c r="AE26" s="283">
        <f t="shared" si="5"/>
        <v>60</v>
      </c>
      <c r="AF26" s="283">
        <f t="shared" si="5"/>
        <v>45.999999999999993</v>
      </c>
      <c r="AG26" s="283">
        <f t="shared" si="5"/>
        <v>43</v>
      </c>
      <c r="AH26" s="283">
        <f t="shared" si="6"/>
        <v>34</v>
      </c>
      <c r="AI26" s="283">
        <f t="shared" si="6"/>
        <v>35</v>
      </c>
      <c r="AJ26" s="274">
        <f t="shared" si="11"/>
        <v>61.208146067415726</v>
      </c>
      <c r="AL26" s="256">
        <v>48</v>
      </c>
      <c r="AO26" s="256">
        <v>1</v>
      </c>
      <c r="AP26" s="283">
        <f>+AJ26*AO26</f>
        <v>61.208146067415726</v>
      </c>
      <c r="AQ26" s="283"/>
      <c r="AR26" s="284">
        <f t="shared" si="12"/>
        <v>6548.7599999999993</v>
      </c>
      <c r="AS26" s="285">
        <f t="shared" si="13"/>
        <v>6625.1697303370775</v>
      </c>
      <c r="AT26" s="286">
        <f t="shared" ca="1" si="8"/>
        <v>9.1556133052652857</v>
      </c>
      <c r="AU26" s="287">
        <f t="shared" ca="1" si="14"/>
        <v>6724.7773983054303</v>
      </c>
      <c r="AV26" s="285">
        <f t="shared" ca="1" si="15"/>
        <v>99.607667968352871</v>
      </c>
      <c r="AW26"/>
      <c r="AY26" s="358">
        <f t="shared" ca="1" si="16"/>
        <v>26.040458106106069</v>
      </c>
      <c r="AZ26" s="358">
        <f t="shared" ca="1" si="17"/>
        <v>6750.817856411536</v>
      </c>
    </row>
    <row r="27" spans="1:52">
      <c r="A27" s="256" t="str">
        <f t="shared" si="9"/>
        <v>MASON CO-REGULATED64ROC1</v>
      </c>
      <c r="B27" s="256">
        <f t="shared" si="2"/>
        <v>1</v>
      </c>
      <c r="C27" s="289" t="s">
        <v>342</v>
      </c>
      <c r="D27" s="278" t="s">
        <v>343</v>
      </c>
      <c r="E27" s="290">
        <v>10.5</v>
      </c>
      <c r="F27" s="290">
        <v>10.47</v>
      </c>
      <c r="G27" s="291">
        <v>10.6</v>
      </c>
      <c r="H27" s="255">
        <v>22</v>
      </c>
      <c r="I27" s="281"/>
      <c r="J27" s="282">
        <v>378</v>
      </c>
      <c r="K27" s="282">
        <v>441</v>
      </c>
      <c r="L27" s="282">
        <v>619.5</v>
      </c>
      <c r="M27" s="282">
        <v>764.31000000000006</v>
      </c>
      <c r="N27" s="282">
        <v>963.24</v>
      </c>
      <c r="O27" s="282">
        <v>1109.82</v>
      </c>
      <c r="P27" s="282">
        <v>785.25</v>
      </c>
      <c r="Q27" s="282">
        <v>565.38</v>
      </c>
      <c r="R27" s="282">
        <v>471.15000000000003</v>
      </c>
      <c r="S27" s="282">
        <v>387.39</v>
      </c>
      <c r="T27" s="282">
        <v>434.47</v>
      </c>
      <c r="U27" s="282">
        <v>360.4</v>
      </c>
      <c r="V27" s="282">
        <f t="shared" si="3"/>
        <v>7279.91</v>
      </c>
      <c r="W27" s="283"/>
      <c r="X27" s="283">
        <f t="shared" si="10"/>
        <v>36</v>
      </c>
      <c r="Y27" s="283">
        <f t="shared" si="4"/>
        <v>42</v>
      </c>
      <c r="Z27" s="283">
        <f t="shared" si="4"/>
        <v>59</v>
      </c>
      <c r="AA27" s="283">
        <f t="shared" si="5"/>
        <v>73</v>
      </c>
      <c r="AB27" s="283">
        <f t="shared" si="5"/>
        <v>92</v>
      </c>
      <c r="AC27" s="283">
        <f t="shared" si="5"/>
        <v>105.99999999999999</v>
      </c>
      <c r="AD27" s="283">
        <f t="shared" si="5"/>
        <v>75</v>
      </c>
      <c r="AE27" s="283">
        <f t="shared" si="5"/>
        <v>53.999999999999993</v>
      </c>
      <c r="AF27" s="283">
        <f t="shared" si="5"/>
        <v>45</v>
      </c>
      <c r="AG27" s="283">
        <f t="shared" si="5"/>
        <v>36.999999999999993</v>
      </c>
      <c r="AH27" s="283">
        <f t="shared" si="6"/>
        <v>40.987735849056605</v>
      </c>
      <c r="AI27" s="283">
        <f t="shared" si="6"/>
        <v>34</v>
      </c>
      <c r="AJ27" s="274">
        <f t="shared" si="11"/>
        <v>57.832311320754719</v>
      </c>
      <c r="AL27" s="256">
        <v>64</v>
      </c>
      <c r="AO27" s="256">
        <v>1</v>
      </c>
      <c r="AP27" s="283">
        <f>+AJ27*AO27</f>
        <v>57.832311320754719</v>
      </c>
      <c r="AQ27" s="283"/>
      <c r="AR27" s="284">
        <f t="shared" si="12"/>
        <v>7279.91</v>
      </c>
      <c r="AS27" s="285">
        <f t="shared" si="13"/>
        <v>7356.2699999999995</v>
      </c>
      <c r="AT27" s="286">
        <f t="shared" ca="1" si="8"/>
        <v>10.759368185788473</v>
      </c>
      <c r="AU27" s="287">
        <f t="shared" ca="1" si="14"/>
        <v>7466.8695664217139</v>
      </c>
      <c r="AV27" s="285">
        <f t="shared" ca="1" si="15"/>
        <v>110.59956642171437</v>
      </c>
      <c r="AW27"/>
      <c r="AY27" s="358">
        <f t="shared" ca="1" si="16"/>
        <v>28.914072929337397</v>
      </c>
      <c r="AZ27" s="358">
        <f t="shared" ca="1" si="17"/>
        <v>7495.7836393510515</v>
      </c>
    </row>
    <row r="28" spans="1:52">
      <c r="A28" s="256" t="str">
        <f t="shared" si="9"/>
        <v>MASON CO-REGULATED96ROC1</v>
      </c>
      <c r="B28" s="256">
        <f t="shared" si="2"/>
        <v>1</v>
      </c>
      <c r="C28" s="289" t="s">
        <v>344</v>
      </c>
      <c r="D28" s="278" t="s">
        <v>345</v>
      </c>
      <c r="E28" s="290">
        <v>13.05</v>
      </c>
      <c r="F28" s="290">
        <v>13.02</v>
      </c>
      <c r="G28" s="291">
        <v>13.22</v>
      </c>
      <c r="H28" s="255">
        <v>22</v>
      </c>
      <c r="I28" s="281"/>
      <c r="J28" s="282">
        <v>906.97500000000002</v>
      </c>
      <c r="K28" s="282">
        <v>920.02500000000009</v>
      </c>
      <c r="L28" s="282">
        <v>1598.6150000000002</v>
      </c>
      <c r="M28" s="282">
        <v>1607.9750000000001</v>
      </c>
      <c r="N28" s="282">
        <v>1777.23</v>
      </c>
      <c r="O28" s="282">
        <v>2076.69</v>
      </c>
      <c r="P28" s="282">
        <v>1373.6100000000001</v>
      </c>
      <c r="Q28" s="282">
        <v>1152.27</v>
      </c>
      <c r="R28" s="282">
        <v>983.01</v>
      </c>
      <c r="S28" s="282">
        <v>983.01</v>
      </c>
      <c r="T28" s="282">
        <v>970.87</v>
      </c>
      <c r="U28" s="282">
        <v>786.59000000000015</v>
      </c>
      <c r="V28" s="282">
        <f t="shared" si="3"/>
        <v>15136.870000000003</v>
      </c>
      <c r="W28" s="283"/>
      <c r="X28" s="283">
        <f t="shared" si="10"/>
        <v>69.5</v>
      </c>
      <c r="Y28" s="283">
        <f t="shared" si="4"/>
        <v>70.5</v>
      </c>
      <c r="Z28" s="283">
        <f t="shared" si="4"/>
        <v>122.4992337164751</v>
      </c>
      <c r="AA28" s="283">
        <f t="shared" si="5"/>
        <v>123.50038402457758</v>
      </c>
      <c r="AB28" s="283">
        <f t="shared" si="5"/>
        <v>136.5</v>
      </c>
      <c r="AC28" s="283">
        <f t="shared" si="5"/>
        <v>159.5</v>
      </c>
      <c r="AD28" s="283">
        <f t="shared" si="5"/>
        <v>105.50000000000001</v>
      </c>
      <c r="AE28" s="283">
        <f t="shared" si="5"/>
        <v>88.5</v>
      </c>
      <c r="AF28" s="283">
        <f t="shared" si="5"/>
        <v>75.5</v>
      </c>
      <c r="AG28" s="283">
        <f t="shared" si="5"/>
        <v>75.5</v>
      </c>
      <c r="AH28" s="283">
        <f t="shared" si="6"/>
        <v>73.439485627836603</v>
      </c>
      <c r="AI28" s="283">
        <f t="shared" si="6"/>
        <v>59.500000000000007</v>
      </c>
      <c r="AJ28" s="274">
        <f t="shared" si="11"/>
        <v>96.66159194740743</v>
      </c>
      <c r="AL28" s="256">
        <v>96</v>
      </c>
      <c r="AO28" s="256">
        <v>1</v>
      </c>
      <c r="AP28" s="283">
        <f>+AJ28*AO28</f>
        <v>96.66159194740743</v>
      </c>
      <c r="AQ28" s="283"/>
      <c r="AR28" s="284">
        <f t="shared" si="12"/>
        <v>15136.870000000003</v>
      </c>
      <c r="AS28" s="285">
        <f t="shared" si="13"/>
        <v>15334.394946536717</v>
      </c>
      <c r="AT28" s="286">
        <f t="shared" ca="1" si="8"/>
        <v>13.418759190200342</v>
      </c>
      <c r="AU28" s="287">
        <f t="shared" ca="1" si="14"/>
        <v>15564.943503404027</v>
      </c>
      <c r="AV28" s="285">
        <f t="shared" ca="1" si="15"/>
        <v>230.54855686731025</v>
      </c>
      <c r="AW28"/>
      <c r="AY28" s="358">
        <f t="shared" ca="1" si="16"/>
        <v>60.272368171835112</v>
      </c>
      <c r="AZ28" s="358">
        <f t="shared" ca="1" si="17"/>
        <v>15625.215871575861</v>
      </c>
    </row>
    <row r="29" spans="1:52">
      <c r="A29" s="256" t="str">
        <f t="shared" si="9"/>
        <v>MASON CO-REGULATEDDRVNRE1</v>
      </c>
      <c r="B29" s="256">
        <f t="shared" si="2"/>
        <v>1</v>
      </c>
      <c r="C29" s="289" t="s">
        <v>346</v>
      </c>
      <c r="D29" s="278" t="s">
        <v>347</v>
      </c>
      <c r="E29" s="290">
        <v>2.54</v>
      </c>
      <c r="F29" s="290">
        <v>2.54</v>
      </c>
      <c r="G29" s="291">
        <v>2.54</v>
      </c>
      <c r="H29" s="255">
        <v>19</v>
      </c>
      <c r="I29" s="281"/>
      <c r="J29" s="282">
        <v>217.67499999999998</v>
      </c>
      <c r="K29" s="282">
        <v>218.82</v>
      </c>
      <c r="L29" s="282">
        <v>224.65</v>
      </c>
      <c r="M29" s="282">
        <v>225.66</v>
      </c>
      <c r="N29" s="282">
        <v>233.41499999999999</v>
      </c>
      <c r="O29" s="282">
        <v>228.845</v>
      </c>
      <c r="P29" s="282">
        <v>229.995</v>
      </c>
      <c r="Q29" s="282">
        <v>223.77500000000001</v>
      </c>
      <c r="R29" s="282">
        <v>227.20500000000001</v>
      </c>
      <c r="S29" s="282">
        <v>228.47500000000002</v>
      </c>
      <c r="T29" s="282">
        <v>224.79000000000002</v>
      </c>
      <c r="U29" s="282">
        <v>224.28</v>
      </c>
      <c r="V29" s="282">
        <f t="shared" si="3"/>
        <v>2707.585</v>
      </c>
      <c r="W29" s="283"/>
      <c r="X29" s="283">
        <f t="shared" si="10"/>
        <v>85.698818897637793</v>
      </c>
      <c r="Y29" s="283">
        <f t="shared" si="4"/>
        <v>86.149606299212593</v>
      </c>
      <c r="Z29" s="283">
        <f t="shared" si="4"/>
        <v>88.444881889763778</v>
      </c>
      <c r="AA29" s="283">
        <f t="shared" si="5"/>
        <v>88.842519685039363</v>
      </c>
      <c r="AB29" s="283">
        <f t="shared" si="5"/>
        <v>91.895669291338578</v>
      </c>
      <c r="AC29" s="283">
        <f t="shared" si="5"/>
        <v>90.096456692913378</v>
      </c>
      <c r="AD29" s="283">
        <f t="shared" si="5"/>
        <v>90.5492125984252</v>
      </c>
      <c r="AE29" s="283">
        <f t="shared" si="5"/>
        <v>88.100393700787407</v>
      </c>
      <c r="AF29" s="283">
        <f t="shared" si="5"/>
        <v>89.4507874015748</v>
      </c>
      <c r="AG29" s="283">
        <f t="shared" si="5"/>
        <v>89.950787401574814</v>
      </c>
      <c r="AH29" s="283">
        <f t="shared" si="6"/>
        <v>88.5</v>
      </c>
      <c r="AI29" s="283">
        <f t="shared" si="6"/>
        <v>88.2992125984252</v>
      </c>
      <c r="AJ29" s="274">
        <f t="shared" si="11"/>
        <v>88.831528871391072</v>
      </c>
      <c r="AR29" s="284">
        <f t="shared" si="12"/>
        <v>2707.585</v>
      </c>
      <c r="AS29" s="285">
        <f t="shared" si="13"/>
        <v>2707.585</v>
      </c>
      <c r="AT29" s="286">
        <f t="shared" ca="1" si="8"/>
        <v>2.5781882256512003</v>
      </c>
      <c r="AU29" s="287">
        <f t="shared" ca="1" si="14"/>
        <v>2748.2928216337814</v>
      </c>
      <c r="AV29" s="285">
        <f t="shared" ca="1" si="15"/>
        <v>40.70782163378135</v>
      </c>
      <c r="AW29"/>
      <c r="AY29" s="358">
        <f t="shared" ca="1" si="16"/>
        <v>10.642256218488447</v>
      </c>
      <c r="AZ29" s="358">
        <f t="shared" ca="1" si="17"/>
        <v>2758.9350778522698</v>
      </c>
    </row>
    <row r="30" spans="1:52">
      <c r="A30" s="256" t="str">
        <f t="shared" si="9"/>
        <v>MASON CO-REGULATEDDRVNRW1</v>
      </c>
      <c r="B30" s="256">
        <f t="shared" si="2"/>
        <v>1</v>
      </c>
      <c r="C30" s="289" t="s">
        <v>348</v>
      </c>
      <c r="D30" s="278" t="s">
        <v>349</v>
      </c>
      <c r="E30" s="290">
        <v>5.0650000000000004</v>
      </c>
      <c r="F30" s="290">
        <v>5.0650000000000004</v>
      </c>
      <c r="G30" s="290">
        <v>5.0650000000000004</v>
      </c>
      <c r="H30" s="255">
        <v>19</v>
      </c>
      <c r="I30" s="281"/>
      <c r="J30" s="282">
        <v>488.33499999999998</v>
      </c>
      <c r="K30" s="282">
        <v>487.5</v>
      </c>
      <c r="L30" s="282">
        <v>496.14</v>
      </c>
      <c r="M30" s="282">
        <v>487.49</v>
      </c>
      <c r="N30" s="282">
        <v>508.18</v>
      </c>
      <c r="O30" s="282">
        <v>500.29</v>
      </c>
      <c r="P30" s="282">
        <v>471.32499999999999</v>
      </c>
      <c r="Q30" s="282">
        <v>385.34500000000003</v>
      </c>
      <c r="R30" s="282">
        <v>442.005</v>
      </c>
      <c r="S30" s="282">
        <v>444.255</v>
      </c>
      <c r="T30" s="282">
        <v>428.83499999999998</v>
      </c>
      <c r="U30" s="282">
        <v>425.95</v>
      </c>
      <c r="V30" s="282">
        <f t="shared" si="3"/>
        <v>5565.65</v>
      </c>
      <c r="W30" s="283"/>
      <c r="X30" s="283">
        <f t="shared" si="10"/>
        <v>96.413622902270475</v>
      </c>
      <c r="Y30" s="283">
        <f t="shared" si="4"/>
        <v>96.248766041460996</v>
      </c>
      <c r="Z30" s="283">
        <f t="shared" si="4"/>
        <v>97.954590325765039</v>
      </c>
      <c r="AA30" s="283">
        <f t="shared" si="5"/>
        <v>96.246791707798607</v>
      </c>
      <c r="AB30" s="283">
        <f t="shared" si="5"/>
        <v>100.33168805528133</v>
      </c>
      <c r="AC30" s="283">
        <f t="shared" si="5"/>
        <v>98.773938795656463</v>
      </c>
      <c r="AD30" s="283">
        <f t="shared" si="5"/>
        <v>93.055281342546877</v>
      </c>
      <c r="AE30" s="283">
        <f t="shared" si="5"/>
        <v>76.079960513326753</v>
      </c>
      <c r="AF30" s="283">
        <f t="shared" si="5"/>
        <v>87.266535044422497</v>
      </c>
      <c r="AG30" s="283">
        <f t="shared" si="5"/>
        <v>87.710760118460016</v>
      </c>
      <c r="AH30" s="283">
        <f t="shared" si="6"/>
        <v>84.666337611056264</v>
      </c>
      <c r="AI30" s="283">
        <f t="shared" si="6"/>
        <v>84.096742349457045</v>
      </c>
      <c r="AJ30" s="274">
        <f t="shared" si="11"/>
        <v>91.570417900625216</v>
      </c>
      <c r="AR30" s="284">
        <f t="shared" si="12"/>
        <v>5565.65</v>
      </c>
      <c r="AS30" s="285">
        <f t="shared" si="13"/>
        <v>5565.6500000000005</v>
      </c>
      <c r="AT30" s="286">
        <f t="shared" ca="1" si="8"/>
        <v>5.141150930284776</v>
      </c>
      <c r="AU30" s="287">
        <f t="shared" ca="1" si="14"/>
        <v>5649.3280701163803</v>
      </c>
      <c r="AV30" s="285">
        <f t="shared" ca="1" si="15"/>
        <v>83.678070116379786</v>
      </c>
      <c r="AW30"/>
      <c r="AY30" s="358">
        <f t="shared" ca="1" si="16"/>
        <v>21.875979266553124</v>
      </c>
      <c r="AZ30" s="358">
        <f t="shared" ca="1" si="17"/>
        <v>5671.2040493829336</v>
      </c>
    </row>
    <row r="31" spans="1:52">
      <c r="A31" s="256" t="str">
        <f t="shared" si="9"/>
        <v>MASON CO-REGULATEDDRVNRM2</v>
      </c>
      <c r="B31" s="256">
        <f t="shared" si="2"/>
        <v>1</v>
      </c>
      <c r="C31" s="289" t="s">
        <v>350</v>
      </c>
      <c r="D31" s="278" t="s">
        <v>351</v>
      </c>
      <c r="E31" s="290">
        <v>1.47</v>
      </c>
      <c r="F31" s="290">
        <v>1.47</v>
      </c>
      <c r="G31" s="290">
        <v>1.47</v>
      </c>
      <c r="H31" s="255">
        <v>19</v>
      </c>
      <c r="I31" s="281"/>
      <c r="J31" s="282">
        <v>0</v>
      </c>
      <c r="K31" s="282">
        <v>0</v>
      </c>
      <c r="L31" s="282">
        <v>0</v>
      </c>
      <c r="M31" s="282">
        <v>0</v>
      </c>
      <c r="N31" s="282">
        <v>0</v>
      </c>
      <c r="O31" s="282">
        <v>0</v>
      </c>
      <c r="P31" s="282">
        <v>0</v>
      </c>
      <c r="Q31" s="282">
        <v>0</v>
      </c>
      <c r="R31" s="282">
        <v>0</v>
      </c>
      <c r="S31" s="282">
        <v>0</v>
      </c>
      <c r="T31" s="282">
        <v>0</v>
      </c>
      <c r="U31" s="282">
        <v>0</v>
      </c>
      <c r="V31" s="282">
        <f t="shared" si="3"/>
        <v>0</v>
      </c>
      <c r="W31" s="283"/>
      <c r="X31" s="283">
        <f t="shared" si="10"/>
        <v>0</v>
      </c>
      <c r="Y31" s="283">
        <f t="shared" si="4"/>
        <v>0</v>
      </c>
      <c r="Z31" s="283">
        <f t="shared" si="4"/>
        <v>0</v>
      </c>
      <c r="AA31" s="283">
        <f t="shared" si="5"/>
        <v>0</v>
      </c>
      <c r="AB31" s="283">
        <f t="shared" si="5"/>
        <v>0</v>
      </c>
      <c r="AC31" s="283">
        <f t="shared" si="5"/>
        <v>0</v>
      </c>
      <c r="AD31" s="283">
        <f t="shared" si="5"/>
        <v>0</v>
      </c>
      <c r="AE31" s="283">
        <f t="shared" si="5"/>
        <v>0</v>
      </c>
      <c r="AF31" s="283">
        <f t="shared" si="5"/>
        <v>0</v>
      </c>
      <c r="AG31" s="283">
        <f t="shared" si="5"/>
        <v>0</v>
      </c>
      <c r="AH31" s="283">
        <f t="shared" si="6"/>
        <v>0</v>
      </c>
      <c r="AI31" s="283">
        <f t="shared" si="6"/>
        <v>0</v>
      </c>
      <c r="AJ31" s="274">
        <f t="shared" si="11"/>
        <v>0</v>
      </c>
      <c r="AR31" s="284">
        <f t="shared" si="12"/>
        <v>0</v>
      </c>
      <c r="AS31" s="285">
        <f t="shared" si="13"/>
        <v>0</v>
      </c>
      <c r="AT31" s="286">
        <f t="shared" ca="1" si="8"/>
        <v>1.4921010597272695</v>
      </c>
      <c r="AU31" s="287">
        <f t="shared" ca="1" si="14"/>
        <v>0</v>
      </c>
      <c r="AV31" s="285">
        <f t="shared" ca="1" si="15"/>
        <v>0</v>
      </c>
      <c r="AW31"/>
      <c r="AY31" s="358">
        <f t="shared" ca="1" si="16"/>
        <v>0</v>
      </c>
      <c r="AZ31" s="358">
        <f t="shared" ca="1" si="17"/>
        <v>0</v>
      </c>
    </row>
    <row r="32" spans="1:52">
      <c r="A32" s="256" t="str">
        <f t="shared" si="9"/>
        <v>MASON CO-REGULATEDDRVNRW2</v>
      </c>
      <c r="B32" s="256">
        <f t="shared" si="2"/>
        <v>1</v>
      </c>
      <c r="C32" s="289" t="s">
        <v>352</v>
      </c>
      <c r="D32" s="278" t="s">
        <v>353</v>
      </c>
      <c r="E32" s="290">
        <v>6.3650000000000002</v>
      </c>
      <c r="F32" s="290">
        <v>6.3650000000000002</v>
      </c>
      <c r="G32" s="290">
        <v>6.3650000000000002</v>
      </c>
      <c r="H32" s="255">
        <v>19</v>
      </c>
      <c r="I32" s="281"/>
      <c r="J32" s="282">
        <v>75.674999999999997</v>
      </c>
      <c r="K32" s="282">
        <v>76.38</v>
      </c>
      <c r="L32" s="282">
        <v>79.915000000000006</v>
      </c>
      <c r="M32" s="282">
        <v>76.37</v>
      </c>
      <c r="N32" s="282">
        <v>74.965000000000003</v>
      </c>
      <c r="O32" s="282">
        <v>75.67</v>
      </c>
      <c r="P32" s="282">
        <v>66.034999999999997</v>
      </c>
      <c r="Q32" s="282">
        <v>66.034999999999997</v>
      </c>
      <c r="R32" s="282">
        <v>67.894999999999996</v>
      </c>
      <c r="S32" s="282">
        <v>67.894999999999996</v>
      </c>
      <c r="T32" s="282">
        <v>74.260000000000005</v>
      </c>
      <c r="U32" s="282">
        <v>74.260000000000005</v>
      </c>
      <c r="V32" s="282">
        <f t="shared" si="3"/>
        <v>875.35500000000002</v>
      </c>
      <c r="W32" s="283"/>
      <c r="X32" s="283">
        <f t="shared" si="10"/>
        <v>11.889238020424195</v>
      </c>
      <c r="Y32" s="283">
        <f t="shared" si="4"/>
        <v>11.999999999999998</v>
      </c>
      <c r="Z32" s="283">
        <f t="shared" si="4"/>
        <v>12.555380989787903</v>
      </c>
      <c r="AA32" s="283">
        <f t="shared" si="5"/>
        <v>11.998428908091123</v>
      </c>
      <c r="AB32" s="283">
        <f t="shared" si="5"/>
        <v>11.777690494893951</v>
      </c>
      <c r="AC32" s="283">
        <f t="shared" si="5"/>
        <v>11.888452474469757</v>
      </c>
      <c r="AD32" s="283">
        <f t="shared" si="5"/>
        <v>10.374705420267084</v>
      </c>
      <c r="AE32" s="283">
        <f t="shared" si="5"/>
        <v>10.374705420267084</v>
      </c>
      <c r="AF32" s="283">
        <f t="shared" si="5"/>
        <v>10.666928515318146</v>
      </c>
      <c r="AG32" s="283">
        <f t="shared" si="5"/>
        <v>10.666928515318146</v>
      </c>
      <c r="AH32" s="283">
        <f t="shared" si="6"/>
        <v>11.666928515318146</v>
      </c>
      <c r="AI32" s="283">
        <f t="shared" si="6"/>
        <v>11.666928515318146</v>
      </c>
      <c r="AJ32" s="274">
        <f t="shared" si="11"/>
        <v>11.460526315789473</v>
      </c>
      <c r="AR32" s="284">
        <f t="shared" si="12"/>
        <v>875.35500000000002</v>
      </c>
      <c r="AS32" s="285">
        <f t="shared" si="13"/>
        <v>875.3549999999999</v>
      </c>
      <c r="AT32" s="286">
        <f t="shared" ca="1" si="8"/>
        <v>6.4606960851456261</v>
      </c>
      <c r="AU32" s="287">
        <f t="shared" ca="1" si="14"/>
        <v>888.51573002555358</v>
      </c>
      <c r="AV32" s="285">
        <f t="shared" ca="1" si="15"/>
        <v>13.160730025553676</v>
      </c>
      <c r="AW32"/>
      <c r="AY32" s="358">
        <f t="shared" ca="1" si="16"/>
        <v>3.4406130157077075</v>
      </c>
      <c r="AZ32" s="358">
        <f t="shared" ca="1" si="17"/>
        <v>891.95634304126133</v>
      </c>
    </row>
    <row r="33" spans="1:52">
      <c r="A33" s="256" t="str">
        <f t="shared" si="9"/>
        <v>MASON CO-REGULATEDDRVNRM1</v>
      </c>
      <c r="B33" s="256">
        <f t="shared" si="2"/>
        <v>1</v>
      </c>
      <c r="C33" s="289" t="s">
        <v>354</v>
      </c>
      <c r="D33" s="278" t="s">
        <v>355</v>
      </c>
      <c r="E33" s="290">
        <v>1.17</v>
      </c>
      <c r="F33" s="290">
        <v>1.17</v>
      </c>
      <c r="G33" s="290">
        <v>1.17</v>
      </c>
      <c r="H33" s="255">
        <v>19</v>
      </c>
      <c r="I33" s="281"/>
      <c r="J33" s="282">
        <v>11.7</v>
      </c>
      <c r="K33" s="282">
        <v>11.7</v>
      </c>
      <c r="L33" s="282">
        <v>11.7</v>
      </c>
      <c r="M33" s="282">
        <v>12.285</v>
      </c>
      <c r="N33" s="282">
        <v>11.114999999999998</v>
      </c>
      <c r="O33" s="282">
        <v>10.53</v>
      </c>
      <c r="P33" s="282">
        <v>10.53</v>
      </c>
      <c r="Q33" s="282">
        <v>11.7</v>
      </c>
      <c r="R33" s="282">
        <v>11.7</v>
      </c>
      <c r="S33" s="282">
        <v>12.285</v>
      </c>
      <c r="T33" s="282">
        <v>14.624999999999998</v>
      </c>
      <c r="U33" s="282">
        <v>12.87</v>
      </c>
      <c r="V33" s="282">
        <f t="shared" si="3"/>
        <v>142.73999999999998</v>
      </c>
      <c r="W33" s="283"/>
      <c r="X33" s="283">
        <f t="shared" si="10"/>
        <v>10</v>
      </c>
      <c r="Y33" s="283">
        <f t="shared" si="4"/>
        <v>10</v>
      </c>
      <c r="Z33" s="283">
        <f t="shared" si="4"/>
        <v>10</v>
      </c>
      <c r="AA33" s="283">
        <f t="shared" si="5"/>
        <v>10.5</v>
      </c>
      <c r="AB33" s="283">
        <f t="shared" si="5"/>
        <v>9.5</v>
      </c>
      <c r="AC33" s="283">
        <f t="shared" si="5"/>
        <v>9</v>
      </c>
      <c r="AD33" s="283">
        <f t="shared" si="5"/>
        <v>9</v>
      </c>
      <c r="AE33" s="283">
        <f t="shared" si="5"/>
        <v>10</v>
      </c>
      <c r="AF33" s="283">
        <f t="shared" si="5"/>
        <v>10</v>
      </c>
      <c r="AG33" s="283">
        <f t="shared" si="5"/>
        <v>10.5</v>
      </c>
      <c r="AH33" s="283">
        <f t="shared" si="6"/>
        <v>12.5</v>
      </c>
      <c r="AI33" s="283">
        <f t="shared" si="6"/>
        <v>11</v>
      </c>
      <c r="AJ33" s="274">
        <f t="shared" si="11"/>
        <v>10.166666666666666</v>
      </c>
      <c r="AR33" s="284">
        <f t="shared" si="12"/>
        <v>142.73999999999998</v>
      </c>
      <c r="AS33" s="285">
        <f t="shared" si="13"/>
        <v>142.73999999999998</v>
      </c>
      <c r="AT33" s="286">
        <f t="shared" ca="1" si="8"/>
        <v>1.1875906393747655</v>
      </c>
      <c r="AU33" s="287">
        <f t="shared" ca="1" si="14"/>
        <v>144.88605800372136</v>
      </c>
      <c r="AV33" s="285">
        <f t="shared" ca="1" si="15"/>
        <v>2.1460580037213788</v>
      </c>
      <c r="AW33"/>
      <c r="AY33" s="358">
        <f t="shared" ca="1" si="16"/>
        <v>0.56104449264826051</v>
      </c>
      <c r="AZ33" s="358">
        <f t="shared" ca="1" si="17"/>
        <v>145.44710249636961</v>
      </c>
    </row>
    <row r="34" spans="1:52">
      <c r="A34" s="256" t="str">
        <f>$A$1&amp;C34</f>
        <v>MASON CO-REGULATEDDRVNROC1</v>
      </c>
      <c r="B34" s="256">
        <f t="shared" si="2"/>
        <v>1</v>
      </c>
      <c r="C34" s="289" t="s">
        <v>356</v>
      </c>
      <c r="D34" s="278" t="s">
        <v>357</v>
      </c>
      <c r="E34" s="290">
        <v>1.17</v>
      </c>
      <c r="F34" s="290">
        <v>1.17</v>
      </c>
      <c r="G34" s="290">
        <v>1.17</v>
      </c>
      <c r="H34" s="255">
        <v>19</v>
      </c>
      <c r="I34" s="281"/>
      <c r="J34" s="282">
        <v>0</v>
      </c>
      <c r="K34" s="282">
        <v>0</v>
      </c>
      <c r="L34" s="282">
        <v>0</v>
      </c>
      <c r="M34" s="282">
        <v>0</v>
      </c>
      <c r="N34" s="282">
        <v>0</v>
      </c>
      <c r="O34" s="282">
        <v>0</v>
      </c>
      <c r="P34" s="282">
        <v>0</v>
      </c>
      <c r="Q34" s="282">
        <v>0</v>
      </c>
      <c r="R34" s="282">
        <v>0</v>
      </c>
      <c r="S34" s="282">
        <v>0</v>
      </c>
      <c r="T34" s="282">
        <v>0</v>
      </c>
      <c r="U34" s="282">
        <v>0</v>
      </c>
      <c r="V34" s="282">
        <f>SUM(J34:U34)</f>
        <v>0</v>
      </c>
      <c r="W34" s="283"/>
      <c r="X34" s="283">
        <f>IFERROR(J34/$E34,0)</f>
        <v>0</v>
      </c>
      <c r="Y34" s="283">
        <f>IFERROR(K34/$E34,0)</f>
        <v>0</v>
      </c>
      <c r="Z34" s="283">
        <f>IFERROR(L34/$E34,0)</f>
        <v>0</v>
      </c>
      <c r="AA34" s="283">
        <f t="shared" si="5"/>
        <v>0</v>
      </c>
      <c r="AB34" s="283">
        <f t="shared" si="5"/>
        <v>0</v>
      </c>
      <c r="AC34" s="283">
        <f t="shared" si="5"/>
        <v>0</v>
      </c>
      <c r="AD34" s="283">
        <f t="shared" si="5"/>
        <v>0</v>
      </c>
      <c r="AE34" s="283">
        <f t="shared" si="5"/>
        <v>0</v>
      </c>
      <c r="AF34" s="283">
        <f t="shared" si="5"/>
        <v>0</v>
      </c>
      <c r="AG34" s="283">
        <f t="shared" si="5"/>
        <v>0</v>
      </c>
      <c r="AH34" s="283">
        <f>IFERROR(T34/$G34,0)</f>
        <v>0</v>
      </c>
      <c r="AI34" s="283">
        <f>IFERROR(U34/$G34,0)</f>
        <v>0</v>
      </c>
      <c r="AJ34" s="274">
        <f>AVERAGE(X34:AI34)</f>
        <v>0</v>
      </c>
      <c r="AR34" s="284">
        <f t="shared" si="12"/>
        <v>0</v>
      </c>
      <c r="AS34" s="285">
        <f t="shared" si="13"/>
        <v>0</v>
      </c>
      <c r="AT34" s="286">
        <f t="shared" ca="1" si="8"/>
        <v>1.1875906393747655</v>
      </c>
      <c r="AU34" s="287">
        <f t="shared" ca="1" si="14"/>
        <v>0</v>
      </c>
      <c r="AV34" s="285">
        <f t="shared" ca="1" si="15"/>
        <v>0</v>
      </c>
      <c r="AW34"/>
      <c r="AY34" s="358">
        <f t="shared" ca="1" si="16"/>
        <v>0</v>
      </c>
      <c r="AZ34" s="358">
        <f t="shared" ca="1" si="17"/>
        <v>0</v>
      </c>
    </row>
    <row r="35" spans="1:52">
      <c r="A35" s="256" t="str">
        <f t="shared" si="9"/>
        <v>MASON CO-REGULATEDDRVNRE2</v>
      </c>
      <c r="B35" s="256">
        <f t="shared" si="2"/>
        <v>1</v>
      </c>
      <c r="C35" s="289" t="s">
        <v>358</v>
      </c>
      <c r="D35" s="278" t="s">
        <v>359</v>
      </c>
      <c r="E35" s="290">
        <v>3.19</v>
      </c>
      <c r="F35" s="290">
        <v>3.19</v>
      </c>
      <c r="G35" s="290">
        <v>3.19</v>
      </c>
      <c r="H35" s="255">
        <v>19</v>
      </c>
      <c r="I35" s="281"/>
      <c r="J35" s="282">
        <v>54.22</v>
      </c>
      <c r="K35" s="282">
        <v>57.42</v>
      </c>
      <c r="L35" s="282">
        <v>60.61</v>
      </c>
      <c r="M35" s="282">
        <v>61.244999999999997</v>
      </c>
      <c r="N35" s="282">
        <v>68.89500000000001</v>
      </c>
      <c r="O35" s="282">
        <v>68.260000000000005</v>
      </c>
      <c r="P35" s="282">
        <v>73.37</v>
      </c>
      <c r="Q35" s="282">
        <v>73.37</v>
      </c>
      <c r="R35" s="282">
        <v>71.454999999999998</v>
      </c>
      <c r="S35" s="282">
        <v>61.875</v>
      </c>
      <c r="T35" s="282">
        <v>65.715000000000003</v>
      </c>
      <c r="U35" s="282">
        <v>65.715000000000003</v>
      </c>
      <c r="V35" s="282">
        <f t="shared" si="3"/>
        <v>782.15000000000009</v>
      </c>
      <c r="W35" s="283"/>
      <c r="X35" s="283">
        <f t="shared" si="10"/>
        <v>16.996865203761754</v>
      </c>
      <c r="Y35" s="283">
        <f t="shared" si="4"/>
        <v>18</v>
      </c>
      <c r="Z35" s="283">
        <f t="shared" si="4"/>
        <v>19</v>
      </c>
      <c r="AA35" s="283">
        <f t="shared" si="5"/>
        <v>19.199059561128525</v>
      </c>
      <c r="AB35" s="283">
        <f t="shared" si="5"/>
        <v>21.597178683385582</v>
      </c>
      <c r="AC35" s="283">
        <f t="shared" si="5"/>
        <v>21.398119122257054</v>
      </c>
      <c r="AD35" s="283">
        <f t="shared" si="5"/>
        <v>23.000000000000004</v>
      </c>
      <c r="AE35" s="283">
        <f t="shared" si="5"/>
        <v>23.000000000000004</v>
      </c>
      <c r="AF35" s="283">
        <f t="shared" si="5"/>
        <v>22.399686520376175</v>
      </c>
      <c r="AG35" s="283">
        <f t="shared" si="5"/>
        <v>19.396551724137932</v>
      </c>
      <c r="AH35" s="283">
        <f t="shared" si="6"/>
        <v>20.600313479623825</v>
      </c>
      <c r="AI35" s="283">
        <f t="shared" si="6"/>
        <v>20.600313479623825</v>
      </c>
      <c r="AJ35" s="274">
        <f t="shared" si="11"/>
        <v>20.432340647857888</v>
      </c>
      <c r="AR35" s="284">
        <f t="shared" si="12"/>
        <v>782.15000000000009</v>
      </c>
      <c r="AS35" s="285">
        <f t="shared" si="13"/>
        <v>782.15</v>
      </c>
      <c r="AT35" s="286">
        <f t="shared" ca="1" si="8"/>
        <v>3.2379608030816254</v>
      </c>
      <c r="AU35" s="287">
        <f t="shared" ca="1" si="14"/>
        <v>793.90941759570319</v>
      </c>
      <c r="AV35" s="285">
        <f t="shared" ca="1" si="15"/>
        <v>11.759417595703212</v>
      </c>
      <c r="AW35"/>
      <c r="AY35" s="358">
        <f t="shared" ca="1" si="16"/>
        <v>3.0742675488639275</v>
      </c>
      <c r="AZ35" s="358">
        <f t="shared" ca="1" si="17"/>
        <v>796.98368514456706</v>
      </c>
    </row>
    <row r="36" spans="1:52">
      <c r="A36" s="256" t="str">
        <f t="shared" si="9"/>
        <v>MASON CO-REGULATEDWLKNRE1</v>
      </c>
      <c r="B36" s="256">
        <f t="shared" si="2"/>
        <v>1</v>
      </c>
      <c r="C36" s="289" t="s">
        <v>360</v>
      </c>
      <c r="D36" s="278" t="s">
        <v>361</v>
      </c>
      <c r="E36" s="290">
        <v>1.345</v>
      </c>
      <c r="F36" s="290">
        <v>1.345</v>
      </c>
      <c r="G36" s="290">
        <v>1.345</v>
      </c>
      <c r="H36" s="255">
        <v>19</v>
      </c>
      <c r="I36" s="281"/>
      <c r="J36" s="282">
        <v>83.72</v>
      </c>
      <c r="K36" s="282">
        <v>82.98</v>
      </c>
      <c r="L36" s="282">
        <v>93.66</v>
      </c>
      <c r="M36" s="282">
        <v>90.22</v>
      </c>
      <c r="N36" s="282">
        <v>85.064999999999998</v>
      </c>
      <c r="O36" s="282">
        <v>84.794999999999987</v>
      </c>
      <c r="P36" s="282">
        <v>90.114999999999995</v>
      </c>
      <c r="Q36" s="282">
        <v>91.539999999999992</v>
      </c>
      <c r="R36" s="282">
        <v>106.545</v>
      </c>
      <c r="S36" s="282">
        <v>107.09</v>
      </c>
      <c r="T36" s="282">
        <v>118.09</v>
      </c>
      <c r="U36" s="282">
        <v>115.13999999999999</v>
      </c>
      <c r="V36" s="282">
        <f t="shared" si="3"/>
        <v>1148.96</v>
      </c>
      <c r="W36" s="283"/>
      <c r="X36" s="283">
        <f t="shared" si="10"/>
        <v>62.245353159851298</v>
      </c>
      <c r="Y36" s="283">
        <f t="shared" si="4"/>
        <v>61.695167286245358</v>
      </c>
      <c r="Z36" s="283">
        <f t="shared" si="4"/>
        <v>69.635687732342006</v>
      </c>
      <c r="AA36" s="283">
        <f t="shared" si="5"/>
        <v>67.078066914498137</v>
      </c>
      <c r="AB36" s="283">
        <f t="shared" si="5"/>
        <v>63.245353159851298</v>
      </c>
      <c r="AC36" s="283">
        <f t="shared" si="5"/>
        <v>63.044609665427501</v>
      </c>
      <c r="AD36" s="283">
        <f t="shared" si="5"/>
        <v>67</v>
      </c>
      <c r="AE36" s="283">
        <f t="shared" si="5"/>
        <v>68.059479553903344</v>
      </c>
      <c r="AF36" s="283">
        <f t="shared" si="5"/>
        <v>79.215613382899633</v>
      </c>
      <c r="AG36" s="283">
        <f t="shared" si="5"/>
        <v>79.620817843866178</v>
      </c>
      <c r="AH36" s="283">
        <f t="shared" si="6"/>
        <v>87.79925650557621</v>
      </c>
      <c r="AI36" s="283">
        <f t="shared" si="6"/>
        <v>85.60594795539032</v>
      </c>
      <c r="AJ36" s="274">
        <f t="shared" si="11"/>
        <v>71.18711276332094</v>
      </c>
      <c r="AR36" s="284">
        <f t="shared" si="12"/>
        <v>1148.96</v>
      </c>
      <c r="AS36" s="285">
        <f t="shared" si="13"/>
        <v>1148.96</v>
      </c>
      <c r="AT36" s="286">
        <f t="shared" ca="1" si="8"/>
        <v>1.365221717913726</v>
      </c>
      <c r="AU36" s="287">
        <f t="shared" ca="1" si="14"/>
        <v>1166.2343085607099</v>
      </c>
      <c r="AV36" s="285">
        <f t="shared" ca="1" si="15"/>
        <v>17.274308560709869</v>
      </c>
      <c r="AW36"/>
      <c r="AY36" s="358">
        <f t="shared" ca="1" si="16"/>
        <v>4.5160269039732777</v>
      </c>
      <c r="AZ36" s="358">
        <f t="shared" ca="1" si="17"/>
        <v>1170.7503354646831</v>
      </c>
    </row>
    <row r="37" spans="1:52">
      <c r="A37" s="256" t="str">
        <f t="shared" si="9"/>
        <v>MASON CO-REGULATEDWLKNRM1</v>
      </c>
      <c r="B37" s="256">
        <f t="shared" si="2"/>
        <v>1</v>
      </c>
      <c r="C37" s="289" t="s">
        <v>362</v>
      </c>
      <c r="D37" s="278" t="s">
        <v>363</v>
      </c>
      <c r="E37" s="290">
        <v>1.24</v>
      </c>
      <c r="F37" s="290">
        <v>1.24</v>
      </c>
      <c r="G37" s="290">
        <v>1.24</v>
      </c>
      <c r="H37" s="255">
        <v>19</v>
      </c>
      <c r="I37" s="281"/>
      <c r="J37" s="282">
        <v>15.81</v>
      </c>
      <c r="K37" s="282">
        <v>13.64</v>
      </c>
      <c r="L37" s="282">
        <v>13.639999999999999</v>
      </c>
      <c r="M37" s="282">
        <v>13.639999999999999</v>
      </c>
      <c r="N37" s="282">
        <v>10.54</v>
      </c>
      <c r="O37" s="282">
        <v>9.92</v>
      </c>
      <c r="P37" s="282">
        <v>12.09</v>
      </c>
      <c r="Q37" s="282">
        <v>13.639999999999999</v>
      </c>
      <c r="R37" s="282">
        <v>16.12</v>
      </c>
      <c r="S37" s="282">
        <v>17.98</v>
      </c>
      <c r="T37" s="282">
        <v>17.05</v>
      </c>
      <c r="U37" s="282">
        <v>13.95</v>
      </c>
      <c r="V37" s="282">
        <f t="shared" si="3"/>
        <v>168.02</v>
      </c>
      <c r="W37" s="283"/>
      <c r="X37" s="283">
        <f t="shared" si="10"/>
        <v>12.75</v>
      </c>
      <c r="Y37" s="283">
        <f t="shared" si="4"/>
        <v>11</v>
      </c>
      <c r="Z37" s="283">
        <f t="shared" si="4"/>
        <v>10.999999999999998</v>
      </c>
      <c r="AA37" s="283">
        <f t="shared" si="5"/>
        <v>10.999999999999998</v>
      </c>
      <c r="AB37" s="283">
        <f t="shared" si="5"/>
        <v>8.5</v>
      </c>
      <c r="AC37" s="283">
        <f t="shared" si="5"/>
        <v>8</v>
      </c>
      <c r="AD37" s="283">
        <f t="shared" si="5"/>
        <v>9.75</v>
      </c>
      <c r="AE37" s="283">
        <f t="shared" si="5"/>
        <v>10.999999999999998</v>
      </c>
      <c r="AF37" s="283">
        <f t="shared" si="5"/>
        <v>13.000000000000002</v>
      </c>
      <c r="AG37" s="283">
        <f t="shared" si="5"/>
        <v>14.5</v>
      </c>
      <c r="AH37" s="283">
        <f t="shared" si="6"/>
        <v>13.75</v>
      </c>
      <c r="AI37" s="283">
        <f t="shared" si="6"/>
        <v>11.25</v>
      </c>
      <c r="AJ37" s="274">
        <f t="shared" si="11"/>
        <v>11.291666666666666</v>
      </c>
      <c r="AR37" s="284">
        <f t="shared" si="12"/>
        <v>168.02</v>
      </c>
      <c r="AS37" s="285">
        <f t="shared" si="13"/>
        <v>168.01999999999998</v>
      </c>
      <c r="AT37" s="286">
        <f t="shared" ca="1" si="8"/>
        <v>1.2586430707903498</v>
      </c>
      <c r="AU37" s="287">
        <f t="shared" ca="1" si="14"/>
        <v>170.54613609209238</v>
      </c>
      <c r="AV37" s="285">
        <f t="shared" ca="1" si="15"/>
        <v>2.5261360920924005</v>
      </c>
      <c r="AW37"/>
      <c r="AY37" s="358">
        <f t="shared" ca="1" si="16"/>
        <v>0.66040840447499483</v>
      </c>
      <c r="AZ37" s="358">
        <f t="shared" ca="1" si="17"/>
        <v>171.20654449656737</v>
      </c>
    </row>
    <row r="38" spans="1:52">
      <c r="A38" s="256" t="str">
        <f t="shared" si="9"/>
        <v>MASON CO-REGULATEDWLKNRW1</v>
      </c>
      <c r="B38" s="256">
        <f t="shared" si="2"/>
        <v>1</v>
      </c>
      <c r="C38" s="289" t="s">
        <v>364</v>
      </c>
      <c r="D38" s="278" t="s">
        <v>365</v>
      </c>
      <c r="E38" s="290">
        <v>2.6850000000000001</v>
      </c>
      <c r="F38" s="290">
        <v>2.6850000000000001</v>
      </c>
      <c r="G38" s="290">
        <v>2.6850000000000001</v>
      </c>
      <c r="H38" s="255">
        <v>19</v>
      </c>
      <c r="I38" s="281"/>
      <c r="J38" s="282">
        <v>200.74</v>
      </c>
      <c r="K38" s="282">
        <v>198.11500000000001</v>
      </c>
      <c r="L38" s="282">
        <v>228.83</v>
      </c>
      <c r="M38" s="282">
        <v>236.76</v>
      </c>
      <c r="N38" s="282">
        <v>295.44</v>
      </c>
      <c r="O38" s="282">
        <v>293.14000000000004</v>
      </c>
      <c r="P38" s="282">
        <v>273.95000000000005</v>
      </c>
      <c r="Q38" s="282">
        <v>250.74500000000003</v>
      </c>
      <c r="R38" s="282">
        <v>216.63499999999999</v>
      </c>
      <c r="S38" s="282">
        <v>214.57</v>
      </c>
      <c r="T38" s="282">
        <v>208.20499999999998</v>
      </c>
      <c r="U38" s="282">
        <v>203.64</v>
      </c>
      <c r="V38" s="282">
        <f t="shared" si="3"/>
        <v>2820.7700000000004</v>
      </c>
      <c r="W38" s="283"/>
      <c r="X38" s="283">
        <f t="shared" si="10"/>
        <v>74.763500931098704</v>
      </c>
      <c r="Y38" s="283">
        <f t="shared" si="4"/>
        <v>73.785847299813781</v>
      </c>
      <c r="Z38" s="283">
        <f t="shared" si="4"/>
        <v>85.225325884543764</v>
      </c>
      <c r="AA38" s="283">
        <f t="shared" si="5"/>
        <v>88.178770949720672</v>
      </c>
      <c r="AB38" s="283">
        <f t="shared" si="5"/>
        <v>110.03351955307262</v>
      </c>
      <c r="AC38" s="283">
        <f t="shared" si="5"/>
        <v>109.17690875232776</v>
      </c>
      <c r="AD38" s="283">
        <f t="shared" si="5"/>
        <v>102.02979515828679</v>
      </c>
      <c r="AE38" s="283">
        <f t="shared" si="5"/>
        <v>93.387337057728132</v>
      </c>
      <c r="AF38" s="283">
        <f t="shared" si="5"/>
        <v>80.683426443202976</v>
      </c>
      <c r="AG38" s="283">
        <f t="shared" si="5"/>
        <v>79.914338919925513</v>
      </c>
      <c r="AH38" s="283">
        <f t="shared" si="6"/>
        <v>77.543761638733699</v>
      </c>
      <c r="AI38" s="283">
        <f t="shared" si="6"/>
        <v>75.843575418994405</v>
      </c>
      <c r="AJ38" s="274">
        <f t="shared" si="11"/>
        <v>87.547175667287391</v>
      </c>
      <c r="AR38" s="284">
        <f t="shared" si="12"/>
        <v>2820.7700000000004</v>
      </c>
      <c r="AS38" s="285">
        <f t="shared" si="13"/>
        <v>2820.7699999999995</v>
      </c>
      <c r="AT38" s="286">
        <f t="shared" ca="1" si="8"/>
        <v>2.7253682621549107</v>
      </c>
      <c r="AU38" s="287">
        <f t="shared" ca="1" si="14"/>
        <v>2863.1795280591086</v>
      </c>
      <c r="AV38" s="285">
        <f t="shared" ca="1" si="15"/>
        <v>42.409528059109107</v>
      </c>
      <c r="AW38"/>
      <c r="AX38" s="292"/>
      <c r="AY38" s="358">
        <f t="shared" ca="1" si="16"/>
        <v>11.08713376437883</v>
      </c>
      <c r="AZ38" s="358">
        <f t="shared" ca="1" si="17"/>
        <v>2874.2666618234875</v>
      </c>
    </row>
    <row r="39" spans="1:52">
      <c r="A39" s="256" t="str">
        <f t="shared" si="9"/>
        <v>MASON CO-REGULATEDWLKNRW2</v>
      </c>
      <c r="B39" s="256">
        <f t="shared" si="2"/>
        <v>1</v>
      </c>
      <c r="C39" s="289" t="s">
        <v>366</v>
      </c>
      <c r="D39" s="278" t="s">
        <v>367</v>
      </c>
      <c r="E39" s="290">
        <v>0.18</v>
      </c>
      <c r="F39" s="290">
        <v>0.18</v>
      </c>
      <c r="G39" s="290">
        <v>0.18</v>
      </c>
      <c r="H39" s="255">
        <v>19</v>
      </c>
      <c r="I39" s="281"/>
      <c r="J39" s="282">
        <v>63</v>
      </c>
      <c r="K39" s="282">
        <v>63.28</v>
      </c>
      <c r="L39" s="282">
        <v>67.745000000000005</v>
      </c>
      <c r="M39" s="282">
        <v>67.465000000000003</v>
      </c>
      <c r="N39" s="282">
        <v>69.39</v>
      </c>
      <c r="O39" s="282">
        <v>69.75</v>
      </c>
      <c r="P39" s="282">
        <v>79.319999999999993</v>
      </c>
      <c r="Q39" s="282">
        <v>78.72</v>
      </c>
      <c r="R39" s="282">
        <v>78.66</v>
      </c>
      <c r="S39" s="282">
        <v>79.56</v>
      </c>
      <c r="T39" s="282">
        <v>84.240000000000009</v>
      </c>
      <c r="U39" s="282">
        <v>81.12</v>
      </c>
      <c r="V39" s="282">
        <f t="shared" si="3"/>
        <v>882.24999999999989</v>
      </c>
      <c r="W39" s="283"/>
      <c r="X39" s="283">
        <f t="shared" si="10"/>
        <v>350</v>
      </c>
      <c r="Y39" s="283">
        <f t="shared" si="4"/>
        <v>351.5555555555556</v>
      </c>
      <c r="Z39" s="283">
        <f t="shared" si="4"/>
        <v>376.36111111111114</v>
      </c>
      <c r="AA39" s="283">
        <f t="shared" si="5"/>
        <v>374.8055555555556</v>
      </c>
      <c r="AB39" s="283">
        <f t="shared" si="5"/>
        <v>385.5</v>
      </c>
      <c r="AC39" s="283">
        <f t="shared" si="5"/>
        <v>387.5</v>
      </c>
      <c r="AD39" s="283">
        <f t="shared" si="5"/>
        <v>440.66666666666663</v>
      </c>
      <c r="AE39" s="283">
        <f t="shared" si="5"/>
        <v>437.33333333333337</v>
      </c>
      <c r="AF39" s="283">
        <f t="shared" si="5"/>
        <v>437</v>
      </c>
      <c r="AG39" s="283">
        <f t="shared" si="5"/>
        <v>442.00000000000006</v>
      </c>
      <c r="AH39" s="283">
        <f t="shared" si="6"/>
        <v>468.00000000000006</v>
      </c>
      <c r="AI39" s="283">
        <f t="shared" si="6"/>
        <v>450.66666666666669</v>
      </c>
      <c r="AJ39" s="274">
        <f t="shared" si="11"/>
        <v>408.44907407407413</v>
      </c>
      <c r="AR39" s="284">
        <f t="shared" si="12"/>
        <v>882.24999999999989</v>
      </c>
      <c r="AS39" s="285">
        <f t="shared" si="13"/>
        <v>882.25000000000023</v>
      </c>
      <c r="AT39" s="286">
        <f t="shared" ca="1" si="8"/>
        <v>0.18270625221150238</v>
      </c>
      <c r="AU39" s="287">
        <f t="shared" ca="1" si="14"/>
        <v>895.51439451998885</v>
      </c>
      <c r="AV39" s="285">
        <f t="shared" ca="1" si="15"/>
        <v>13.264394519988628</v>
      </c>
      <c r="AW39"/>
      <c r="AX39" s="292"/>
      <c r="AY39" s="358">
        <f t="shared" ca="1" si="16"/>
        <v>3.4677140509943114</v>
      </c>
      <c r="AZ39" s="358">
        <f t="shared" ca="1" si="17"/>
        <v>898.9821085709832</v>
      </c>
    </row>
    <row r="40" spans="1:52">
      <c r="A40" s="256" t="str">
        <f t="shared" si="9"/>
        <v>MASON CO-REGULATEDREDELIVER</v>
      </c>
      <c r="B40" s="256">
        <f t="shared" si="2"/>
        <v>1</v>
      </c>
      <c r="C40" s="289" t="s">
        <v>368</v>
      </c>
      <c r="D40" s="278" t="s">
        <v>369</v>
      </c>
      <c r="E40" s="290">
        <v>17.88</v>
      </c>
      <c r="F40" s="290">
        <v>17.829999999999998</v>
      </c>
      <c r="G40" s="290">
        <v>17.829999999999998</v>
      </c>
      <c r="H40" s="255">
        <v>15</v>
      </c>
      <c r="I40" s="281"/>
      <c r="J40" s="282">
        <v>107.28</v>
      </c>
      <c r="K40" s="282">
        <v>160.91999999999999</v>
      </c>
      <c r="L40" s="282">
        <v>268.2</v>
      </c>
      <c r="M40" s="282">
        <v>303.06</v>
      </c>
      <c r="N40" s="282">
        <v>303.10999999999996</v>
      </c>
      <c r="O40" s="282">
        <v>338.77</v>
      </c>
      <c r="P40" s="282">
        <v>392.26</v>
      </c>
      <c r="Q40" s="282">
        <v>106.98</v>
      </c>
      <c r="R40" s="282">
        <v>160.47</v>
      </c>
      <c r="S40" s="282">
        <v>249.62</v>
      </c>
      <c r="T40" s="282">
        <v>249.62</v>
      </c>
      <c r="U40" s="282">
        <v>178.3</v>
      </c>
      <c r="V40" s="282">
        <f t="shared" si="3"/>
        <v>2818.5899999999997</v>
      </c>
      <c r="W40" s="283"/>
      <c r="X40" s="283">
        <f t="shared" si="10"/>
        <v>6</v>
      </c>
      <c r="Y40" s="283">
        <f t="shared" si="4"/>
        <v>9</v>
      </c>
      <c r="Z40" s="283">
        <f t="shared" si="4"/>
        <v>15</v>
      </c>
      <c r="AA40" s="283">
        <f t="shared" si="5"/>
        <v>16.997195737521032</v>
      </c>
      <c r="AB40" s="283">
        <f t="shared" si="5"/>
        <v>17</v>
      </c>
      <c r="AC40" s="283">
        <f t="shared" si="5"/>
        <v>19</v>
      </c>
      <c r="AD40" s="283">
        <f t="shared" si="5"/>
        <v>22</v>
      </c>
      <c r="AE40" s="283">
        <f t="shared" si="5"/>
        <v>6.0000000000000009</v>
      </c>
      <c r="AF40" s="283">
        <f t="shared" si="5"/>
        <v>9</v>
      </c>
      <c r="AG40" s="283">
        <f t="shared" si="5"/>
        <v>14.000000000000002</v>
      </c>
      <c r="AH40" s="283">
        <f t="shared" si="6"/>
        <v>14.000000000000002</v>
      </c>
      <c r="AI40" s="283">
        <f t="shared" si="6"/>
        <v>10.000000000000002</v>
      </c>
      <c r="AJ40" s="274">
        <f t="shared" si="11"/>
        <v>13.166432978126752</v>
      </c>
      <c r="AR40" s="284">
        <f t="shared" si="12"/>
        <v>2818.5899999999997</v>
      </c>
      <c r="AS40" s="285">
        <f t="shared" si="13"/>
        <v>2817.0899999999997</v>
      </c>
      <c r="AT40" s="286">
        <f t="shared" ca="1" si="8"/>
        <v>18.098069316283819</v>
      </c>
      <c r="AU40" s="287">
        <f t="shared" ca="1" si="14"/>
        <v>2859.4442002361179</v>
      </c>
      <c r="AV40" s="285">
        <f t="shared" ca="1" si="15"/>
        <v>42.354200236118231</v>
      </c>
      <c r="AW40"/>
      <c r="AY40" s="358">
        <f t="shared" ca="1" si="16"/>
        <v>11.072669397467344</v>
      </c>
      <c r="AZ40" s="358">
        <f t="shared" ca="1" si="17"/>
        <v>2870.5168696335854</v>
      </c>
    </row>
    <row r="41" spans="1:52">
      <c r="A41" s="256" t="str">
        <f t="shared" si="9"/>
        <v>MASON CO-REGULATEDRESTART</v>
      </c>
      <c r="B41" s="256">
        <f t="shared" si="2"/>
        <v>1</v>
      </c>
      <c r="C41" s="289" t="s">
        <v>370</v>
      </c>
      <c r="D41" s="278" t="s">
        <v>371</v>
      </c>
      <c r="E41" s="290">
        <v>5.61</v>
      </c>
      <c r="F41" s="290">
        <v>5.59</v>
      </c>
      <c r="G41" s="290">
        <v>5.59</v>
      </c>
      <c r="H41" s="255">
        <v>15</v>
      </c>
      <c r="I41" s="281"/>
      <c r="J41" s="282">
        <v>22.44</v>
      </c>
      <c r="K41" s="282">
        <v>819.06</v>
      </c>
      <c r="L41" s="282">
        <v>39.270000000000003</v>
      </c>
      <c r="M41" s="282">
        <v>1067.69</v>
      </c>
      <c r="N41" s="282">
        <v>22.36</v>
      </c>
      <c r="O41" s="282">
        <v>1380.73</v>
      </c>
      <c r="P41" s="282">
        <v>11.18</v>
      </c>
      <c r="Q41" s="282">
        <v>1039.74</v>
      </c>
      <c r="R41" s="282">
        <v>16.77</v>
      </c>
      <c r="S41" s="282">
        <v>849.68</v>
      </c>
      <c r="T41" s="282">
        <v>55.900000000000006</v>
      </c>
      <c r="U41" s="282">
        <v>961.48</v>
      </c>
      <c r="V41" s="282">
        <f t="shared" si="3"/>
        <v>6286.3000000000011</v>
      </c>
      <c r="W41" s="283"/>
      <c r="X41" s="283">
        <f t="shared" si="10"/>
        <v>4</v>
      </c>
      <c r="Y41" s="283">
        <f t="shared" si="4"/>
        <v>145.99999999999997</v>
      </c>
      <c r="Z41" s="283">
        <f t="shared" si="4"/>
        <v>7</v>
      </c>
      <c r="AA41" s="283">
        <f t="shared" si="5"/>
        <v>191.00000000000003</v>
      </c>
      <c r="AB41" s="283">
        <f t="shared" si="5"/>
        <v>4</v>
      </c>
      <c r="AC41" s="283">
        <f t="shared" si="5"/>
        <v>247</v>
      </c>
      <c r="AD41" s="283">
        <f t="shared" si="5"/>
        <v>2</v>
      </c>
      <c r="AE41" s="283">
        <f t="shared" si="5"/>
        <v>186</v>
      </c>
      <c r="AF41" s="283">
        <f t="shared" si="5"/>
        <v>3</v>
      </c>
      <c r="AG41" s="283">
        <f t="shared" si="5"/>
        <v>152</v>
      </c>
      <c r="AH41" s="283">
        <f t="shared" si="6"/>
        <v>10.000000000000002</v>
      </c>
      <c r="AI41" s="283">
        <f t="shared" si="6"/>
        <v>172</v>
      </c>
      <c r="AJ41" s="274">
        <f t="shared" si="11"/>
        <v>93.666666666666671</v>
      </c>
      <c r="AR41" s="284">
        <f t="shared" si="12"/>
        <v>6286.3000000000011</v>
      </c>
      <c r="AS41" s="285">
        <f t="shared" si="13"/>
        <v>6283.16</v>
      </c>
      <c r="AT41" s="286">
        <f t="shared" ca="1" si="8"/>
        <v>5.6740441659016572</v>
      </c>
      <c r="AU41" s="287">
        <f t="shared" ca="1" si="14"/>
        <v>6377.6256424734638</v>
      </c>
      <c r="AV41" s="285">
        <f t="shared" ca="1" si="15"/>
        <v>94.465642473463959</v>
      </c>
      <c r="AW41" s="292"/>
      <c r="AY41" s="358">
        <f t="shared" ca="1" si="16"/>
        <v>24.696177066189197</v>
      </c>
      <c r="AZ41" s="358">
        <f t="shared" ca="1" si="17"/>
        <v>6402.321819539653</v>
      </c>
    </row>
    <row r="42" spans="1:52">
      <c r="A42" s="256" t="str">
        <f t="shared" si="9"/>
        <v>MASON CO-REGULATEDROLLOUT 5-25</v>
      </c>
      <c r="B42" s="256">
        <f t="shared" si="2"/>
        <v>1</v>
      </c>
      <c r="C42" s="293" t="s">
        <v>372</v>
      </c>
      <c r="D42" s="278" t="s">
        <v>373</v>
      </c>
      <c r="E42" s="290">
        <v>2.81</v>
      </c>
      <c r="F42" s="290">
        <v>2.8</v>
      </c>
      <c r="G42" s="290">
        <v>2.8</v>
      </c>
      <c r="H42" s="255">
        <v>31</v>
      </c>
      <c r="I42" s="281"/>
      <c r="J42" s="282">
        <v>0</v>
      </c>
      <c r="K42" s="282">
        <v>0</v>
      </c>
      <c r="L42" s="282">
        <v>0</v>
      </c>
      <c r="M42" s="282">
        <v>0</v>
      </c>
      <c r="N42" s="282">
        <v>0</v>
      </c>
      <c r="O42" s="282">
        <v>0</v>
      </c>
      <c r="P42" s="282">
        <v>2.8</v>
      </c>
      <c r="Q42" s="282">
        <v>2.8</v>
      </c>
      <c r="R42" s="282">
        <v>2.8</v>
      </c>
      <c r="S42" s="282">
        <v>2.8</v>
      </c>
      <c r="T42" s="282">
        <v>2.8</v>
      </c>
      <c r="U42" s="282">
        <v>2.8</v>
      </c>
      <c r="V42" s="282">
        <f t="shared" si="3"/>
        <v>16.8</v>
      </c>
      <c r="W42" s="283"/>
      <c r="X42" s="283">
        <f t="shared" si="10"/>
        <v>0</v>
      </c>
      <c r="Y42" s="283">
        <f t="shared" si="4"/>
        <v>0</v>
      </c>
      <c r="Z42" s="283">
        <f t="shared" si="4"/>
        <v>0</v>
      </c>
      <c r="AA42" s="283">
        <f t="shared" si="5"/>
        <v>0</v>
      </c>
      <c r="AB42" s="283">
        <f t="shared" si="5"/>
        <v>0</v>
      </c>
      <c r="AC42" s="283">
        <f t="shared" si="5"/>
        <v>0</v>
      </c>
      <c r="AD42" s="283">
        <f t="shared" si="5"/>
        <v>1</v>
      </c>
      <c r="AE42" s="283">
        <f t="shared" si="5"/>
        <v>1</v>
      </c>
      <c r="AF42" s="283">
        <f t="shared" si="5"/>
        <v>1</v>
      </c>
      <c r="AG42" s="283">
        <f t="shared" si="5"/>
        <v>1</v>
      </c>
      <c r="AH42" s="283">
        <f t="shared" si="6"/>
        <v>1</v>
      </c>
      <c r="AI42" s="283">
        <f t="shared" si="6"/>
        <v>1</v>
      </c>
      <c r="AJ42" s="274">
        <f t="shared" si="11"/>
        <v>0.5</v>
      </c>
      <c r="AR42" s="284">
        <f t="shared" si="12"/>
        <v>16.8</v>
      </c>
      <c r="AS42" s="285">
        <f t="shared" si="13"/>
        <v>16.799999999999997</v>
      </c>
      <c r="AT42" s="286">
        <f t="shared" ca="1" si="8"/>
        <v>2.8420972566233704</v>
      </c>
      <c r="AU42" s="287">
        <f t="shared" ca="1" si="14"/>
        <v>17.052583539740223</v>
      </c>
      <c r="AV42" s="285">
        <f t="shared" ca="1" si="15"/>
        <v>0.2525835397402254</v>
      </c>
      <c r="AW42"/>
      <c r="AY42" s="358">
        <f t="shared" ca="1" si="16"/>
        <v>6.6032979378525841E-2</v>
      </c>
      <c r="AZ42" s="358">
        <f t="shared" ca="1" si="17"/>
        <v>17.118616519118749</v>
      </c>
    </row>
    <row r="43" spans="1:52">
      <c r="A43" s="256" t="str">
        <f t="shared" si="9"/>
        <v>MASON CO-REGULATEDTRIPRCARTS</v>
      </c>
      <c r="B43" s="256">
        <f t="shared" si="2"/>
        <v>1</v>
      </c>
      <c r="C43" s="293" t="s">
        <v>374</v>
      </c>
      <c r="D43" s="278" t="s">
        <v>375</v>
      </c>
      <c r="E43" s="290">
        <v>9.77</v>
      </c>
      <c r="F43" s="290">
        <v>9.74</v>
      </c>
      <c r="G43" s="290">
        <v>9.74</v>
      </c>
      <c r="H43" s="255">
        <v>17</v>
      </c>
      <c r="I43" s="281"/>
      <c r="J43" s="282">
        <v>9.77</v>
      </c>
      <c r="K43" s="282">
        <v>0</v>
      </c>
      <c r="L43" s="282">
        <v>0</v>
      </c>
      <c r="M43" s="282">
        <v>19.48</v>
      </c>
      <c r="N43" s="282">
        <v>0</v>
      </c>
      <c r="O43" s="282">
        <v>9.74</v>
      </c>
      <c r="P43" s="282">
        <v>0</v>
      </c>
      <c r="Q43" s="282">
        <v>9.74</v>
      </c>
      <c r="R43" s="282">
        <v>19.48</v>
      </c>
      <c r="S43" s="282">
        <v>0</v>
      </c>
      <c r="T43" s="282">
        <v>0</v>
      </c>
      <c r="U43" s="282">
        <v>9.74</v>
      </c>
      <c r="V43" s="282">
        <f t="shared" si="3"/>
        <v>77.95</v>
      </c>
      <c r="W43" s="283"/>
      <c r="X43" s="283">
        <f t="shared" si="10"/>
        <v>1</v>
      </c>
      <c r="Y43" s="283">
        <f t="shared" si="4"/>
        <v>0</v>
      </c>
      <c r="Z43" s="283">
        <f t="shared" si="4"/>
        <v>0</v>
      </c>
      <c r="AA43" s="283">
        <f t="shared" si="5"/>
        <v>2</v>
      </c>
      <c r="AB43" s="283">
        <f t="shared" si="5"/>
        <v>0</v>
      </c>
      <c r="AC43" s="283">
        <f t="shared" si="5"/>
        <v>1</v>
      </c>
      <c r="AD43" s="283">
        <f t="shared" si="5"/>
        <v>0</v>
      </c>
      <c r="AE43" s="283">
        <f t="shared" si="5"/>
        <v>1</v>
      </c>
      <c r="AF43" s="283">
        <f t="shared" si="5"/>
        <v>2</v>
      </c>
      <c r="AG43" s="283">
        <f t="shared" si="5"/>
        <v>0</v>
      </c>
      <c r="AH43" s="283">
        <f t="shared" si="6"/>
        <v>0</v>
      </c>
      <c r="AI43" s="283">
        <f t="shared" si="6"/>
        <v>1</v>
      </c>
      <c r="AJ43" s="274">
        <f t="shared" si="11"/>
        <v>0.66666666666666663</v>
      </c>
      <c r="AR43" s="284">
        <f t="shared" si="12"/>
        <v>77.95</v>
      </c>
      <c r="AS43" s="285">
        <f t="shared" si="13"/>
        <v>77.919999999999987</v>
      </c>
      <c r="AT43" s="286">
        <f t="shared" ca="1" si="8"/>
        <v>9.8864383141112953</v>
      </c>
      <c r="AU43" s="287">
        <f t="shared" ca="1" si="14"/>
        <v>79.091506512890362</v>
      </c>
      <c r="AV43" s="285">
        <f t="shared" ca="1" si="15"/>
        <v>1.1715065128903746</v>
      </c>
      <c r="AW43"/>
      <c r="AY43" s="358">
        <f t="shared" ca="1" si="16"/>
        <v>0.30626724721278176</v>
      </c>
      <c r="AZ43" s="358">
        <f t="shared" ca="1" si="17"/>
        <v>79.397773760103149</v>
      </c>
    </row>
    <row r="44" spans="1:52">
      <c r="A44" s="256" t="str">
        <f t="shared" si="9"/>
        <v>MASON CO-REGULATEDSTAIR-RES</v>
      </c>
      <c r="B44" s="256">
        <f t="shared" si="2"/>
        <v>1</v>
      </c>
      <c r="C44" s="289" t="s">
        <v>376</v>
      </c>
      <c r="D44" s="278" t="s">
        <v>377</v>
      </c>
      <c r="E44" s="290">
        <v>0.11</v>
      </c>
      <c r="F44" s="290">
        <v>0.11</v>
      </c>
      <c r="G44" s="290">
        <v>0.11</v>
      </c>
      <c r="H44" s="255">
        <v>20</v>
      </c>
      <c r="I44" s="281"/>
      <c r="J44" s="282">
        <v>0</v>
      </c>
      <c r="K44" s="282">
        <v>0</v>
      </c>
      <c r="L44" s="282">
        <v>0</v>
      </c>
      <c r="M44" s="282">
        <v>0</v>
      </c>
      <c r="N44" s="282">
        <v>0</v>
      </c>
      <c r="O44" s="282">
        <v>0</v>
      </c>
      <c r="P44" s="282">
        <v>0</v>
      </c>
      <c r="Q44" s="282">
        <v>0</v>
      </c>
      <c r="R44" s="282">
        <v>0</v>
      </c>
      <c r="S44" s="282">
        <v>0</v>
      </c>
      <c r="T44" s="282">
        <v>0</v>
      </c>
      <c r="U44" s="282">
        <v>0</v>
      </c>
      <c r="V44" s="282">
        <f t="shared" si="3"/>
        <v>0</v>
      </c>
      <c r="W44" s="283"/>
      <c r="X44" s="283">
        <f t="shared" si="10"/>
        <v>0</v>
      </c>
      <c r="Y44" s="283">
        <f t="shared" si="4"/>
        <v>0</v>
      </c>
      <c r="Z44" s="283">
        <f t="shared" si="4"/>
        <v>0</v>
      </c>
      <c r="AA44" s="283">
        <f t="shared" si="5"/>
        <v>0</v>
      </c>
      <c r="AB44" s="283">
        <f t="shared" si="5"/>
        <v>0</v>
      </c>
      <c r="AC44" s="283">
        <f t="shared" si="5"/>
        <v>0</v>
      </c>
      <c r="AD44" s="283">
        <f t="shared" si="5"/>
        <v>0</v>
      </c>
      <c r="AE44" s="283">
        <f t="shared" si="5"/>
        <v>0</v>
      </c>
      <c r="AF44" s="283">
        <f t="shared" si="5"/>
        <v>0</v>
      </c>
      <c r="AG44" s="283">
        <f t="shared" si="5"/>
        <v>0</v>
      </c>
      <c r="AH44" s="283">
        <f t="shared" si="6"/>
        <v>0</v>
      </c>
      <c r="AI44" s="283">
        <f t="shared" si="6"/>
        <v>0</v>
      </c>
      <c r="AJ44" s="274">
        <f t="shared" si="11"/>
        <v>0</v>
      </c>
      <c r="AK44" s="256" t="s">
        <v>378</v>
      </c>
      <c r="AL44" s="274">
        <f>+SUM(AP10:AP13,AP15:AP22,AP25:AP28)</f>
        <v>15952.529273773582</v>
      </c>
      <c r="AR44" s="284">
        <f t="shared" si="12"/>
        <v>0</v>
      </c>
      <c r="AS44" s="285">
        <f t="shared" si="13"/>
        <v>0</v>
      </c>
      <c r="AT44" s="286">
        <f t="shared" ca="1" si="8"/>
        <v>0.11165382079591812</v>
      </c>
      <c r="AU44" s="287">
        <f t="shared" ca="1" si="14"/>
        <v>0</v>
      </c>
      <c r="AV44" s="285">
        <f t="shared" ca="1" si="15"/>
        <v>0</v>
      </c>
      <c r="AW44"/>
      <c r="AY44" s="358">
        <f t="shared" ca="1" si="16"/>
        <v>0</v>
      </c>
      <c r="AZ44" s="358">
        <f t="shared" ca="1" si="17"/>
        <v>0</v>
      </c>
    </row>
    <row r="45" spans="1:52">
      <c r="A45" s="256" t="str">
        <f t="shared" si="9"/>
        <v>MASON CO-REGULATEDOFOWR</v>
      </c>
      <c r="B45" s="256">
        <f t="shared" si="2"/>
        <v>1</v>
      </c>
      <c r="C45" s="289" t="s">
        <v>379</v>
      </c>
      <c r="D45" s="278" t="s">
        <v>380</v>
      </c>
      <c r="E45" s="290">
        <v>5.04</v>
      </c>
      <c r="F45" s="290">
        <v>5.03</v>
      </c>
      <c r="G45" s="290">
        <v>5.12</v>
      </c>
      <c r="H45" s="255">
        <v>22</v>
      </c>
      <c r="I45" s="281"/>
      <c r="J45" s="282">
        <v>4198.32</v>
      </c>
      <c r="K45" s="282">
        <v>3165.25</v>
      </c>
      <c r="L45" s="282">
        <v>4309.2</v>
      </c>
      <c r="M45" s="282">
        <v>3802.67</v>
      </c>
      <c r="N45" s="282">
        <v>5195.99</v>
      </c>
      <c r="O45" s="282">
        <v>3988.79</v>
      </c>
      <c r="P45" s="282">
        <v>4401.25</v>
      </c>
      <c r="Q45" s="282">
        <v>4195.0200000000004</v>
      </c>
      <c r="R45" s="282">
        <v>5236.2299999999996</v>
      </c>
      <c r="S45" s="282">
        <v>4381.13</v>
      </c>
      <c r="T45" s="282">
        <v>4145.84</v>
      </c>
      <c r="U45" s="282">
        <v>2795.6099999999997</v>
      </c>
      <c r="V45" s="282">
        <f t="shared" si="3"/>
        <v>49815.3</v>
      </c>
      <c r="W45" s="283"/>
      <c r="X45" s="283">
        <f t="shared" si="10"/>
        <v>832.99999999999989</v>
      </c>
      <c r="Y45" s="283">
        <f t="shared" si="4"/>
        <v>628.02579365079362</v>
      </c>
      <c r="Z45" s="283">
        <f t="shared" si="4"/>
        <v>855</v>
      </c>
      <c r="AA45" s="283">
        <f t="shared" si="5"/>
        <v>755.99801192842938</v>
      </c>
      <c r="AB45" s="283">
        <f t="shared" si="5"/>
        <v>1033</v>
      </c>
      <c r="AC45" s="283">
        <f t="shared" si="5"/>
        <v>793</v>
      </c>
      <c r="AD45" s="283">
        <f t="shared" si="5"/>
        <v>875</v>
      </c>
      <c r="AE45" s="283">
        <f t="shared" si="5"/>
        <v>834</v>
      </c>
      <c r="AF45" s="283">
        <f t="shared" si="5"/>
        <v>1040.9999999999998</v>
      </c>
      <c r="AG45" s="283">
        <f t="shared" si="5"/>
        <v>871</v>
      </c>
      <c r="AH45" s="283">
        <f t="shared" si="6"/>
        <v>809.734375</v>
      </c>
      <c r="AI45" s="283">
        <f t="shared" si="6"/>
        <v>546.01757812499989</v>
      </c>
      <c r="AJ45" s="274">
        <f t="shared" si="11"/>
        <v>822.8979798920185</v>
      </c>
      <c r="AK45" s="256" t="s">
        <v>157</v>
      </c>
      <c r="AL45" s="274">
        <f>+AP14</f>
        <v>6.9166410194016672</v>
      </c>
      <c r="AR45" s="284">
        <f t="shared" si="12"/>
        <v>49815.3</v>
      </c>
      <c r="AS45" s="285">
        <f t="shared" si="13"/>
        <v>50558.851884565614</v>
      </c>
      <c r="AT45" s="286">
        <f t="shared" ca="1" si="8"/>
        <v>5.1969778406827345</v>
      </c>
      <c r="AU45" s="287">
        <f t="shared" ca="1" si="14"/>
        <v>51318.990799696876</v>
      </c>
      <c r="AV45" s="285">
        <f t="shared" ca="1" si="15"/>
        <v>760.13891513126146</v>
      </c>
      <c r="AW45"/>
      <c r="AY45" s="358">
        <f t="shared" ca="1" si="16"/>
        <v>198.72331094615856</v>
      </c>
      <c r="AZ45" s="358">
        <f t="shared" ca="1" si="17"/>
        <v>51517.714110643035</v>
      </c>
    </row>
    <row r="46" spans="1:52">
      <c r="A46" s="256" t="str">
        <f t="shared" si="9"/>
        <v>MASON CO-REGULATEDADJOTHR</v>
      </c>
      <c r="B46" s="256">
        <f t="shared" si="2"/>
        <v>1</v>
      </c>
      <c r="C46" s="289" t="s">
        <v>381</v>
      </c>
      <c r="D46" s="278" t="s">
        <v>382</v>
      </c>
      <c r="E46" s="290">
        <v>0</v>
      </c>
      <c r="F46" s="290">
        <v>0</v>
      </c>
      <c r="G46" s="290">
        <v>0</v>
      </c>
      <c r="I46" s="281"/>
      <c r="J46" s="282">
        <v>-46.19</v>
      </c>
      <c r="K46" s="282">
        <v>0</v>
      </c>
      <c r="L46" s="282">
        <v>-2.59</v>
      </c>
      <c r="M46" s="282">
        <v>-193.09</v>
      </c>
      <c r="N46" s="282">
        <v>-1.2000000000000002</v>
      </c>
      <c r="O46" s="282">
        <v>-114</v>
      </c>
      <c r="P46" s="282">
        <v>-801.05</v>
      </c>
      <c r="Q46" s="282">
        <v>-5.25</v>
      </c>
      <c r="R46" s="282">
        <v>-453.28</v>
      </c>
      <c r="S46" s="282">
        <v>-25.2</v>
      </c>
      <c r="T46" s="282">
        <v>-559.07000000000005</v>
      </c>
      <c r="U46" s="282">
        <v>-20</v>
      </c>
      <c r="V46" s="282">
        <f t="shared" si="3"/>
        <v>-2220.92</v>
      </c>
      <c r="W46" s="283"/>
      <c r="X46" s="283">
        <f t="shared" si="10"/>
        <v>0</v>
      </c>
      <c r="Y46" s="283">
        <f t="shared" si="4"/>
        <v>0</v>
      </c>
      <c r="Z46" s="283">
        <f t="shared" si="4"/>
        <v>0</v>
      </c>
      <c r="AA46" s="283">
        <f t="shared" si="5"/>
        <v>0</v>
      </c>
      <c r="AB46" s="283">
        <f t="shared" si="5"/>
        <v>0</v>
      </c>
      <c r="AC46" s="283">
        <f t="shared" si="5"/>
        <v>0</v>
      </c>
      <c r="AD46" s="283">
        <f t="shared" ref="AB46:AG47" si="18">IFERROR(P46/$F46,0)</f>
        <v>0</v>
      </c>
      <c r="AE46" s="283">
        <f t="shared" si="18"/>
        <v>0</v>
      </c>
      <c r="AF46" s="283">
        <f t="shared" si="18"/>
        <v>0</v>
      </c>
      <c r="AG46" s="283">
        <f t="shared" si="18"/>
        <v>0</v>
      </c>
      <c r="AH46" s="283">
        <f t="shared" si="6"/>
        <v>0</v>
      </c>
      <c r="AI46" s="283">
        <f t="shared" si="6"/>
        <v>0</v>
      </c>
      <c r="AJ46" s="274">
        <f t="shared" si="11"/>
        <v>0</v>
      </c>
      <c r="AR46" s="284">
        <f t="shared" si="12"/>
        <v>-2220.92</v>
      </c>
      <c r="AS46" s="285">
        <f t="shared" si="13"/>
        <v>0</v>
      </c>
      <c r="AT46" s="286">
        <f t="shared" ca="1" si="8"/>
        <v>0</v>
      </c>
      <c r="AU46" s="287">
        <f t="shared" ca="1" si="14"/>
        <v>0</v>
      </c>
      <c r="AV46" s="285">
        <f t="shared" ca="1" si="15"/>
        <v>0</v>
      </c>
      <c r="AW46"/>
      <c r="AY46" s="358">
        <f t="shared" ca="1" si="16"/>
        <v>0</v>
      </c>
      <c r="AZ46" s="358">
        <f t="shared" ca="1" si="17"/>
        <v>0</v>
      </c>
    </row>
    <row r="47" spans="1:52">
      <c r="A47" s="256" t="str">
        <f t="shared" si="9"/>
        <v>MASON CO-REGULATEDLOOSE-RES</v>
      </c>
      <c r="B47" s="256">
        <f t="shared" si="2"/>
        <v>1</v>
      </c>
      <c r="C47" s="289" t="s">
        <v>383</v>
      </c>
      <c r="D47" s="278" t="s">
        <v>384</v>
      </c>
      <c r="E47" s="290">
        <v>0</v>
      </c>
      <c r="F47" s="290">
        <v>30.36</v>
      </c>
      <c r="G47" s="290">
        <v>30.6</v>
      </c>
      <c r="H47" s="255">
        <v>28</v>
      </c>
      <c r="I47" s="281"/>
      <c r="J47" s="282">
        <v>4.5</v>
      </c>
      <c r="K47" s="282">
        <v>-4.5</v>
      </c>
      <c r="L47" s="282">
        <v>0</v>
      </c>
      <c r="M47" s="282">
        <v>0</v>
      </c>
      <c r="N47" s="282">
        <v>0</v>
      </c>
      <c r="O47" s="282">
        <v>0</v>
      </c>
      <c r="P47" s="282">
        <v>0</v>
      </c>
      <c r="Q47" s="282">
        <v>0</v>
      </c>
      <c r="R47" s="282">
        <v>0</v>
      </c>
      <c r="S47" s="282">
        <v>0</v>
      </c>
      <c r="T47" s="282">
        <v>0</v>
      </c>
      <c r="U47" s="282">
        <v>0</v>
      </c>
      <c r="V47" s="282">
        <f t="shared" si="3"/>
        <v>0</v>
      </c>
      <c r="W47" s="283"/>
      <c r="X47" s="283">
        <f t="shared" si="10"/>
        <v>0</v>
      </c>
      <c r="Y47" s="283">
        <f t="shared" si="4"/>
        <v>0</v>
      </c>
      <c r="Z47" s="283">
        <f t="shared" si="4"/>
        <v>0</v>
      </c>
      <c r="AA47" s="283">
        <f t="shared" ref="AA47" si="19">IFERROR(M47/$F47,0)</f>
        <v>0</v>
      </c>
      <c r="AB47" s="283">
        <f t="shared" si="18"/>
        <v>0</v>
      </c>
      <c r="AC47" s="283">
        <f t="shared" si="18"/>
        <v>0</v>
      </c>
      <c r="AD47" s="283">
        <f t="shared" si="18"/>
        <v>0</v>
      </c>
      <c r="AE47" s="283">
        <f t="shared" si="18"/>
        <v>0</v>
      </c>
      <c r="AF47" s="283">
        <f t="shared" si="18"/>
        <v>0</v>
      </c>
      <c r="AG47" s="283">
        <f t="shared" si="18"/>
        <v>0</v>
      </c>
      <c r="AH47" s="283">
        <f t="shared" si="6"/>
        <v>0</v>
      </c>
      <c r="AI47" s="283">
        <f t="shared" si="6"/>
        <v>0</v>
      </c>
      <c r="AJ47" s="274">
        <f t="shared" si="11"/>
        <v>0</v>
      </c>
      <c r="AR47" s="284">
        <f t="shared" si="12"/>
        <v>0</v>
      </c>
      <c r="AS47" s="285">
        <f t="shared" si="13"/>
        <v>0</v>
      </c>
      <c r="AT47" s="286">
        <f t="shared" ca="1" si="8"/>
        <v>31.060062875955406</v>
      </c>
      <c r="AU47" s="287">
        <f t="shared" ca="1" si="14"/>
        <v>0</v>
      </c>
      <c r="AV47" s="285">
        <f t="shared" ca="1" si="15"/>
        <v>0</v>
      </c>
      <c r="AW47"/>
      <c r="AY47" s="358">
        <f t="shared" ca="1" si="16"/>
        <v>0</v>
      </c>
      <c r="AZ47" s="358">
        <f t="shared" ca="1" si="17"/>
        <v>0</v>
      </c>
    </row>
    <row r="48" spans="1:52">
      <c r="C48" s="289"/>
      <c r="D48" s="278"/>
      <c r="E48" s="290"/>
      <c r="F48" s="290"/>
      <c r="G48" s="290"/>
      <c r="I48" s="281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282"/>
      <c r="U48" s="282"/>
      <c r="V48" s="282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283"/>
      <c r="AJ48" s="274"/>
      <c r="AT48" s="270"/>
      <c r="AU48" s="294"/>
      <c r="AW48"/>
    </row>
    <row r="49" spans="1:52">
      <c r="B49" s="256">
        <f>COUNTIF(C:C,C49)</f>
        <v>0</v>
      </c>
      <c r="D49" s="257" t="s">
        <v>385</v>
      </c>
      <c r="E49" s="295"/>
      <c r="F49" s="295"/>
      <c r="G49" s="295"/>
      <c r="I49" s="281"/>
      <c r="J49" s="296">
        <f t="shared" ref="J49:V49" si="20">SUM(J10:J48)</f>
        <v>371765.11</v>
      </c>
      <c r="K49" s="296">
        <f t="shared" si="20"/>
        <v>371091.99500000005</v>
      </c>
      <c r="L49" s="296">
        <f t="shared" si="20"/>
        <v>389325.74999999994</v>
      </c>
      <c r="M49" s="296">
        <f t="shared" si="20"/>
        <v>388560.35</v>
      </c>
      <c r="N49" s="296">
        <f t="shared" si="20"/>
        <v>406470.65999999992</v>
      </c>
      <c r="O49" s="296">
        <f t="shared" si="20"/>
        <v>401134.92999999993</v>
      </c>
      <c r="P49" s="296">
        <f t="shared" si="20"/>
        <v>397107.96500000003</v>
      </c>
      <c r="Q49" s="296">
        <f t="shared" si="20"/>
        <v>390788.55999999988</v>
      </c>
      <c r="R49" s="296">
        <f t="shared" si="20"/>
        <v>383426.21000000008</v>
      </c>
      <c r="S49" s="296">
        <f t="shared" si="20"/>
        <v>382909.88499999995</v>
      </c>
      <c r="T49" s="296">
        <f t="shared" si="20"/>
        <v>389123.18000000005</v>
      </c>
      <c r="U49" s="296">
        <f t="shared" si="20"/>
        <v>383351.09500000015</v>
      </c>
      <c r="V49" s="296">
        <f t="shared" si="20"/>
        <v>4655055.6900000004</v>
      </c>
      <c r="X49" s="297">
        <f t="shared" ref="X49:AJ49" si="21">+SUM(X10:X22)</f>
        <v>14825.36317499054</v>
      </c>
      <c r="Y49" s="297">
        <f t="shared" si="21"/>
        <v>14824.535364161871</v>
      </c>
      <c r="Z49" s="298">
        <f t="shared" si="21"/>
        <v>15362.054430008144</v>
      </c>
      <c r="AA49" s="298">
        <f t="shared" si="21"/>
        <v>15395.469620681602</v>
      </c>
      <c r="AB49" s="298">
        <f t="shared" si="21"/>
        <v>15919.085288287422</v>
      </c>
      <c r="AC49" s="298">
        <f t="shared" si="21"/>
        <v>15710.012027551827</v>
      </c>
      <c r="AD49" s="298">
        <f t="shared" si="21"/>
        <v>15759.822329074052</v>
      </c>
      <c r="AE49" s="298">
        <f t="shared" si="21"/>
        <v>15575.591317869883</v>
      </c>
      <c r="AF49" s="298">
        <f t="shared" si="21"/>
        <v>15284.971343423034</v>
      </c>
      <c r="AG49" s="298">
        <f t="shared" si="21"/>
        <v>15295.915548607976</v>
      </c>
      <c r="AH49" s="298">
        <f t="shared" si="21"/>
        <v>15345.394203560731</v>
      </c>
      <c r="AI49" s="298">
        <f t="shared" si="21"/>
        <v>15192.836737271773</v>
      </c>
      <c r="AJ49" s="298">
        <f t="shared" si="21"/>
        <v>15374.254282124071</v>
      </c>
      <c r="AR49" s="299">
        <f>SUM(AR10:AR48)</f>
        <v>4655055.6900000004</v>
      </c>
      <c r="AS49" s="299">
        <f>SUM(AS10:AS48)</f>
        <v>4728313.6071556471</v>
      </c>
      <c r="AT49" s="300"/>
      <c r="AU49" s="301">
        <f ca="1">SUM(AU10:AU48)</f>
        <v>4799402.5469114361</v>
      </c>
      <c r="AV49" s="299">
        <f ca="1">SUM(AV10:AV48)</f>
        <v>71088.939755787738</v>
      </c>
      <c r="AW49"/>
      <c r="AY49" s="359">
        <f t="shared" ref="AY49:AZ49" ca="1" si="22">SUM(AY10:AY48)</f>
        <v>18584.799697411432</v>
      </c>
      <c r="AZ49" s="359">
        <f t="shared" ca="1" si="22"/>
        <v>4817987.3466088455</v>
      </c>
    </row>
    <row r="50" spans="1:52">
      <c r="D50" s="257"/>
      <c r="E50" s="295"/>
      <c r="F50" s="295"/>
      <c r="G50" s="295"/>
      <c r="I50" s="281"/>
      <c r="J50" s="302"/>
      <c r="K50" s="302"/>
      <c r="L50" s="302"/>
      <c r="M50" s="302"/>
      <c r="N50" s="302"/>
      <c r="O50" s="302"/>
      <c r="P50" s="302"/>
      <c r="Q50" s="302"/>
      <c r="R50" s="302"/>
      <c r="S50" s="302"/>
      <c r="T50" s="302"/>
      <c r="U50" s="302"/>
      <c r="V50" s="302"/>
      <c r="X50" s="283"/>
      <c r="Y50" s="283"/>
      <c r="Z50" s="283"/>
      <c r="AA50" s="283"/>
      <c r="AB50" s="283"/>
      <c r="AC50" s="283"/>
      <c r="AD50" s="283"/>
      <c r="AE50" s="283"/>
      <c r="AF50" s="283"/>
      <c r="AG50" s="283"/>
      <c r="AH50" s="283"/>
      <c r="AI50" s="283"/>
      <c r="AT50" s="270"/>
      <c r="AU50" s="294"/>
      <c r="AW50"/>
    </row>
    <row r="51" spans="1:52">
      <c r="E51" s="295"/>
      <c r="F51" s="295"/>
      <c r="G51" s="295"/>
      <c r="I51" s="281"/>
      <c r="J51" s="303"/>
      <c r="K51" s="282"/>
      <c r="L51" s="282"/>
      <c r="M51" s="284"/>
      <c r="N51" s="284"/>
      <c r="O51" s="284"/>
      <c r="P51" s="284"/>
      <c r="Q51" s="284"/>
      <c r="R51" s="284"/>
      <c r="S51" s="284"/>
      <c r="T51" s="284"/>
      <c r="U51" s="284"/>
      <c r="V51" s="284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3"/>
      <c r="AT51" s="270"/>
      <c r="AU51" s="294">
        <f ca="1">+AU49*AZ2</f>
        <v>18584.799697411436</v>
      </c>
      <c r="AW51"/>
    </row>
    <row r="52" spans="1:52">
      <c r="B52" s="256">
        <f t="shared" ref="B52:B64" si="23">COUNTIF(C:C,C52)</f>
        <v>1</v>
      </c>
      <c r="C52" s="253" t="s">
        <v>386</v>
      </c>
      <c r="D52" s="253" t="s">
        <v>386</v>
      </c>
      <c r="E52" s="295"/>
      <c r="F52" s="295"/>
      <c r="G52" s="295"/>
      <c r="I52" s="281"/>
      <c r="J52" s="303"/>
      <c r="K52" s="282"/>
      <c r="L52" s="282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3"/>
      <c r="AT52" s="270"/>
      <c r="AU52" s="294"/>
      <c r="AW52"/>
    </row>
    <row r="53" spans="1:52">
      <c r="A53" s="256" t="str">
        <f t="shared" ref="A53:A64" si="24">$A$1&amp;C53</f>
        <v>MASON CO-REGULATEDDRVNRE1RECY</v>
      </c>
      <c r="B53" s="256">
        <f t="shared" si="23"/>
        <v>1</v>
      </c>
      <c r="C53" s="278" t="s">
        <v>387</v>
      </c>
      <c r="D53" s="278" t="s">
        <v>388</v>
      </c>
      <c r="E53" s="290">
        <v>2.7549999999999999</v>
      </c>
      <c r="F53" s="290">
        <v>2.7549999999999999</v>
      </c>
      <c r="G53" s="290">
        <v>2.7549999999999999</v>
      </c>
      <c r="H53" s="255">
        <v>19</v>
      </c>
      <c r="I53" s="281"/>
      <c r="J53" s="282">
        <v>342.84500000000003</v>
      </c>
      <c r="K53" s="282">
        <v>344.77</v>
      </c>
      <c r="L53" s="282">
        <v>353.57499999999999</v>
      </c>
      <c r="M53" s="282">
        <v>352.89500000000004</v>
      </c>
      <c r="N53" s="282">
        <v>356.61500000000001</v>
      </c>
      <c r="O53" s="282">
        <v>352.61500000000001</v>
      </c>
      <c r="P53" s="282">
        <v>339.27</v>
      </c>
      <c r="Q53" s="282">
        <v>330.57999999999993</v>
      </c>
      <c r="R53" s="282">
        <v>337.07499999999999</v>
      </c>
      <c r="S53" s="282">
        <v>339.55500000000001</v>
      </c>
      <c r="T53" s="282">
        <v>327.57</v>
      </c>
      <c r="U53" s="282">
        <v>322.45999999999998</v>
      </c>
      <c r="V53" s="282">
        <f t="shared" ref="V53:V64" si="25">SUM(J53:U53)</f>
        <v>4099.8249999999998</v>
      </c>
      <c r="W53" s="283"/>
      <c r="X53" s="283">
        <f t="shared" ref="X53:Z64" si="26">IFERROR(J53/$E53,0)</f>
        <v>124.44464609800364</v>
      </c>
      <c r="Y53" s="283">
        <f t="shared" si="26"/>
        <v>125.14337568058076</v>
      </c>
      <c r="Z53" s="283">
        <f t="shared" si="26"/>
        <v>128.33938294010889</v>
      </c>
      <c r="AA53" s="283">
        <f t="shared" ref="AA53:AG64" si="27">IFERROR(M53/$F53,0)</f>
        <v>128.09255898366609</v>
      </c>
      <c r="AB53" s="283">
        <f t="shared" si="27"/>
        <v>129.44283121597098</v>
      </c>
      <c r="AC53" s="283">
        <f t="shared" si="27"/>
        <v>127.99092558983666</v>
      </c>
      <c r="AD53" s="283">
        <f t="shared" si="27"/>
        <v>123.1470054446461</v>
      </c>
      <c r="AE53" s="283">
        <f t="shared" si="27"/>
        <v>119.99274047186931</v>
      </c>
      <c r="AF53" s="283">
        <f t="shared" si="27"/>
        <v>122.3502722323049</v>
      </c>
      <c r="AG53" s="283">
        <f t="shared" si="27"/>
        <v>123.25045372050818</v>
      </c>
      <c r="AH53" s="283">
        <f t="shared" ref="AH53:AI64" si="28">IFERROR(T53/$G53,0)</f>
        <v>118.90018148820327</v>
      </c>
      <c r="AI53" s="283">
        <f t="shared" si="28"/>
        <v>117.0453720508167</v>
      </c>
      <c r="AJ53" s="274">
        <f t="shared" ref="AJ53:AJ64" si="29">AVERAGE(X53:AI53)</f>
        <v>124.01164549304296</v>
      </c>
      <c r="AR53" s="284">
        <f>V53</f>
        <v>4099.8249999999998</v>
      </c>
      <c r="AS53" s="285">
        <f>G53*12*AJ53</f>
        <v>4099.8250000000007</v>
      </c>
      <c r="AT53" s="286">
        <f t="shared" ref="AT53:AT64" ca="1" si="30">+IFERROR($G53*(1+$AV$2),0)</f>
        <v>3.5136625690652896</v>
      </c>
      <c r="AU53" s="287">
        <f ca="1">AT53*12*AJ53</f>
        <v>5228.8209227651914</v>
      </c>
      <c r="AV53" s="285">
        <f ca="1">AU53-AS53</f>
        <v>1128.9959227651907</v>
      </c>
      <c r="AW53"/>
      <c r="AY53" s="358">
        <f ca="1">+AZ$3*AU53</f>
        <v>20.453738844843585</v>
      </c>
      <c r="AZ53" s="358">
        <f t="shared" ref="AZ53" ca="1" si="31">+AU53+AY53</f>
        <v>5249.2746616100349</v>
      </c>
    </row>
    <row r="54" spans="1:52">
      <c r="A54" s="256" t="str">
        <f t="shared" si="24"/>
        <v>MASON CO-REGULATEDDRVNRE1RECYMA</v>
      </c>
      <c r="B54" s="256">
        <f t="shared" si="23"/>
        <v>1</v>
      </c>
      <c r="C54" s="278" t="s">
        <v>389</v>
      </c>
      <c r="D54" s="278" t="s">
        <v>388</v>
      </c>
      <c r="E54" s="290">
        <v>1.38</v>
      </c>
      <c r="F54" s="290">
        <v>1.38</v>
      </c>
      <c r="G54" s="290">
        <v>1.38</v>
      </c>
      <c r="H54" s="255">
        <v>19</v>
      </c>
      <c r="I54" s="281"/>
      <c r="J54" s="282">
        <v>111.78</v>
      </c>
      <c r="K54" s="282">
        <v>110.4</v>
      </c>
      <c r="L54" s="282">
        <v>114.54</v>
      </c>
      <c r="M54" s="282">
        <v>110.95</v>
      </c>
      <c r="N54" s="282">
        <v>111.78</v>
      </c>
      <c r="O54" s="282">
        <v>113.16</v>
      </c>
      <c r="P54" s="282">
        <v>115.92</v>
      </c>
      <c r="Q54" s="282">
        <v>117.3</v>
      </c>
      <c r="R54" s="282">
        <v>115.92</v>
      </c>
      <c r="S54" s="282">
        <v>117.3</v>
      </c>
      <c r="T54" s="282">
        <v>118.68</v>
      </c>
      <c r="U54" s="282">
        <v>115.92</v>
      </c>
      <c r="V54" s="282">
        <f t="shared" si="25"/>
        <v>1373.65</v>
      </c>
      <c r="W54" s="283"/>
      <c r="X54" s="283">
        <f t="shared" si="26"/>
        <v>81</v>
      </c>
      <c r="Y54" s="283">
        <f t="shared" si="26"/>
        <v>80.000000000000014</v>
      </c>
      <c r="Z54" s="283">
        <f t="shared" si="26"/>
        <v>83.000000000000014</v>
      </c>
      <c r="AA54" s="283">
        <f t="shared" si="27"/>
        <v>80.398550724637687</v>
      </c>
      <c r="AB54" s="283">
        <f t="shared" si="27"/>
        <v>81</v>
      </c>
      <c r="AC54" s="283">
        <f t="shared" si="27"/>
        <v>82</v>
      </c>
      <c r="AD54" s="283">
        <f t="shared" si="27"/>
        <v>84.000000000000014</v>
      </c>
      <c r="AE54" s="283">
        <f t="shared" si="27"/>
        <v>85</v>
      </c>
      <c r="AF54" s="283">
        <f t="shared" si="27"/>
        <v>84.000000000000014</v>
      </c>
      <c r="AG54" s="283">
        <f t="shared" si="27"/>
        <v>85</v>
      </c>
      <c r="AH54" s="283">
        <f t="shared" si="28"/>
        <v>86.000000000000014</v>
      </c>
      <c r="AI54" s="283">
        <f t="shared" si="28"/>
        <v>84.000000000000014</v>
      </c>
      <c r="AJ54" s="274">
        <f t="shared" si="29"/>
        <v>82.949879227053145</v>
      </c>
      <c r="AR54" s="284">
        <f t="shared" ref="AR54:AR64" si="32">V54</f>
        <v>1373.65</v>
      </c>
      <c r="AS54" s="285">
        <f t="shared" ref="AS54:AS64" si="33">G54*12*AJ54</f>
        <v>1373.65</v>
      </c>
      <c r="AT54" s="286">
        <f t="shared" ca="1" si="30"/>
        <v>1.7600197260653718</v>
      </c>
      <c r="AU54" s="287">
        <f t="shared" ref="AU54:AU64" ca="1" si="34">AT54*12*AJ54</f>
        <v>1751.921084572245</v>
      </c>
      <c r="AV54" s="285">
        <f t="shared" ref="AV54:AV64" ca="1" si="35">AU54-AS54</f>
        <v>378.27108457224494</v>
      </c>
      <c r="AW54"/>
      <c r="AY54" s="358">
        <f t="shared" ref="AY54:AY64" ca="1" si="36">+AZ$3*AU54</f>
        <v>6.853043328488261</v>
      </c>
      <c r="AZ54" s="358">
        <f t="shared" ref="AZ54:AZ64" ca="1" si="37">+AU54+AY54</f>
        <v>1758.7741279007332</v>
      </c>
    </row>
    <row r="55" spans="1:52">
      <c r="A55" s="256" t="str">
        <f t="shared" si="24"/>
        <v>MASON CO-REGULATEDDRVNRE2RECY</v>
      </c>
      <c r="B55" s="256">
        <f t="shared" si="23"/>
        <v>1</v>
      </c>
      <c r="C55" s="278" t="s">
        <v>390</v>
      </c>
      <c r="D55" s="278" t="s">
        <v>391</v>
      </c>
      <c r="E55" s="290">
        <v>3.47</v>
      </c>
      <c r="F55" s="290">
        <v>3.47</v>
      </c>
      <c r="G55" s="290">
        <v>3.47</v>
      </c>
      <c r="H55" s="255">
        <v>19</v>
      </c>
      <c r="I55" s="281"/>
      <c r="J55" s="282">
        <v>78.929999999999993</v>
      </c>
      <c r="K55" s="282">
        <v>83.28</v>
      </c>
      <c r="L55" s="282">
        <v>88.484999999999999</v>
      </c>
      <c r="M55" s="282">
        <v>87.795000000000002</v>
      </c>
      <c r="N55" s="282">
        <v>94.385000000000005</v>
      </c>
      <c r="O55" s="282">
        <v>95.075000000000003</v>
      </c>
      <c r="P55" s="282">
        <v>94.56</v>
      </c>
      <c r="Q55" s="282">
        <v>94.56</v>
      </c>
      <c r="R55" s="282">
        <v>96.295000000000002</v>
      </c>
      <c r="S55" s="282">
        <v>85.875</v>
      </c>
      <c r="T55" s="282">
        <v>94.38</v>
      </c>
      <c r="U55" s="282">
        <v>95.77</v>
      </c>
      <c r="V55" s="282">
        <f t="shared" si="25"/>
        <v>1089.3899999999999</v>
      </c>
      <c r="W55" s="283"/>
      <c r="X55" s="283">
        <f t="shared" si="26"/>
        <v>22.746397694524493</v>
      </c>
      <c r="Y55" s="283">
        <f t="shared" si="26"/>
        <v>24</v>
      </c>
      <c r="Z55" s="283">
        <f t="shared" si="26"/>
        <v>25.5</v>
      </c>
      <c r="AA55" s="283">
        <f t="shared" si="27"/>
        <v>25.301152737752162</v>
      </c>
      <c r="AB55" s="283">
        <f t="shared" si="27"/>
        <v>27.20028818443804</v>
      </c>
      <c r="AC55" s="283">
        <f t="shared" si="27"/>
        <v>27.399135446685879</v>
      </c>
      <c r="AD55" s="283">
        <f t="shared" si="27"/>
        <v>27.250720461095099</v>
      </c>
      <c r="AE55" s="283">
        <f t="shared" si="27"/>
        <v>27.250720461095099</v>
      </c>
      <c r="AF55" s="283">
        <f t="shared" si="27"/>
        <v>27.750720461095099</v>
      </c>
      <c r="AG55" s="283">
        <f t="shared" si="27"/>
        <v>24.747838616714695</v>
      </c>
      <c r="AH55" s="283">
        <f t="shared" si="28"/>
        <v>27.198847262247835</v>
      </c>
      <c r="AI55" s="283">
        <f t="shared" si="28"/>
        <v>27.599423631123916</v>
      </c>
      <c r="AJ55" s="274">
        <f t="shared" si="29"/>
        <v>26.162103746397694</v>
      </c>
      <c r="AR55" s="284">
        <f t="shared" si="32"/>
        <v>1089.3899999999999</v>
      </c>
      <c r="AS55" s="285">
        <f t="shared" si="33"/>
        <v>1089.3900000000001</v>
      </c>
      <c r="AT55" s="286">
        <f t="shared" ca="1" si="30"/>
        <v>4.4255568474252476</v>
      </c>
      <c r="AU55" s="287">
        <f t="shared" ca="1" si="34"/>
        <v>1389.3825285350404</v>
      </c>
      <c r="AV55" s="285">
        <f t="shared" ca="1" si="35"/>
        <v>299.99252853504026</v>
      </c>
      <c r="AW55"/>
      <c r="AY55" s="358">
        <f t="shared" ca="1" si="36"/>
        <v>5.4348901624298964</v>
      </c>
      <c r="AZ55" s="358">
        <f t="shared" ca="1" si="37"/>
        <v>1394.8174186974702</v>
      </c>
    </row>
    <row r="56" spans="1:52">
      <c r="A56" s="256" t="str">
        <f t="shared" si="24"/>
        <v>MASON CO-REGULATEDDRVNRE2RECYMA</v>
      </c>
      <c r="B56" s="256">
        <f t="shared" si="23"/>
        <v>1</v>
      </c>
      <c r="C56" s="278" t="s">
        <v>392</v>
      </c>
      <c r="D56" s="278" t="s">
        <v>391</v>
      </c>
      <c r="E56" s="290">
        <v>1.7350000000000001</v>
      </c>
      <c r="F56" s="290">
        <v>1.7350000000000001</v>
      </c>
      <c r="G56" s="290">
        <v>1.7350000000000001</v>
      </c>
      <c r="H56" s="255">
        <v>19</v>
      </c>
      <c r="I56" s="281"/>
      <c r="J56" s="282">
        <v>19.085000000000001</v>
      </c>
      <c r="K56" s="282">
        <v>19.085000000000001</v>
      </c>
      <c r="L56" s="282">
        <v>19.085000000000001</v>
      </c>
      <c r="M56" s="282">
        <v>19.085000000000001</v>
      </c>
      <c r="N56" s="282">
        <v>19.085000000000001</v>
      </c>
      <c r="O56" s="282">
        <v>19.085000000000001</v>
      </c>
      <c r="P56" s="282">
        <v>19.085000000000001</v>
      </c>
      <c r="Q56" s="282">
        <v>19.085000000000001</v>
      </c>
      <c r="R56" s="282">
        <v>18.045000000000002</v>
      </c>
      <c r="S56" s="282">
        <v>18.045000000000002</v>
      </c>
      <c r="T56" s="282">
        <v>17.350000000000001</v>
      </c>
      <c r="U56" s="282">
        <v>17.350000000000001</v>
      </c>
      <c r="V56" s="282">
        <f t="shared" si="25"/>
        <v>223.47000000000003</v>
      </c>
      <c r="W56" s="283"/>
      <c r="X56" s="283">
        <f t="shared" si="26"/>
        <v>11</v>
      </c>
      <c r="Y56" s="283">
        <f t="shared" si="26"/>
        <v>11</v>
      </c>
      <c r="Z56" s="283">
        <f t="shared" si="26"/>
        <v>11</v>
      </c>
      <c r="AA56" s="283">
        <f t="shared" si="27"/>
        <v>11</v>
      </c>
      <c r="AB56" s="283">
        <f t="shared" si="27"/>
        <v>11</v>
      </c>
      <c r="AC56" s="283">
        <f t="shared" si="27"/>
        <v>11</v>
      </c>
      <c r="AD56" s="283">
        <f t="shared" si="27"/>
        <v>11</v>
      </c>
      <c r="AE56" s="283">
        <f t="shared" si="27"/>
        <v>11</v>
      </c>
      <c r="AF56" s="283">
        <f t="shared" si="27"/>
        <v>10.400576368876081</v>
      </c>
      <c r="AG56" s="283">
        <f t="shared" si="27"/>
        <v>10.400576368876081</v>
      </c>
      <c r="AH56" s="283">
        <f t="shared" si="28"/>
        <v>10</v>
      </c>
      <c r="AI56" s="283">
        <f t="shared" si="28"/>
        <v>10</v>
      </c>
      <c r="AJ56" s="274">
        <f t="shared" si="29"/>
        <v>10.73342939481268</v>
      </c>
      <c r="AR56" s="284">
        <f t="shared" si="32"/>
        <v>223.47000000000003</v>
      </c>
      <c r="AS56" s="285">
        <f t="shared" si="33"/>
        <v>223.47</v>
      </c>
      <c r="AT56" s="286">
        <f t="shared" ca="1" si="30"/>
        <v>2.2127784237126238</v>
      </c>
      <c r="AU56" s="287">
        <f t="shared" ca="1" si="34"/>
        <v>285.00841172741207</v>
      </c>
      <c r="AV56" s="285">
        <f t="shared" ca="1" si="35"/>
        <v>61.538411727412068</v>
      </c>
      <c r="AW56"/>
      <c r="AY56" s="358">
        <f t="shared" ca="1" si="36"/>
        <v>1.1148761275559798</v>
      </c>
      <c r="AZ56" s="358">
        <f t="shared" ca="1" si="37"/>
        <v>286.12328785496805</v>
      </c>
    </row>
    <row r="57" spans="1:52">
      <c r="A57" s="256" t="str">
        <f t="shared" si="24"/>
        <v>MASON CO-REGULATEDDRVNRM1RECYMA</v>
      </c>
      <c r="B57" s="256">
        <f t="shared" si="23"/>
        <v>1</v>
      </c>
      <c r="C57" s="278" t="s">
        <v>393</v>
      </c>
      <c r="D57" s="278" t="s">
        <v>394</v>
      </c>
      <c r="E57" s="290">
        <v>1.27</v>
      </c>
      <c r="F57" s="290">
        <v>1.27</v>
      </c>
      <c r="G57" s="290">
        <v>1.27</v>
      </c>
      <c r="H57" s="255">
        <v>19</v>
      </c>
      <c r="I57" s="281"/>
      <c r="J57" s="282">
        <v>1.1000000000000001</v>
      </c>
      <c r="K57" s="282">
        <v>1.1000000000000001</v>
      </c>
      <c r="L57" s="282">
        <v>1.1000000000000001</v>
      </c>
      <c r="M57" s="282">
        <v>1.1000000000000001</v>
      </c>
      <c r="N57" s="282">
        <v>1.1000000000000001</v>
      </c>
      <c r="O57" s="282">
        <v>1.1000000000000001</v>
      </c>
      <c r="P57" s="282">
        <v>1.1000000000000001</v>
      </c>
      <c r="Q57" s="282">
        <v>1.1000000000000001</v>
      </c>
      <c r="R57" s="282">
        <v>1.1000000000000001</v>
      </c>
      <c r="S57" s="282">
        <v>1.1000000000000001</v>
      </c>
      <c r="T57" s="282">
        <v>1.1000000000000001</v>
      </c>
      <c r="U57" s="282">
        <v>1.1000000000000001</v>
      </c>
      <c r="V57" s="282">
        <f t="shared" si="25"/>
        <v>13.199999999999998</v>
      </c>
      <c r="W57" s="283"/>
      <c r="X57" s="283">
        <f t="shared" si="26"/>
        <v>0.86614173228346458</v>
      </c>
      <c r="Y57" s="283">
        <f t="shared" si="26"/>
        <v>0.86614173228346458</v>
      </c>
      <c r="Z57" s="283">
        <f t="shared" si="26"/>
        <v>0.86614173228346458</v>
      </c>
      <c r="AA57" s="283">
        <f t="shared" si="27"/>
        <v>0.86614173228346458</v>
      </c>
      <c r="AB57" s="283">
        <f t="shared" si="27"/>
        <v>0.86614173228346458</v>
      </c>
      <c r="AC57" s="283">
        <f t="shared" si="27"/>
        <v>0.86614173228346458</v>
      </c>
      <c r="AD57" s="283">
        <f t="shared" si="27"/>
        <v>0.86614173228346458</v>
      </c>
      <c r="AE57" s="283">
        <f t="shared" si="27"/>
        <v>0.86614173228346458</v>
      </c>
      <c r="AF57" s="283">
        <f t="shared" si="27"/>
        <v>0.86614173228346458</v>
      </c>
      <c r="AG57" s="283">
        <f t="shared" si="27"/>
        <v>0.86614173228346458</v>
      </c>
      <c r="AH57" s="283">
        <f t="shared" si="28"/>
        <v>0.86614173228346458</v>
      </c>
      <c r="AI57" s="283">
        <f t="shared" si="28"/>
        <v>0.86614173228346458</v>
      </c>
      <c r="AJ57" s="274">
        <f t="shared" si="29"/>
        <v>0.86614173228346469</v>
      </c>
      <c r="AR57" s="284">
        <f t="shared" si="32"/>
        <v>13.199999999999998</v>
      </c>
      <c r="AS57" s="285">
        <f t="shared" si="33"/>
        <v>13.200000000000003</v>
      </c>
      <c r="AT57" s="286">
        <f t="shared" ca="1" si="30"/>
        <v>1.6197282986253785</v>
      </c>
      <c r="AU57" s="287">
        <f t="shared" ca="1" si="34"/>
        <v>16.83497129279921</v>
      </c>
      <c r="AV57" s="285">
        <f t="shared" ca="1" si="35"/>
        <v>3.6349712927992073</v>
      </c>
      <c r="AW57"/>
      <c r="AY57" s="358">
        <f t="shared" ca="1" si="36"/>
        <v>6.5853872482834086E-2</v>
      </c>
      <c r="AZ57" s="358">
        <f t="shared" ca="1" si="37"/>
        <v>16.900825165282043</v>
      </c>
    </row>
    <row r="58" spans="1:52">
      <c r="A58" s="256" t="str">
        <f>$A$1&amp;C58</f>
        <v>MASON CO-REGULATEDRECYONLY</v>
      </c>
      <c r="B58" s="256">
        <f t="shared" si="23"/>
        <v>1</v>
      </c>
      <c r="C58" s="278" t="s">
        <v>395</v>
      </c>
      <c r="D58" s="278" t="s">
        <v>396</v>
      </c>
      <c r="E58" s="290">
        <v>9.57</v>
      </c>
      <c r="F58" s="290">
        <v>9.5399999999999991</v>
      </c>
      <c r="G58" s="290">
        <v>9.5399999999999991</v>
      </c>
      <c r="H58" s="255">
        <v>21</v>
      </c>
      <c r="I58" s="281"/>
      <c r="J58" s="282">
        <v>593.33000000000004</v>
      </c>
      <c r="K58" s="282">
        <v>588.54500000000007</v>
      </c>
      <c r="L58" s="282">
        <v>581.43000000000006</v>
      </c>
      <c r="M58" s="282">
        <v>591.93500000000006</v>
      </c>
      <c r="N58" s="282">
        <v>601.97</v>
      </c>
      <c r="O58" s="282">
        <v>589.56500000000005</v>
      </c>
      <c r="P58" s="282">
        <v>585.28000000000009</v>
      </c>
      <c r="Q58" s="282">
        <v>573.82500000000005</v>
      </c>
      <c r="R58" s="282">
        <v>572.4</v>
      </c>
      <c r="S58" s="282">
        <v>565.87</v>
      </c>
      <c r="T58" s="282">
        <v>566.67499999999995</v>
      </c>
      <c r="U58" s="282">
        <v>561.90499999999997</v>
      </c>
      <c r="V58" s="282">
        <f>SUM(J58:U58)</f>
        <v>6972.73</v>
      </c>
      <c r="W58" s="283"/>
      <c r="X58" s="283">
        <f>IFERROR(J58/$E58,0)</f>
        <v>61.998955067920591</v>
      </c>
      <c r="Y58" s="283">
        <f>IFERROR(K58/$E58,0)</f>
        <v>61.498955067920591</v>
      </c>
      <c r="Z58" s="283">
        <f>IFERROR(L58/$E58,0)</f>
        <v>60.755485893416932</v>
      </c>
      <c r="AA58" s="283">
        <f t="shared" si="27"/>
        <v>62.047693920335441</v>
      </c>
      <c r="AB58" s="283">
        <f t="shared" si="27"/>
        <v>63.099580712788267</v>
      </c>
      <c r="AC58" s="283">
        <f t="shared" si="27"/>
        <v>61.799266247379464</v>
      </c>
      <c r="AD58" s="283">
        <f t="shared" si="27"/>
        <v>61.350104821802951</v>
      </c>
      <c r="AE58" s="283">
        <f t="shared" si="27"/>
        <v>60.149371069182401</v>
      </c>
      <c r="AF58" s="283">
        <f t="shared" si="27"/>
        <v>60</v>
      </c>
      <c r="AG58" s="283">
        <f t="shared" si="27"/>
        <v>59.315513626834388</v>
      </c>
      <c r="AH58" s="283">
        <f>IFERROR(T58/$G58,0)</f>
        <v>59.399895178197063</v>
      </c>
      <c r="AI58" s="283">
        <f>IFERROR(U58/$G58,0)</f>
        <v>58.89989517819707</v>
      </c>
      <c r="AJ58" s="274">
        <f>AVERAGE(X58:AI58)</f>
        <v>60.859559731997933</v>
      </c>
      <c r="AL58" s="256">
        <v>96</v>
      </c>
      <c r="AO58" s="256">
        <v>1</v>
      </c>
      <c r="AP58" s="283">
        <f>+AJ58*AO58</f>
        <v>60.859559731997933</v>
      </c>
      <c r="AQ58" s="283"/>
      <c r="AR58" s="284">
        <f t="shared" si="32"/>
        <v>6972.73</v>
      </c>
      <c r="AS58" s="285">
        <f t="shared" si="33"/>
        <v>6967.2023981191223</v>
      </c>
      <c r="AT58" s="286">
        <f t="shared" ca="1" si="30"/>
        <v>12.167092888886701</v>
      </c>
      <c r="AU58" s="287">
        <f t="shared" ca="1" si="34"/>
        <v>8885.8069972316098</v>
      </c>
      <c r="AV58" s="285">
        <f t="shared" ca="1" si="35"/>
        <v>1918.6045991124874</v>
      </c>
      <c r="AW58"/>
      <c r="AY58" s="358">
        <f t="shared" ca="1" si="36"/>
        <v>34.758883203623682</v>
      </c>
      <c r="AZ58" s="358">
        <f t="shared" ca="1" si="37"/>
        <v>8920.5658804352333</v>
      </c>
    </row>
    <row r="59" spans="1:52">
      <c r="A59" s="256" t="str">
        <f t="shared" si="24"/>
        <v>MASON CO-REGULATEDRECYR</v>
      </c>
      <c r="B59" s="256">
        <f t="shared" si="23"/>
        <v>1</v>
      </c>
      <c r="C59" s="278" t="s">
        <v>397</v>
      </c>
      <c r="D59" s="278" t="s">
        <v>398</v>
      </c>
      <c r="E59" s="290">
        <v>9.02</v>
      </c>
      <c r="F59" s="290">
        <v>9</v>
      </c>
      <c r="G59" s="290">
        <v>9</v>
      </c>
      <c r="H59" s="255">
        <v>21</v>
      </c>
      <c r="I59" s="281"/>
      <c r="J59" s="282">
        <v>132654.44000000003</v>
      </c>
      <c r="K59" s="282">
        <v>132985.94999999998</v>
      </c>
      <c r="L59" s="282">
        <v>137589.83499999999</v>
      </c>
      <c r="M59" s="282">
        <v>137690.78999999998</v>
      </c>
      <c r="N59" s="282">
        <v>142180.02499999999</v>
      </c>
      <c r="O59" s="282">
        <v>140879.27500000002</v>
      </c>
      <c r="P59" s="282">
        <v>140802.79</v>
      </c>
      <c r="Q59" s="282">
        <v>139516.09999999998</v>
      </c>
      <c r="R59" s="282">
        <v>137000.25</v>
      </c>
      <c r="S59" s="282">
        <v>136666.43</v>
      </c>
      <c r="T59" s="282">
        <v>137030.74</v>
      </c>
      <c r="U59" s="282">
        <v>135981.80000000002</v>
      </c>
      <c r="V59" s="282">
        <f t="shared" si="25"/>
        <v>1650978.425</v>
      </c>
      <c r="W59" s="283"/>
      <c r="X59" s="283">
        <f t="shared" si="26"/>
        <v>14706.700665188475</v>
      </c>
      <c r="Y59" s="283">
        <f t="shared" si="26"/>
        <v>14743.453436807094</v>
      </c>
      <c r="Z59" s="283">
        <f t="shared" si="26"/>
        <v>15253.861973392461</v>
      </c>
      <c r="AA59" s="283">
        <f t="shared" si="27"/>
        <v>15298.976666666664</v>
      </c>
      <c r="AB59" s="283">
        <f t="shared" si="27"/>
        <v>15797.780555555555</v>
      </c>
      <c r="AC59" s="283">
        <f t="shared" si="27"/>
        <v>15653.25277777778</v>
      </c>
      <c r="AD59" s="283">
        <f t="shared" si="27"/>
        <v>15644.754444444445</v>
      </c>
      <c r="AE59" s="283">
        <f t="shared" si="27"/>
        <v>15501.788888888887</v>
      </c>
      <c r="AF59" s="283">
        <f t="shared" si="27"/>
        <v>15222.25</v>
      </c>
      <c r="AG59" s="283">
        <f t="shared" si="27"/>
        <v>15185.158888888887</v>
      </c>
      <c r="AH59" s="283">
        <f t="shared" si="28"/>
        <v>15225.637777777776</v>
      </c>
      <c r="AI59" s="283">
        <f t="shared" si="28"/>
        <v>15109.088888888891</v>
      </c>
      <c r="AJ59" s="274">
        <f t="shared" si="29"/>
        <v>15278.558747023077</v>
      </c>
      <c r="AL59" s="256">
        <v>96</v>
      </c>
      <c r="AO59" s="256">
        <v>1</v>
      </c>
      <c r="AP59" s="283">
        <f>+AJ59*AO59</f>
        <v>15278.558747023077</v>
      </c>
      <c r="AQ59" s="283"/>
      <c r="AR59" s="284">
        <f t="shared" si="32"/>
        <v>1650978.425</v>
      </c>
      <c r="AS59" s="285">
        <f t="shared" si="33"/>
        <v>1650084.3446784923</v>
      </c>
      <c r="AT59" s="286">
        <f t="shared" ca="1" si="30"/>
        <v>11.478389517817643</v>
      </c>
      <c r="AU59" s="287">
        <f t="shared" ca="1" si="34"/>
        <v>2104478.9828302888</v>
      </c>
      <c r="AV59" s="285">
        <f t="shared" ca="1" si="35"/>
        <v>454394.63815179653</v>
      </c>
      <c r="AW59"/>
      <c r="AY59" s="358">
        <f t="shared" ca="1" si="36"/>
        <v>8232.1548500286572</v>
      </c>
      <c r="AZ59" s="358">
        <f t="shared" ca="1" si="37"/>
        <v>2112711.1376803173</v>
      </c>
    </row>
    <row r="60" spans="1:52">
      <c r="A60" s="304" t="str">
        <f t="shared" si="24"/>
        <v>MASON CO-REGULATEDRECYCRMA</v>
      </c>
      <c r="B60" s="304">
        <f t="shared" si="23"/>
        <v>1</v>
      </c>
      <c r="C60" s="278" t="s">
        <v>399</v>
      </c>
      <c r="D60" s="305" t="s">
        <v>400</v>
      </c>
      <c r="E60" s="306">
        <v>9.02</v>
      </c>
      <c r="F60" s="290">
        <v>9</v>
      </c>
      <c r="G60" s="290">
        <v>9</v>
      </c>
      <c r="H60" s="255">
        <v>21</v>
      </c>
      <c r="I60" s="307"/>
      <c r="J60" s="308">
        <v>5951.69</v>
      </c>
      <c r="K60" s="308">
        <v>5964.4699999999993</v>
      </c>
      <c r="L60" s="308">
        <v>6044.0450000000001</v>
      </c>
      <c r="M60" s="308">
        <v>6121.7950000000001</v>
      </c>
      <c r="N60" s="308">
        <v>6222</v>
      </c>
      <c r="O60" s="308">
        <v>6166.2</v>
      </c>
      <c r="P60" s="308">
        <v>6315.2999999999993</v>
      </c>
      <c r="Q60" s="308">
        <v>6198.75</v>
      </c>
      <c r="R60" s="308">
        <v>6285.6</v>
      </c>
      <c r="S60" s="308">
        <v>6126.99</v>
      </c>
      <c r="T60" s="308">
        <v>6181.5</v>
      </c>
      <c r="U60" s="308">
        <v>6174</v>
      </c>
      <c r="V60" s="308">
        <f t="shared" si="25"/>
        <v>73752.34</v>
      </c>
      <c r="W60" s="309"/>
      <c r="X60" s="309">
        <f t="shared" si="26"/>
        <v>659.8325942350333</v>
      </c>
      <c r="Y60" s="309">
        <f t="shared" si="26"/>
        <v>661.24944567627495</v>
      </c>
      <c r="Z60" s="309">
        <f t="shared" si="26"/>
        <v>670.0715077605322</v>
      </c>
      <c r="AA60" s="309">
        <f t="shared" si="27"/>
        <v>680.19944444444445</v>
      </c>
      <c r="AB60" s="309">
        <f t="shared" si="27"/>
        <v>691.33333333333337</v>
      </c>
      <c r="AC60" s="309">
        <f t="shared" si="27"/>
        <v>685.13333333333333</v>
      </c>
      <c r="AD60" s="309">
        <f t="shared" si="27"/>
        <v>701.69999999999993</v>
      </c>
      <c r="AE60" s="309">
        <f t="shared" si="27"/>
        <v>688.75</v>
      </c>
      <c r="AF60" s="309">
        <f t="shared" si="27"/>
        <v>698.40000000000009</v>
      </c>
      <c r="AG60" s="309">
        <f t="shared" si="27"/>
        <v>680.77666666666664</v>
      </c>
      <c r="AH60" s="309">
        <f t="shared" si="28"/>
        <v>686.83333333333337</v>
      </c>
      <c r="AI60" s="309">
        <f t="shared" si="28"/>
        <v>686</v>
      </c>
      <c r="AJ60" s="274">
        <f t="shared" si="29"/>
        <v>682.52330489857934</v>
      </c>
      <c r="AK60" s="304"/>
      <c r="AL60" s="304">
        <v>96</v>
      </c>
      <c r="AM60" s="304"/>
      <c r="AN60" s="304"/>
      <c r="AO60" s="304">
        <v>1</v>
      </c>
      <c r="AP60" s="283">
        <f>+AJ60*AO60</f>
        <v>682.52330489857934</v>
      </c>
      <c r="AQ60" s="309"/>
      <c r="AR60" s="284">
        <f t="shared" si="32"/>
        <v>73752.34</v>
      </c>
      <c r="AS60" s="285">
        <f t="shared" si="33"/>
        <v>73712.516929046571</v>
      </c>
      <c r="AT60" s="286">
        <f t="shared" ca="1" si="30"/>
        <v>11.478389517817643</v>
      </c>
      <c r="AU60" s="287">
        <f t="shared" ca="1" si="34"/>
        <v>94011.220183369282</v>
      </c>
      <c r="AV60" s="285">
        <f t="shared" ca="1" si="35"/>
        <v>20298.703254322711</v>
      </c>
      <c r="AW60"/>
      <c r="AY60" s="358">
        <f t="shared" ca="1" si="36"/>
        <v>367.74656744198342</v>
      </c>
      <c r="AZ60" s="358">
        <f t="shared" ca="1" si="37"/>
        <v>94378.966750811262</v>
      </c>
    </row>
    <row r="61" spans="1:52">
      <c r="A61" s="256" t="str">
        <f t="shared" si="24"/>
        <v>MASON CO-REGULATEDRECYRNB</v>
      </c>
      <c r="B61" s="256">
        <f t="shared" si="23"/>
        <v>1</v>
      </c>
      <c r="C61" s="278" t="s">
        <v>401</v>
      </c>
      <c r="D61" s="278" t="s">
        <v>402</v>
      </c>
      <c r="E61" s="290">
        <v>9.02</v>
      </c>
      <c r="F61" s="290">
        <v>9</v>
      </c>
      <c r="G61" s="290">
        <v>9</v>
      </c>
      <c r="H61" s="255">
        <v>21</v>
      </c>
      <c r="I61" s="281"/>
      <c r="J61" s="282">
        <v>63.14</v>
      </c>
      <c r="K61" s="282">
        <v>67.650000000000006</v>
      </c>
      <c r="L61" s="282">
        <v>76.59</v>
      </c>
      <c r="M61" s="282">
        <v>74.33</v>
      </c>
      <c r="N61" s="282">
        <v>83.25</v>
      </c>
      <c r="O61" s="282">
        <v>81</v>
      </c>
      <c r="P61" s="282">
        <v>65.25</v>
      </c>
      <c r="Q61" s="282">
        <v>65.25</v>
      </c>
      <c r="R61" s="282">
        <v>63</v>
      </c>
      <c r="S61" s="282">
        <v>63</v>
      </c>
      <c r="T61" s="282">
        <v>63</v>
      </c>
      <c r="U61" s="282">
        <v>63</v>
      </c>
      <c r="V61" s="282">
        <f t="shared" si="25"/>
        <v>828.46</v>
      </c>
      <c r="W61" s="283"/>
      <c r="X61" s="283">
        <f t="shared" si="26"/>
        <v>7</v>
      </c>
      <c r="Y61" s="283">
        <f t="shared" si="26"/>
        <v>7.5000000000000009</v>
      </c>
      <c r="Z61" s="283">
        <f t="shared" si="26"/>
        <v>8.491130820399114</v>
      </c>
      <c r="AA61" s="283">
        <f t="shared" si="27"/>
        <v>8.2588888888888885</v>
      </c>
      <c r="AB61" s="283">
        <f t="shared" si="27"/>
        <v>9.25</v>
      </c>
      <c r="AC61" s="283">
        <f t="shared" si="27"/>
        <v>9</v>
      </c>
      <c r="AD61" s="283">
        <f t="shared" si="27"/>
        <v>7.25</v>
      </c>
      <c r="AE61" s="283">
        <f t="shared" si="27"/>
        <v>7.25</v>
      </c>
      <c r="AF61" s="283">
        <f t="shared" si="27"/>
        <v>7</v>
      </c>
      <c r="AG61" s="283">
        <f t="shared" si="27"/>
        <v>7</v>
      </c>
      <c r="AH61" s="283">
        <f t="shared" si="28"/>
        <v>7</v>
      </c>
      <c r="AI61" s="283">
        <f t="shared" si="28"/>
        <v>7</v>
      </c>
      <c r="AJ61" s="274">
        <f t="shared" si="29"/>
        <v>7.666668309107334</v>
      </c>
      <c r="AR61" s="284">
        <f t="shared" si="32"/>
        <v>828.46</v>
      </c>
      <c r="AS61" s="285">
        <f t="shared" si="33"/>
        <v>828.00017738359202</v>
      </c>
      <c r="AT61" s="286">
        <f t="shared" ca="1" si="30"/>
        <v>11.478389517817643</v>
      </c>
      <c r="AU61" s="287">
        <f t="shared" ca="1" si="34"/>
        <v>1056.012061870108</v>
      </c>
      <c r="AV61" s="285">
        <f t="shared" ca="1" si="35"/>
        <v>228.01188448651601</v>
      </c>
      <c r="AW61"/>
      <c r="AY61" s="358">
        <f t="shared" ca="1" si="36"/>
        <v>4.1308347043320515</v>
      </c>
      <c r="AZ61" s="358">
        <f t="shared" ca="1" si="37"/>
        <v>1060.1428965744401</v>
      </c>
    </row>
    <row r="62" spans="1:52">
      <c r="A62" s="256" t="str">
        <f t="shared" si="24"/>
        <v>MASON CO-REGULATEDRECYRNBMA</v>
      </c>
      <c r="B62" s="256">
        <f t="shared" si="23"/>
        <v>1</v>
      </c>
      <c r="C62" s="278" t="s">
        <v>403</v>
      </c>
      <c r="D62" s="278" t="s">
        <v>404</v>
      </c>
      <c r="E62" s="290">
        <v>9.02</v>
      </c>
      <c r="F62" s="290">
        <v>9</v>
      </c>
      <c r="G62" s="290">
        <v>9</v>
      </c>
      <c r="H62" s="255">
        <v>21</v>
      </c>
      <c r="I62" s="281"/>
      <c r="J62" s="282">
        <v>9.02</v>
      </c>
      <c r="K62" s="282">
        <v>9.02</v>
      </c>
      <c r="L62" s="282">
        <v>18.04</v>
      </c>
      <c r="M62" s="282">
        <v>9</v>
      </c>
      <c r="N62" s="282">
        <v>13.5</v>
      </c>
      <c r="O62" s="282">
        <v>9</v>
      </c>
      <c r="P62" s="282">
        <v>9</v>
      </c>
      <c r="Q62" s="282">
        <v>18</v>
      </c>
      <c r="R62" s="282">
        <v>18</v>
      </c>
      <c r="S62" s="282">
        <v>9</v>
      </c>
      <c r="T62" s="282">
        <v>0</v>
      </c>
      <c r="U62" s="282">
        <v>0</v>
      </c>
      <c r="V62" s="282">
        <f t="shared" si="25"/>
        <v>121.58</v>
      </c>
      <c r="W62" s="283"/>
      <c r="X62" s="283">
        <f t="shared" si="26"/>
        <v>1</v>
      </c>
      <c r="Y62" s="283">
        <f t="shared" si="26"/>
        <v>1</v>
      </c>
      <c r="Z62" s="283">
        <f t="shared" si="26"/>
        <v>2</v>
      </c>
      <c r="AA62" s="283">
        <f t="shared" si="27"/>
        <v>1</v>
      </c>
      <c r="AB62" s="283">
        <f t="shared" si="27"/>
        <v>1.5</v>
      </c>
      <c r="AC62" s="283">
        <f t="shared" si="27"/>
        <v>1</v>
      </c>
      <c r="AD62" s="283">
        <f t="shared" si="27"/>
        <v>1</v>
      </c>
      <c r="AE62" s="283">
        <f t="shared" si="27"/>
        <v>2</v>
      </c>
      <c r="AF62" s="283">
        <f t="shared" si="27"/>
        <v>2</v>
      </c>
      <c r="AG62" s="283">
        <f t="shared" si="27"/>
        <v>1</v>
      </c>
      <c r="AH62" s="283">
        <f t="shared" si="28"/>
        <v>0</v>
      </c>
      <c r="AI62" s="283">
        <f t="shared" si="28"/>
        <v>0</v>
      </c>
      <c r="AJ62" s="274">
        <f t="shared" si="29"/>
        <v>1.125</v>
      </c>
      <c r="AR62" s="284">
        <f t="shared" si="32"/>
        <v>121.58</v>
      </c>
      <c r="AS62" s="285">
        <f t="shared" si="33"/>
        <v>121.5</v>
      </c>
      <c r="AT62" s="286">
        <f t="shared" ca="1" si="30"/>
        <v>11.478389517817643</v>
      </c>
      <c r="AU62" s="287">
        <f t="shared" ca="1" si="34"/>
        <v>154.95825849053816</v>
      </c>
      <c r="AV62" s="285">
        <f t="shared" ca="1" si="35"/>
        <v>33.458258490538157</v>
      </c>
      <c r="AW62"/>
      <c r="AY62" s="358">
        <f t="shared" ca="1" si="36"/>
        <v>0.60615496262608637</v>
      </c>
      <c r="AZ62" s="358">
        <f t="shared" ca="1" si="37"/>
        <v>155.56441345316424</v>
      </c>
    </row>
    <row r="63" spans="1:52">
      <c r="A63" s="256" t="str">
        <f t="shared" si="24"/>
        <v>MASON CO-REGULATEDREDELIVERRECY</v>
      </c>
      <c r="B63" s="256">
        <f t="shared" si="23"/>
        <v>1</v>
      </c>
      <c r="C63" s="278" t="s">
        <v>405</v>
      </c>
      <c r="D63" s="278" t="s">
        <v>404</v>
      </c>
      <c r="E63" s="290">
        <v>19.46</v>
      </c>
      <c r="F63" s="290">
        <v>19.41</v>
      </c>
      <c r="G63" s="290">
        <v>19.41</v>
      </c>
      <c r="H63" s="255">
        <v>15</v>
      </c>
      <c r="I63" s="281"/>
      <c r="J63" s="282">
        <v>77.84</v>
      </c>
      <c r="K63" s="282">
        <v>136.22</v>
      </c>
      <c r="L63" s="282">
        <v>214.06</v>
      </c>
      <c r="M63" s="282">
        <v>213.46</v>
      </c>
      <c r="N63" s="282">
        <v>194.1</v>
      </c>
      <c r="O63" s="282">
        <v>135.87</v>
      </c>
      <c r="P63" s="282">
        <v>194.1</v>
      </c>
      <c r="Q63" s="282">
        <v>116.46</v>
      </c>
      <c r="R63" s="282">
        <v>116.46</v>
      </c>
      <c r="S63" s="282">
        <v>97.05</v>
      </c>
      <c r="T63" s="282">
        <v>97.05</v>
      </c>
      <c r="U63" s="282">
        <v>77.64</v>
      </c>
      <c r="V63" s="282">
        <f t="shared" si="25"/>
        <v>1670.3100000000002</v>
      </c>
      <c r="W63" s="283"/>
      <c r="X63" s="283">
        <f t="shared" si="26"/>
        <v>4</v>
      </c>
      <c r="Y63" s="283">
        <f t="shared" si="26"/>
        <v>7</v>
      </c>
      <c r="Z63" s="283">
        <f t="shared" si="26"/>
        <v>11</v>
      </c>
      <c r="AA63" s="283">
        <f t="shared" si="27"/>
        <v>10.997424008243174</v>
      </c>
      <c r="AB63" s="283">
        <f t="shared" si="27"/>
        <v>10</v>
      </c>
      <c r="AC63" s="283">
        <f t="shared" si="27"/>
        <v>7</v>
      </c>
      <c r="AD63" s="283">
        <f t="shared" si="27"/>
        <v>10</v>
      </c>
      <c r="AE63" s="283">
        <f t="shared" si="27"/>
        <v>6</v>
      </c>
      <c r="AF63" s="283">
        <f t="shared" si="27"/>
        <v>6</v>
      </c>
      <c r="AG63" s="283">
        <f t="shared" si="27"/>
        <v>5</v>
      </c>
      <c r="AH63" s="283">
        <f t="shared" si="28"/>
        <v>5</v>
      </c>
      <c r="AI63" s="283">
        <f t="shared" si="28"/>
        <v>4</v>
      </c>
      <c r="AJ63" s="274">
        <f t="shared" si="29"/>
        <v>7.166452000686931</v>
      </c>
      <c r="AR63" s="284">
        <f t="shared" si="32"/>
        <v>1670.3100000000002</v>
      </c>
      <c r="AS63" s="285">
        <f t="shared" si="33"/>
        <v>1669.21</v>
      </c>
      <c r="AT63" s="286">
        <f t="shared" ca="1" si="30"/>
        <v>24.755060060093385</v>
      </c>
      <c r="AU63" s="287">
        <f t="shared" ca="1" si="34"/>
        <v>2128.8713963373766</v>
      </c>
      <c r="AV63" s="285">
        <f t="shared" ca="1" si="35"/>
        <v>459.66139633737657</v>
      </c>
      <c r="AW63"/>
      <c r="AY63" s="358">
        <f t="shared" ca="1" si="36"/>
        <v>8.3275714005357191</v>
      </c>
      <c r="AZ63" s="358">
        <f t="shared" ca="1" si="37"/>
        <v>2137.1989677379124</v>
      </c>
    </row>
    <row r="64" spans="1:52">
      <c r="A64" s="256" t="str">
        <f t="shared" si="24"/>
        <v>MASON CO-REGULATEDRESTARTRECY</v>
      </c>
      <c r="B64" s="256">
        <f t="shared" si="23"/>
        <v>1</v>
      </c>
      <c r="C64" s="278" t="s">
        <v>406</v>
      </c>
      <c r="D64" s="278" t="s">
        <v>404</v>
      </c>
      <c r="E64" s="290">
        <v>6.1</v>
      </c>
      <c r="F64" s="290">
        <v>6.1</v>
      </c>
      <c r="G64" s="290">
        <v>6.08</v>
      </c>
      <c r="H64" s="255">
        <v>15</v>
      </c>
      <c r="I64" s="281"/>
      <c r="J64" s="282">
        <v>18.299999999999997</v>
      </c>
      <c r="K64" s="282">
        <v>567.29999999999995</v>
      </c>
      <c r="L64" s="282">
        <v>61</v>
      </c>
      <c r="M64" s="282">
        <v>839.04</v>
      </c>
      <c r="N64" s="282">
        <v>24.32</v>
      </c>
      <c r="O64" s="282">
        <v>1112.6400000000001</v>
      </c>
      <c r="P64" s="282">
        <v>12.16</v>
      </c>
      <c r="Q64" s="282">
        <v>887.68000000000006</v>
      </c>
      <c r="R64" s="282">
        <v>18.239999999999998</v>
      </c>
      <c r="S64" s="282">
        <v>705.28</v>
      </c>
      <c r="T64" s="282">
        <v>6.08</v>
      </c>
      <c r="U64" s="282">
        <v>777.75</v>
      </c>
      <c r="V64" s="282">
        <f t="shared" si="25"/>
        <v>5029.7899999999991</v>
      </c>
      <c r="W64" s="283"/>
      <c r="X64" s="283">
        <f t="shared" si="26"/>
        <v>2.9999999999999996</v>
      </c>
      <c r="Y64" s="283">
        <f t="shared" si="26"/>
        <v>93</v>
      </c>
      <c r="Z64" s="283">
        <f t="shared" si="26"/>
        <v>10</v>
      </c>
      <c r="AA64" s="283">
        <f t="shared" si="27"/>
        <v>137.54754098360655</v>
      </c>
      <c r="AB64" s="283">
        <f t="shared" si="27"/>
        <v>3.9868852459016395</v>
      </c>
      <c r="AC64" s="283">
        <f t="shared" si="27"/>
        <v>182.40000000000003</v>
      </c>
      <c r="AD64" s="283">
        <f t="shared" si="27"/>
        <v>1.9934426229508198</v>
      </c>
      <c r="AE64" s="283">
        <f t="shared" si="27"/>
        <v>145.52131147540985</v>
      </c>
      <c r="AF64" s="283">
        <f t="shared" si="27"/>
        <v>2.9901639344262296</v>
      </c>
      <c r="AG64" s="283">
        <f t="shared" si="27"/>
        <v>115.61967213114754</v>
      </c>
      <c r="AH64" s="283">
        <f t="shared" si="28"/>
        <v>1</v>
      </c>
      <c r="AI64" s="283">
        <f t="shared" si="28"/>
        <v>127.91940789473684</v>
      </c>
      <c r="AJ64" s="274">
        <f t="shared" si="29"/>
        <v>68.748202024014958</v>
      </c>
      <c r="AR64" s="284">
        <f t="shared" si="32"/>
        <v>5029.7899999999991</v>
      </c>
      <c r="AS64" s="285">
        <f t="shared" si="33"/>
        <v>5015.8688196721323</v>
      </c>
      <c r="AT64" s="286">
        <f t="shared" ca="1" si="30"/>
        <v>7.7542898075923636</v>
      </c>
      <c r="AU64" s="287">
        <f t="shared" ca="1" si="34"/>
        <v>6397.1217869414386</v>
      </c>
      <c r="AV64" s="285">
        <f t="shared" ca="1" si="35"/>
        <v>1381.2529672693063</v>
      </c>
      <c r="AW64"/>
      <c r="AY64" s="358">
        <f t="shared" ca="1" si="36"/>
        <v>25.023817094038794</v>
      </c>
      <c r="AZ64" s="358">
        <f t="shared" ca="1" si="37"/>
        <v>6422.1456040354769</v>
      </c>
    </row>
    <row r="65" spans="1:52">
      <c r="C65" s="289"/>
      <c r="D65" s="289"/>
      <c r="E65" s="295"/>
      <c r="F65" s="295"/>
      <c r="G65" s="295"/>
      <c r="I65" s="281"/>
      <c r="J65" s="282"/>
      <c r="K65" s="282"/>
      <c r="L65" s="282"/>
      <c r="M65" s="284"/>
      <c r="N65" s="284"/>
      <c r="O65" s="284"/>
      <c r="P65" s="284"/>
      <c r="Q65" s="284"/>
      <c r="R65" s="284"/>
      <c r="S65" s="284"/>
      <c r="T65" s="284"/>
      <c r="U65" s="284"/>
      <c r="V65" s="284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  <c r="AI65" s="283"/>
      <c r="AK65" s="256" t="s">
        <v>378</v>
      </c>
      <c r="AL65" s="274">
        <f>SUM(AP59:AP60)</f>
        <v>15961.082051921656</v>
      </c>
      <c r="AT65" s="270"/>
      <c r="AU65" s="294"/>
      <c r="AW65"/>
    </row>
    <row r="66" spans="1:52">
      <c r="D66" s="257" t="s">
        <v>407</v>
      </c>
      <c r="E66" s="295"/>
      <c r="F66" s="295"/>
      <c r="G66" s="295"/>
      <c r="I66" s="281"/>
      <c r="J66" s="296">
        <f t="shared" ref="J66:V66" si="38">SUM(J53:J64)</f>
        <v>139921.50000000003</v>
      </c>
      <c r="K66" s="296">
        <f t="shared" si="38"/>
        <v>140877.78999999995</v>
      </c>
      <c r="L66" s="296">
        <f t="shared" si="38"/>
        <v>145161.785</v>
      </c>
      <c r="M66" s="296">
        <f t="shared" si="38"/>
        <v>146112.17499999999</v>
      </c>
      <c r="N66" s="296">
        <f t="shared" si="38"/>
        <v>149902.13</v>
      </c>
      <c r="O66" s="296">
        <f t="shared" si="38"/>
        <v>149554.58500000005</v>
      </c>
      <c r="P66" s="296">
        <f t="shared" si="38"/>
        <v>148553.815</v>
      </c>
      <c r="Q66" s="296">
        <f t="shared" si="38"/>
        <v>147938.68999999997</v>
      </c>
      <c r="R66" s="296">
        <f t="shared" si="38"/>
        <v>144642.38499999998</v>
      </c>
      <c r="S66" s="296">
        <f t="shared" si="38"/>
        <v>144795.49499999997</v>
      </c>
      <c r="T66" s="296">
        <f t="shared" si="38"/>
        <v>144504.12499999997</v>
      </c>
      <c r="U66" s="296">
        <f t="shared" si="38"/>
        <v>144188.69500000004</v>
      </c>
      <c r="V66" s="296">
        <f t="shared" si="38"/>
        <v>1746153.1700000002</v>
      </c>
      <c r="W66" s="310"/>
      <c r="X66" s="298">
        <f t="shared" ref="X66:AJ66" si="39">SUM(X59:X62)</f>
        <v>15374.533259423508</v>
      </c>
      <c r="Y66" s="298">
        <f t="shared" si="39"/>
        <v>15413.202882483369</v>
      </c>
      <c r="Z66" s="298">
        <f t="shared" si="39"/>
        <v>15934.424611973393</v>
      </c>
      <c r="AA66" s="298">
        <f t="shared" si="39"/>
        <v>15988.434999999998</v>
      </c>
      <c r="AB66" s="298">
        <f t="shared" si="39"/>
        <v>16499.863888888889</v>
      </c>
      <c r="AC66" s="298">
        <f t="shared" si="39"/>
        <v>16348.386111111113</v>
      </c>
      <c r="AD66" s="298">
        <f t="shared" si="39"/>
        <v>16354.704444444445</v>
      </c>
      <c r="AE66" s="298">
        <f t="shared" si="39"/>
        <v>16199.788888888887</v>
      </c>
      <c r="AF66" s="298">
        <f t="shared" si="39"/>
        <v>15929.65</v>
      </c>
      <c r="AG66" s="298">
        <f t="shared" si="39"/>
        <v>15873.935555555554</v>
      </c>
      <c r="AH66" s="298">
        <f t="shared" si="39"/>
        <v>15919.47111111111</v>
      </c>
      <c r="AI66" s="298">
        <f t="shared" si="39"/>
        <v>15802.088888888891</v>
      </c>
      <c r="AJ66" s="298">
        <f t="shared" si="39"/>
        <v>15969.873720230764</v>
      </c>
      <c r="AK66" s="256" t="s">
        <v>157</v>
      </c>
      <c r="AL66" s="274">
        <v>0</v>
      </c>
      <c r="AR66" s="299">
        <f>SUM(AR53:AR65)</f>
        <v>1746153.1700000002</v>
      </c>
      <c r="AS66" s="299">
        <f>SUM(AS53:AS65)</f>
        <v>1745198.1780027137</v>
      </c>
      <c r="AT66" s="300"/>
      <c r="AU66" s="301">
        <f ca="1">SUM(AU53:AU65)</f>
        <v>2225784.9414334218</v>
      </c>
      <c r="AV66" s="299">
        <f ca="1">SUM(AV53:AV65)</f>
        <v>480586.7634307082</v>
      </c>
      <c r="AW66"/>
      <c r="AY66" s="359">
        <f t="shared" ref="AY66:AZ66" ca="1" si="40">SUM(AY53:AY65)</f>
        <v>8706.6710811715984</v>
      </c>
      <c r="AZ66" s="359">
        <f t="shared" ca="1" si="40"/>
        <v>2234491.6125145932</v>
      </c>
    </row>
    <row r="67" spans="1:52">
      <c r="D67" s="257"/>
      <c r="E67" s="295"/>
      <c r="F67" s="295"/>
      <c r="G67" s="295"/>
      <c r="I67" s="281"/>
      <c r="J67" s="303"/>
      <c r="K67" s="303"/>
      <c r="L67" s="303"/>
      <c r="M67" s="303"/>
      <c r="N67" s="303"/>
      <c r="O67" s="303"/>
      <c r="P67" s="303"/>
      <c r="Q67" s="303"/>
      <c r="R67" s="303"/>
      <c r="S67" s="303"/>
      <c r="T67" s="303"/>
      <c r="U67" s="303"/>
      <c r="V67" s="284"/>
      <c r="X67" s="283"/>
      <c r="Y67" s="283"/>
      <c r="Z67" s="283"/>
      <c r="AA67" s="283"/>
      <c r="AB67" s="283"/>
      <c r="AC67" s="283"/>
      <c r="AD67" s="283"/>
      <c r="AE67" s="283"/>
      <c r="AF67" s="283"/>
      <c r="AG67" s="283"/>
      <c r="AH67" s="283"/>
      <c r="AI67" s="283"/>
      <c r="AT67" s="270"/>
      <c r="AU67" s="294"/>
      <c r="AW67"/>
    </row>
    <row r="68" spans="1:52">
      <c r="E68" s="295"/>
      <c r="F68" s="295"/>
      <c r="G68"/>
      <c r="H68"/>
      <c r="I68" s="311"/>
      <c r="J68" s="284"/>
      <c r="K68" s="284"/>
      <c r="L68" s="284"/>
      <c r="M68" s="284"/>
      <c r="N68" s="284"/>
      <c r="O68" s="284"/>
      <c r="P68" s="284"/>
      <c r="Q68" s="284"/>
      <c r="R68" s="284"/>
      <c r="S68" s="284"/>
      <c r="T68" s="284"/>
      <c r="U68" s="284"/>
      <c r="V68" s="284"/>
      <c r="X68" s="283"/>
      <c r="Y68" s="283"/>
      <c r="Z68" s="283"/>
      <c r="AA68" s="283"/>
      <c r="AB68" s="283"/>
      <c r="AC68" s="283"/>
      <c r="AD68" s="283"/>
      <c r="AE68" s="283"/>
      <c r="AF68" s="283"/>
      <c r="AG68" s="283"/>
      <c r="AH68" s="283"/>
      <c r="AI68" s="283"/>
      <c r="AT68" s="270"/>
      <c r="AU68" s="294"/>
      <c r="AW68"/>
    </row>
    <row r="69" spans="1:52">
      <c r="B69" s="256">
        <f>COUNTIF(C:C,C69)</f>
        <v>1</v>
      </c>
      <c r="C69" s="271" t="s">
        <v>408</v>
      </c>
      <c r="D69" s="271" t="s">
        <v>408</v>
      </c>
      <c r="E69" s="295"/>
      <c r="F69" s="295"/>
      <c r="G69"/>
      <c r="H69"/>
      <c r="I69" s="312"/>
      <c r="J69" s="313"/>
      <c r="K69" s="284"/>
      <c r="L69" s="284"/>
      <c r="M69" s="284"/>
      <c r="N69" s="284"/>
      <c r="O69" s="284"/>
      <c r="P69" s="284"/>
      <c r="Q69" s="284"/>
      <c r="R69" s="284"/>
      <c r="S69" s="284"/>
      <c r="T69" s="284"/>
      <c r="U69" s="284"/>
      <c r="V69" s="284"/>
      <c r="X69" s="283"/>
      <c r="Y69" s="283"/>
      <c r="Z69" s="283"/>
      <c r="AA69" s="283"/>
      <c r="AB69" s="283"/>
      <c r="AC69" s="283"/>
      <c r="AD69" s="283"/>
      <c r="AE69" s="283"/>
      <c r="AF69" s="283"/>
      <c r="AG69" s="283"/>
      <c r="AH69" s="283"/>
      <c r="AI69" s="283"/>
      <c r="AT69" s="270"/>
      <c r="AU69" s="294"/>
      <c r="AW69"/>
    </row>
    <row r="70" spans="1:52">
      <c r="C70" s="271"/>
      <c r="D70" s="271"/>
      <c r="E70" s="295"/>
      <c r="F70" s="295"/>
      <c r="G70"/>
      <c r="H70"/>
      <c r="I70" s="312"/>
      <c r="J70" s="313"/>
      <c r="K70" s="284"/>
      <c r="L70" s="284"/>
      <c r="M70" s="284"/>
      <c r="N70" s="284"/>
      <c r="O70" s="284"/>
      <c r="P70" s="284"/>
      <c r="Q70" s="284"/>
      <c r="R70" s="284"/>
      <c r="S70" s="284"/>
      <c r="T70" s="284"/>
      <c r="U70" s="284"/>
      <c r="V70" s="284"/>
      <c r="X70" s="283"/>
      <c r="Y70" s="283"/>
      <c r="Z70" s="283"/>
      <c r="AA70" s="283"/>
      <c r="AB70" s="283"/>
      <c r="AC70" s="283"/>
      <c r="AD70" s="283"/>
      <c r="AE70" s="283"/>
      <c r="AF70" s="283"/>
      <c r="AG70" s="283"/>
      <c r="AH70" s="283"/>
      <c r="AI70" s="283"/>
      <c r="AT70" s="270"/>
      <c r="AU70" s="294"/>
      <c r="AW70"/>
    </row>
    <row r="71" spans="1:52">
      <c r="B71" s="256">
        <f t="shared" ref="B71:B106" si="41">COUNTIF(C:C,C71)</f>
        <v>1</v>
      </c>
      <c r="C71" s="276" t="s">
        <v>409</v>
      </c>
      <c r="D71" s="276" t="s">
        <v>409</v>
      </c>
      <c r="E71" s="295"/>
      <c r="F71" s="295"/>
      <c r="G71" s="295"/>
      <c r="I71" s="312"/>
      <c r="J71" s="313"/>
      <c r="K71" s="284"/>
      <c r="L71" s="284"/>
      <c r="M71" s="284"/>
      <c r="N71" s="284"/>
      <c r="O71" s="284"/>
      <c r="P71" s="284"/>
      <c r="Q71" s="284"/>
      <c r="R71" s="284"/>
      <c r="S71" s="284"/>
      <c r="T71" s="284"/>
      <c r="U71" s="284"/>
      <c r="V71" s="284"/>
      <c r="X71" s="283"/>
      <c r="Y71" s="283"/>
      <c r="Z71" s="283"/>
      <c r="AA71" s="283"/>
      <c r="AB71" s="283"/>
      <c r="AC71" s="283"/>
      <c r="AD71" s="283"/>
      <c r="AE71" s="283"/>
      <c r="AF71" s="283"/>
      <c r="AG71" s="283"/>
      <c r="AH71" s="283"/>
      <c r="AI71" s="283"/>
      <c r="AT71" s="270"/>
      <c r="AU71" s="294"/>
      <c r="AW71"/>
    </row>
    <row r="72" spans="1:52">
      <c r="A72" s="256" t="str">
        <f t="shared" ref="A72:A106" si="42">$A$1&amp;C72</f>
        <v>MASON CO-REGULATEDR1YDEM</v>
      </c>
      <c r="B72" s="256">
        <f t="shared" si="41"/>
        <v>1</v>
      </c>
      <c r="C72" s="278" t="s">
        <v>410</v>
      </c>
      <c r="D72" s="278" t="s">
        <v>411</v>
      </c>
      <c r="E72" s="290">
        <v>42.75</v>
      </c>
      <c r="F72" s="290">
        <v>42.64</v>
      </c>
      <c r="G72" s="290">
        <v>43.62</v>
      </c>
      <c r="H72" s="255">
        <v>35</v>
      </c>
      <c r="I72" s="281"/>
      <c r="J72" s="282">
        <v>769.5</v>
      </c>
      <c r="K72" s="282">
        <v>769.5</v>
      </c>
      <c r="L72" s="282">
        <v>726.75</v>
      </c>
      <c r="M72" s="282">
        <v>724.88</v>
      </c>
      <c r="N72" s="282">
        <v>724.88</v>
      </c>
      <c r="O72" s="282">
        <v>703.56</v>
      </c>
      <c r="P72" s="282">
        <v>724.88</v>
      </c>
      <c r="Q72" s="282">
        <v>660.92</v>
      </c>
      <c r="R72" s="282">
        <v>639.6</v>
      </c>
      <c r="S72" s="282">
        <v>639.6</v>
      </c>
      <c r="T72" s="282">
        <v>654.29999999999995</v>
      </c>
      <c r="U72" s="282">
        <v>654.29999999999995</v>
      </c>
      <c r="V72" s="282">
        <f t="shared" ref="V72:V106" si="43">SUM(J72:U72)</f>
        <v>8392.67</v>
      </c>
      <c r="W72" s="283"/>
      <c r="X72" s="283">
        <f t="shared" ref="X72:Z106" si="44">IFERROR(J72/$E72,0)</f>
        <v>18</v>
      </c>
      <c r="Y72" s="283">
        <f t="shared" si="44"/>
        <v>18</v>
      </c>
      <c r="Z72" s="283">
        <f t="shared" si="44"/>
        <v>17</v>
      </c>
      <c r="AA72" s="283">
        <f t="shared" ref="AA72:AG106" si="45">IFERROR(M72/$F72,0)</f>
        <v>17</v>
      </c>
      <c r="AB72" s="283">
        <f t="shared" si="45"/>
        <v>17</v>
      </c>
      <c r="AC72" s="283">
        <f t="shared" si="45"/>
        <v>16.5</v>
      </c>
      <c r="AD72" s="283">
        <f t="shared" si="45"/>
        <v>17</v>
      </c>
      <c r="AE72" s="283">
        <f t="shared" si="45"/>
        <v>15.499999999999998</v>
      </c>
      <c r="AF72" s="283">
        <f t="shared" si="45"/>
        <v>15</v>
      </c>
      <c r="AG72" s="283">
        <f t="shared" si="45"/>
        <v>15</v>
      </c>
      <c r="AH72" s="283">
        <f t="shared" ref="AH72:AI106" si="46">IFERROR(T72/$G72,0)</f>
        <v>15</v>
      </c>
      <c r="AI72" s="283">
        <f t="shared" si="46"/>
        <v>15</v>
      </c>
      <c r="AJ72" s="274">
        <f t="shared" ref="AJ72:AJ106" si="47">AVERAGE(X72:AI72)</f>
        <v>16.333333333333332</v>
      </c>
      <c r="AN72" s="256">
        <v>1</v>
      </c>
      <c r="AO72" s="256">
        <v>1</v>
      </c>
      <c r="AP72" s="274">
        <f t="shared" ref="AP72:AP84" si="48">+AO72*AJ72</f>
        <v>16.333333333333332</v>
      </c>
      <c r="AQ72" s="274"/>
      <c r="AR72" s="284">
        <f t="shared" ref="AR72:AR106" si="49">V72</f>
        <v>8392.67</v>
      </c>
      <c r="AS72" s="285">
        <f t="shared" ref="AS72:AS106" si="50">G72*12*AJ72</f>
        <v>8549.5199999999986</v>
      </c>
      <c r="AT72" s="286">
        <f t="shared" ref="AT72:AT106" ca="1" si="51">+IFERROR($G72*(1+$AV$1),0)</f>
        <v>44.275815119254077</v>
      </c>
      <c r="AU72" s="287">
        <f t="shared" ref="AU72:AU106" ca="1" si="52">AT72*12*AJ72</f>
        <v>8678.059763373798</v>
      </c>
      <c r="AV72" s="285">
        <f t="shared" ref="AV72:AV106" ca="1" si="53">AU72-AS72</f>
        <v>128.53976337379936</v>
      </c>
      <c r="AW72"/>
      <c r="AY72" s="358">
        <f ca="1">+AZ$2*AU72</f>
        <v>33.6041832057318</v>
      </c>
      <c r="AZ72" s="358">
        <f t="shared" ref="AZ72" ca="1" si="54">+AU72+AY72</f>
        <v>8711.6639465795306</v>
      </c>
    </row>
    <row r="73" spans="1:52">
      <c r="A73" s="256" t="str">
        <f>$A$1&amp;C73</f>
        <v>MASON CO-REGULATEDR1YDEK</v>
      </c>
      <c r="B73" s="256">
        <f t="shared" si="41"/>
        <v>1</v>
      </c>
      <c r="C73" s="278" t="s">
        <v>412</v>
      </c>
      <c r="D73" s="278" t="s">
        <v>411</v>
      </c>
      <c r="E73" s="290">
        <v>42.75</v>
      </c>
      <c r="F73" s="290">
        <v>42.64</v>
      </c>
      <c r="G73" s="290">
        <v>43.62</v>
      </c>
      <c r="H73" s="255">
        <v>35</v>
      </c>
      <c r="I73" s="281"/>
      <c r="J73" s="282">
        <v>171</v>
      </c>
      <c r="K73" s="282">
        <v>171</v>
      </c>
      <c r="L73" s="282">
        <v>171</v>
      </c>
      <c r="M73" s="282">
        <v>170.56</v>
      </c>
      <c r="N73" s="282">
        <v>170.56</v>
      </c>
      <c r="O73" s="282">
        <v>170.56</v>
      </c>
      <c r="P73" s="282">
        <v>170.56</v>
      </c>
      <c r="Q73" s="282">
        <v>170.56</v>
      </c>
      <c r="R73" s="282">
        <v>170.56</v>
      </c>
      <c r="S73" s="282">
        <v>170.56</v>
      </c>
      <c r="T73" s="282">
        <v>174.48</v>
      </c>
      <c r="U73" s="282">
        <v>174.48</v>
      </c>
      <c r="V73" s="282">
        <f t="shared" si="43"/>
        <v>2055.8799999999997</v>
      </c>
      <c r="W73" s="283"/>
      <c r="X73" s="283">
        <f t="shared" si="44"/>
        <v>4</v>
      </c>
      <c r="Y73" s="283">
        <f t="shared" si="44"/>
        <v>4</v>
      </c>
      <c r="Z73" s="283">
        <f t="shared" si="44"/>
        <v>4</v>
      </c>
      <c r="AA73" s="283">
        <f t="shared" si="45"/>
        <v>4</v>
      </c>
      <c r="AB73" s="283">
        <f t="shared" si="45"/>
        <v>4</v>
      </c>
      <c r="AC73" s="283">
        <f t="shared" si="45"/>
        <v>4</v>
      </c>
      <c r="AD73" s="283">
        <f t="shared" si="45"/>
        <v>4</v>
      </c>
      <c r="AE73" s="283">
        <f t="shared" si="45"/>
        <v>4</v>
      </c>
      <c r="AF73" s="283">
        <f t="shared" si="45"/>
        <v>4</v>
      </c>
      <c r="AG73" s="283">
        <f t="shared" si="45"/>
        <v>4</v>
      </c>
      <c r="AH73" s="283">
        <f t="shared" si="46"/>
        <v>4</v>
      </c>
      <c r="AI73" s="283">
        <f t="shared" si="46"/>
        <v>4</v>
      </c>
      <c r="AJ73" s="274">
        <f t="shared" si="47"/>
        <v>4</v>
      </c>
      <c r="AN73" s="256">
        <v>1</v>
      </c>
      <c r="AO73" s="256">
        <v>1</v>
      </c>
      <c r="AP73" s="274">
        <f t="shared" si="48"/>
        <v>4</v>
      </c>
      <c r="AQ73" s="274"/>
      <c r="AR73" s="284">
        <f t="shared" si="49"/>
        <v>2055.8799999999997</v>
      </c>
      <c r="AS73" s="285">
        <f t="shared" si="50"/>
        <v>2093.7599999999998</v>
      </c>
      <c r="AT73" s="286">
        <f t="shared" ca="1" si="51"/>
        <v>44.275815119254077</v>
      </c>
      <c r="AU73" s="287">
        <f t="shared" ca="1" si="52"/>
        <v>2125.2391257241957</v>
      </c>
      <c r="AV73" s="285">
        <f t="shared" ca="1" si="53"/>
        <v>31.47912572419591</v>
      </c>
      <c r="AW73"/>
      <c r="AY73" s="358">
        <f t="shared" ref="AY73:AY106" ca="1" si="55">+AZ$2*AU73</f>
        <v>8.2295958871179931</v>
      </c>
      <c r="AZ73" s="358">
        <f t="shared" ref="AZ73:AZ106" ca="1" si="56">+AU73+AY73</f>
        <v>2133.4687216113139</v>
      </c>
    </row>
    <row r="74" spans="1:52">
      <c r="A74" s="256" t="str">
        <f t="shared" si="42"/>
        <v>MASON CO-REGULATEDR1YDWK</v>
      </c>
      <c r="B74" s="256">
        <f t="shared" si="41"/>
        <v>1</v>
      </c>
      <c r="C74" s="278" t="s">
        <v>413</v>
      </c>
      <c r="D74" s="278" t="s">
        <v>414</v>
      </c>
      <c r="E74" s="290">
        <v>85.3</v>
      </c>
      <c r="F74" s="290">
        <v>85.08</v>
      </c>
      <c r="G74" s="290">
        <v>87.03</v>
      </c>
      <c r="H74" s="255">
        <v>35</v>
      </c>
      <c r="I74" s="281"/>
      <c r="J74" s="282">
        <v>127.95</v>
      </c>
      <c r="K74" s="282">
        <v>85.3</v>
      </c>
      <c r="L74" s="282">
        <v>85.3</v>
      </c>
      <c r="M74" s="282">
        <v>85.08</v>
      </c>
      <c r="N74" s="282">
        <v>85.08</v>
      </c>
      <c r="O74" s="282">
        <v>85.08</v>
      </c>
      <c r="P74" s="282">
        <v>85.08</v>
      </c>
      <c r="Q74" s="282">
        <v>85.08</v>
      </c>
      <c r="R74" s="282">
        <v>34.03</v>
      </c>
      <c r="S74" s="282">
        <v>0</v>
      </c>
      <c r="T74" s="282">
        <v>0</v>
      </c>
      <c r="U74" s="282">
        <v>0</v>
      </c>
      <c r="V74" s="282">
        <f t="shared" si="43"/>
        <v>757.98</v>
      </c>
      <c r="W74" s="283"/>
      <c r="X74" s="283">
        <f t="shared" si="44"/>
        <v>1.5</v>
      </c>
      <c r="Y74" s="283">
        <f t="shared" si="44"/>
        <v>1</v>
      </c>
      <c r="Z74" s="283">
        <f t="shared" si="44"/>
        <v>1</v>
      </c>
      <c r="AA74" s="283">
        <f t="shared" si="45"/>
        <v>1</v>
      </c>
      <c r="AB74" s="283">
        <f t="shared" si="45"/>
        <v>1</v>
      </c>
      <c r="AC74" s="283">
        <f t="shared" si="45"/>
        <v>1</v>
      </c>
      <c r="AD74" s="283">
        <f t="shared" si="45"/>
        <v>1</v>
      </c>
      <c r="AE74" s="283">
        <f t="shared" si="45"/>
        <v>1</v>
      </c>
      <c r="AF74" s="283">
        <f t="shared" si="45"/>
        <v>0.39997649271274099</v>
      </c>
      <c r="AG74" s="283">
        <f t="shared" si="45"/>
        <v>0</v>
      </c>
      <c r="AH74" s="283">
        <f t="shared" si="46"/>
        <v>0</v>
      </c>
      <c r="AI74" s="283">
        <f t="shared" si="46"/>
        <v>0</v>
      </c>
      <c r="AJ74" s="274">
        <f t="shared" si="47"/>
        <v>0.74166470772606174</v>
      </c>
      <c r="AN74" s="256">
        <v>1</v>
      </c>
      <c r="AO74" s="256">
        <v>1</v>
      </c>
      <c r="AP74" s="274">
        <f t="shared" si="48"/>
        <v>0.74166470772606174</v>
      </c>
      <c r="AQ74" s="274"/>
      <c r="AR74" s="284">
        <f t="shared" si="49"/>
        <v>757.98</v>
      </c>
      <c r="AS74" s="285">
        <f t="shared" si="50"/>
        <v>774.56495416078997</v>
      </c>
      <c r="AT74" s="286">
        <f t="shared" ca="1" si="51"/>
        <v>88.338472944261397</v>
      </c>
      <c r="AU74" s="287">
        <f t="shared" ca="1" si="52"/>
        <v>786.21033260606691</v>
      </c>
      <c r="AV74" s="285">
        <f t="shared" ca="1" si="53"/>
        <v>11.645378445276947</v>
      </c>
      <c r="AW74"/>
      <c r="AY74" s="358">
        <f t="shared" ca="1" si="55"/>
        <v>3.0444542646088246</v>
      </c>
      <c r="AZ74" s="358">
        <f t="shared" ca="1" si="56"/>
        <v>789.25478687067573</v>
      </c>
    </row>
    <row r="75" spans="1:52">
      <c r="A75" s="256" t="str">
        <f t="shared" si="42"/>
        <v>MASON CO-REGULATEDR1YDWM</v>
      </c>
      <c r="B75" s="256">
        <f t="shared" si="41"/>
        <v>1</v>
      </c>
      <c r="C75" s="278" t="s">
        <v>415</v>
      </c>
      <c r="D75" s="278" t="s">
        <v>414</v>
      </c>
      <c r="E75" s="290">
        <v>85.3</v>
      </c>
      <c r="F75" s="290">
        <v>85.08</v>
      </c>
      <c r="G75" s="290">
        <v>87.03</v>
      </c>
      <c r="H75" s="255">
        <v>35</v>
      </c>
      <c r="I75" s="281"/>
      <c r="J75" s="282">
        <v>170.6</v>
      </c>
      <c r="K75" s="282">
        <v>170.6</v>
      </c>
      <c r="L75" s="282">
        <v>170.6</v>
      </c>
      <c r="M75" s="282">
        <v>170.16</v>
      </c>
      <c r="N75" s="282">
        <v>170.16</v>
      </c>
      <c r="O75" s="282">
        <v>170.16</v>
      </c>
      <c r="P75" s="282">
        <v>170.16</v>
      </c>
      <c r="Q75" s="282">
        <v>170.16</v>
      </c>
      <c r="R75" s="282">
        <v>221.21</v>
      </c>
      <c r="S75" s="282">
        <v>255.24</v>
      </c>
      <c r="T75" s="282">
        <v>261.08999999999997</v>
      </c>
      <c r="U75" s="282">
        <v>261.08999999999997</v>
      </c>
      <c r="V75" s="282">
        <f t="shared" si="43"/>
        <v>2361.23</v>
      </c>
      <c r="W75" s="283"/>
      <c r="X75" s="283">
        <f t="shared" si="44"/>
        <v>2</v>
      </c>
      <c r="Y75" s="283">
        <f t="shared" si="44"/>
        <v>2</v>
      </c>
      <c r="Z75" s="283">
        <f t="shared" si="44"/>
        <v>2</v>
      </c>
      <c r="AA75" s="283">
        <f t="shared" si="45"/>
        <v>2</v>
      </c>
      <c r="AB75" s="283">
        <f t="shared" si="45"/>
        <v>2</v>
      </c>
      <c r="AC75" s="283">
        <f t="shared" si="45"/>
        <v>2</v>
      </c>
      <c r="AD75" s="283">
        <f t="shared" si="45"/>
        <v>2</v>
      </c>
      <c r="AE75" s="283">
        <f t="shared" si="45"/>
        <v>2</v>
      </c>
      <c r="AF75" s="283">
        <f t="shared" si="45"/>
        <v>2.6000235072872591</v>
      </c>
      <c r="AG75" s="283">
        <f t="shared" si="45"/>
        <v>3</v>
      </c>
      <c r="AH75" s="283">
        <f t="shared" si="46"/>
        <v>2.9999999999999996</v>
      </c>
      <c r="AI75" s="283">
        <f t="shared" si="46"/>
        <v>2.9999999999999996</v>
      </c>
      <c r="AJ75" s="274">
        <f t="shared" si="47"/>
        <v>2.3000019589406047</v>
      </c>
      <c r="AN75" s="256">
        <v>1</v>
      </c>
      <c r="AO75" s="256">
        <v>1</v>
      </c>
      <c r="AP75" s="274">
        <f t="shared" si="48"/>
        <v>2.3000019589406047</v>
      </c>
      <c r="AQ75" s="274"/>
      <c r="AR75" s="284">
        <f t="shared" si="49"/>
        <v>2361.23</v>
      </c>
      <c r="AS75" s="285">
        <f t="shared" si="50"/>
        <v>2402.0300458392103</v>
      </c>
      <c r="AT75" s="286">
        <f t="shared" ca="1" si="51"/>
        <v>88.338472944261397</v>
      </c>
      <c r="AU75" s="287">
        <f t="shared" ca="1" si="52"/>
        <v>2438.1439298594737</v>
      </c>
      <c r="AV75" s="285">
        <f t="shared" ca="1" si="53"/>
        <v>36.113884020263413</v>
      </c>
      <c r="AW75"/>
      <c r="AY75" s="358">
        <f t="shared" ca="1" si="55"/>
        <v>9.4412619335416679</v>
      </c>
      <c r="AZ75" s="358">
        <f t="shared" ca="1" si="56"/>
        <v>2447.5851917930154</v>
      </c>
    </row>
    <row r="76" spans="1:52">
      <c r="A76" s="256" t="str">
        <f t="shared" si="42"/>
        <v>MASON CO-REGULATEDR1.5YDEM</v>
      </c>
      <c r="B76" s="256">
        <f t="shared" si="41"/>
        <v>1</v>
      </c>
      <c r="C76" s="278" t="s">
        <v>416</v>
      </c>
      <c r="D76" s="278" t="s">
        <v>417</v>
      </c>
      <c r="E76" s="290">
        <v>48.39</v>
      </c>
      <c r="F76" s="290">
        <v>48.26</v>
      </c>
      <c r="G76" s="290">
        <v>49.67</v>
      </c>
      <c r="H76" s="255">
        <v>35</v>
      </c>
      <c r="I76" s="281"/>
      <c r="J76" s="282">
        <v>10750.609999999999</v>
      </c>
      <c r="K76" s="282">
        <v>10799.02</v>
      </c>
      <c r="L76" s="282">
        <v>10669.88</v>
      </c>
      <c r="M76" s="282">
        <v>10556.93</v>
      </c>
      <c r="N76" s="282">
        <v>10576.98</v>
      </c>
      <c r="O76" s="282">
        <v>10657.4</v>
      </c>
      <c r="P76" s="282">
        <v>10391.98</v>
      </c>
      <c r="Q76" s="282">
        <v>10834.38</v>
      </c>
      <c r="R76" s="282">
        <v>11075.67</v>
      </c>
      <c r="S76" s="282">
        <v>11220.45</v>
      </c>
      <c r="T76" s="282">
        <v>11686.2</v>
      </c>
      <c r="U76" s="282">
        <v>11726.26</v>
      </c>
      <c r="V76" s="282">
        <f t="shared" si="43"/>
        <v>130945.76</v>
      </c>
      <c r="W76" s="283"/>
      <c r="X76" s="283">
        <f t="shared" si="44"/>
        <v>222.1659433767307</v>
      </c>
      <c r="Y76" s="283">
        <f t="shared" si="44"/>
        <v>223.16635668526555</v>
      </c>
      <c r="Z76" s="283">
        <f t="shared" si="44"/>
        <v>220.49762347592477</v>
      </c>
      <c r="AA76" s="283">
        <f t="shared" si="45"/>
        <v>218.75113966017406</v>
      </c>
      <c r="AB76" s="283">
        <f t="shared" si="45"/>
        <v>219.16659759635309</v>
      </c>
      <c r="AC76" s="283">
        <f t="shared" si="45"/>
        <v>220.83298798176543</v>
      </c>
      <c r="AD76" s="283">
        <f t="shared" si="45"/>
        <v>215.33319519270617</v>
      </c>
      <c r="AE76" s="283">
        <f t="shared" si="45"/>
        <v>224.50020721094074</v>
      </c>
      <c r="AF76" s="283">
        <f t="shared" si="45"/>
        <v>229.5</v>
      </c>
      <c r="AG76" s="283">
        <f t="shared" si="45"/>
        <v>232.50000000000003</v>
      </c>
      <c r="AH76" s="283">
        <f t="shared" si="46"/>
        <v>235.27682705858669</v>
      </c>
      <c r="AI76" s="283">
        <f t="shared" si="46"/>
        <v>236.08335011073083</v>
      </c>
      <c r="AJ76" s="274">
        <f t="shared" si="47"/>
        <v>224.81451902909816</v>
      </c>
      <c r="AN76" s="256">
        <v>1.5</v>
      </c>
      <c r="AO76" s="256">
        <v>1</v>
      </c>
      <c r="AP76" s="274">
        <f t="shared" si="48"/>
        <v>224.81451902909816</v>
      </c>
      <c r="AQ76" s="274"/>
      <c r="AR76" s="284">
        <f t="shared" si="49"/>
        <v>130945.76</v>
      </c>
      <c r="AS76" s="285">
        <f t="shared" si="50"/>
        <v>133998.44592210365</v>
      </c>
      <c r="AT76" s="286">
        <f t="shared" ca="1" si="51"/>
        <v>50.416775263029578</v>
      </c>
      <c r="AU76" s="287">
        <f t="shared" ca="1" si="52"/>
        <v>136013.07698107354</v>
      </c>
      <c r="AV76" s="285">
        <f t="shared" ca="1" si="53"/>
        <v>2014.6310589698842</v>
      </c>
      <c r="AW76"/>
      <c r="AY76" s="358">
        <f t="shared" ca="1" si="55"/>
        <v>526.68551287671323</v>
      </c>
      <c r="AZ76" s="358">
        <f t="shared" ca="1" si="56"/>
        <v>136539.76249395026</v>
      </c>
    </row>
    <row r="77" spans="1:52">
      <c r="A77" s="256" t="str">
        <f t="shared" si="42"/>
        <v>MASON CO-REGULATEDR1.5YDEK</v>
      </c>
      <c r="B77" s="256">
        <f t="shared" si="41"/>
        <v>1</v>
      </c>
      <c r="C77" s="278" t="s">
        <v>418</v>
      </c>
      <c r="D77" s="278" t="s">
        <v>417</v>
      </c>
      <c r="E77" s="290">
        <v>48.39</v>
      </c>
      <c r="F77" s="290">
        <v>48.26</v>
      </c>
      <c r="G77" s="290">
        <v>49.67</v>
      </c>
      <c r="H77" s="255">
        <v>35</v>
      </c>
      <c r="I77" s="281"/>
      <c r="J77" s="282">
        <v>2467.89</v>
      </c>
      <c r="K77" s="282">
        <v>2467.89</v>
      </c>
      <c r="L77" s="282">
        <v>2467.89</v>
      </c>
      <c r="M77" s="282">
        <v>2461.2600000000002</v>
      </c>
      <c r="N77" s="282">
        <v>2461.2600000000002</v>
      </c>
      <c r="O77" s="282">
        <v>2461.2600000000002</v>
      </c>
      <c r="P77" s="282">
        <v>2461.2600000000002</v>
      </c>
      <c r="Q77" s="282">
        <v>2413</v>
      </c>
      <c r="R77" s="282">
        <v>2413</v>
      </c>
      <c r="S77" s="282">
        <v>2413</v>
      </c>
      <c r="T77" s="282">
        <v>2483.5</v>
      </c>
      <c r="U77" s="282">
        <v>2483.5</v>
      </c>
      <c r="V77" s="282">
        <f t="shared" si="43"/>
        <v>29454.71</v>
      </c>
      <c r="W77" s="283"/>
      <c r="X77" s="283">
        <f t="shared" si="44"/>
        <v>51</v>
      </c>
      <c r="Y77" s="283">
        <f t="shared" si="44"/>
        <v>51</v>
      </c>
      <c r="Z77" s="283">
        <f t="shared" si="44"/>
        <v>51</v>
      </c>
      <c r="AA77" s="283">
        <f t="shared" si="45"/>
        <v>51.000000000000007</v>
      </c>
      <c r="AB77" s="283">
        <f t="shared" si="45"/>
        <v>51.000000000000007</v>
      </c>
      <c r="AC77" s="283">
        <f t="shared" si="45"/>
        <v>51.000000000000007</v>
      </c>
      <c r="AD77" s="283">
        <f t="shared" si="45"/>
        <v>51.000000000000007</v>
      </c>
      <c r="AE77" s="283">
        <f t="shared" si="45"/>
        <v>50</v>
      </c>
      <c r="AF77" s="283">
        <f t="shared" si="45"/>
        <v>50</v>
      </c>
      <c r="AG77" s="283">
        <f t="shared" si="45"/>
        <v>50</v>
      </c>
      <c r="AH77" s="283">
        <f t="shared" si="46"/>
        <v>50</v>
      </c>
      <c r="AI77" s="283">
        <f t="shared" si="46"/>
        <v>50</v>
      </c>
      <c r="AJ77" s="274">
        <f t="shared" si="47"/>
        <v>50.583333333333336</v>
      </c>
      <c r="AN77" s="256">
        <v>1.5</v>
      </c>
      <c r="AO77" s="256">
        <v>1</v>
      </c>
      <c r="AP77" s="274">
        <f t="shared" si="48"/>
        <v>50.583333333333336</v>
      </c>
      <c r="AQ77" s="274"/>
      <c r="AR77" s="284">
        <f t="shared" si="49"/>
        <v>29454.71</v>
      </c>
      <c r="AS77" s="285">
        <f t="shared" si="50"/>
        <v>30149.69</v>
      </c>
      <c r="AT77" s="286">
        <f t="shared" ca="1" si="51"/>
        <v>50.416775263029578</v>
      </c>
      <c r="AU77" s="287">
        <f t="shared" ca="1" si="52"/>
        <v>30602.982584658952</v>
      </c>
      <c r="AV77" s="285">
        <f t="shared" ca="1" si="53"/>
        <v>453.29258465895327</v>
      </c>
      <c r="AW77"/>
      <c r="AY77" s="358">
        <f t="shared" ca="1" si="55"/>
        <v>118.50439631184209</v>
      </c>
      <c r="AZ77" s="358">
        <f t="shared" ca="1" si="56"/>
        <v>30721.486980970793</v>
      </c>
    </row>
    <row r="78" spans="1:52">
      <c r="A78" s="256" t="str">
        <f>$A$1&amp;C78</f>
        <v>MASON CO-REGULATEDR1.5YDWM</v>
      </c>
      <c r="B78" s="256">
        <f t="shared" si="41"/>
        <v>1</v>
      </c>
      <c r="C78" s="278" t="s">
        <v>419</v>
      </c>
      <c r="D78" s="278" t="s">
        <v>420</v>
      </c>
      <c r="E78" s="290">
        <v>96.56</v>
      </c>
      <c r="F78" s="290">
        <v>96.3</v>
      </c>
      <c r="G78" s="290">
        <v>99.11</v>
      </c>
      <c r="H78" s="255">
        <v>35</v>
      </c>
      <c r="I78" s="281"/>
      <c r="J78" s="282">
        <v>8362.09</v>
      </c>
      <c r="K78" s="282">
        <v>8473.14</v>
      </c>
      <c r="L78" s="282">
        <v>8743.49</v>
      </c>
      <c r="M78" s="282">
        <v>9230.34</v>
      </c>
      <c r="N78" s="282">
        <v>10063.34</v>
      </c>
      <c r="O78" s="282">
        <v>9986.2999999999993</v>
      </c>
      <c r="P78" s="282">
        <v>10400.4</v>
      </c>
      <c r="Q78" s="282">
        <v>9668.5499999999993</v>
      </c>
      <c r="R78" s="282">
        <v>9422.9599999999991</v>
      </c>
      <c r="S78" s="282">
        <v>9172.58</v>
      </c>
      <c r="T78" s="282">
        <v>8815.83</v>
      </c>
      <c r="U78" s="282">
        <v>8127.03</v>
      </c>
      <c r="V78" s="282">
        <f>SUM(J78:U78)</f>
        <v>110466.04999999999</v>
      </c>
      <c r="W78" s="283"/>
      <c r="X78" s="283">
        <f>IFERROR(J78/$E78,0)</f>
        <v>86.599937862468934</v>
      </c>
      <c r="Y78" s="283">
        <f>IFERROR(K78/$E78,0)</f>
        <v>87.749999999999986</v>
      </c>
      <c r="Z78" s="283">
        <f>IFERROR(L78/$E78,0)</f>
        <v>90.549813587406788</v>
      </c>
      <c r="AA78" s="283">
        <f t="shared" si="45"/>
        <v>95.849844236760134</v>
      </c>
      <c r="AB78" s="283">
        <f t="shared" si="45"/>
        <v>104.49989615784008</v>
      </c>
      <c r="AC78" s="283">
        <f t="shared" si="45"/>
        <v>103.69989615784007</v>
      </c>
      <c r="AD78" s="283">
        <f t="shared" si="45"/>
        <v>108</v>
      </c>
      <c r="AE78" s="283">
        <f t="shared" si="45"/>
        <v>100.40031152647974</v>
      </c>
      <c r="AF78" s="283">
        <f t="shared" si="45"/>
        <v>97.850051921079952</v>
      </c>
      <c r="AG78" s="283">
        <f t="shared" si="45"/>
        <v>95.250051921079958</v>
      </c>
      <c r="AH78" s="283">
        <f>IFERROR(T78/$G78,0)</f>
        <v>88.949954595903534</v>
      </c>
      <c r="AI78" s="283">
        <f>IFERROR(U78/$G78,0)</f>
        <v>82.000100897992127</v>
      </c>
      <c r="AJ78" s="274">
        <f>AVERAGE(X78:AI78)</f>
        <v>95.116654905404275</v>
      </c>
      <c r="AN78" s="256">
        <v>1.5</v>
      </c>
      <c r="AO78" s="256">
        <v>1</v>
      </c>
      <c r="AP78" s="274">
        <f>+AO78*AJ78</f>
        <v>95.116654905404275</v>
      </c>
      <c r="AQ78" s="274"/>
      <c r="AR78" s="284">
        <f t="shared" si="49"/>
        <v>110466.04999999999</v>
      </c>
      <c r="AS78" s="285">
        <f t="shared" si="50"/>
        <v>113124.14001209541</v>
      </c>
      <c r="AT78" s="286">
        <f t="shared" ca="1" si="51"/>
        <v>100.60009253712222</v>
      </c>
      <c r="AU78" s="287">
        <f t="shared" ca="1" si="52"/>
        <v>114824.93142366227</v>
      </c>
      <c r="AV78" s="285">
        <f t="shared" ca="1" si="53"/>
        <v>1700.7914115668682</v>
      </c>
      <c r="AW78"/>
      <c r="AY78" s="358">
        <f t="shared" ca="1" si="55"/>
        <v>444.6383336090575</v>
      </c>
      <c r="AZ78" s="358">
        <f t="shared" ca="1" si="56"/>
        <v>115269.56975727133</v>
      </c>
    </row>
    <row r="79" spans="1:52">
      <c r="A79" s="256" t="str">
        <f t="shared" si="42"/>
        <v>MASON CO-REGULATEDR1.5YDWK</v>
      </c>
      <c r="B79" s="256">
        <f t="shared" si="41"/>
        <v>1</v>
      </c>
      <c r="C79" s="278" t="s">
        <v>421</v>
      </c>
      <c r="D79" s="278" t="s">
        <v>420</v>
      </c>
      <c r="E79" s="290">
        <v>96.56</v>
      </c>
      <c r="F79" s="290">
        <v>96.3</v>
      </c>
      <c r="G79" s="290">
        <v>99.11</v>
      </c>
      <c r="H79" s="255">
        <v>35</v>
      </c>
      <c r="I79" s="281"/>
      <c r="J79" s="282">
        <v>3089.92</v>
      </c>
      <c r="K79" s="282">
        <v>3089.92</v>
      </c>
      <c r="L79" s="282">
        <v>3089.92</v>
      </c>
      <c r="M79" s="282">
        <v>3081.6</v>
      </c>
      <c r="N79" s="282">
        <v>3081.6</v>
      </c>
      <c r="O79" s="282">
        <v>3100.86</v>
      </c>
      <c r="P79" s="282">
        <v>3177.9</v>
      </c>
      <c r="Q79" s="282">
        <v>3177.9</v>
      </c>
      <c r="R79" s="282">
        <v>3197.16</v>
      </c>
      <c r="S79" s="282">
        <v>3177.9</v>
      </c>
      <c r="T79" s="282">
        <v>3250.81</v>
      </c>
      <c r="U79" s="282">
        <v>3171.52</v>
      </c>
      <c r="V79" s="282">
        <f t="shared" si="43"/>
        <v>37687.01</v>
      </c>
      <c r="W79" s="283"/>
      <c r="X79" s="283">
        <f t="shared" si="44"/>
        <v>32</v>
      </c>
      <c r="Y79" s="283">
        <f t="shared" si="44"/>
        <v>32</v>
      </c>
      <c r="Z79" s="283">
        <f t="shared" si="44"/>
        <v>32</v>
      </c>
      <c r="AA79" s="283">
        <f t="shared" si="45"/>
        <v>32</v>
      </c>
      <c r="AB79" s="283">
        <f t="shared" si="45"/>
        <v>32</v>
      </c>
      <c r="AC79" s="283">
        <f t="shared" si="45"/>
        <v>32.200000000000003</v>
      </c>
      <c r="AD79" s="283">
        <f t="shared" si="45"/>
        <v>33</v>
      </c>
      <c r="AE79" s="283">
        <f t="shared" si="45"/>
        <v>33</v>
      </c>
      <c r="AF79" s="283">
        <f t="shared" si="45"/>
        <v>33.200000000000003</v>
      </c>
      <c r="AG79" s="283">
        <f t="shared" si="45"/>
        <v>33</v>
      </c>
      <c r="AH79" s="283">
        <f t="shared" si="46"/>
        <v>32.800020179598427</v>
      </c>
      <c r="AI79" s="283">
        <f t="shared" si="46"/>
        <v>32</v>
      </c>
      <c r="AJ79" s="274">
        <f t="shared" si="47"/>
        <v>32.433335014966538</v>
      </c>
      <c r="AN79" s="256">
        <v>1.5</v>
      </c>
      <c r="AO79" s="256">
        <v>1</v>
      </c>
      <c r="AP79" s="274">
        <f t="shared" si="48"/>
        <v>32.433335014966538</v>
      </c>
      <c r="AQ79" s="274"/>
      <c r="AR79" s="284">
        <f t="shared" si="49"/>
        <v>37687.01</v>
      </c>
      <c r="AS79" s="285">
        <f t="shared" si="50"/>
        <v>38573.614000000001</v>
      </c>
      <c r="AT79" s="286">
        <f t="shared" ca="1" si="51"/>
        <v>100.60009253712222</v>
      </c>
      <c r="AU79" s="287">
        <f t="shared" ca="1" si="52"/>
        <v>39153.558045517442</v>
      </c>
      <c r="AV79" s="285">
        <f t="shared" ca="1" si="53"/>
        <v>579.94404551744083</v>
      </c>
      <c r="AW79"/>
      <c r="AY79" s="358">
        <f t="shared" ca="1" si="55"/>
        <v>151.61492010816761</v>
      </c>
      <c r="AZ79" s="358">
        <f t="shared" ca="1" si="56"/>
        <v>39305.172965625607</v>
      </c>
    </row>
    <row r="80" spans="1:52">
      <c r="A80" s="256" t="str">
        <f t="shared" si="42"/>
        <v>MASON CO-REGULATEDR1.5YD1W</v>
      </c>
      <c r="B80" s="256">
        <f t="shared" si="41"/>
        <v>1</v>
      </c>
      <c r="C80" s="278" t="s">
        <v>422</v>
      </c>
      <c r="D80" s="278" t="s">
        <v>423</v>
      </c>
      <c r="E80" s="290">
        <v>120.8</v>
      </c>
      <c r="F80" s="290">
        <v>120.8</v>
      </c>
      <c r="G80" s="290">
        <v>120.8</v>
      </c>
      <c r="H80" s="255">
        <v>35</v>
      </c>
      <c r="I80" s="281"/>
      <c r="J80" s="282">
        <v>241.6</v>
      </c>
      <c r="K80" s="282">
        <v>241.6</v>
      </c>
      <c r="L80" s="282">
        <v>289.92</v>
      </c>
      <c r="M80" s="282">
        <v>459.04</v>
      </c>
      <c r="N80" s="282">
        <v>338.24</v>
      </c>
      <c r="O80" s="282">
        <v>241.6</v>
      </c>
      <c r="P80" s="282">
        <v>241.6</v>
      </c>
      <c r="Q80" s="282">
        <v>241.6</v>
      </c>
      <c r="R80" s="282">
        <v>241.6</v>
      </c>
      <c r="S80" s="282">
        <v>241.6</v>
      </c>
      <c r="T80" s="282">
        <v>241.6</v>
      </c>
      <c r="U80" s="282">
        <v>241.6</v>
      </c>
      <c r="V80" s="282">
        <f t="shared" si="43"/>
        <v>3261.5999999999995</v>
      </c>
      <c r="W80" s="283"/>
      <c r="X80" s="283">
        <f t="shared" si="44"/>
        <v>2</v>
      </c>
      <c r="Y80" s="283">
        <f t="shared" si="44"/>
        <v>2</v>
      </c>
      <c r="Z80" s="283">
        <f t="shared" si="44"/>
        <v>2.4000000000000004</v>
      </c>
      <c r="AA80" s="283">
        <f t="shared" si="45"/>
        <v>3.8000000000000003</v>
      </c>
      <c r="AB80" s="283">
        <f t="shared" si="45"/>
        <v>2.8000000000000003</v>
      </c>
      <c r="AC80" s="283">
        <f t="shared" si="45"/>
        <v>2</v>
      </c>
      <c r="AD80" s="283">
        <f t="shared" si="45"/>
        <v>2</v>
      </c>
      <c r="AE80" s="283">
        <f t="shared" si="45"/>
        <v>2</v>
      </c>
      <c r="AF80" s="283">
        <f t="shared" si="45"/>
        <v>2</v>
      </c>
      <c r="AG80" s="283">
        <f t="shared" si="45"/>
        <v>2</v>
      </c>
      <c r="AH80" s="283">
        <f t="shared" si="46"/>
        <v>2</v>
      </c>
      <c r="AI80" s="283">
        <f t="shared" si="46"/>
        <v>2</v>
      </c>
      <c r="AJ80" s="274">
        <f t="shared" si="47"/>
        <v>2.25</v>
      </c>
      <c r="AN80" s="256">
        <v>1.5</v>
      </c>
      <c r="AO80" s="256">
        <v>1</v>
      </c>
      <c r="AP80" s="274">
        <f t="shared" si="48"/>
        <v>2.25</v>
      </c>
      <c r="AQ80" s="274"/>
      <c r="AR80" s="284">
        <f t="shared" si="49"/>
        <v>3261.5999999999995</v>
      </c>
      <c r="AS80" s="285">
        <f t="shared" si="50"/>
        <v>3261.6</v>
      </c>
      <c r="AT80" s="286">
        <f t="shared" ca="1" si="51"/>
        <v>122.61619592860826</v>
      </c>
      <c r="AU80" s="287">
        <f t="shared" ca="1" si="52"/>
        <v>3310.6372900724232</v>
      </c>
      <c r="AV80" s="285">
        <f t="shared" ca="1" si="53"/>
        <v>49.037290072423275</v>
      </c>
      <c r="AW80"/>
      <c r="AY80" s="358">
        <f t="shared" ca="1" si="55"/>
        <v>12.819831282202376</v>
      </c>
      <c r="AZ80" s="358">
        <f t="shared" ca="1" si="56"/>
        <v>3323.4571213546255</v>
      </c>
    </row>
    <row r="81" spans="1:52">
      <c r="A81" s="256" t="str">
        <f t="shared" si="42"/>
        <v>MASON CO-REGULATEDR2YDEM</v>
      </c>
      <c r="B81" s="256">
        <f t="shared" si="41"/>
        <v>1</v>
      </c>
      <c r="C81" s="278" t="s">
        <v>424</v>
      </c>
      <c r="D81" s="278" t="s">
        <v>425</v>
      </c>
      <c r="E81" s="290">
        <v>63.86</v>
      </c>
      <c r="F81" s="290">
        <v>63.71</v>
      </c>
      <c r="G81" s="290">
        <v>65.53</v>
      </c>
      <c r="H81" s="255">
        <v>35</v>
      </c>
      <c r="I81" s="281"/>
      <c r="J81" s="282">
        <v>9769.6099999999988</v>
      </c>
      <c r="K81" s="282">
        <v>10249.530000000001</v>
      </c>
      <c r="L81" s="282">
        <v>10685.89</v>
      </c>
      <c r="M81" s="282">
        <v>10066.16</v>
      </c>
      <c r="N81" s="282">
        <v>10055.540000000001</v>
      </c>
      <c r="O81" s="282">
        <v>9832.56</v>
      </c>
      <c r="P81" s="282">
        <v>10079.98</v>
      </c>
      <c r="Q81" s="282">
        <v>10740.47</v>
      </c>
      <c r="R81" s="282">
        <v>10873.179999999998</v>
      </c>
      <c r="S81" s="282">
        <v>10958.14</v>
      </c>
      <c r="T81" s="282">
        <v>11345.504999999999</v>
      </c>
      <c r="U81" s="282">
        <v>11413.164999999999</v>
      </c>
      <c r="V81" s="282">
        <f t="shared" si="43"/>
        <v>126069.73</v>
      </c>
      <c r="W81" s="283"/>
      <c r="X81" s="283">
        <f t="shared" si="44"/>
        <v>152.98481052301909</v>
      </c>
      <c r="Y81" s="283">
        <f t="shared" si="44"/>
        <v>160.5</v>
      </c>
      <c r="Z81" s="283">
        <f t="shared" si="44"/>
        <v>167.33307234575634</v>
      </c>
      <c r="AA81" s="283">
        <f t="shared" si="45"/>
        <v>157.99968607753885</v>
      </c>
      <c r="AB81" s="283">
        <f t="shared" si="45"/>
        <v>157.8329932506671</v>
      </c>
      <c r="AC81" s="283">
        <f t="shared" si="45"/>
        <v>154.33307173128236</v>
      </c>
      <c r="AD81" s="283">
        <f t="shared" si="45"/>
        <v>158.21660649819495</v>
      </c>
      <c r="AE81" s="283">
        <f t="shared" si="45"/>
        <v>168.58373881651232</v>
      </c>
      <c r="AF81" s="283">
        <f t="shared" si="45"/>
        <v>170.66677130748701</v>
      </c>
      <c r="AG81" s="283">
        <f t="shared" si="45"/>
        <v>172.00031392246115</v>
      </c>
      <c r="AH81" s="283">
        <f t="shared" si="46"/>
        <v>173.1345185411262</v>
      </c>
      <c r="AI81" s="283">
        <f t="shared" si="46"/>
        <v>174.16702273767737</v>
      </c>
      <c r="AJ81" s="274">
        <f t="shared" si="47"/>
        <v>163.97938381264356</v>
      </c>
      <c r="AN81" s="256">
        <v>2</v>
      </c>
      <c r="AO81" s="256">
        <v>1</v>
      </c>
      <c r="AP81" s="274">
        <f t="shared" si="48"/>
        <v>163.97938381264356</v>
      </c>
      <c r="AQ81" s="274"/>
      <c r="AR81" s="284">
        <f t="shared" si="49"/>
        <v>126069.73</v>
      </c>
      <c r="AS81" s="285">
        <f t="shared" si="50"/>
        <v>128946.82825491039</v>
      </c>
      <c r="AT81" s="286">
        <f t="shared" ca="1" si="51"/>
        <v>66.515226152331948</v>
      </c>
      <c r="AU81" s="287">
        <f t="shared" ca="1" si="52"/>
        <v>130885.50958341634</v>
      </c>
      <c r="AV81" s="285">
        <f t="shared" ca="1" si="53"/>
        <v>1938.681328505947</v>
      </c>
      <c r="AW81"/>
      <c r="AY81" s="358">
        <f t="shared" ca="1" si="55"/>
        <v>506.82995542159597</v>
      </c>
      <c r="AZ81" s="358">
        <f t="shared" ca="1" si="56"/>
        <v>131392.33953883793</v>
      </c>
    </row>
    <row r="82" spans="1:52">
      <c r="A82" s="256" t="str">
        <f>$A$1&amp;C82</f>
        <v>MASON CO-REGULATEDR2YDEK</v>
      </c>
      <c r="B82" s="256">
        <f t="shared" si="41"/>
        <v>1</v>
      </c>
      <c r="C82" s="278" t="s">
        <v>426</v>
      </c>
      <c r="D82" s="278" t="s">
        <v>425</v>
      </c>
      <c r="E82" s="290">
        <v>63.86</v>
      </c>
      <c r="F82" s="290">
        <v>63.71</v>
      </c>
      <c r="G82" s="290">
        <v>65.53</v>
      </c>
      <c r="H82" s="255">
        <v>35</v>
      </c>
      <c r="I82" s="281"/>
      <c r="J82" s="282">
        <v>1851.94</v>
      </c>
      <c r="K82" s="282">
        <v>1820.01</v>
      </c>
      <c r="L82" s="282">
        <v>1724.22</v>
      </c>
      <c r="M82" s="282">
        <v>1688.31</v>
      </c>
      <c r="N82" s="282">
        <v>1656.46</v>
      </c>
      <c r="O82" s="282">
        <v>1529.04</v>
      </c>
      <c r="P82" s="282">
        <v>1529.04</v>
      </c>
      <c r="Q82" s="282">
        <v>1529.04</v>
      </c>
      <c r="R82" s="282">
        <v>1529.04</v>
      </c>
      <c r="S82" s="282">
        <v>1529.04</v>
      </c>
      <c r="T82" s="282">
        <v>1572.72</v>
      </c>
      <c r="U82" s="282">
        <v>1507.19</v>
      </c>
      <c r="V82" s="282">
        <f>SUM(J82:U82)</f>
        <v>19466.050000000003</v>
      </c>
      <c r="W82" s="283"/>
      <c r="X82" s="283">
        <f>IFERROR(J82/$E82,0)</f>
        <v>29</v>
      </c>
      <c r="Y82" s="283">
        <f>IFERROR(K82/$E82,0)</f>
        <v>28.5</v>
      </c>
      <c r="Z82" s="283">
        <f>IFERROR(L82/$E82,0)</f>
        <v>27</v>
      </c>
      <c r="AA82" s="283">
        <f t="shared" si="45"/>
        <v>26.49992151938471</v>
      </c>
      <c r="AB82" s="283">
        <f t="shared" si="45"/>
        <v>26</v>
      </c>
      <c r="AC82" s="283">
        <f t="shared" si="45"/>
        <v>24</v>
      </c>
      <c r="AD82" s="283">
        <f t="shared" si="45"/>
        <v>24</v>
      </c>
      <c r="AE82" s="283">
        <f t="shared" si="45"/>
        <v>24</v>
      </c>
      <c r="AF82" s="283">
        <f t="shared" si="45"/>
        <v>24</v>
      </c>
      <c r="AG82" s="283">
        <f t="shared" si="45"/>
        <v>24</v>
      </c>
      <c r="AH82" s="283">
        <f>IFERROR(T82/$G82,0)</f>
        <v>24</v>
      </c>
      <c r="AI82" s="283">
        <f>IFERROR(U82/$G82,0)</f>
        <v>23</v>
      </c>
      <c r="AJ82" s="274">
        <f>AVERAGE(X82:AI82)</f>
        <v>25.333326793282058</v>
      </c>
      <c r="AN82" s="256">
        <v>2</v>
      </c>
      <c r="AO82" s="256">
        <v>1</v>
      </c>
      <c r="AP82" s="274">
        <f>+AO82*AJ82</f>
        <v>25.333326793282058</v>
      </c>
      <c r="AQ82" s="274"/>
      <c r="AR82" s="284">
        <f t="shared" si="49"/>
        <v>19466.050000000003</v>
      </c>
      <c r="AS82" s="285">
        <f t="shared" si="50"/>
        <v>19921.114857165281</v>
      </c>
      <c r="AT82" s="286">
        <f t="shared" ca="1" si="51"/>
        <v>66.515226152331948</v>
      </c>
      <c r="AU82" s="287">
        <f t="shared" ca="1" si="52"/>
        <v>20220.62353015304</v>
      </c>
      <c r="AV82" s="285">
        <f t="shared" ca="1" si="53"/>
        <v>299.50867298775847</v>
      </c>
      <c r="AW82"/>
      <c r="AY82" s="358">
        <f t="shared" ca="1" si="55"/>
        <v>78.30062896193094</v>
      </c>
      <c r="AZ82" s="358">
        <f t="shared" ca="1" si="56"/>
        <v>20298.924159114969</v>
      </c>
    </row>
    <row r="83" spans="1:52">
      <c r="A83" s="256" t="str">
        <f t="shared" si="42"/>
        <v>MASON CO-REGULATEDR2YDWK</v>
      </c>
      <c r="B83" s="256">
        <f t="shared" si="41"/>
        <v>1</v>
      </c>
      <c r="C83" s="278" t="s">
        <v>427</v>
      </c>
      <c r="D83" s="278" t="s">
        <v>428</v>
      </c>
      <c r="E83" s="290">
        <v>127.43</v>
      </c>
      <c r="F83" s="290">
        <v>127.13</v>
      </c>
      <c r="G83" s="290">
        <v>130.77000000000001</v>
      </c>
      <c r="H83" s="255">
        <v>35</v>
      </c>
      <c r="I83" s="281"/>
      <c r="J83" s="282">
        <v>17162.830000000002</v>
      </c>
      <c r="K83" s="282">
        <v>17035.400000000001</v>
      </c>
      <c r="L83" s="282">
        <v>17290.259999999998</v>
      </c>
      <c r="M83" s="282">
        <v>17695.45</v>
      </c>
      <c r="N83" s="282">
        <v>17670.169999999998</v>
      </c>
      <c r="O83" s="282">
        <v>17009.099999999999</v>
      </c>
      <c r="P83" s="282">
        <v>16869.27</v>
      </c>
      <c r="Q83" s="282">
        <v>16767.57</v>
      </c>
      <c r="R83" s="282">
        <v>15979.36</v>
      </c>
      <c r="S83" s="282">
        <v>15502.62</v>
      </c>
      <c r="T83" s="282">
        <v>12631.11</v>
      </c>
      <c r="U83" s="282">
        <v>12378.62</v>
      </c>
      <c r="V83" s="282">
        <f t="shared" si="43"/>
        <v>193991.75999999995</v>
      </c>
      <c r="W83" s="283"/>
      <c r="X83" s="283">
        <f t="shared" si="44"/>
        <v>134.68437573569804</v>
      </c>
      <c r="Y83" s="283">
        <f t="shared" si="44"/>
        <v>133.68437573569804</v>
      </c>
      <c r="Z83" s="283">
        <f t="shared" si="44"/>
        <v>135.68437573569801</v>
      </c>
      <c r="AA83" s="283">
        <f t="shared" si="45"/>
        <v>139.19177220168334</v>
      </c>
      <c r="AB83" s="283">
        <f t="shared" si="45"/>
        <v>138.99292063242351</v>
      </c>
      <c r="AC83" s="283">
        <f t="shared" si="45"/>
        <v>133.79296782820734</v>
      </c>
      <c r="AD83" s="283">
        <f t="shared" si="45"/>
        <v>132.69307008573901</v>
      </c>
      <c r="AE83" s="283">
        <f t="shared" si="45"/>
        <v>131.89310154959492</v>
      </c>
      <c r="AF83" s="283">
        <f t="shared" si="45"/>
        <v>125.69307008573901</v>
      </c>
      <c r="AG83" s="283">
        <f t="shared" si="45"/>
        <v>121.94305042082908</v>
      </c>
      <c r="AH83" s="283">
        <f t="shared" si="46"/>
        <v>96.590272998394127</v>
      </c>
      <c r="AI83" s="283">
        <f t="shared" si="46"/>
        <v>94.659478473656037</v>
      </c>
      <c r="AJ83" s="274">
        <f t="shared" si="47"/>
        <v>126.62523595694671</v>
      </c>
      <c r="AN83" s="256">
        <v>2</v>
      </c>
      <c r="AO83" s="256">
        <v>1</v>
      </c>
      <c r="AP83" s="274">
        <f t="shared" si="48"/>
        <v>126.62523595694671</v>
      </c>
      <c r="AQ83" s="274"/>
      <c r="AR83" s="284">
        <f t="shared" si="49"/>
        <v>193991.75999999995</v>
      </c>
      <c r="AS83" s="285">
        <f t="shared" si="50"/>
        <v>198705.3852730791</v>
      </c>
      <c r="AT83" s="286">
        <f t="shared" ca="1" si="51"/>
        <v>132.7360922316565</v>
      </c>
      <c r="AU83" s="287">
        <f t="shared" ca="1" si="52"/>
        <v>201692.86798603856</v>
      </c>
      <c r="AV83" s="285">
        <f t="shared" ca="1" si="53"/>
        <v>2987.4827129594632</v>
      </c>
      <c r="AW83"/>
      <c r="AY83" s="358">
        <f t="shared" ca="1" si="55"/>
        <v>781.01836953209909</v>
      </c>
      <c r="AZ83" s="358">
        <f t="shared" ca="1" si="56"/>
        <v>202473.88635557066</v>
      </c>
    </row>
    <row r="84" spans="1:52">
      <c r="A84" s="256" t="str">
        <f t="shared" si="42"/>
        <v>MASON CO-REGULATEDR2YDWM</v>
      </c>
      <c r="B84" s="256">
        <f t="shared" si="41"/>
        <v>1</v>
      </c>
      <c r="C84" s="278" t="s">
        <v>429</v>
      </c>
      <c r="D84" s="278" t="s">
        <v>428</v>
      </c>
      <c r="E84" s="290">
        <v>127.43</v>
      </c>
      <c r="F84" s="290">
        <v>127.13</v>
      </c>
      <c r="G84" s="290">
        <v>130.77000000000001</v>
      </c>
      <c r="H84" s="255">
        <v>35</v>
      </c>
      <c r="I84" s="281"/>
      <c r="J84" s="282">
        <v>49648.905000000006</v>
      </c>
      <c r="K84" s="282">
        <v>52325.875</v>
      </c>
      <c r="L84" s="282">
        <v>57081.97</v>
      </c>
      <c r="M84" s="282">
        <v>61499.49</v>
      </c>
      <c r="N84" s="282">
        <v>63011.81</v>
      </c>
      <c r="O84" s="282">
        <v>67175.360000000001</v>
      </c>
      <c r="P84" s="282">
        <v>62891.21</v>
      </c>
      <c r="Q84" s="282">
        <v>54678.61</v>
      </c>
      <c r="R84" s="282">
        <v>55146.89</v>
      </c>
      <c r="S84" s="282">
        <v>54723.15</v>
      </c>
      <c r="T84" s="282">
        <v>57001.84</v>
      </c>
      <c r="U84" s="282">
        <v>58537.02</v>
      </c>
      <c r="V84" s="282">
        <f t="shared" si="43"/>
        <v>693722.13</v>
      </c>
      <c r="W84" s="283"/>
      <c r="X84" s="283">
        <f t="shared" si="44"/>
        <v>389.61708388919408</v>
      </c>
      <c r="Y84" s="283">
        <f t="shared" si="44"/>
        <v>410.62446048811108</v>
      </c>
      <c r="Z84" s="283">
        <f t="shared" si="44"/>
        <v>447.94765753747151</v>
      </c>
      <c r="AA84" s="283">
        <f t="shared" si="45"/>
        <v>483.75277275230081</v>
      </c>
      <c r="AB84" s="283">
        <f t="shared" si="45"/>
        <v>495.64862738928656</v>
      </c>
      <c r="AC84" s="283">
        <f t="shared" si="45"/>
        <v>528.39896169275551</v>
      </c>
      <c r="AD84" s="283">
        <f t="shared" si="45"/>
        <v>494.69999213403605</v>
      </c>
      <c r="AE84" s="283">
        <f t="shared" si="45"/>
        <v>430.0999764021081</v>
      </c>
      <c r="AF84" s="283">
        <f t="shared" si="45"/>
        <v>433.78345001179895</v>
      </c>
      <c r="AG84" s="283">
        <f t="shared" si="45"/>
        <v>430.45032643750494</v>
      </c>
      <c r="AH84" s="283">
        <f t="shared" si="46"/>
        <v>435.89385944788552</v>
      </c>
      <c r="AI84" s="283">
        <f t="shared" si="46"/>
        <v>447.63340215645786</v>
      </c>
      <c r="AJ84" s="274">
        <f t="shared" si="47"/>
        <v>452.37921419490937</v>
      </c>
      <c r="AN84" s="256">
        <v>2</v>
      </c>
      <c r="AO84" s="256">
        <v>1</v>
      </c>
      <c r="AP84" s="274">
        <f t="shared" si="48"/>
        <v>452.37921419490937</v>
      </c>
      <c r="AQ84" s="274"/>
      <c r="AR84" s="284">
        <f t="shared" si="49"/>
        <v>693722.13</v>
      </c>
      <c r="AS84" s="285">
        <f t="shared" si="50"/>
        <v>709891.55808321969</v>
      </c>
      <c r="AT84" s="286">
        <f t="shared" ca="1" si="51"/>
        <v>132.7360922316565</v>
      </c>
      <c r="AU84" s="287">
        <f t="shared" ca="1" si="52"/>
        <v>720564.58918871742</v>
      </c>
      <c r="AV84" s="285">
        <f t="shared" ca="1" si="53"/>
        <v>10673.031105497736</v>
      </c>
      <c r="AW84"/>
      <c r="AY84" s="358">
        <f t="shared" ca="1" si="55"/>
        <v>2790.253250946359</v>
      </c>
      <c r="AZ84" s="358">
        <f t="shared" ca="1" si="56"/>
        <v>723354.84243966383</v>
      </c>
    </row>
    <row r="85" spans="1:52">
      <c r="A85" s="256" t="str">
        <f t="shared" si="42"/>
        <v>MASON CO-REGULATEDR1YDRENTM</v>
      </c>
      <c r="B85" s="256">
        <f t="shared" si="41"/>
        <v>1</v>
      </c>
      <c r="C85" s="278" t="s">
        <v>430</v>
      </c>
      <c r="D85" s="278" t="s">
        <v>431</v>
      </c>
      <c r="E85" s="290">
        <v>8.91</v>
      </c>
      <c r="F85" s="290">
        <v>8.89</v>
      </c>
      <c r="G85" s="290">
        <v>8.89</v>
      </c>
      <c r="H85" s="255">
        <v>35</v>
      </c>
      <c r="I85" s="281"/>
      <c r="J85" s="282">
        <v>222.75</v>
      </c>
      <c r="K85" s="282">
        <v>213.84</v>
      </c>
      <c r="L85" s="282">
        <v>213.84</v>
      </c>
      <c r="M85" s="282">
        <v>213.36</v>
      </c>
      <c r="N85" s="282">
        <v>213.36</v>
      </c>
      <c r="O85" s="282">
        <v>213.36</v>
      </c>
      <c r="P85" s="282">
        <v>210.99</v>
      </c>
      <c r="Q85" s="282">
        <v>192.43</v>
      </c>
      <c r="R85" s="282">
        <v>186.69</v>
      </c>
      <c r="S85" s="282">
        <v>186.69</v>
      </c>
      <c r="T85" s="282">
        <v>186.69</v>
      </c>
      <c r="U85" s="282">
        <v>186.69</v>
      </c>
      <c r="V85" s="282">
        <f t="shared" si="43"/>
        <v>2440.6900000000005</v>
      </c>
      <c r="W85" s="283"/>
      <c r="X85" s="283">
        <f t="shared" si="44"/>
        <v>25</v>
      </c>
      <c r="Y85" s="283">
        <f t="shared" si="44"/>
        <v>24</v>
      </c>
      <c r="Z85" s="283">
        <f t="shared" si="44"/>
        <v>24</v>
      </c>
      <c r="AA85" s="283">
        <f t="shared" si="45"/>
        <v>24</v>
      </c>
      <c r="AB85" s="283">
        <f t="shared" si="45"/>
        <v>24</v>
      </c>
      <c r="AC85" s="283">
        <f t="shared" si="45"/>
        <v>24</v>
      </c>
      <c r="AD85" s="283">
        <f t="shared" si="45"/>
        <v>23.733408323959505</v>
      </c>
      <c r="AE85" s="283">
        <f t="shared" si="45"/>
        <v>21.645669291338582</v>
      </c>
      <c r="AF85" s="283">
        <f t="shared" si="45"/>
        <v>21</v>
      </c>
      <c r="AG85" s="283">
        <f t="shared" si="45"/>
        <v>21</v>
      </c>
      <c r="AH85" s="283">
        <f t="shared" si="46"/>
        <v>21</v>
      </c>
      <c r="AI85" s="283">
        <f t="shared" si="46"/>
        <v>21</v>
      </c>
      <c r="AJ85" s="274">
        <f t="shared" si="47"/>
        <v>22.864923134608176</v>
      </c>
      <c r="AR85" s="284">
        <f t="shared" si="49"/>
        <v>2440.6900000000005</v>
      </c>
      <c r="AS85" s="285">
        <f t="shared" si="50"/>
        <v>2439.2300000000005</v>
      </c>
      <c r="AT85" s="286">
        <f t="shared" ca="1" si="51"/>
        <v>9.0236587897792013</v>
      </c>
      <c r="AU85" s="287">
        <f t="shared" ca="1" si="52"/>
        <v>2475.9031754547946</v>
      </c>
      <c r="AV85" s="285">
        <f t="shared" ca="1" si="53"/>
        <v>36.673175454794091</v>
      </c>
      <c r="AW85"/>
      <c r="AY85" s="358">
        <f t="shared" ca="1" si="55"/>
        <v>9.5874776362786687</v>
      </c>
      <c r="AZ85" s="358">
        <f t="shared" ca="1" si="56"/>
        <v>2485.4906530910735</v>
      </c>
    </row>
    <row r="86" spans="1:52">
      <c r="A86" s="256" t="str">
        <f t="shared" si="42"/>
        <v>MASON CO-REGULATEDR1.5YDRENTM</v>
      </c>
      <c r="B86" s="256">
        <f t="shared" si="41"/>
        <v>1</v>
      </c>
      <c r="C86" s="278" t="s">
        <v>432</v>
      </c>
      <c r="D86" s="278" t="s">
        <v>433</v>
      </c>
      <c r="E86" s="290">
        <v>10.039999999999999</v>
      </c>
      <c r="F86" s="290">
        <v>10.01</v>
      </c>
      <c r="G86" s="290">
        <v>10.01</v>
      </c>
      <c r="H86" s="255">
        <v>35</v>
      </c>
      <c r="I86" s="281"/>
      <c r="J86" s="282">
        <v>3855.36</v>
      </c>
      <c r="K86" s="282">
        <v>3845.32</v>
      </c>
      <c r="L86" s="282">
        <v>3857.3300000000004</v>
      </c>
      <c r="M86" s="282">
        <v>3858.2000000000003</v>
      </c>
      <c r="N86" s="282">
        <v>3920.3450000000003</v>
      </c>
      <c r="O86" s="282">
        <v>3997.855</v>
      </c>
      <c r="P86" s="282">
        <v>3974.3</v>
      </c>
      <c r="Q86" s="282">
        <v>4020.12</v>
      </c>
      <c r="R86" s="282">
        <v>4015.35</v>
      </c>
      <c r="S86" s="282">
        <v>4003.87</v>
      </c>
      <c r="T86" s="282">
        <v>3977.1950000000002</v>
      </c>
      <c r="U86" s="282">
        <v>3945.625</v>
      </c>
      <c r="V86" s="282">
        <f t="shared" si="43"/>
        <v>47270.87</v>
      </c>
      <c r="W86" s="283"/>
      <c r="X86" s="283">
        <f t="shared" si="44"/>
        <v>384.00000000000006</v>
      </c>
      <c r="Y86" s="283">
        <f t="shared" si="44"/>
        <v>383.00000000000006</v>
      </c>
      <c r="Z86" s="283">
        <f t="shared" si="44"/>
        <v>384.1962151394423</v>
      </c>
      <c r="AA86" s="283">
        <f t="shared" si="45"/>
        <v>385.43456543456546</v>
      </c>
      <c r="AB86" s="283">
        <f t="shared" si="45"/>
        <v>391.64285714285717</v>
      </c>
      <c r="AC86" s="283">
        <f t="shared" si="45"/>
        <v>399.38611388611389</v>
      </c>
      <c r="AD86" s="283">
        <f t="shared" si="45"/>
        <v>397.03296703296706</v>
      </c>
      <c r="AE86" s="283">
        <f t="shared" si="45"/>
        <v>401.61038961038963</v>
      </c>
      <c r="AF86" s="283">
        <f t="shared" si="45"/>
        <v>401.13386613386615</v>
      </c>
      <c r="AG86" s="283">
        <f t="shared" si="45"/>
        <v>399.98701298701297</v>
      </c>
      <c r="AH86" s="283">
        <f t="shared" si="46"/>
        <v>397.32217782217782</v>
      </c>
      <c r="AI86" s="283">
        <f t="shared" si="46"/>
        <v>394.16833166833169</v>
      </c>
      <c r="AJ86" s="274">
        <f t="shared" si="47"/>
        <v>393.24287473814371</v>
      </c>
      <c r="AR86" s="284">
        <f t="shared" si="49"/>
        <v>47270.87</v>
      </c>
      <c r="AS86" s="285">
        <f t="shared" si="50"/>
        <v>47236.334113545825</v>
      </c>
      <c r="AT86" s="286">
        <f t="shared" ca="1" si="51"/>
        <v>10.160497692428549</v>
      </c>
      <c r="AU86" s="287">
        <f t="shared" ca="1" si="52"/>
        <v>47946.519856090541</v>
      </c>
      <c r="AV86" s="285">
        <f t="shared" ca="1" si="53"/>
        <v>710.18574254471605</v>
      </c>
      <c r="AW86"/>
      <c r="AY86" s="358">
        <f t="shared" ca="1" si="55"/>
        <v>185.66404026410288</v>
      </c>
      <c r="AZ86" s="358">
        <f t="shared" ca="1" si="56"/>
        <v>48132.183896354647</v>
      </c>
    </row>
    <row r="87" spans="1:52">
      <c r="A87" s="256" t="str">
        <f t="shared" si="42"/>
        <v>MASON CO-REGULATEDR2YDRENTM</v>
      </c>
      <c r="B87" s="256">
        <f t="shared" si="41"/>
        <v>1</v>
      </c>
      <c r="C87" s="278" t="s">
        <v>434</v>
      </c>
      <c r="D87" s="278" t="s">
        <v>435</v>
      </c>
      <c r="E87" s="290">
        <v>14.49</v>
      </c>
      <c r="F87" s="290">
        <v>14.45</v>
      </c>
      <c r="G87" s="290">
        <v>14.45</v>
      </c>
      <c r="H87" s="255">
        <v>35</v>
      </c>
      <c r="I87" s="281"/>
      <c r="J87" s="282">
        <v>8677.73</v>
      </c>
      <c r="K87" s="282">
        <v>8805.49</v>
      </c>
      <c r="L87" s="282">
        <v>9139.01</v>
      </c>
      <c r="M87" s="282">
        <v>9641.94</v>
      </c>
      <c r="N87" s="282">
        <v>9429.57</v>
      </c>
      <c r="O87" s="282">
        <v>9511.9</v>
      </c>
      <c r="P87" s="282">
        <v>9391.875</v>
      </c>
      <c r="Q87" s="282">
        <v>8979.2849999999999</v>
      </c>
      <c r="R87" s="282">
        <v>8934.92</v>
      </c>
      <c r="S87" s="282">
        <v>8922.2200000000012</v>
      </c>
      <c r="T87" s="282">
        <v>8813.3850000000002</v>
      </c>
      <c r="U87" s="282">
        <v>8874.9250000000011</v>
      </c>
      <c r="V87" s="282">
        <f t="shared" si="43"/>
        <v>109122.25</v>
      </c>
      <c r="W87" s="283"/>
      <c r="X87" s="283">
        <f t="shared" si="44"/>
        <v>598.87715665976532</v>
      </c>
      <c r="Y87" s="283">
        <f t="shared" si="44"/>
        <v>607.69427191166324</v>
      </c>
      <c r="Z87" s="283">
        <f t="shared" si="44"/>
        <v>630.71152518978602</v>
      </c>
      <c r="AA87" s="283">
        <f t="shared" si="45"/>
        <v>667.26228373702429</v>
      </c>
      <c r="AB87" s="283">
        <f t="shared" si="45"/>
        <v>652.56539792387548</v>
      </c>
      <c r="AC87" s="283">
        <f t="shared" si="45"/>
        <v>658.26297577854677</v>
      </c>
      <c r="AD87" s="283">
        <f t="shared" si="45"/>
        <v>649.95674740484435</v>
      </c>
      <c r="AE87" s="283">
        <f t="shared" si="45"/>
        <v>621.4038062283737</v>
      </c>
      <c r="AF87" s="283">
        <f t="shared" si="45"/>
        <v>618.33356401384083</v>
      </c>
      <c r="AG87" s="283">
        <f t="shared" si="45"/>
        <v>617.4546712802769</v>
      </c>
      <c r="AH87" s="283">
        <f t="shared" si="46"/>
        <v>609.92283737024229</v>
      </c>
      <c r="AI87" s="283">
        <f t="shared" si="46"/>
        <v>614.18166089965405</v>
      </c>
      <c r="AJ87" s="274">
        <f t="shared" si="47"/>
        <v>628.88557486649108</v>
      </c>
      <c r="AR87" s="284">
        <f t="shared" si="49"/>
        <v>109122.25</v>
      </c>
      <c r="AS87" s="285">
        <f t="shared" si="50"/>
        <v>109048.75868184953</v>
      </c>
      <c r="AT87" s="286">
        <f t="shared" ca="1" si="51"/>
        <v>14.667251913645607</v>
      </c>
      <c r="AU87" s="287">
        <f t="shared" ca="1" si="52"/>
        <v>110688.27781709591</v>
      </c>
      <c r="AV87" s="285">
        <f t="shared" ca="1" si="53"/>
        <v>1639.5191352463735</v>
      </c>
      <c r="AW87"/>
      <c r="AY87" s="358">
        <f t="shared" ca="1" si="55"/>
        <v>428.61990674359595</v>
      </c>
      <c r="AZ87" s="358">
        <f t="shared" ca="1" si="56"/>
        <v>111116.8977238395</v>
      </c>
    </row>
    <row r="88" spans="1:52">
      <c r="A88" s="256" t="str">
        <f>$A$1&amp;C88</f>
        <v>MASON CO-REGULATEDR2YDRENTTM</v>
      </c>
      <c r="B88" s="256">
        <f t="shared" si="41"/>
        <v>1</v>
      </c>
      <c r="C88" s="278" t="s">
        <v>436</v>
      </c>
      <c r="D88" s="278" t="s">
        <v>437</v>
      </c>
      <c r="E88" s="290">
        <v>21.72</v>
      </c>
      <c r="F88" s="290">
        <v>21.66</v>
      </c>
      <c r="G88" s="290">
        <v>21.66</v>
      </c>
      <c r="H88" s="255">
        <v>35</v>
      </c>
      <c r="I88" s="281"/>
      <c r="J88" s="282">
        <v>200.91</v>
      </c>
      <c r="K88" s="282">
        <v>211.04000000000002</v>
      </c>
      <c r="L88" s="282">
        <v>278.02499999999998</v>
      </c>
      <c r="M88" s="282">
        <v>276.16500000000002</v>
      </c>
      <c r="N88" s="282">
        <v>280.42</v>
      </c>
      <c r="O88" s="282">
        <v>314.22000000000003</v>
      </c>
      <c r="P88" s="282">
        <v>343.67</v>
      </c>
      <c r="Q88" s="282">
        <v>357.04</v>
      </c>
      <c r="R88" s="282">
        <v>381.22</v>
      </c>
      <c r="S88" s="282">
        <v>302.55</v>
      </c>
      <c r="T88" s="282">
        <v>312.32</v>
      </c>
      <c r="U88" s="282">
        <v>283.07</v>
      </c>
      <c r="V88" s="282">
        <f>SUM(J88:U88)</f>
        <v>3540.6500000000005</v>
      </c>
      <c r="W88" s="283"/>
      <c r="X88" s="283">
        <f>IFERROR(J88/$E88,0)</f>
        <v>9.25</v>
      </c>
      <c r="Y88" s="283">
        <f>IFERROR(K88/$E88,0)</f>
        <v>9.7163904235727454</v>
      </c>
      <c r="Z88" s="283">
        <f>IFERROR(L88/$E88,0)</f>
        <v>12.800414364640883</v>
      </c>
      <c r="AA88" s="283">
        <f t="shared" si="45"/>
        <v>12.75</v>
      </c>
      <c r="AB88" s="283">
        <f t="shared" si="45"/>
        <v>12.946445060018467</v>
      </c>
      <c r="AC88" s="283">
        <f t="shared" si="45"/>
        <v>14.506925207756234</v>
      </c>
      <c r="AD88" s="283">
        <f t="shared" si="45"/>
        <v>15.866574330563251</v>
      </c>
      <c r="AE88" s="283">
        <f t="shared" si="45"/>
        <v>16.483841181902125</v>
      </c>
      <c r="AF88" s="283">
        <f t="shared" si="45"/>
        <v>17.600184672206833</v>
      </c>
      <c r="AG88" s="283">
        <f t="shared" si="45"/>
        <v>13.968144044321329</v>
      </c>
      <c r="AH88" s="283">
        <f>IFERROR(T88/$G88,0)</f>
        <v>14.419205909510618</v>
      </c>
      <c r="AI88" s="283">
        <f>IFERROR(U88/$G88,0)</f>
        <v>13.068790397045245</v>
      </c>
      <c r="AJ88" s="274">
        <f>AVERAGE(X88:AI88)</f>
        <v>13.614742965961478</v>
      </c>
      <c r="AR88" s="284">
        <f t="shared" si="49"/>
        <v>3540.6500000000005</v>
      </c>
      <c r="AS88" s="285">
        <f t="shared" si="50"/>
        <v>3538.7439917127076</v>
      </c>
      <c r="AT88" s="286">
        <f t="shared" ca="1" si="51"/>
        <v>21.985652349450788</v>
      </c>
      <c r="AU88" s="287">
        <f t="shared" ca="1" si="52"/>
        <v>3591.9480681211148</v>
      </c>
      <c r="AV88" s="285">
        <f t="shared" ca="1" si="53"/>
        <v>53.204076408407218</v>
      </c>
      <c r="AW88"/>
      <c r="AY88" s="358">
        <f t="shared" ca="1" si="55"/>
        <v>13.909155299443302</v>
      </c>
      <c r="AZ88" s="358">
        <f t="shared" ca="1" si="56"/>
        <v>3605.8572234205581</v>
      </c>
    </row>
    <row r="89" spans="1:52">
      <c r="A89" s="256" t="str">
        <f t="shared" si="42"/>
        <v>MASON CO-REGULATEDR2YDRENTT</v>
      </c>
      <c r="B89" s="256">
        <f t="shared" si="41"/>
        <v>1</v>
      </c>
      <c r="C89" s="278" t="s">
        <v>438</v>
      </c>
      <c r="D89" s="278" t="s">
        <v>439</v>
      </c>
      <c r="E89" s="290">
        <v>21.72</v>
      </c>
      <c r="F89" s="290">
        <v>21.66</v>
      </c>
      <c r="G89" s="290">
        <v>21.66</v>
      </c>
      <c r="H89" s="255">
        <v>35</v>
      </c>
      <c r="I89" s="281"/>
      <c r="J89" s="282">
        <v>136.81</v>
      </c>
      <c r="K89" s="282">
        <v>283.02</v>
      </c>
      <c r="L89" s="282">
        <v>192.24</v>
      </c>
      <c r="M89" s="282">
        <v>302.47000000000003</v>
      </c>
      <c r="N89" s="282">
        <v>313.26</v>
      </c>
      <c r="O89" s="282">
        <v>356.34</v>
      </c>
      <c r="P89" s="282">
        <v>298.13</v>
      </c>
      <c r="Q89" s="282">
        <v>177.51</v>
      </c>
      <c r="R89" s="282">
        <v>145.12</v>
      </c>
      <c r="S89" s="282">
        <v>134.88999999999999</v>
      </c>
      <c r="T89" s="282">
        <v>114.08</v>
      </c>
      <c r="U89" s="282">
        <v>136.51</v>
      </c>
      <c r="V89" s="282">
        <f t="shared" si="43"/>
        <v>2590.3799999999992</v>
      </c>
      <c r="W89" s="283"/>
      <c r="X89" s="283">
        <f t="shared" si="44"/>
        <v>6.2988029465930024</v>
      </c>
      <c r="Y89" s="283">
        <f t="shared" si="44"/>
        <v>13.030386740331492</v>
      </c>
      <c r="Z89" s="283">
        <f t="shared" si="44"/>
        <v>8.8508287292817691</v>
      </c>
      <c r="AA89" s="283">
        <f t="shared" si="45"/>
        <v>13.964450600184673</v>
      </c>
      <c r="AB89" s="283">
        <f t="shared" si="45"/>
        <v>14.462603878116344</v>
      </c>
      <c r="AC89" s="283">
        <f t="shared" si="45"/>
        <v>16.451523545706369</v>
      </c>
      <c r="AD89" s="283">
        <f t="shared" si="45"/>
        <v>13.764081255771007</v>
      </c>
      <c r="AE89" s="283">
        <f t="shared" si="45"/>
        <v>8.1952908587257607</v>
      </c>
      <c r="AF89" s="283">
        <f t="shared" si="45"/>
        <v>6.6999076638965835</v>
      </c>
      <c r="AG89" s="283">
        <f t="shared" si="45"/>
        <v>6.2276084949215136</v>
      </c>
      <c r="AH89" s="283">
        <f t="shared" si="46"/>
        <v>5.266851338873499</v>
      </c>
      <c r="AI89" s="283">
        <f t="shared" si="46"/>
        <v>6.302400738688827</v>
      </c>
      <c r="AJ89" s="274">
        <f t="shared" si="47"/>
        <v>9.9595613992575682</v>
      </c>
      <c r="AR89" s="284">
        <f t="shared" si="49"/>
        <v>2590.3799999999992</v>
      </c>
      <c r="AS89" s="285">
        <f t="shared" si="50"/>
        <v>2588.6891988950274</v>
      </c>
      <c r="AT89" s="286">
        <f t="shared" ca="1" si="51"/>
        <v>21.985652349450788</v>
      </c>
      <c r="AU89" s="287">
        <f t="shared" ca="1" si="52"/>
        <v>2627.6094537250383</v>
      </c>
      <c r="AV89" s="285">
        <f t="shared" ca="1" si="53"/>
        <v>38.92025483001089</v>
      </c>
      <c r="AW89"/>
      <c r="AY89" s="358">
        <f t="shared" ca="1" si="55"/>
        <v>10.174932171907615</v>
      </c>
      <c r="AZ89" s="358">
        <f t="shared" ca="1" si="56"/>
        <v>2637.7843858969459</v>
      </c>
    </row>
    <row r="90" spans="1:52">
      <c r="A90" s="256" t="str">
        <f>$A$1&amp;C90</f>
        <v>MASON CO-REGULATEDR1.5YDRENTT</v>
      </c>
      <c r="B90" s="256">
        <f t="shared" si="41"/>
        <v>1</v>
      </c>
      <c r="C90" s="278" t="s">
        <v>440</v>
      </c>
      <c r="D90" s="278" t="s">
        <v>441</v>
      </c>
      <c r="E90" s="290">
        <v>16.59</v>
      </c>
      <c r="F90" s="290">
        <v>16.55</v>
      </c>
      <c r="G90" s="290">
        <v>16.55</v>
      </c>
      <c r="H90" s="255">
        <v>35</v>
      </c>
      <c r="I90" s="281"/>
      <c r="J90" s="282">
        <v>69.11</v>
      </c>
      <c r="K90" s="282">
        <v>97.85</v>
      </c>
      <c r="L90" s="282">
        <v>72.3</v>
      </c>
      <c r="M90" s="282">
        <v>90.45</v>
      </c>
      <c r="N90" s="282">
        <v>68.540000000000006</v>
      </c>
      <c r="O90" s="282">
        <v>55.73</v>
      </c>
      <c r="P90" s="282">
        <v>53.52</v>
      </c>
      <c r="Q90" s="282">
        <v>42.22</v>
      </c>
      <c r="R90" s="282">
        <v>33.65</v>
      </c>
      <c r="S90" s="282">
        <v>33.1</v>
      </c>
      <c r="T90" s="282">
        <v>33.1</v>
      </c>
      <c r="U90" s="282">
        <v>33.1</v>
      </c>
      <c r="V90" s="282">
        <f>SUM(J90:U90)</f>
        <v>682.67000000000007</v>
      </c>
      <c r="W90" s="283"/>
      <c r="X90" s="283">
        <f t="shared" si="44"/>
        <v>4.1657625075346596</v>
      </c>
      <c r="Y90" s="283">
        <f t="shared" si="44"/>
        <v>5.8981314044605178</v>
      </c>
      <c r="Z90" s="283">
        <f t="shared" si="44"/>
        <v>4.3580470162748641</v>
      </c>
      <c r="AA90" s="283">
        <f t="shared" si="45"/>
        <v>5.4652567975830815</v>
      </c>
      <c r="AB90" s="283">
        <f t="shared" si="45"/>
        <v>4.1413897280966774</v>
      </c>
      <c r="AC90" s="283">
        <f t="shared" si="45"/>
        <v>3.3673716012084589</v>
      </c>
      <c r="AD90" s="283">
        <f t="shared" si="45"/>
        <v>3.2338368580060424</v>
      </c>
      <c r="AE90" s="283">
        <f t="shared" si="45"/>
        <v>2.5510574018126886</v>
      </c>
      <c r="AF90" s="283">
        <f t="shared" si="45"/>
        <v>2.0332326283987912</v>
      </c>
      <c r="AG90" s="283">
        <f t="shared" si="45"/>
        <v>2</v>
      </c>
      <c r="AH90" s="283">
        <f>IFERROR(T90/$G90,0)</f>
        <v>2</v>
      </c>
      <c r="AI90" s="283">
        <f>IFERROR(U90/$G90,0)</f>
        <v>2</v>
      </c>
      <c r="AJ90" s="274">
        <f>AVERAGE(X90:AI90)</f>
        <v>3.4345071619479817</v>
      </c>
      <c r="AR90" s="284">
        <f t="shared" si="49"/>
        <v>682.67000000000007</v>
      </c>
      <c r="AS90" s="285">
        <f t="shared" si="50"/>
        <v>682.09312236286928</v>
      </c>
      <c r="AT90" s="286">
        <f t="shared" ca="1" si="51"/>
        <v>16.798824856113136</v>
      </c>
      <c r="AU90" s="287">
        <f t="shared" ca="1" si="52"/>
        <v>692.34821136756409</v>
      </c>
      <c r="AV90" s="285">
        <f t="shared" ca="1" si="53"/>
        <v>10.25508900469481</v>
      </c>
      <c r="AW90"/>
      <c r="AY90" s="358">
        <f t="shared" ca="1" si="55"/>
        <v>2.6809905406679553</v>
      </c>
      <c r="AZ90" s="358">
        <f t="shared" ca="1" si="56"/>
        <v>695.02920190823204</v>
      </c>
    </row>
    <row r="91" spans="1:52">
      <c r="A91" s="256" t="str">
        <f>$A$1&amp;C91</f>
        <v>MASON CO-REGULATEDR1.5YDRENTTM</v>
      </c>
      <c r="B91" s="256">
        <f t="shared" si="41"/>
        <v>1</v>
      </c>
      <c r="C91" s="278" t="s">
        <v>442</v>
      </c>
      <c r="D91" s="278" t="s">
        <v>443</v>
      </c>
      <c r="E91" s="290">
        <v>16.59</v>
      </c>
      <c r="F91" s="290">
        <v>16.55</v>
      </c>
      <c r="G91" s="290">
        <v>16.55</v>
      </c>
      <c r="H91" s="255">
        <v>35</v>
      </c>
      <c r="I91" s="281"/>
      <c r="J91" s="282">
        <v>82.95</v>
      </c>
      <c r="K91" s="282">
        <v>82.95</v>
      </c>
      <c r="L91" s="282">
        <v>71.33</v>
      </c>
      <c r="M91" s="282">
        <v>99.3</v>
      </c>
      <c r="N91" s="282">
        <v>113.64</v>
      </c>
      <c r="O91" s="282">
        <v>115.85</v>
      </c>
      <c r="P91" s="282">
        <v>99.3</v>
      </c>
      <c r="Q91" s="282">
        <v>66.2</v>
      </c>
      <c r="R91" s="282">
        <v>66.2</v>
      </c>
      <c r="S91" s="282">
        <v>68.87</v>
      </c>
      <c r="T91" s="282">
        <v>66.2</v>
      </c>
      <c r="U91" s="282">
        <v>49.65</v>
      </c>
      <c r="V91" s="282">
        <f>SUM(J91:U91)</f>
        <v>982.44</v>
      </c>
      <c r="W91" s="283"/>
      <c r="X91" s="283">
        <f t="shared" si="44"/>
        <v>5</v>
      </c>
      <c r="Y91" s="283">
        <f t="shared" si="44"/>
        <v>5</v>
      </c>
      <c r="Z91" s="283">
        <f t="shared" si="44"/>
        <v>4.2995780590717301</v>
      </c>
      <c r="AA91" s="283">
        <f t="shared" si="45"/>
        <v>6</v>
      </c>
      <c r="AB91" s="283">
        <f t="shared" si="45"/>
        <v>6.866465256797583</v>
      </c>
      <c r="AC91" s="283">
        <f t="shared" si="45"/>
        <v>6.9999999999999991</v>
      </c>
      <c r="AD91" s="283">
        <f t="shared" si="45"/>
        <v>6</v>
      </c>
      <c r="AE91" s="283">
        <f t="shared" si="45"/>
        <v>4</v>
      </c>
      <c r="AF91" s="283">
        <f t="shared" si="45"/>
        <v>4</v>
      </c>
      <c r="AG91" s="283">
        <f t="shared" si="45"/>
        <v>4.1613293051359515</v>
      </c>
      <c r="AH91" s="283">
        <f>IFERROR(T91/$G91,0)</f>
        <v>4</v>
      </c>
      <c r="AI91" s="283">
        <f>IFERROR(U91/$G91,0)</f>
        <v>3</v>
      </c>
      <c r="AJ91" s="274">
        <f>AVERAGE(X91:AI91)</f>
        <v>4.943947718417105</v>
      </c>
      <c r="AR91" s="284">
        <f t="shared" si="49"/>
        <v>982.44</v>
      </c>
      <c r="AS91" s="285">
        <f t="shared" si="50"/>
        <v>981.86801687763716</v>
      </c>
      <c r="AT91" s="286">
        <f t="shared" ca="1" si="51"/>
        <v>16.798824856113136</v>
      </c>
      <c r="AU91" s="287">
        <f t="shared" ca="1" si="52"/>
        <v>996.63014183362907</v>
      </c>
      <c r="AV91" s="285">
        <f t="shared" ca="1" si="53"/>
        <v>14.762124955991908</v>
      </c>
      <c r="AW91"/>
      <c r="AY91" s="358">
        <f t="shared" ca="1" si="55"/>
        <v>3.8592661018401828</v>
      </c>
      <c r="AZ91" s="358">
        <f t="shared" ca="1" si="56"/>
        <v>1000.4894079354692</v>
      </c>
    </row>
    <row r="92" spans="1:52">
      <c r="A92" s="256" t="str">
        <f>$A$1&amp;C92</f>
        <v>MASON CO-REGULATEDR1YDPU</v>
      </c>
      <c r="B92" s="256">
        <f t="shared" si="41"/>
        <v>1</v>
      </c>
      <c r="C92" s="278" t="s">
        <v>444</v>
      </c>
      <c r="D92" s="278" t="s">
        <v>445</v>
      </c>
      <c r="E92" s="290">
        <v>19.7</v>
      </c>
      <c r="F92" s="290">
        <v>19.649999999999999</v>
      </c>
      <c r="G92" s="290">
        <v>20.100000000000001</v>
      </c>
      <c r="H92" s="255">
        <v>35</v>
      </c>
      <c r="I92" s="281"/>
      <c r="J92" s="282">
        <v>0</v>
      </c>
      <c r="K92" s="282">
        <v>0</v>
      </c>
      <c r="L92" s="282">
        <v>19.7</v>
      </c>
      <c r="M92" s="282">
        <v>19.649999999999999</v>
      </c>
      <c r="N92" s="282">
        <v>0</v>
      </c>
      <c r="O92" s="282">
        <v>19.649999999999999</v>
      </c>
      <c r="P92" s="282">
        <v>0</v>
      </c>
      <c r="Q92" s="282">
        <v>0</v>
      </c>
      <c r="R92" s="282">
        <v>0</v>
      </c>
      <c r="S92" s="282">
        <v>0</v>
      </c>
      <c r="T92" s="282">
        <v>0</v>
      </c>
      <c r="U92" s="282">
        <v>0</v>
      </c>
      <c r="V92" s="282">
        <f>SUM(J92:U92)</f>
        <v>58.999999999999993</v>
      </c>
      <c r="W92" s="283"/>
      <c r="X92" s="283">
        <f t="shared" si="44"/>
        <v>0</v>
      </c>
      <c r="Y92" s="283">
        <f t="shared" si="44"/>
        <v>0</v>
      </c>
      <c r="Z92" s="283">
        <f t="shared" si="44"/>
        <v>1</v>
      </c>
      <c r="AA92" s="283">
        <f t="shared" si="45"/>
        <v>1</v>
      </c>
      <c r="AB92" s="283">
        <f t="shared" si="45"/>
        <v>0</v>
      </c>
      <c r="AC92" s="283">
        <f t="shared" si="45"/>
        <v>1</v>
      </c>
      <c r="AD92" s="283">
        <f t="shared" si="45"/>
        <v>0</v>
      </c>
      <c r="AE92" s="283">
        <f t="shared" si="45"/>
        <v>0</v>
      </c>
      <c r="AF92" s="283">
        <f t="shared" si="45"/>
        <v>0</v>
      </c>
      <c r="AG92" s="283">
        <f t="shared" si="45"/>
        <v>0</v>
      </c>
      <c r="AH92" s="283">
        <f t="shared" si="46"/>
        <v>0</v>
      </c>
      <c r="AI92" s="283">
        <f t="shared" si="46"/>
        <v>0</v>
      </c>
      <c r="AJ92" s="274">
        <f t="shared" si="47"/>
        <v>0.25</v>
      </c>
      <c r="AR92" s="284">
        <f t="shared" si="49"/>
        <v>58.999999999999993</v>
      </c>
      <c r="AS92" s="285">
        <f t="shared" si="50"/>
        <v>60.300000000000004</v>
      </c>
      <c r="AT92" s="286">
        <f t="shared" ca="1" si="51"/>
        <v>20.402198163617769</v>
      </c>
      <c r="AU92" s="287">
        <f t="shared" ca="1" si="52"/>
        <v>61.206594490853306</v>
      </c>
      <c r="AV92" s="285">
        <f t="shared" ca="1" si="53"/>
        <v>0.90659449085330124</v>
      </c>
      <c r="AW92"/>
      <c r="AY92" s="358">
        <f t="shared" ca="1" si="55"/>
        <v>0.23701122955506601</v>
      </c>
      <c r="AZ92" s="358">
        <f t="shared" ca="1" si="56"/>
        <v>61.443605720408371</v>
      </c>
    </row>
    <row r="93" spans="1:52">
      <c r="A93" s="256" t="str">
        <f t="shared" si="42"/>
        <v>MASON CO-REGULATEDR1.5YDPU</v>
      </c>
      <c r="B93" s="256">
        <f t="shared" si="41"/>
        <v>1</v>
      </c>
      <c r="C93" s="278" t="s">
        <v>446</v>
      </c>
      <c r="D93" s="278" t="s">
        <v>447</v>
      </c>
      <c r="E93" s="290">
        <v>22.3</v>
      </c>
      <c r="F93" s="290">
        <v>22.24</v>
      </c>
      <c r="G93" s="290">
        <v>22.89</v>
      </c>
      <c r="H93" s="255">
        <v>35</v>
      </c>
      <c r="I93" s="281"/>
      <c r="J93" s="282">
        <v>89.2</v>
      </c>
      <c r="K93" s="282">
        <v>111.5</v>
      </c>
      <c r="L93" s="282">
        <v>156.1</v>
      </c>
      <c r="M93" s="282">
        <v>378.08</v>
      </c>
      <c r="N93" s="282">
        <v>311.42</v>
      </c>
      <c r="O93" s="282">
        <v>222.52</v>
      </c>
      <c r="P93" s="282">
        <v>89.02</v>
      </c>
      <c r="Q93" s="282">
        <v>133.44</v>
      </c>
      <c r="R93" s="282">
        <v>155.68</v>
      </c>
      <c r="S93" s="282">
        <v>44.48</v>
      </c>
      <c r="T93" s="282">
        <v>22.89</v>
      </c>
      <c r="U93" s="282">
        <v>45.78</v>
      </c>
      <c r="V93" s="282">
        <f t="shared" si="43"/>
        <v>1760.1100000000001</v>
      </c>
      <c r="W93" s="283"/>
      <c r="X93" s="283">
        <f t="shared" si="44"/>
        <v>4</v>
      </c>
      <c r="Y93" s="283">
        <f t="shared" si="44"/>
        <v>5</v>
      </c>
      <c r="Z93" s="283">
        <f t="shared" si="44"/>
        <v>6.9999999999999991</v>
      </c>
      <c r="AA93" s="283">
        <f t="shared" si="45"/>
        <v>17</v>
      </c>
      <c r="AB93" s="283">
        <f t="shared" si="45"/>
        <v>14.00269784172662</v>
      </c>
      <c r="AC93" s="283">
        <f t="shared" si="45"/>
        <v>10.005395683453239</v>
      </c>
      <c r="AD93" s="283">
        <f t="shared" si="45"/>
        <v>4.0026978417266186</v>
      </c>
      <c r="AE93" s="283">
        <f t="shared" si="45"/>
        <v>6</v>
      </c>
      <c r="AF93" s="283">
        <f t="shared" si="45"/>
        <v>7.0000000000000009</v>
      </c>
      <c r="AG93" s="283">
        <f t="shared" si="45"/>
        <v>2</v>
      </c>
      <c r="AH93" s="283">
        <f t="shared" si="46"/>
        <v>1</v>
      </c>
      <c r="AI93" s="283">
        <f t="shared" si="46"/>
        <v>2</v>
      </c>
      <c r="AJ93" s="274">
        <f t="shared" si="47"/>
        <v>6.5842326139088732</v>
      </c>
      <c r="AR93" s="284">
        <f t="shared" si="49"/>
        <v>1760.1100000000001</v>
      </c>
      <c r="AS93" s="285">
        <f t="shared" si="50"/>
        <v>1808.5570143884893</v>
      </c>
      <c r="AT93" s="286">
        <f t="shared" ca="1" si="51"/>
        <v>23.234145072896055</v>
      </c>
      <c r="AU93" s="287">
        <f t="shared" ca="1" si="52"/>
        <v>1835.7481889430283</v>
      </c>
      <c r="AV93" s="285">
        <f t="shared" ca="1" si="53"/>
        <v>27.191174554538975</v>
      </c>
      <c r="AW93"/>
      <c r="AY93" s="358">
        <f t="shared" ca="1" si="55"/>
        <v>7.1085957164287734</v>
      </c>
      <c r="AZ93" s="358">
        <f t="shared" ca="1" si="56"/>
        <v>1842.8567846594569</v>
      </c>
    </row>
    <row r="94" spans="1:52">
      <c r="A94" s="256" t="str">
        <f t="shared" si="42"/>
        <v>MASON CO-REGULATEDR2YDPU</v>
      </c>
      <c r="B94" s="256">
        <f t="shared" si="41"/>
        <v>1</v>
      </c>
      <c r="C94" s="278" t="s">
        <v>448</v>
      </c>
      <c r="D94" s="278" t="s">
        <v>449</v>
      </c>
      <c r="E94" s="290">
        <v>29.43</v>
      </c>
      <c r="F94" s="290">
        <v>29.36</v>
      </c>
      <c r="G94" s="290">
        <v>30.2</v>
      </c>
      <c r="H94" s="255">
        <v>35</v>
      </c>
      <c r="I94" s="281"/>
      <c r="J94" s="282">
        <v>235.44</v>
      </c>
      <c r="K94" s="282">
        <v>147.15</v>
      </c>
      <c r="L94" s="282">
        <v>647.46</v>
      </c>
      <c r="M94" s="282">
        <v>734</v>
      </c>
      <c r="N94" s="282">
        <v>1644.3</v>
      </c>
      <c r="O94" s="282">
        <v>1056.96</v>
      </c>
      <c r="P94" s="282">
        <v>587.20000000000005</v>
      </c>
      <c r="Q94" s="282">
        <v>616.55999999999995</v>
      </c>
      <c r="R94" s="282">
        <v>645.91999999999996</v>
      </c>
      <c r="S94" s="282">
        <v>499.12</v>
      </c>
      <c r="T94" s="282">
        <v>510.88</v>
      </c>
      <c r="U94" s="282">
        <v>181.2</v>
      </c>
      <c r="V94" s="282">
        <f t="shared" si="43"/>
        <v>7506.19</v>
      </c>
      <c r="W94" s="283"/>
      <c r="X94" s="283">
        <f t="shared" si="44"/>
        <v>8</v>
      </c>
      <c r="Y94" s="283">
        <f t="shared" si="44"/>
        <v>5</v>
      </c>
      <c r="Z94" s="283">
        <f t="shared" si="44"/>
        <v>22</v>
      </c>
      <c r="AA94" s="283">
        <f t="shared" si="45"/>
        <v>25</v>
      </c>
      <c r="AB94" s="283">
        <f t="shared" si="45"/>
        <v>56.004768392370572</v>
      </c>
      <c r="AC94" s="283">
        <f t="shared" si="45"/>
        <v>36</v>
      </c>
      <c r="AD94" s="283">
        <f t="shared" si="45"/>
        <v>20.000000000000004</v>
      </c>
      <c r="AE94" s="283">
        <f t="shared" si="45"/>
        <v>21</v>
      </c>
      <c r="AF94" s="283">
        <f t="shared" si="45"/>
        <v>22</v>
      </c>
      <c r="AG94" s="283">
        <f t="shared" si="45"/>
        <v>17</v>
      </c>
      <c r="AH94" s="283">
        <f t="shared" si="46"/>
        <v>16.91655629139073</v>
      </c>
      <c r="AI94" s="283">
        <f t="shared" si="46"/>
        <v>6</v>
      </c>
      <c r="AJ94" s="274">
        <f t="shared" si="47"/>
        <v>21.243443723646774</v>
      </c>
      <c r="AR94" s="284">
        <f t="shared" si="49"/>
        <v>7506.19</v>
      </c>
      <c r="AS94" s="285">
        <f t="shared" si="50"/>
        <v>7698.6240054495902</v>
      </c>
      <c r="AT94" s="286">
        <f t="shared" ca="1" si="51"/>
        <v>30.654048982152066</v>
      </c>
      <c r="AU94" s="287">
        <f t="shared" ca="1" si="52"/>
        <v>7814.370773451109</v>
      </c>
      <c r="AV94" s="285">
        <f t="shared" ca="1" si="53"/>
        <v>115.74676800151883</v>
      </c>
      <c r="AW94"/>
      <c r="AY94" s="358">
        <f t="shared" ca="1" si="55"/>
        <v>30.259707154456958</v>
      </c>
      <c r="AZ94" s="358">
        <f t="shared" ca="1" si="56"/>
        <v>7844.6304806055659</v>
      </c>
    </row>
    <row r="95" spans="1:52">
      <c r="A95" s="256" t="str">
        <f t="shared" si="42"/>
        <v>MASON CO-REGULATEDR1YDRENTT</v>
      </c>
      <c r="B95" s="256">
        <f t="shared" si="41"/>
        <v>1</v>
      </c>
      <c r="C95" s="278" t="s">
        <v>450</v>
      </c>
      <c r="D95" s="278" t="s">
        <v>451</v>
      </c>
      <c r="E95" s="290">
        <v>15.01</v>
      </c>
      <c r="F95" s="290">
        <v>14.97</v>
      </c>
      <c r="G95" s="290">
        <v>14.97</v>
      </c>
      <c r="H95" s="255">
        <v>35</v>
      </c>
      <c r="I95" s="281"/>
      <c r="J95" s="282">
        <v>6.5</v>
      </c>
      <c r="K95" s="282">
        <v>12.5</v>
      </c>
      <c r="L95" s="282">
        <v>3.5</v>
      </c>
      <c r="M95" s="282">
        <v>0</v>
      </c>
      <c r="N95" s="282">
        <v>0</v>
      </c>
      <c r="O95" s="282">
        <v>3.99</v>
      </c>
      <c r="P95" s="282">
        <v>0</v>
      </c>
      <c r="Q95" s="282">
        <v>0</v>
      </c>
      <c r="R95" s="282">
        <v>0</v>
      </c>
      <c r="S95" s="282">
        <v>0</v>
      </c>
      <c r="T95" s="282">
        <v>0</v>
      </c>
      <c r="U95" s="282">
        <v>0</v>
      </c>
      <c r="V95" s="282">
        <f t="shared" si="43"/>
        <v>26.490000000000002</v>
      </c>
      <c r="W95" s="283"/>
      <c r="X95" s="283">
        <f t="shared" si="44"/>
        <v>0.43304463690872752</v>
      </c>
      <c r="Y95" s="283">
        <f t="shared" si="44"/>
        <v>0.83277814790139904</v>
      </c>
      <c r="Z95" s="283">
        <f t="shared" si="44"/>
        <v>0.23317788141239174</v>
      </c>
      <c r="AA95" s="283">
        <f t="shared" si="45"/>
        <v>0</v>
      </c>
      <c r="AB95" s="283">
        <f t="shared" si="45"/>
        <v>0</v>
      </c>
      <c r="AC95" s="283">
        <f t="shared" si="45"/>
        <v>0.26653306613226452</v>
      </c>
      <c r="AD95" s="283">
        <f t="shared" si="45"/>
        <v>0</v>
      </c>
      <c r="AE95" s="283">
        <f t="shared" si="45"/>
        <v>0</v>
      </c>
      <c r="AF95" s="283">
        <f t="shared" si="45"/>
        <v>0</v>
      </c>
      <c r="AG95" s="283">
        <f t="shared" si="45"/>
        <v>0</v>
      </c>
      <c r="AH95" s="283">
        <f t="shared" si="46"/>
        <v>0</v>
      </c>
      <c r="AI95" s="283">
        <f t="shared" si="46"/>
        <v>0</v>
      </c>
      <c r="AJ95" s="274">
        <f t="shared" si="47"/>
        <v>0.14712781102956524</v>
      </c>
      <c r="AR95" s="284">
        <f t="shared" si="49"/>
        <v>26.490000000000002</v>
      </c>
      <c r="AS95" s="285">
        <f t="shared" si="50"/>
        <v>26.4300399733511</v>
      </c>
      <c r="AT95" s="286">
        <f t="shared" ca="1" si="51"/>
        <v>15.195069975589949</v>
      </c>
      <c r="AU95" s="287">
        <f t="shared" ca="1" si="52"/>
        <v>26.827408607395423</v>
      </c>
      <c r="AV95" s="285">
        <f t="shared" ca="1" si="53"/>
        <v>0.39736863404432299</v>
      </c>
      <c r="AW95"/>
      <c r="AY95" s="358">
        <f t="shared" ca="1" si="55"/>
        <v>0.10388418360320875</v>
      </c>
      <c r="AZ95" s="358">
        <f t="shared" ca="1" si="56"/>
        <v>26.931292790998633</v>
      </c>
    </row>
    <row r="96" spans="1:52">
      <c r="A96" s="256" t="str">
        <f t="shared" si="42"/>
        <v>MASON CO-REGULATEDR1YDRENTTM</v>
      </c>
      <c r="B96" s="256">
        <f t="shared" si="41"/>
        <v>1</v>
      </c>
      <c r="C96" s="278" t="s">
        <v>452</v>
      </c>
      <c r="D96" s="278" t="s">
        <v>453</v>
      </c>
      <c r="E96" s="290">
        <v>15.01</v>
      </c>
      <c r="F96" s="290">
        <v>14.97</v>
      </c>
      <c r="G96" s="290">
        <v>14.97</v>
      </c>
      <c r="H96" s="255">
        <v>35</v>
      </c>
      <c r="I96" s="281"/>
      <c r="J96" s="282">
        <v>30.02</v>
      </c>
      <c r="K96" s="282">
        <v>30.02</v>
      </c>
      <c r="L96" s="282">
        <v>30.02</v>
      </c>
      <c r="M96" s="282">
        <v>29.94</v>
      </c>
      <c r="N96" s="282">
        <v>29.94</v>
      </c>
      <c r="O96" s="282">
        <v>14.97</v>
      </c>
      <c r="P96" s="282">
        <v>14.97</v>
      </c>
      <c r="Q96" s="282">
        <v>14.97</v>
      </c>
      <c r="R96" s="282">
        <v>14.97</v>
      </c>
      <c r="S96" s="282">
        <v>14.97</v>
      </c>
      <c r="T96" s="282">
        <v>14.97</v>
      </c>
      <c r="U96" s="282">
        <v>14.97</v>
      </c>
      <c r="V96" s="282">
        <f t="shared" si="43"/>
        <v>254.73</v>
      </c>
      <c r="W96" s="283"/>
      <c r="X96" s="283">
        <f t="shared" si="44"/>
        <v>2</v>
      </c>
      <c r="Y96" s="283">
        <f t="shared" si="44"/>
        <v>2</v>
      </c>
      <c r="Z96" s="283">
        <f t="shared" si="44"/>
        <v>2</v>
      </c>
      <c r="AA96" s="283">
        <f t="shared" si="45"/>
        <v>2</v>
      </c>
      <c r="AB96" s="283">
        <f t="shared" si="45"/>
        <v>2</v>
      </c>
      <c r="AC96" s="283">
        <f t="shared" si="45"/>
        <v>1</v>
      </c>
      <c r="AD96" s="283">
        <f t="shared" si="45"/>
        <v>1</v>
      </c>
      <c r="AE96" s="283">
        <f t="shared" si="45"/>
        <v>1</v>
      </c>
      <c r="AF96" s="283">
        <f t="shared" si="45"/>
        <v>1</v>
      </c>
      <c r="AG96" s="283">
        <f t="shared" si="45"/>
        <v>1</v>
      </c>
      <c r="AH96" s="283">
        <f t="shared" si="46"/>
        <v>1</v>
      </c>
      <c r="AI96" s="283">
        <f t="shared" si="46"/>
        <v>1</v>
      </c>
      <c r="AJ96" s="274">
        <f t="shared" si="47"/>
        <v>1.4166666666666667</v>
      </c>
      <c r="AR96" s="284">
        <f t="shared" si="49"/>
        <v>254.73</v>
      </c>
      <c r="AS96" s="285">
        <f t="shared" si="50"/>
        <v>254.49000000000004</v>
      </c>
      <c r="AT96" s="286">
        <f t="shared" ca="1" si="51"/>
        <v>15.195069975589949</v>
      </c>
      <c r="AU96" s="287">
        <f t="shared" ca="1" si="52"/>
        <v>258.31618958502918</v>
      </c>
      <c r="AV96" s="285">
        <f t="shared" ca="1" si="53"/>
        <v>3.826189585029141</v>
      </c>
      <c r="AW96"/>
      <c r="AY96" s="358">
        <f t="shared" ca="1" si="55"/>
        <v>1.0002817215500623</v>
      </c>
      <c r="AZ96" s="358">
        <f t="shared" ca="1" si="56"/>
        <v>259.31647130657922</v>
      </c>
    </row>
    <row r="97" spans="1:52">
      <c r="A97" s="256" t="str">
        <f t="shared" si="42"/>
        <v>MASON CO-REGULATEDR2YDTPU</v>
      </c>
      <c r="B97" s="256">
        <f t="shared" si="41"/>
        <v>1</v>
      </c>
      <c r="C97" s="278" t="s">
        <v>454</v>
      </c>
      <c r="D97" s="278" t="s">
        <v>455</v>
      </c>
      <c r="E97" s="290">
        <v>29.43</v>
      </c>
      <c r="F97" s="290">
        <v>29.36</v>
      </c>
      <c r="G97" s="290">
        <v>30.2</v>
      </c>
      <c r="H97" s="255">
        <v>35</v>
      </c>
      <c r="I97" s="281"/>
      <c r="J97" s="282">
        <v>58.86</v>
      </c>
      <c r="K97" s="282">
        <v>29.43</v>
      </c>
      <c r="L97" s="282">
        <v>29.43</v>
      </c>
      <c r="M97" s="282">
        <v>0</v>
      </c>
      <c r="N97" s="282">
        <v>0</v>
      </c>
      <c r="O97" s="282">
        <v>58.72</v>
      </c>
      <c r="P97" s="282">
        <v>29.36</v>
      </c>
      <c r="Q97" s="282">
        <v>0</v>
      </c>
      <c r="R97" s="282">
        <v>0</v>
      </c>
      <c r="S97" s="282">
        <v>0</v>
      </c>
      <c r="T97" s="282">
        <v>0</v>
      </c>
      <c r="U97" s="282">
        <v>30.2</v>
      </c>
      <c r="V97" s="282">
        <f t="shared" si="43"/>
        <v>236</v>
      </c>
      <c r="W97" s="283"/>
      <c r="X97" s="283">
        <f t="shared" si="44"/>
        <v>2</v>
      </c>
      <c r="Y97" s="283">
        <f t="shared" si="44"/>
        <v>1</v>
      </c>
      <c r="Z97" s="283">
        <f t="shared" si="44"/>
        <v>1</v>
      </c>
      <c r="AA97" s="283">
        <f t="shared" si="45"/>
        <v>0</v>
      </c>
      <c r="AB97" s="283">
        <f t="shared" si="45"/>
        <v>0</v>
      </c>
      <c r="AC97" s="283">
        <f t="shared" si="45"/>
        <v>2</v>
      </c>
      <c r="AD97" s="283">
        <f t="shared" si="45"/>
        <v>1</v>
      </c>
      <c r="AE97" s="283">
        <f t="shared" si="45"/>
        <v>0</v>
      </c>
      <c r="AF97" s="283">
        <f t="shared" si="45"/>
        <v>0</v>
      </c>
      <c r="AG97" s="283">
        <f t="shared" si="45"/>
        <v>0</v>
      </c>
      <c r="AH97" s="283">
        <f t="shared" si="46"/>
        <v>0</v>
      </c>
      <c r="AI97" s="283">
        <f t="shared" si="46"/>
        <v>1</v>
      </c>
      <c r="AJ97" s="274">
        <f t="shared" si="47"/>
        <v>0.66666666666666663</v>
      </c>
      <c r="AR97" s="284">
        <f t="shared" si="49"/>
        <v>236</v>
      </c>
      <c r="AS97" s="285">
        <f t="shared" si="50"/>
        <v>241.59999999999997</v>
      </c>
      <c r="AT97" s="286">
        <f t="shared" ca="1" si="51"/>
        <v>30.654048982152066</v>
      </c>
      <c r="AU97" s="287">
        <f t="shared" ca="1" si="52"/>
        <v>245.23239185721653</v>
      </c>
      <c r="AV97" s="285">
        <f t="shared" ca="1" si="53"/>
        <v>3.632391857216561</v>
      </c>
      <c r="AW97"/>
      <c r="AY97" s="358">
        <f t="shared" ca="1" si="55"/>
        <v>0.94961713201499076</v>
      </c>
      <c r="AZ97" s="358">
        <f t="shared" ca="1" si="56"/>
        <v>246.18200898923152</v>
      </c>
    </row>
    <row r="98" spans="1:52">
      <c r="A98" s="256" t="str">
        <f>$A$1&amp;C98</f>
        <v>MASON CO-REGULATEDCDELC</v>
      </c>
      <c r="B98" s="256">
        <f t="shared" si="41"/>
        <v>1</v>
      </c>
      <c r="C98" s="278" t="s">
        <v>456</v>
      </c>
      <c r="D98" s="278" t="s">
        <v>457</v>
      </c>
      <c r="E98" s="290">
        <v>28.5</v>
      </c>
      <c r="F98" s="290">
        <v>28.42</v>
      </c>
      <c r="G98" s="290">
        <v>28.42</v>
      </c>
      <c r="H98" s="255">
        <v>35</v>
      </c>
      <c r="I98" s="281"/>
      <c r="J98" s="282">
        <v>342</v>
      </c>
      <c r="K98" s="282">
        <v>655.5</v>
      </c>
      <c r="L98" s="282">
        <v>1738.5</v>
      </c>
      <c r="M98" s="282">
        <v>966.44</v>
      </c>
      <c r="N98" s="282">
        <v>568.64</v>
      </c>
      <c r="O98" s="282">
        <v>682.08</v>
      </c>
      <c r="P98" s="282">
        <v>540.05999999999995</v>
      </c>
      <c r="Q98" s="282">
        <v>511.56</v>
      </c>
      <c r="R98" s="282">
        <v>284.2</v>
      </c>
      <c r="S98" s="282">
        <v>227.36</v>
      </c>
      <c r="T98" s="282">
        <v>312.62</v>
      </c>
      <c r="U98" s="282">
        <v>227.36</v>
      </c>
      <c r="V98" s="282">
        <f>SUM(J98:U98)</f>
        <v>7056.3199999999988</v>
      </c>
      <c r="W98" s="283"/>
      <c r="X98" s="283">
        <f t="shared" si="44"/>
        <v>12</v>
      </c>
      <c r="Y98" s="283">
        <f t="shared" si="44"/>
        <v>23</v>
      </c>
      <c r="Z98" s="283">
        <f t="shared" si="44"/>
        <v>61</v>
      </c>
      <c r="AA98" s="283">
        <f t="shared" si="45"/>
        <v>34.005629838142156</v>
      </c>
      <c r="AB98" s="283">
        <f t="shared" si="45"/>
        <v>20.00844475721323</v>
      </c>
      <c r="AC98" s="283">
        <f t="shared" si="45"/>
        <v>24</v>
      </c>
      <c r="AD98" s="283">
        <f t="shared" si="45"/>
        <v>19.002814919071074</v>
      </c>
      <c r="AE98" s="283">
        <f t="shared" si="45"/>
        <v>18</v>
      </c>
      <c r="AF98" s="283">
        <f t="shared" si="45"/>
        <v>9.9999999999999982</v>
      </c>
      <c r="AG98" s="283">
        <f t="shared" si="45"/>
        <v>8</v>
      </c>
      <c r="AH98" s="283">
        <f t="shared" si="46"/>
        <v>11</v>
      </c>
      <c r="AI98" s="283">
        <f t="shared" si="46"/>
        <v>8</v>
      </c>
      <c r="AJ98" s="274">
        <f>AVERAGE(X98:AI98)</f>
        <v>20.668074126202207</v>
      </c>
      <c r="AR98" s="284">
        <f t="shared" si="49"/>
        <v>7056.3199999999988</v>
      </c>
      <c r="AS98" s="285">
        <f t="shared" si="50"/>
        <v>7048.6400000000012</v>
      </c>
      <c r="AT98" s="286">
        <f t="shared" ca="1" si="51"/>
        <v>28.847287154727212</v>
      </c>
      <c r="AU98" s="287">
        <f t="shared" ca="1" si="52"/>
        <v>7154.6144310449135</v>
      </c>
      <c r="AV98" s="285">
        <f t="shared" ca="1" si="53"/>
        <v>105.97443104491231</v>
      </c>
      <c r="AW98"/>
      <c r="AY98" s="358">
        <f t="shared" ca="1" si="55"/>
        <v>27.70492260515789</v>
      </c>
      <c r="AZ98" s="358">
        <f t="shared" ca="1" si="56"/>
        <v>7182.3193536500712</v>
      </c>
    </row>
    <row r="99" spans="1:52">
      <c r="A99" s="256" t="str">
        <f>$A$1&amp;C99</f>
        <v>MASON CO-REGULATEDCOMCAN</v>
      </c>
      <c r="B99" s="256">
        <f t="shared" si="41"/>
        <v>1</v>
      </c>
      <c r="C99" s="278" t="s">
        <v>458</v>
      </c>
      <c r="D99" s="278" t="s">
        <v>459</v>
      </c>
      <c r="E99" s="290">
        <v>5.0999999999999996</v>
      </c>
      <c r="F99" s="290">
        <v>5.09</v>
      </c>
      <c r="G99" s="290">
        <v>5.27</v>
      </c>
      <c r="H99" s="255">
        <v>36</v>
      </c>
      <c r="I99" s="281"/>
      <c r="J99" s="282">
        <v>76.5</v>
      </c>
      <c r="K99" s="282">
        <v>112.2</v>
      </c>
      <c r="L99" s="282">
        <v>239.7</v>
      </c>
      <c r="M99" s="282">
        <v>422.47</v>
      </c>
      <c r="N99" s="282">
        <v>386.84</v>
      </c>
      <c r="O99" s="282">
        <v>717.69</v>
      </c>
      <c r="P99" s="282">
        <v>229.05</v>
      </c>
      <c r="Q99" s="282">
        <v>600.62</v>
      </c>
      <c r="R99" s="282">
        <v>223.96</v>
      </c>
      <c r="S99" s="282">
        <v>188.33</v>
      </c>
      <c r="T99" s="282">
        <v>100.13</v>
      </c>
      <c r="U99" s="282">
        <v>84.32</v>
      </c>
      <c r="V99" s="282">
        <f>SUM(J99:U99)</f>
        <v>3381.8100000000004</v>
      </c>
      <c r="W99" s="283"/>
      <c r="X99" s="283">
        <f t="shared" si="44"/>
        <v>15.000000000000002</v>
      </c>
      <c r="Y99" s="283">
        <f t="shared" si="44"/>
        <v>22.000000000000004</v>
      </c>
      <c r="Z99" s="283">
        <f t="shared" si="44"/>
        <v>47</v>
      </c>
      <c r="AA99" s="283">
        <f t="shared" si="45"/>
        <v>83.000000000000014</v>
      </c>
      <c r="AB99" s="283">
        <f t="shared" si="45"/>
        <v>76</v>
      </c>
      <c r="AC99" s="283">
        <f t="shared" si="45"/>
        <v>141.00000000000003</v>
      </c>
      <c r="AD99" s="283">
        <f t="shared" si="45"/>
        <v>45</v>
      </c>
      <c r="AE99" s="283">
        <f t="shared" si="45"/>
        <v>118</v>
      </c>
      <c r="AF99" s="283">
        <f t="shared" si="45"/>
        <v>44</v>
      </c>
      <c r="AG99" s="283">
        <f t="shared" si="45"/>
        <v>37</v>
      </c>
      <c r="AH99" s="283">
        <f t="shared" si="46"/>
        <v>19</v>
      </c>
      <c r="AI99" s="283">
        <f t="shared" si="46"/>
        <v>16</v>
      </c>
      <c r="AJ99" s="274">
        <f>AVERAGE(X99:AI99)</f>
        <v>55.25</v>
      </c>
      <c r="AR99" s="284">
        <f t="shared" si="49"/>
        <v>3381.8100000000004</v>
      </c>
      <c r="AS99" s="285">
        <f t="shared" si="50"/>
        <v>3494.0099999999998</v>
      </c>
      <c r="AT99" s="286">
        <f t="shared" ca="1" si="51"/>
        <v>5.3492330508589863</v>
      </c>
      <c r="AU99" s="287">
        <f t="shared" ca="1" si="52"/>
        <v>3546.5415127195083</v>
      </c>
      <c r="AV99" s="285">
        <f t="shared" ca="1" si="53"/>
        <v>52.531512719508555</v>
      </c>
      <c r="AW99"/>
      <c r="AY99" s="358">
        <f t="shared" ca="1" si="55"/>
        <v>13.733326802283518</v>
      </c>
      <c r="AZ99" s="358">
        <f t="shared" ca="1" si="56"/>
        <v>3560.2748395217918</v>
      </c>
    </row>
    <row r="100" spans="1:52">
      <c r="A100" s="256" t="str">
        <f>$A$1&amp;C100</f>
        <v>MASON CO-REGULATEDROLLOUTOC</v>
      </c>
      <c r="B100" s="256">
        <f t="shared" si="41"/>
        <v>1</v>
      </c>
      <c r="C100" s="278" t="s">
        <v>460</v>
      </c>
      <c r="D100" s="278" t="s">
        <v>461</v>
      </c>
      <c r="E100" s="290">
        <v>3.8</v>
      </c>
      <c r="F100" s="290">
        <v>3.79</v>
      </c>
      <c r="G100" s="290">
        <v>3.79</v>
      </c>
      <c r="H100" s="255">
        <v>31</v>
      </c>
      <c r="I100" s="281"/>
      <c r="J100" s="282">
        <v>1204.5999999999999</v>
      </c>
      <c r="K100" s="282">
        <v>1132.3999999999999</v>
      </c>
      <c r="L100" s="282">
        <v>1326.2</v>
      </c>
      <c r="M100" s="282">
        <v>1337.8700000000001</v>
      </c>
      <c r="N100" s="282">
        <v>1235.5400000000002</v>
      </c>
      <c r="O100" s="282">
        <v>1406.0900000000001</v>
      </c>
      <c r="P100" s="282">
        <v>1072.5700000000002</v>
      </c>
      <c r="Q100" s="282">
        <v>1296.18</v>
      </c>
      <c r="R100" s="282">
        <v>1432.6200000000001</v>
      </c>
      <c r="S100" s="282">
        <v>1174.9000000000001</v>
      </c>
      <c r="T100" s="282">
        <v>1311.34</v>
      </c>
      <c r="U100" s="282">
        <v>1239.33</v>
      </c>
      <c r="V100" s="282">
        <f>SUM(J100:U100)</f>
        <v>15169.640000000001</v>
      </c>
      <c r="W100" s="283"/>
      <c r="X100" s="283">
        <f t="shared" si="44"/>
        <v>317</v>
      </c>
      <c r="Y100" s="283">
        <f t="shared" si="44"/>
        <v>298</v>
      </c>
      <c r="Z100" s="283">
        <f t="shared" si="44"/>
        <v>349</v>
      </c>
      <c r="AA100" s="283">
        <f t="shared" si="45"/>
        <v>353</v>
      </c>
      <c r="AB100" s="283">
        <f t="shared" si="45"/>
        <v>326.00000000000006</v>
      </c>
      <c r="AC100" s="283">
        <f t="shared" si="45"/>
        <v>371.00000000000006</v>
      </c>
      <c r="AD100" s="283">
        <f t="shared" si="45"/>
        <v>283.00000000000006</v>
      </c>
      <c r="AE100" s="283">
        <f t="shared" si="45"/>
        <v>342</v>
      </c>
      <c r="AF100" s="283">
        <f t="shared" si="45"/>
        <v>378</v>
      </c>
      <c r="AG100" s="283">
        <f t="shared" si="45"/>
        <v>310</v>
      </c>
      <c r="AH100" s="283">
        <f t="shared" si="46"/>
        <v>346</v>
      </c>
      <c r="AI100" s="283">
        <f t="shared" si="46"/>
        <v>327</v>
      </c>
      <c r="AJ100" s="274">
        <f>AVERAGE(X100:AI100)</f>
        <v>333.33333333333331</v>
      </c>
      <c r="AR100" s="284">
        <f t="shared" si="49"/>
        <v>15169.640000000001</v>
      </c>
      <c r="AS100" s="285">
        <f t="shared" si="50"/>
        <v>15160</v>
      </c>
      <c r="AT100" s="286">
        <f t="shared" ca="1" si="51"/>
        <v>3.8469816437866338</v>
      </c>
      <c r="AU100" s="287">
        <f t="shared" ca="1" si="52"/>
        <v>15387.926575146534</v>
      </c>
      <c r="AV100" s="285">
        <f t="shared" ca="1" si="53"/>
        <v>227.92657514653365</v>
      </c>
      <c r="AW100"/>
      <c r="AY100" s="358">
        <f t="shared" ca="1" si="55"/>
        <v>59.586902820145944</v>
      </c>
      <c r="AZ100" s="358">
        <f t="shared" ca="1" si="56"/>
        <v>15447.513477966679</v>
      </c>
    </row>
    <row r="101" spans="1:52">
      <c r="A101" s="256" t="str">
        <f t="shared" si="42"/>
        <v>MASON CO-REGULATEDCTRIPCAN</v>
      </c>
      <c r="B101" s="256">
        <f t="shared" si="41"/>
        <v>1</v>
      </c>
      <c r="C101" s="278" t="s">
        <v>462</v>
      </c>
      <c r="D101" s="278" t="s">
        <v>463</v>
      </c>
      <c r="E101" s="290">
        <v>9.23</v>
      </c>
      <c r="F101" s="290">
        <v>9.2100000000000009</v>
      </c>
      <c r="G101" s="290">
        <v>9.2100000000000009</v>
      </c>
      <c r="H101" s="255">
        <v>17</v>
      </c>
      <c r="I101" s="281"/>
      <c r="J101" s="282">
        <v>0</v>
      </c>
      <c r="K101" s="282">
        <v>0</v>
      </c>
      <c r="L101" s="282">
        <v>0</v>
      </c>
      <c r="M101" s="282">
        <v>0</v>
      </c>
      <c r="N101" s="282">
        <v>0</v>
      </c>
      <c r="O101" s="282">
        <v>0</v>
      </c>
      <c r="P101" s="282">
        <v>0</v>
      </c>
      <c r="Q101" s="282">
        <v>0</v>
      </c>
      <c r="R101" s="282">
        <v>0</v>
      </c>
      <c r="S101" s="282">
        <v>0</v>
      </c>
      <c r="T101" s="282">
        <v>0</v>
      </c>
      <c r="U101" s="282">
        <v>0</v>
      </c>
      <c r="V101" s="282">
        <f t="shared" si="43"/>
        <v>0</v>
      </c>
      <c r="W101" s="283"/>
      <c r="X101" s="283">
        <f t="shared" si="44"/>
        <v>0</v>
      </c>
      <c r="Y101" s="283">
        <f t="shared" si="44"/>
        <v>0</v>
      </c>
      <c r="Z101" s="283">
        <f t="shared" si="44"/>
        <v>0</v>
      </c>
      <c r="AA101" s="283">
        <f t="shared" si="45"/>
        <v>0</v>
      </c>
      <c r="AB101" s="283">
        <f t="shared" si="45"/>
        <v>0</v>
      </c>
      <c r="AC101" s="283">
        <f t="shared" si="45"/>
        <v>0</v>
      </c>
      <c r="AD101" s="283">
        <f t="shared" si="45"/>
        <v>0</v>
      </c>
      <c r="AE101" s="283">
        <f t="shared" si="45"/>
        <v>0</v>
      </c>
      <c r="AF101" s="283">
        <f t="shared" si="45"/>
        <v>0</v>
      </c>
      <c r="AG101" s="283">
        <f t="shared" si="45"/>
        <v>0</v>
      </c>
      <c r="AH101" s="283">
        <f t="shared" si="46"/>
        <v>0</v>
      </c>
      <c r="AI101" s="283">
        <f t="shared" si="46"/>
        <v>0</v>
      </c>
      <c r="AJ101" s="274">
        <f t="shared" si="47"/>
        <v>0</v>
      </c>
      <c r="AR101" s="284">
        <f t="shared" si="49"/>
        <v>0</v>
      </c>
      <c r="AS101" s="285">
        <f t="shared" si="50"/>
        <v>0</v>
      </c>
      <c r="AT101" s="286">
        <f t="shared" ca="1" si="51"/>
        <v>9.3484699048218722</v>
      </c>
      <c r="AU101" s="287">
        <f t="shared" ca="1" si="52"/>
        <v>0</v>
      </c>
      <c r="AV101" s="285">
        <f t="shared" ca="1" si="53"/>
        <v>0</v>
      </c>
      <c r="AW101"/>
      <c r="AY101" s="358">
        <f t="shared" ca="1" si="55"/>
        <v>0</v>
      </c>
      <c r="AZ101" s="358">
        <f t="shared" ca="1" si="56"/>
        <v>0</v>
      </c>
    </row>
    <row r="102" spans="1:52">
      <c r="A102" s="256" t="str">
        <f t="shared" si="42"/>
        <v>MASON CO-REGULATEDCTRIP</v>
      </c>
      <c r="B102" s="256">
        <f t="shared" si="41"/>
        <v>1</v>
      </c>
      <c r="C102" s="278" t="s">
        <v>464</v>
      </c>
      <c r="D102" s="278" t="s">
        <v>465</v>
      </c>
      <c r="E102" s="290">
        <v>18.350000000000001</v>
      </c>
      <c r="F102" s="290">
        <v>18.3</v>
      </c>
      <c r="G102" s="290">
        <v>18.3</v>
      </c>
      <c r="H102" s="255">
        <v>17</v>
      </c>
      <c r="I102" s="281"/>
      <c r="J102" s="282">
        <v>0</v>
      </c>
      <c r="K102" s="282">
        <v>0</v>
      </c>
      <c r="L102" s="282">
        <v>0</v>
      </c>
      <c r="M102" s="282">
        <v>0</v>
      </c>
      <c r="N102" s="282">
        <v>0</v>
      </c>
      <c r="O102" s="282">
        <v>18.3</v>
      </c>
      <c r="P102" s="282">
        <v>0</v>
      </c>
      <c r="Q102" s="282">
        <v>0</v>
      </c>
      <c r="R102" s="282">
        <v>18.3</v>
      </c>
      <c r="S102" s="282">
        <v>0</v>
      </c>
      <c r="T102" s="282">
        <v>0</v>
      </c>
      <c r="U102" s="282">
        <v>0</v>
      </c>
      <c r="V102" s="282">
        <f t="shared" si="43"/>
        <v>36.6</v>
      </c>
      <c r="W102" s="283"/>
      <c r="X102" s="283">
        <f t="shared" si="44"/>
        <v>0</v>
      </c>
      <c r="Y102" s="283">
        <f t="shared" si="44"/>
        <v>0</v>
      </c>
      <c r="Z102" s="283">
        <f t="shared" si="44"/>
        <v>0</v>
      </c>
      <c r="AA102" s="283">
        <f t="shared" si="45"/>
        <v>0</v>
      </c>
      <c r="AB102" s="283">
        <f t="shared" si="45"/>
        <v>0</v>
      </c>
      <c r="AC102" s="283">
        <f t="shared" si="45"/>
        <v>1</v>
      </c>
      <c r="AD102" s="283">
        <f t="shared" si="45"/>
        <v>0</v>
      </c>
      <c r="AE102" s="283">
        <f t="shared" si="45"/>
        <v>0</v>
      </c>
      <c r="AF102" s="283">
        <f t="shared" si="45"/>
        <v>1</v>
      </c>
      <c r="AG102" s="283">
        <f t="shared" si="45"/>
        <v>0</v>
      </c>
      <c r="AH102" s="283">
        <f t="shared" si="46"/>
        <v>0</v>
      </c>
      <c r="AI102" s="283">
        <f t="shared" si="46"/>
        <v>0</v>
      </c>
      <c r="AJ102" s="274">
        <f t="shared" si="47"/>
        <v>0.16666666666666666</v>
      </c>
      <c r="AR102" s="284">
        <f t="shared" si="49"/>
        <v>36.6</v>
      </c>
      <c r="AS102" s="285">
        <f t="shared" si="50"/>
        <v>36.6</v>
      </c>
      <c r="AT102" s="286">
        <f t="shared" ca="1" si="51"/>
        <v>18.575135641502744</v>
      </c>
      <c r="AU102" s="287">
        <f t="shared" ca="1" si="52"/>
        <v>37.150271283005488</v>
      </c>
      <c r="AV102" s="285">
        <f t="shared" ca="1" si="53"/>
        <v>0.55027128300548611</v>
      </c>
      <c r="AW102"/>
      <c r="AY102" s="358">
        <f t="shared" ca="1" si="55"/>
        <v>0.14385756221750276</v>
      </c>
      <c r="AZ102" s="358">
        <f t="shared" ca="1" si="56"/>
        <v>37.294128845222993</v>
      </c>
    </row>
    <row r="103" spans="1:52">
      <c r="A103" s="304" t="str">
        <f t="shared" si="42"/>
        <v>MASON CO-REGULATEDCEXYD</v>
      </c>
      <c r="B103" s="304">
        <f t="shared" si="41"/>
        <v>1</v>
      </c>
      <c r="C103" s="305" t="s">
        <v>466</v>
      </c>
      <c r="D103" s="305" t="s">
        <v>467</v>
      </c>
      <c r="E103" s="290">
        <v>17.91</v>
      </c>
      <c r="F103" s="306">
        <v>17.86</v>
      </c>
      <c r="G103" s="306">
        <v>18.18</v>
      </c>
      <c r="H103" s="255">
        <v>35</v>
      </c>
      <c r="I103" s="307"/>
      <c r="J103" s="308">
        <v>2561.13</v>
      </c>
      <c r="K103" s="308">
        <v>2220.84</v>
      </c>
      <c r="L103" s="308">
        <v>4405.8599999999997</v>
      </c>
      <c r="M103" s="308">
        <v>4500.7199999999993</v>
      </c>
      <c r="N103" s="308">
        <v>5518.74</v>
      </c>
      <c r="O103" s="308">
        <v>5090.1000000000004</v>
      </c>
      <c r="P103" s="308">
        <v>3911.34</v>
      </c>
      <c r="Q103" s="308">
        <v>3589.76</v>
      </c>
      <c r="R103" s="308">
        <v>3607.72</v>
      </c>
      <c r="S103" s="308">
        <v>2786.16</v>
      </c>
      <c r="T103" s="308">
        <v>2306.94</v>
      </c>
      <c r="U103" s="308">
        <v>1999.8</v>
      </c>
      <c r="V103" s="308">
        <f t="shared" si="43"/>
        <v>42499.11</v>
      </c>
      <c r="W103" s="309"/>
      <c r="X103" s="309">
        <f t="shared" si="44"/>
        <v>143</v>
      </c>
      <c r="Y103" s="309">
        <f t="shared" si="44"/>
        <v>124.00000000000001</v>
      </c>
      <c r="Z103" s="309">
        <f t="shared" si="44"/>
        <v>245.99999999999997</v>
      </c>
      <c r="AA103" s="309">
        <f t="shared" si="45"/>
        <v>251.99999999999997</v>
      </c>
      <c r="AB103" s="309">
        <f t="shared" si="45"/>
        <v>309</v>
      </c>
      <c r="AC103" s="309">
        <f t="shared" si="45"/>
        <v>285.00000000000006</v>
      </c>
      <c r="AD103" s="309">
        <f t="shared" si="45"/>
        <v>219.00000000000003</v>
      </c>
      <c r="AE103" s="309">
        <f t="shared" si="45"/>
        <v>200.99440089585667</v>
      </c>
      <c r="AF103" s="309">
        <f t="shared" si="45"/>
        <v>202</v>
      </c>
      <c r="AG103" s="309">
        <f t="shared" si="45"/>
        <v>156</v>
      </c>
      <c r="AH103" s="309">
        <f t="shared" si="46"/>
        <v>126.8943894389439</v>
      </c>
      <c r="AI103" s="309">
        <f t="shared" si="46"/>
        <v>110</v>
      </c>
      <c r="AJ103" s="314">
        <f t="shared" si="47"/>
        <v>197.82406586123338</v>
      </c>
      <c r="AK103" s="304"/>
      <c r="AL103" s="304"/>
      <c r="AM103" s="304"/>
      <c r="AN103" s="304"/>
      <c r="AO103" s="304"/>
      <c r="AP103" s="304"/>
      <c r="AQ103" s="304"/>
      <c r="AR103" s="284">
        <f t="shared" si="49"/>
        <v>42499.11</v>
      </c>
      <c r="AS103" s="285">
        <f t="shared" si="50"/>
        <v>43157.298208286673</v>
      </c>
      <c r="AT103" s="286">
        <f t="shared" ca="1" si="51"/>
        <v>18.45333147336174</v>
      </c>
      <c r="AU103" s="287">
        <f t="shared" ca="1" si="52"/>
        <v>43806.156728945796</v>
      </c>
      <c r="AV103" s="285">
        <f t="shared" ca="1" si="53"/>
        <v>648.85852065912331</v>
      </c>
      <c r="AW103"/>
      <c r="AY103" s="358">
        <f t="shared" ca="1" si="55"/>
        <v>169.6312489655169</v>
      </c>
      <c r="AZ103" s="358">
        <f t="shared" ca="1" si="56"/>
        <v>43975.787977911314</v>
      </c>
    </row>
    <row r="104" spans="1:52">
      <c r="A104" s="256" t="str">
        <f t="shared" si="42"/>
        <v>MASON CO-REGULATEDCLSECOL</v>
      </c>
      <c r="B104" s="256">
        <f t="shared" si="41"/>
        <v>1</v>
      </c>
      <c r="C104" s="278" t="s">
        <v>468</v>
      </c>
      <c r="D104" s="278" t="s">
        <v>469</v>
      </c>
      <c r="E104" s="290">
        <v>30.36</v>
      </c>
      <c r="F104" s="290">
        <v>30.28</v>
      </c>
      <c r="G104" s="290">
        <v>30.6</v>
      </c>
      <c r="H104" s="255">
        <v>28</v>
      </c>
      <c r="I104" s="281"/>
      <c r="J104" s="282">
        <v>0</v>
      </c>
      <c r="K104" s="282">
        <v>0</v>
      </c>
      <c r="L104" s="282">
        <v>0</v>
      </c>
      <c r="M104" s="282">
        <v>0</v>
      </c>
      <c r="N104" s="282">
        <v>0</v>
      </c>
      <c r="O104" s="282">
        <v>181.68</v>
      </c>
      <c r="P104" s="282">
        <v>0</v>
      </c>
      <c r="Q104" s="282">
        <v>0</v>
      </c>
      <c r="R104" s="282">
        <v>0</v>
      </c>
      <c r="S104" s="282">
        <v>0</v>
      </c>
      <c r="T104" s="282">
        <v>0</v>
      </c>
      <c r="U104" s="282">
        <v>0</v>
      </c>
      <c r="V104" s="282">
        <f t="shared" si="43"/>
        <v>181.68</v>
      </c>
      <c r="W104" s="283"/>
      <c r="X104" s="283">
        <f t="shared" si="44"/>
        <v>0</v>
      </c>
      <c r="Y104" s="283">
        <f t="shared" si="44"/>
        <v>0</v>
      </c>
      <c r="Z104" s="283">
        <f t="shared" si="44"/>
        <v>0</v>
      </c>
      <c r="AA104" s="283">
        <f t="shared" si="45"/>
        <v>0</v>
      </c>
      <c r="AB104" s="283">
        <f t="shared" si="45"/>
        <v>0</v>
      </c>
      <c r="AC104" s="283">
        <f t="shared" si="45"/>
        <v>6</v>
      </c>
      <c r="AD104" s="283">
        <f t="shared" si="45"/>
        <v>0</v>
      </c>
      <c r="AE104" s="283">
        <f t="shared" si="45"/>
        <v>0</v>
      </c>
      <c r="AF104" s="283">
        <f t="shared" si="45"/>
        <v>0</v>
      </c>
      <c r="AG104" s="283">
        <f t="shared" si="45"/>
        <v>0</v>
      </c>
      <c r="AH104" s="283">
        <f t="shared" si="46"/>
        <v>0</v>
      </c>
      <c r="AI104" s="283">
        <f t="shared" si="46"/>
        <v>0</v>
      </c>
      <c r="AJ104" s="274">
        <f t="shared" si="47"/>
        <v>0.5</v>
      </c>
      <c r="AR104" s="284">
        <f t="shared" si="49"/>
        <v>181.68</v>
      </c>
      <c r="AS104" s="285">
        <f t="shared" si="50"/>
        <v>183.60000000000002</v>
      </c>
      <c r="AT104" s="286">
        <f t="shared" ca="1" si="51"/>
        <v>31.060062875955406</v>
      </c>
      <c r="AU104" s="287">
        <f t="shared" ca="1" si="52"/>
        <v>186.36037725573243</v>
      </c>
      <c r="AV104" s="285">
        <f t="shared" ca="1" si="53"/>
        <v>2.7603772557324078</v>
      </c>
      <c r="AW104"/>
      <c r="AY104" s="358">
        <f t="shared" ca="1" si="55"/>
        <v>0.72164613177960391</v>
      </c>
      <c r="AZ104" s="358">
        <f t="shared" ca="1" si="56"/>
        <v>187.08202338751204</v>
      </c>
    </row>
    <row r="105" spans="1:52">
      <c r="A105" s="256" t="str">
        <f t="shared" si="42"/>
        <v>MASON CO-REGULATEDCLSE1COL</v>
      </c>
      <c r="B105" s="256">
        <f t="shared" si="41"/>
        <v>1</v>
      </c>
      <c r="C105" s="278" t="s">
        <v>470</v>
      </c>
      <c r="D105" s="278" t="s">
        <v>471</v>
      </c>
      <c r="E105" s="290">
        <v>30.36</v>
      </c>
      <c r="F105" s="290">
        <v>30.28</v>
      </c>
      <c r="G105" s="290">
        <v>30.6</v>
      </c>
      <c r="H105" s="255">
        <v>28</v>
      </c>
      <c r="I105" s="281"/>
      <c r="J105" s="282">
        <v>0</v>
      </c>
      <c r="K105" s="282">
        <v>0</v>
      </c>
      <c r="L105" s="282">
        <v>0</v>
      </c>
      <c r="M105" s="282">
        <v>0</v>
      </c>
      <c r="N105" s="282">
        <v>0</v>
      </c>
      <c r="O105" s="282">
        <v>0</v>
      </c>
      <c r="P105" s="282">
        <v>0</v>
      </c>
      <c r="Q105" s="282">
        <v>0</v>
      </c>
      <c r="R105" s="282">
        <v>0</v>
      </c>
      <c r="S105" s="282">
        <v>0</v>
      </c>
      <c r="T105" s="282">
        <v>0</v>
      </c>
      <c r="U105" s="282">
        <v>0</v>
      </c>
      <c r="V105" s="282">
        <f t="shared" si="43"/>
        <v>0</v>
      </c>
      <c r="W105" s="283"/>
      <c r="X105" s="283">
        <f t="shared" si="44"/>
        <v>0</v>
      </c>
      <c r="Y105" s="283">
        <f t="shared" si="44"/>
        <v>0</v>
      </c>
      <c r="Z105" s="283">
        <f t="shared" si="44"/>
        <v>0</v>
      </c>
      <c r="AA105" s="283">
        <f t="shared" si="45"/>
        <v>0</v>
      </c>
      <c r="AB105" s="283">
        <f t="shared" si="45"/>
        <v>0</v>
      </c>
      <c r="AC105" s="283">
        <f t="shared" si="45"/>
        <v>0</v>
      </c>
      <c r="AD105" s="283">
        <f t="shared" si="45"/>
        <v>0</v>
      </c>
      <c r="AE105" s="283">
        <f t="shared" si="45"/>
        <v>0</v>
      </c>
      <c r="AF105" s="283">
        <f t="shared" si="45"/>
        <v>0</v>
      </c>
      <c r="AG105" s="283">
        <f t="shared" si="45"/>
        <v>0</v>
      </c>
      <c r="AH105" s="283">
        <f t="shared" si="46"/>
        <v>0</v>
      </c>
      <c r="AI105" s="283">
        <f t="shared" si="46"/>
        <v>0</v>
      </c>
      <c r="AJ105" s="274">
        <f t="shared" si="47"/>
        <v>0</v>
      </c>
      <c r="AK105" s="256" t="s">
        <v>162</v>
      </c>
      <c r="AL105" s="274">
        <f>+SUM(AP72:AP84)</f>
        <v>1196.8900030405839</v>
      </c>
      <c r="AR105" s="284">
        <f t="shared" si="49"/>
        <v>0</v>
      </c>
      <c r="AS105" s="285">
        <f t="shared" si="50"/>
        <v>0</v>
      </c>
      <c r="AT105" s="286">
        <f t="shared" ca="1" si="51"/>
        <v>31.060062875955406</v>
      </c>
      <c r="AU105" s="287">
        <f t="shared" ca="1" si="52"/>
        <v>0</v>
      </c>
      <c r="AV105" s="285">
        <f t="shared" ca="1" si="53"/>
        <v>0</v>
      </c>
      <c r="AW105"/>
      <c r="AY105" s="358">
        <f t="shared" ca="1" si="55"/>
        <v>0</v>
      </c>
      <c r="AZ105" s="358">
        <f t="shared" ca="1" si="56"/>
        <v>0</v>
      </c>
    </row>
    <row r="106" spans="1:52">
      <c r="A106" s="256" t="str">
        <f t="shared" si="42"/>
        <v>MASON CO-REGULATEDUNLOCKREF</v>
      </c>
      <c r="B106" s="256">
        <f t="shared" si="41"/>
        <v>1</v>
      </c>
      <c r="C106" s="278" t="s">
        <v>472</v>
      </c>
      <c r="D106" s="278" t="s">
        <v>473</v>
      </c>
      <c r="E106" s="290">
        <v>2.68</v>
      </c>
      <c r="F106" s="290">
        <v>2.67</v>
      </c>
      <c r="G106" s="290">
        <v>2.67</v>
      </c>
      <c r="H106" s="255">
        <v>35</v>
      </c>
      <c r="I106" s="281"/>
      <c r="J106" s="282">
        <v>745.04</v>
      </c>
      <c r="K106" s="282">
        <v>731.64</v>
      </c>
      <c r="L106" s="282">
        <v>771.81999999999994</v>
      </c>
      <c r="M106" s="282">
        <v>696.83999999999992</v>
      </c>
      <c r="N106" s="282">
        <v>795.65000000000009</v>
      </c>
      <c r="O106" s="282">
        <v>694.2</v>
      </c>
      <c r="P106" s="282">
        <v>568.71</v>
      </c>
      <c r="Q106" s="282">
        <v>723.55</v>
      </c>
      <c r="R106" s="282">
        <v>750.27</v>
      </c>
      <c r="S106" s="282">
        <v>683.55</v>
      </c>
      <c r="T106" s="282">
        <v>740.14</v>
      </c>
      <c r="U106" s="282">
        <v>651.48</v>
      </c>
      <c r="V106" s="282">
        <f t="shared" si="43"/>
        <v>8552.8900000000012</v>
      </c>
      <c r="W106" s="283"/>
      <c r="X106" s="283">
        <f t="shared" si="44"/>
        <v>277.99999999999994</v>
      </c>
      <c r="Y106" s="283">
        <f t="shared" si="44"/>
        <v>273</v>
      </c>
      <c r="Z106" s="283">
        <f t="shared" si="44"/>
        <v>287.99253731343282</v>
      </c>
      <c r="AA106" s="283">
        <f t="shared" si="45"/>
        <v>260.98876404494382</v>
      </c>
      <c r="AB106" s="283">
        <f t="shared" si="45"/>
        <v>297.996254681648</v>
      </c>
      <c r="AC106" s="283">
        <f t="shared" si="45"/>
        <v>260</v>
      </c>
      <c r="AD106" s="283">
        <f t="shared" si="45"/>
        <v>213.00000000000003</v>
      </c>
      <c r="AE106" s="283">
        <f t="shared" si="45"/>
        <v>270.99250936329588</v>
      </c>
      <c r="AF106" s="283">
        <f t="shared" si="45"/>
        <v>281</v>
      </c>
      <c r="AG106" s="283">
        <f t="shared" si="45"/>
        <v>256.01123595505618</v>
      </c>
      <c r="AH106" s="283">
        <f t="shared" si="46"/>
        <v>277.20599250936328</v>
      </c>
      <c r="AI106" s="283">
        <f t="shared" si="46"/>
        <v>244</v>
      </c>
      <c r="AJ106" s="274">
        <f t="shared" si="47"/>
        <v>266.68227448897829</v>
      </c>
      <c r="AK106" s="256" t="s">
        <v>474</v>
      </c>
      <c r="AL106" s="256">
        <v>0</v>
      </c>
      <c r="AR106" s="284">
        <f t="shared" si="49"/>
        <v>8552.8900000000012</v>
      </c>
      <c r="AS106" s="285">
        <f t="shared" si="50"/>
        <v>8544.5000746268652</v>
      </c>
      <c r="AT106" s="286">
        <f t="shared" ca="1" si="51"/>
        <v>2.7101427411372851</v>
      </c>
      <c r="AU106" s="287">
        <f t="shared" ca="1" si="52"/>
        <v>8672.9643647554258</v>
      </c>
      <c r="AV106" s="285">
        <f t="shared" ca="1" si="53"/>
        <v>128.46429012856061</v>
      </c>
      <c r="AW106"/>
      <c r="AY106" s="358">
        <f t="shared" ca="1" si="55"/>
        <v>33.584452215931442</v>
      </c>
      <c r="AZ106" s="358">
        <f t="shared" ca="1" si="56"/>
        <v>8706.5488169713572</v>
      </c>
    </row>
    <row r="107" spans="1:52">
      <c r="C107" s="278"/>
      <c r="D107" s="278"/>
      <c r="E107" s="290"/>
      <c r="F107" s="290"/>
      <c r="G107" s="290"/>
      <c r="I107" s="281"/>
      <c r="J107" s="282"/>
      <c r="K107" s="282"/>
      <c r="L107" s="282"/>
      <c r="M107" s="282"/>
      <c r="N107" s="282"/>
      <c r="O107" s="282"/>
      <c r="P107" s="282"/>
      <c r="Q107" s="282"/>
      <c r="R107" s="282"/>
      <c r="S107" s="282"/>
      <c r="T107" s="282"/>
      <c r="U107" s="282"/>
      <c r="V107" s="282"/>
      <c r="W107" s="283"/>
      <c r="X107" s="283"/>
      <c r="Y107" s="283"/>
      <c r="Z107" s="283"/>
      <c r="AA107" s="283"/>
      <c r="AB107" s="283"/>
      <c r="AC107" s="283"/>
      <c r="AD107" s="283"/>
      <c r="AE107" s="283"/>
      <c r="AF107" s="283"/>
      <c r="AG107" s="283"/>
      <c r="AH107" s="283"/>
      <c r="AI107" s="283"/>
      <c r="AJ107" s="274"/>
      <c r="AR107" s="284"/>
      <c r="AS107" s="285"/>
      <c r="AT107" s="315"/>
      <c r="AU107" s="316"/>
      <c r="AV107" s="285"/>
      <c r="AW107"/>
    </row>
    <row r="108" spans="1:52">
      <c r="C108" s="278"/>
      <c r="D108" s="278"/>
      <c r="E108" s="290"/>
      <c r="F108" s="290"/>
      <c r="G108" s="290"/>
      <c r="I108" s="281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  <c r="W108" s="283"/>
      <c r="X108" s="283"/>
      <c r="Y108" s="283"/>
      <c r="Z108" s="283"/>
      <c r="AA108" s="283"/>
      <c r="AB108" s="283"/>
      <c r="AC108" s="283"/>
      <c r="AD108" s="283"/>
      <c r="AE108" s="283"/>
      <c r="AF108" s="283"/>
      <c r="AG108" s="283"/>
      <c r="AH108" s="283"/>
      <c r="AI108" s="283"/>
      <c r="AJ108" s="274"/>
      <c r="AR108" s="284"/>
      <c r="AS108" s="285"/>
      <c r="AT108" s="315"/>
      <c r="AU108" s="316"/>
      <c r="AV108" s="285"/>
      <c r="AW108"/>
    </row>
    <row r="109" spans="1:52">
      <c r="C109" s="278"/>
      <c r="D109" s="278"/>
      <c r="E109" s="290"/>
      <c r="F109" s="290"/>
      <c r="G109" s="290"/>
      <c r="I109" s="281"/>
      <c r="J109" s="282"/>
      <c r="K109" s="282"/>
      <c r="L109" s="282"/>
      <c r="M109" s="282"/>
      <c r="N109" s="282"/>
      <c r="O109" s="282"/>
      <c r="P109" s="282"/>
      <c r="Q109" s="282"/>
      <c r="R109" s="282"/>
      <c r="S109" s="282"/>
      <c r="T109" s="282"/>
      <c r="U109" s="282"/>
      <c r="V109" s="282"/>
      <c r="W109" s="283"/>
      <c r="X109" s="283"/>
      <c r="Y109" s="283"/>
      <c r="Z109" s="283"/>
      <c r="AA109" s="283"/>
      <c r="AB109" s="283"/>
      <c r="AC109" s="283"/>
      <c r="AD109" s="283"/>
      <c r="AE109" s="283"/>
      <c r="AF109" s="283"/>
      <c r="AG109" s="283"/>
      <c r="AH109" s="283"/>
      <c r="AI109" s="283"/>
      <c r="AT109" s="270"/>
      <c r="AU109" s="294"/>
      <c r="AW109"/>
    </row>
    <row r="110" spans="1:52">
      <c r="B110" s="256">
        <f>COUNTIF(C:C,C110)</f>
        <v>0</v>
      </c>
      <c r="D110" s="257" t="s">
        <v>475</v>
      </c>
      <c r="E110" s="295"/>
      <c r="F110" s="295"/>
      <c r="G110" s="295"/>
      <c r="I110" s="281"/>
      <c r="J110" s="296">
        <f t="shared" ref="J110:V110" si="57">SUM(J71:J109)</f>
        <v>123179.35500000001</v>
      </c>
      <c r="K110" s="296">
        <f t="shared" si="57"/>
        <v>126421.47499999999</v>
      </c>
      <c r="L110" s="296">
        <f t="shared" si="57"/>
        <v>136389.45499999999</v>
      </c>
      <c r="M110" s="296">
        <f t="shared" si="57"/>
        <v>141457.15499999997</v>
      </c>
      <c r="N110" s="296">
        <f t="shared" si="57"/>
        <v>144896.28500000003</v>
      </c>
      <c r="O110" s="296">
        <f t="shared" si="57"/>
        <v>147855.04499999995</v>
      </c>
      <c r="P110" s="296">
        <f t="shared" si="57"/>
        <v>140607.38499999998</v>
      </c>
      <c r="Q110" s="296">
        <f t="shared" si="57"/>
        <v>132459.28499999995</v>
      </c>
      <c r="R110" s="296">
        <f t="shared" si="57"/>
        <v>131841.04999999996</v>
      </c>
      <c r="S110" s="296">
        <f t="shared" si="57"/>
        <v>129274.94</v>
      </c>
      <c r="T110" s="296">
        <f t="shared" si="57"/>
        <v>128941.86500000002</v>
      </c>
      <c r="U110" s="296">
        <f t="shared" si="57"/>
        <v>128659.785</v>
      </c>
      <c r="V110" s="296">
        <f t="shared" si="57"/>
        <v>1611983.0799999998</v>
      </c>
      <c r="W110" s="310"/>
      <c r="X110" s="298">
        <f t="shared" ref="X110:AJ110" si="58">+SUM(X72:X84)</f>
        <v>1125.5521513871108</v>
      </c>
      <c r="Y110" s="298">
        <f t="shared" si="58"/>
        <v>1154.2251929090746</v>
      </c>
      <c r="Z110" s="298">
        <f t="shared" si="58"/>
        <v>1198.4125426822575</v>
      </c>
      <c r="AA110" s="298">
        <f t="shared" si="58"/>
        <v>1232.8451364478419</v>
      </c>
      <c r="AB110" s="298">
        <f t="shared" si="58"/>
        <v>1251.9410350265705</v>
      </c>
      <c r="AC110" s="298">
        <f t="shared" si="58"/>
        <v>1273.7578853918508</v>
      </c>
      <c r="AD110" s="298">
        <f t="shared" si="58"/>
        <v>1242.9428639106764</v>
      </c>
      <c r="AE110" s="298">
        <f t="shared" si="58"/>
        <v>1186.9773355056359</v>
      </c>
      <c r="AF110" s="298">
        <f t="shared" si="58"/>
        <v>1188.6933433261049</v>
      </c>
      <c r="AG110" s="298">
        <f t="shared" si="58"/>
        <v>1183.143742701875</v>
      </c>
      <c r="AH110" s="298">
        <f t="shared" si="58"/>
        <v>1160.6454528214945</v>
      </c>
      <c r="AI110" s="298">
        <f t="shared" si="58"/>
        <v>1163.5433543765141</v>
      </c>
      <c r="AJ110" s="298">
        <f t="shared" si="58"/>
        <v>1196.8900030405839</v>
      </c>
      <c r="AR110" s="299">
        <f>SUM(AR72:AR109)</f>
        <v>1611983.0799999998</v>
      </c>
      <c r="AS110" s="299">
        <f>SUM(AS72:AS109)</f>
        <v>1644622.6178705427</v>
      </c>
      <c r="AT110" s="300"/>
      <c r="AU110" s="301">
        <f ca="1">SUM(AU72:AU109)</f>
        <v>1669349.0822966481</v>
      </c>
      <c r="AV110" s="299">
        <f ca="1">SUM(AV72:AV109)</f>
        <v>24726.46442610558</v>
      </c>
      <c r="AW110"/>
      <c r="AY110" s="359">
        <f t="shared" ref="AY110:AZ110" ca="1" si="59">SUM(AY72:AY109)</f>
        <v>6464.2459173394473</v>
      </c>
      <c r="AZ110" s="359">
        <f t="shared" ca="1" si="59"/>
        <v>1675813.3282139869</v>
      </c>
    </row>
    <row r="111" spans="1:52">
      <c r="E111" s="295"/>
      <c r="F111" s="295"/>
      <c r="G111" s="295"/>
      <c r="I111" s="281"/>
      <c r="J111" s="303"/>
      <c r="K111" s="317"/>
      <c r="L111" s="317"/>
      <c r="M111" s="284"/>
      <c r="N111" s="284"/>
      <c r="O111" s="284"/>
      <c r="P111" s="284"/>
      <c r="Q111" s="284"/>
      <c r="R111" s="284"/>
      <c r="S111" s="284"/>
      <c r="T111" s="284"/>
      <c r="U111" s="284"/>
      <c r="V111" s="284"/>
      <c r="X111" s="283"/>
      <c r="Y111" s="283"/>
      <c r="Z111" s="283"/>
      <c r="AA111" s="283"/>
      <c r="AB111" s="283"/>
      <c r="AC111" s="283"/>
      <c r="AD111" s="283"/>
      <c r="AE111" s="283"/>
      <c r="AF111" s="283"/>
      <c r="AG111" s="283"/>
      <c r="AH111" s="283"/>
      <c r="AI111" s="283"/>
      <c r="AT111" s="270"/>
      <c r="AU111" s="294"/>
      <c r="AW111"/>
    </row>
    <row r="112" spans="1:52">
      <c r="E112" s="295"/>
      <c r="F112" s="295"/>
      <c r="G112" s="295"/>
      <c r="I112" s="281"/>
      <c r="J112" s="303"/>
      <c r="K112" s="317"/>
      <c r="L112" s="317"/>
      <c r="M112" s="284"/>
      <c r="N112" s="284"/>
      <c r="O112" s="284"/>
      <c r="P112" s="284"/>
      <c r="Q112" s="284"/>
      <c r="R112" s="284"/>
      <c r="S112" s="284"/>
      <c r="T112" s="284"/>
      <c r="U112" s="284"/>
      <c r="V112" s="284"/>
      <c r="X112" s="283"/>
      <c r="Y112" s="283"/>
      <c r="Z112" s="283"/>
      <c r="AA112" s="283"/>
      <c r="AB112" s="283"/>
      <c r="AC112" s="283"/>
      <c r="AD112" s="283"/>
      <c r="AE112" s="283"/>
      <c r="AF112" s="283"/>
      <c r="AG112" s="283"/>
      <c r="AH112" s="283"/>
      <c r="AI112" s="283"/>
      <c r="AT112" s="270"/>
      <c r="AU112" s="294"/>
      <c r="AW112"/>
    </row>
    <row r="113" spans="2:49">
      <c r="C113" s="271"/>
      <c r="D113" s="271"/>
      <c r="E113" s="295"/>
      <c r="F113" s="295"/>
      <c r="G113" s="295"/>
      <c r="I113" s="312"/>
      <c r="J113" s="313"/>
      <c r="K113" s="284"/>
      <c r="L113" s="284"/>
      <c r="M113" s="284"/>
      <c r="N113" s="284"/>
      <c r="O113" s="284"/>
      <c r="P113" s="284"/>
      <c r="Q113" s="284"/>
      <c r="R113" s="284"/>
      <c r="S113" s="284"/>
      <c r="T113" s="284"/>
      <c r="U113" s="284"/>
      <c r="V113" s="284"/>
      <c r="X113" s="283"/>
      <c r="Y113" s="283"/>
      <c r="Z113" s="283"/>
      <c r="AA113" s="283"/>
      <c r="AB113" s="283"/>
      <c r="AC113" s="283"/>
      <c r="AD113" s="283"/>
      <c r="AE113" s="283"/>
      <c r="AF113" s="283"/>
      <c r="AG113" s="283"/>
      <c r="AH113" s="283"/>
      <c r="AI113" s="283"/>
      <c r="AT113" s="270"/>
      <c r="AU113" s="294"/>
      <c r="AW113"/>
    </row>
    <row r="114" spans="2:49">
      <c r="C114" s="271"/>
      <c r="D114" s="271"/>
      <c r="E114" s="295"/>
      <c r="F114" s="295"/>
      <c r="G114" s="295"/>
      <c r="I114" s="312"/>
      <c r="J114" s="313"/>
      <c r="K114" s="284"/>
      <c r="L114" s="284"/>
      <c r="M114" s="284"/>
      <c r="N114" s="284"/>
      <c r="O114" s="284"/>
      <c r="P114" s="284"/>
      <c r="Q114" s="284"/>
      <c r="R114" s="284"/>
      <c r="S114" s="284"/>
      <c r="T114" s="284"/>
      <c r="U114" s="284"/>
      <c r="V114" s="284"/>
      <c r="X114" s="283"/>
      <c r="Y114" s="283"/>
      <c r="Z114" s="283"/>
      <c r="AA114" s="283"/>
      <c r="AB114" s="283"/>
      <c r="AC114" s="283"/>
      <c r="AD114" s="283"/>
      <c r="AE114" s="283"/>
      <c r="AF114" s="283"/>
      <c r="AG114" s="283"/>
      <c r="AH114" s="283"/>
      <c r="AI114" s="283"/>
      <c r="AT114" s="270"/>
      <c r="AU114" s="294"/>
      <c r="AW114"/>
    </row>
    <row r="115" spans="2:49">
      <c r="C115" s="276"/>
      <c r="D115" s="276"/>
      <c r="E115" s="295"/>
      <c r="F115" s="295"/>
      <c r="G115" s="295"/>
      <c r="I115" s="312"/>
      <c r="J115" s="313"/>
      <c r="K115" s="284"/>
      <c r="L115" s="284"/>
      <c r="M115" s="284"/>
      <c r="N115" s="284"/>
      <c r="O115" s="284"/>
      <c r="P115" s="284"/>
      <c r="Q115" s="284"/>
      <c r="R115" s="284"/>
      <c r="S115" s="284"/>
      <c r="T115" s="284"/>
      <c r="U115" s="284"/>
      <c r="V115" s="284"/>
      <c r="X115" s="283"/>
      <c r="Y115" s="283"/>
      <c r="Z115" s="283"/>
      <c r="AA115" s="283"/>
      <c r="AB115" s="283"/>
      <c r="AC115" s="283"/>
      <c r="AD115" s="283"/>
      <c r="AE115" s="283"/>
      <c r="AF115" s="283"/>
      <c r="AG115" s="283"/>
      <c r="AH115" s="283"/>
      <c r="AI115" s="283"/>
      <c r="AT115" s="270"/>
      <c r="AU115" s="294"/>
      <c r="AW115"/>
    </row>
    <row r="116" spans="2:49">
      <c r="C116" s="278"/>
      <c r="D116" s="278"/>
      <c r="E116" s="290"/>
      <c r="F116" s="290"/>
      <c r="G116" s="290"/>
      <c r="I116" s="281"/>
      <c r="J116" s="282"/>
      <c r="K116" s="282"/>
      <c r="L116" s="282"/>
      <c r="M116" s="282"/>
      <c r="N116" s="282"/>
      <c r="O116" s="282"/>
      <c r="P116" s="282"/>
      <c r="Q116" s="282"/>
      <c r="R116" s="282"/>
      <c r="S116" s="282"/>
      <c r="T116" s="282"/>
      <c r="U116" s="282"/>
      <c r="V116" s="282"/>
      <c r="W116" s="283"/>
      <c r="X116" s="283"/>
      <c r="Y116" s="283"/>
      <c r="Z116" s="283"/>
      <c r="AA116" s="283"/>
      <c r="AB116" s="283"/>
      <c r="AC116" s="283"/>
      <c r="AD116" s="283"/>
      <c r="AE116" s="283"/>
      <c r="AF116" s="283"/>
      <c r="AG116" s="283"/>
      <c r="AH116" s="283"/>
      <c r="AI116" s="283"/>
      <c r="AJ116" s="274"/>
      <c r="AP116" s="274"/>
      <c r="AQ116" s="274"/>
      <c r="AR116" s="284">
        <f t="shared" ref="AR116:AR123" si="60">L116</f>
        <v>0</v>
      </c>
      <c r="AT116" s="270"/>
      <c r="AU116" s="294"/>
      <c r="AW116"/>
    </row>
    <row r="117" spans="2:49">
      <c r="C117" s="293"/>
      <c r="D117" s="278"/>
      <c r="E117" s="290"/>
      <c r="F117" s="290"/>
      <c r="G117" s="290"/>
      <c r="I117" s="281"/>
      <c r="J117" s="282"/>
      <c r="K117" s="282"/>
      <c r="L117" s="282"/>
      <c r="M117" s="282"/>
      <c r="N117" s="282"/>
      <c r="O117" s="282"/>
      <c r="P117" s="282"/>
      <c r="Q117" s="282"/>
      <c r="R117" s="282"/>
      <c r="S117" s="282"/>
      <c r="T117" s="282"/>
      <c r="U117" s="282"/>
      <c r="V117" s="282"/>
      <c r="W117" s="283"/>
      <c r="X117" s="283"/>
      <c r="Y117" s="283"/>
      <c r="Z117" s="283"/>
      <c r="AA117" s="283"/>
      <c r="AB117" s="283"/>
      <c r="AC117" s="283"/>
      <c r="AD117" s="283"/>
      <c r="AE117" s="283"/>
      <c r="AF117" s="283"/>
      <c r="AG117" s="283"/>
      <c r="AH117" s="283"/>
      <c r="AI117" s="283"/>
      <c r="AJ117" s="274"/>
      <c r="AP117" s="274"/>
      <c r="AQ117" s="274"/>
      <c r="AR117" s="284">
        <f t="shared" si="60"/>
        <v>0</v>
      </c>
      <c r="AT117" s="270"/>
      <c r="AU117" s="294"/>
      <c r="AW117"/>
    </row>
    <row r="118" spans="2:49">
      <c r="C118" s="293"/>
      <c r="D118" s="278"/>
      <c r="E118" s="290"/>
      <c r="F118" s="290"/>
      <c r="G118" s="290"/>
      <c r="I118" s="281"/>
      <c r="J118" s="282"/>
      <c r="K118" s="282"/>
      <c r="L118" s="282"/>
      <c r="M118" s="282"/>
      <c r="N118" s="282"/>
      <c r="O118" s="282"/>
      <c r="P118" s="282"/>
      <c r="Q118" s="282"/>
      <c r="R118" s="282"/>
      <c r="S118" s="282"/>
      <c r="T118" s="282"/>
      <c r="U118" s="282"/>
      <c r="V118" s="282"/>
      <c r="W118" s="283"/>
      <c r="X118" s="283"/>
      <c r="Y118" s="283"/>
      <c r="Z118" s="283"/>
      <c r="AA118" s="283"/>
      <c r="AB118" s="283"/>
      <c r="AC118" s="283"/>
      <c r="AD118" s="283"/>
      <c r="AE118" s="283"/>
      <c r="AF118" s="283"/>
      <c r="AG118" s="283"/>
      <c r="AH118" s="283"/>
      <c r="AI118" s="283"/>
      <c r="AJ118" s="274"/>
      <c r="AP118" s="274"/>
      <c r="AQ118" s="274"/>
      <c r="AR118" s="284">
        <f t="shared" si="60"/>
        <v>0</v>
      </c>
      <c r="AT118" s="270"/>
      <c r="AU118" s="294"/>
      <c r="AW118"/>
    </row>
    <row r="119" spans="2:49">
      <c r="C119" s="293"/>
      <c r="D119" s="278"/>
      <c r="E119" s="290"/>
      <c r="F119" s="290"/>
      <c r="G119" s="290"/>
      <c r="I119" s="281"/>
      <c r="J119" s="282"/>
      <c r="K119" s="282"/>
      <c r="L119" s="282"/>
      <c r="M119" s="282"/>
      <c r="N119" s="282"/>
      <c r="O119" s="282"/>
      <c r="P119" s="282"/>
      <c r="Q119" s="282"/>
      <c r="R119" s="282"/>
      <c r="S119" s="282"/>
      <c r="T119" s="282"/>
      <c r="U119" s="282"/>
      <c r="V119" s="282"/>
      <c r="W119" s="283"/>
      <c r="X119" s="283"/>
      <c r="Y119" s="283"/>
      <c r="Z119" s="283"/>
      <c r="AA119" s="283"/>
      <c r="AB119" s="283"/>
      <c r="AC119" s="283"/>
      <c r="AD119" s="283"/>
      <c r="AE119" s="283"/>
      <c r="AF119" s="283"/>
      <c r="AG119" s="283"/>
      <c r="AH119" s="283"/>
      <c r="AI119" s="283"/>
      <c r="AJ119" s="274"/>
      <c r="AP119" s="274"/>
      <c r="AQ119" s="274"/>
      <c r="AR119" s="284">
        <f t="shared" si="60"/>
        <v>0</v>
      </c>
      <c r="AT119" s="270"/>
      <c r="AU119" s="294"/>
      <c r="AW119"/>
    </row>
    <row r="120" spans="2:49">
      <c r="C120" s="293"/>
      <c r="D120" s="278"/>
      <c r="E120" s="290"/>
      <c r="F120" s="290"/>
      <c r="G120" s="290"/>
      <c r="I120" s="281"/>
      <c r="J120" s="282"/>
      <c r="K120" s="282"/>
      <c r="L120" s="282"/>
      <c r="M120" s="282"/>
      <c r="N120" s="282"/>
      <c r="O120" s="282"/>
      <c r="P120" s="282"/>
      <c r="Q120" s="282"/>
      <c r="R120" s="282"/>
      <c r="S120" s="282"/>
      <c r="T120" s="282"/>
      <c r="U120" s="282"/>
      <c r="V120" s="282"/>
      <c r="W120" s="283"/>
      <c r="X120" s="283"/>
      <c r="Y120" s="283"/>
      <c r="Z120" s="283"/>
      <c r="AA120" s="283"/>
      <c r="AB120" s="283"/>
      <c r="AC120" s="283"/>
      <c r="AD120" s="283"/>
      <c r="AE120" s="283"/>
      <c r="AF120" s="283"/>
      <c r="AG120" s="283"/>
      <c r="AH120" s="283"/>
      <c r="AI120" s="283"/>
      <c r="AJ120" s="274"/>
      <c r="AP120" s="274"/>
      <c r="AQ120" s="274"/>
      <c r="AR120" s="284">
        <f t="shared" si="60"/>
        <v>0</v>
      </c>
      <c r="AT120" s="270"/>
      <c r="AU120" s="294"/>
      <c r="AW120"/>
    </row>
    <row r="121" spans="2:49">
      <c r="C121" s="293"/>
      <c r="D121" s="278"/>
      <c r="E121" s="290"/>
      <c r="F121" s="290"/>
      <c r="G121" s="290"/>
      <c r="I121" s="281"/>
      <c r="J121" s="282"/>
      <c r="K121" s="282"/>
      <c r="L121" s="282"/>
      <c r="M121" s="282"/>
      <c r="N121" s="282"/>
      <c r="O121" s="282"/>
      <c r="P121" s="282"/>
      <c r="Q121" s="282"/>
      <c r="R121" s="282"/>
      <c r="S121" s="282"/>
      <c r="T121" s="282"/>
      <c r="U121" s="282"/>
      <c r="V121" s="282"/>
      <c r="W121" s="283"/>
      <c r="X121" s="283"/>
      <c r="Y121" s="283"/>
      <c r="Z121" s="283"/>
      <c r="AA121" s="283"/>
      <c r="AB121" s="283"/>
      <c r="AC121" s="283"/>
      <c r="AD121" s="283"/>
      <c r="AE121" s="283"/>
      <c r="AF121" s="283"/>
      <c r="AG121" s="283"/>
      <c r="AH121" s="283"/>
      <c r="AI121" s="283"/>
      <c r="AJ121" s="274"/>
      <c r="AP121" s="274"/>
      <c r="AQ121" s="274"/>
      <c r="AR121" s="284">
        <f t="shared" si="60"/>
        <v>0</v>
      </c>
      <c r="AT121" s="270"/>
      <c r="AU121" s="294"/>
      <c r="AW121"/>
    </row>
    <row r="122" spans="2:49">
      <c r="C122" s="293"/>
      <c r="D122" s="278"/>
      <c r="E122" s="290"/>
      <c r="F122" s="290"/>
      <c r="G122" s="290"/>
      <c r="I122" s="281"/>
      <c r="J122" s="282"/>
      <c r="K122" s="282"/>
      <c r="L122" s="282"/>
      <c r="M122" s="282"/>
      <c r="N122" s="282"/>
      <c r="O122" s="282"/>
      <c r="P122" s="282"/>
      <c r="Q122" s="282"/>
      <c r="R122" s="282"/>
      <c r="S122" s="282"/>
      <c r="T122" s="282"/>
      <c r="U122" s="282"/>
      <c r="V122" s="282"/>
      <c r="W122" s="283"/>
      <c r="X122" s="283"/>
      <c r="Y122" s="283"/>
      <c r="Z122" s="283"/>
      <c r="AA122" s="283"/>
      <c r="AB122" s="283"/>
      <c r="AC122" s="283"/>
      <c r="AD122" s="283"/>
      <c r="AE122" s="283"/>
      <c r="AF122" s="283"/>
      <c r="AG122" s="283"/>
      <c r="AH122" s="283"/>
      <c r="AI122" s="283"/>
      <c r="AJ122" s="274"/>
      <c r="AP122" s="274"/>
      <c r="AQ122" s="274"/>
      <c r="AR122" s="284">
        <f t="shared" si="60"/>
        <v>0</v>
      </c>
      <c r="AT122" s="270"/>
      <c r="AU122" s="294"/>
      <c r="AW122"/>
    </row>
    <row r="123" spans="2:49">
      <c r="C123" s="293"/>
      <c r="D123" s="278"/>
      <c r="E123" s="290"/>
      <c r="F123" s="290"/>
      <c r="G123" s="290"/>
      <c r="I123" s="281"/>
      <c r="J123" s="282"/>
      <c r="K123" s="282"/>
      <c r="L123" s="282"/>
      <c r="M123" s="282"/>
      <c r="N123" s="282"/>
      <c r="O123" s="282"/>
      <c r="P123" s="282"/>
      <c r="Q123" s="282"/>
      <c r="R123" s="282"/>
      <c r="S123" s="282"/>
      <c r="T123" s="282"/>
      <c r="U123" s="282"/>
      <c r="V123" s="282"/>
      <c r="W123" s="283"/>
      <c r="X123" s="283"/>
      <c r="Y123" s="283"/>
      <c r="Z123" s="283"/>
      <c r="AA123" s="283"/>
      <c r="AB123" s="283"/>
      <c r="AC123" s="283"/>
      <c r="AD123" s="283"/>
      <c r="AE123" s="283"/>
      <c r="AF123" s="283"/>
      <c r="AG123" s="283"/>
      <c r="AH123" s="283"/>
      <c r="AI123" s="283"/>
      <c r="AJ123" s="274"/>
      <c r="AP123" s="274"/>
      <c r="AQ123" s="274"/>
      <c r="AR123" s="284">
        <f t="shared" si="60"/>
        <v>0</v>
      </c>
      <c r="AT123" s="270"/>
      <c r="AU123" s="294"/>
      <c r="AW123"/>
    </row>
    <row r="124" spans="2:49">
      <c r="C124" s="278"/>
      <c r="D124" s="278"/>
      <c r="E124" s="290"/>
      <c r="F124" s="290"/>
      <c r="G124" s="290"/>
      <c r="I124" s="281"/>
      <c r="J124" s="282"/>
      <c r="K124" s="282"/>
      <c r="L124" s="282"/>
      <c r="M124" s="282"/>
      <c r="N124" s="282"/>
      <c r="O124" s="282"/>
      <c r="P124" s="282"/>
      <c r="Q124" s="282"/>
      <c r="R124" s="282"/>
      <c r="S124" s="282"/>
      <c r="T124" s="282"/>
      <c r="U124" s="282"/>
      <c r="V124" s="282"/>
      <c r="W124" s="283"/>
      <c r="X124" s="283"/>
      <c r="Y124" s="283"/>
      <c r="Z124" s="283"/>
      <c r="AA124" s="283"/>
      <c r="AB124" s="283"/>
      <c r="AC124" s="283"/>
      <c r="AD124" s="283"/>
      <c r="AE124" s="283"/>
      <c r="AF124" s="283"/>
      <c r="AG124" s="283"/>
      <c r="AH124" s="283"/>
      <c r="AI124" s="283"/>
      <c r="AT124" s="270"/>
      <c r="AU124" s="294"/>
      <c r="AW124"/>
    </row>
    <row r="125" spans="2:49">
      <c r="D125" s="257"/>
      <c r="E125" s="295"/>
      <c r="F125" s="295"/>
      <c r="G125" s="295"/>
      <c r="I125" s="281"/>
      <c r="J125" s="296"/>
      <c r="K125" s="296"/>
      <c r="L125" s="296"/>
      <c r="M125" s="296"/>
      <c r="N125" s="296"/>
      <c r="O125" s="296"/>
      <c r="P125" s="296"/>
      <c r="Q125" s="296"/>
      <c r="R125" s="296"/>
      <c r="S125" s="296"/>
      <c r="T125" s="296"/>
      <c r="U125" s="296"/>
      <c r="V125" s="296"/>
      <c r="W125" s="310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T125" s="270"/>
      <c r="AU125" s="294"/>
      <c r="AW125"/>
    </row>
    <row r="126" spans="2:49">
      <c r="D126" s="257"/>
      <c r="E126" s="295"/>
      <c r="F126" s="295"/>
      <c r="G126" s="295"/>
      <c r="I126" s="281"/>
      <c r="J126" s="302"/>
      <c r="K126" s="302"/>
      <c r="L126" s="302"/>
      <c r="M126" s="302"/>
      <c r="N126" s="302"/>
      <c r="O126" s="302"/>
      <c r="P126" s="302"/>
      <c r="Q126" s="302"/>
      <c r="R126" s="302"/>
      <c r="S126" s="302"/>
      <c r="T126" s="302"/>
      <c r="U126" s="302"/>
      <c r="V126" s="302"/>
      <c r="W126" s="310"/>
      <c r="X126" s="318"/>
      <c r="Y126" s="318"/>
      <c r="Z126" s="318"/>
      <c r="AA126" s="318"/>
      <c r="AB126" s="318"/>
      <c r="AC126" s="318"/>
      <c r="AD126" s="318"/>
      <c r="AE126" s="318"/>
      <c r="AF126" s="318"/>
      <c r="AG126" s="318"/>
      <c r="AH126" s="318"/>
      <c r="AI126" s="318"/>
      <c r="AJ126" s="318"/>
      <c r="AT126" s="270"/>
      <c r="AU126" s="294"/>
      <c r="AW126"/>
    </row>
    <row r="127" spans="2:49">
      <c r="D127" s="257"/>
      <c r="E127" s="295"/>
      <c r="F127" s="295"/>
      <c r="G127" s="295"/>
      <c r="I127" s="281"/>
      <c r="J127" s="302"/>
      <c r="K127" s="302"/>
      <c r="L127" s="302"/>
      <c r="M127" s="302"/>
      <c r="N127" s="302"/>
      <c r="O127" s="302"/>
      <c r="P127" s="302"/>
      <c r="Q127" s="302"/>
      <c r="R127" s="302"/>
      <c r="S127" s="302"/>
      <c r="T127" s="302"/>
      <c r="U127" s="302"/>
      <c r="V127" s="302"/>
      <c r="W127" s="310"/>
      <c r="X127" s="318"/>
      <c r="Y127" s="318"/>
      <c r="Z127" s="318"/>
      <c r="AA127" s="318"/>
      <c r="AB127" s="318"/>
      <c r="AC127" s="318"/>
      <c r="AD127" s="318"/>
      <c r="AE127" s="318"/>
      <c r="AF127" s="318"/>
      <c r="AG127" s="318"/>
      <c r="AH127" s="318"/>
      <c r="AI127" s="318"/>
      <c r="AJ127" s="318"/>
      <c r="AT127" s="270"/>
      <c r="AU127" s="294"/>
      <c r="AW127"/>
    </row>
    <row r="128" spans="2:49">
      <c r="B128" s="256">
        <f>COUNTIF(C:C,C128)</f>
        <v>1</v>
      </c>
      <c r="C128" s="273" t="s">
        <v>476</v>
      </c>
      <c r="D128" s="271" t="s">
        <v>476</v>
      </c>
      <c r="E128" s="295"/>
      <c r="F128" s="295"/>
      <c r="G128" s="295"/>
      <c r="I128" s="312"/>
      <c r="J128" s="313"/>
      <c r="K128" s="284"/>
      <c r="L128" s="284"/>
      <c r="M128" s="284"/>
      <c r="N128" s="284"/>
      <c r="O128" s="284"/>
      <c r="P128" s="284"/>
      <c r="Q128" s="284"/>
      <c r="R128" s="284"/>
      <c r="S128" s="284"/>
      <c r="T128" s="284"/>
      <c r="U128" s="284"/>
      <c r="V128" s="284"/>
      <c r="X128" s="283"/>
      <c r="Y128" s="283"/>
      <c r="Z128" s="283"/>
      <c r="AA128" s="283"/>
      <c r="AB128" s="283"/>
      <c r="AC128" s="283"/>
      <c r="AD128" s="283"/>
      <c r="AE128" s="283"/>
      <c r="AF128" s="283"/>
      <c r="AG128" s="283"/>
      <c r="AH128" s="283"/>
      <c r="AI128" s="283"/>
      <c r="AT128" s="270"/>
      <c r="AU128" s="294"/>
      <c r="AW128"/>
    </row>
    <row r="129" spans="1:52">
      <c r="C129" s="273"/>
      <c r="D129" s="273"/>
      <c r="E129" s="295"/>
      <c r="F129" s="295"/>
      <c r="G129" s="295"/>
      <c r="I129" s="312"/>
      <c r="J129" s="313"/>
      <c r="K129" s="284"/>
      <c r="L129" s="284"/>
      <c r="M129" s="284"/>
      <c r="N129" s="284"/>
      <c r="O129" s="284"/>
      <c r="P129" s="284"/>
      <c r="Q129" s="284"/>
      <c r="R129" s="284"/>
      <c r="S129" s="284"/>
      <c r="T129" s="284"/>
      <c r="U129" s="284"/>
      <c r="V129" s="284"/>
      <c r="X129" s="283"/>
      <c r="Y129" s="283"/>
      <c r="Z129" s="283"/>
      <c r="AA129" s="283"/>
      <c r="AB129" s="283"/>
      <c r="AC129" s="283"/>
      <c r="AD129" s="283"/>
      <c r="AE129" s="283"/>
      <c r="AF129" s="283"/>
      <c r="AG129" s="283"/>
      <c r="AH129" s="283"/>
      <c r="AI129" s="283"/>
      <c r="AT129" s="270"/>
      <c r="AU129" s="294"/>
      <c r="AW129"/>
    </row>
    <row r="130" spans="1:52">
      <c r="B130" s="256">
        <f t="shared" ref="B130:B155" si="61">COUNTIF(C:C,C130)</f>
        <v>1</v>
      </c>
      <c r="C130" s="253" t="s">
        <v>477</v>
      </c>
      <c r="D130" s="253" t="s">
        <v>477</v>
      </c>
      <c r="E130" s="295"/>
      <c r="F130" s="295"/>
      <c r="G130" s="295"/>
      <c r="I130" s="311"/>
      <c r="J130" s="319"/>
      <c r="K130" s="282"/>
      <c r="L130" s="282"/>
      <c r="M130" s="284"/>
      <c r="N130" s="284"/>
      <c r="O130" s="284"/>
      <c r="P130" s="284"/>
      <c r="Q130" s="284"/>
      <c r="R130" s="284"/>
      <c r="S130" s="284"/>
      <c r="T130" s="284"/>
      <c r="U130" s="284"/>
      <c r="V130" s="284"/>
      <c r="X130" s="283"/>
      <c r="Y130" s="283"/>
      <c r="Z130" s="283"/>
      <c r="AA130" s="283"/>
      <c r="AB130" s="283"/>
      <c r="AC130" s="283"/>
      <c r="AD130" s="283"/>
      <c r="AE130" s="283"/>
      <c r="AF130" s="283"/>
      <c r="AG130" s="283"/>
      <c r="AH130" s="283"/>
      <c r="AI130" s="283"/>
      <c r="AT130" s="270"/>
      <c r="AU130" s="294"/>
      <c r="AW130"/>
    </row>
    <row r="131" spans="1:52">
      <c r="A131" s="256" t="str">
        <f t="shared" ref="A131:A155" si="62">$A$1&amp;C131</f>
        <v>MASON CO-REGULATEDROHAUL10</v>
      </c>
      <c r="B131" s="256">
        <f t="shared" si="61"/>
        <v>1</v>
      </c>
      <c r="C131" s="278" t="s">
        <v>478</v>
      </c>
      <c r="D131" s="278" t="s">
        <v>479</v>
      </c>
      <c r="E131" s="290">
        <v>88.58</v>
      </c>
      <c r="F131" s="290">
        <v>88.34</v>
      </c>
      <c r="G131" s="290">
        <v>88.34</v>
      </c>
      <c r="H131" s="255">
        <v>39</v>
      </c>
      <c r="I131" s="281"/>
      <c r="J131" s="282">
        <v>442.9</v>
      </c>
      <c r="K131" s="282">
        <v>177.16</v>
      </c>
      <c r="L131" s="282">
        <v>708.64</v>
      </c>
      <c r="M131" s="282">
        <v>441.7</v>
      </c>
      <c r="N131" s="282">
        <v>971.74</v>
      </c>
      <c r="O131" s="282">
        <v>706.72</v>
      </c>
      <c r="P131" s="282">
        <v>883.4</v>
      </c>
      <c r="Q131" s="282">
        <v>1148.42</v>
      </c>
      <c r="R131" s="282">
        <v>441.7</v>
      </c>
      <c r="S131" s="282">
        <v>265.02</v>
      </c>
      <c r="T131" s="282">
        <v>176.68</v>
      </c>
      <c r="U131" s="282">
        <v>265.02</v>
      </c>
      <c r="V131" s="282">
        <f t="shared" ref="V131:V155" si="63">SUM(J131:U131)</f>
        <v>6629.1</v>
      </c>
      <c r="W131" s="283"/>
      <c r="X131" s="283">
        <f t="shared" ref="X131:Z155" si="64">IFERROR(J131/$E131,0)</f>
        <v>5</v>
      </c>
      <c r="Y131" s="283">
        <f t="shared" si="64"/>
        <v>2</v>
      </c>
      <c r="Z131" s="283">
        <f t="shared" si="64"/>
        <v>8</v>
      </c>
      <c r="AA131" s="283">
        <f t="shared" ref="AA131:AG155" si="65">IFERROR(M131/$F131,0)</f>
        <v>5</v>
      </c>
      <c r="AB131" s="283">
        <f t="shared" si="65"/>
        <v>11</v>
      </c>
      <c r="AC131" s="283">
        <f t="shared" si="65"/>
        <v>8</v>
      </c>
      <c r="AD131" s="283">
        <f t="shared" si="65"/>
        <v>10</v>
      </c>
      <c r="AE131" s="283">
        <f t="shared" si="65"/>
        <v>13</v>
      </c>
      <c r="AF131" s="283">
        <f t="shared" si="65"/>
        <v>5</v>
      </c>
      <c r="AG131" s="283">
        <f t="shared" si="65"/>
        <v>2.9999999999999996</v>
      </c>
      <c r="AH131" s="283">
        <f t="shared" ref="AH131:AI155" si="66">IFERROR(T131/$G131,0)</f>
        <v>2</v>
      </c>
      <c r="AI131" s="283">
        <f t="shared" si="66"/>
        <v>2.9999999999999996</v>
      </c>
      <c r="AJ131" s="274">
        <f t="shared" ref="AJ131:AJ155" si="67">AVERAGE(X131:AI131)</f>
        <v>6.25</v>
      </c>
      <c r="AR131" s="284">
        <f t="shared" ref="AR131:AR159" si="68">V131</f>
        <v>6629.1</v>
      </c>
      <c r="AS131" s="285">
        <f t="shared" ref="AS131:AS159" si="69">G131*12*AJ131</f>
        <v>6625.5</v>
      </c>
      <c r="AT131" s="286">
        <f t="shared" ref="AT131:AT159" ca="1" si="70">+IFERROR($G131*(1+$AV$1),0)</f>
        <v>89.668168446467334</v>
      </c>
      <c r="AU131" s="287">
        <f t="shared" ref="AU131:AU159" ca="1" si="71">AT131*12*AJ131</f>
        <v>6725.1126334850496</v>
      </c>
      <c r="AV131" s="285">
        <f t="shared" ref="AV131:AV159" ca="1" si="72">AU131-AS131</f>
        <v>99.612633485049628</v>
      </c>
      <c r="AW131"/>
      <c r="AY131" s="358">
        <f t="shared" ref="AY131:AY159" ca="1" si="73">+AZ$2*AU131</f>
        <v>26.04175624240613</v>
      </c>
      <c r="AZ131" s="358">
        <f t="shared" ref="AZ131:AZ159" ca="1" si="74">+AU131+AY131</f>
        <v>6751.154389727456</v>
      </c>
    </row>
    <row r="132" spans="1:52">
      <c r="A132" s="256" t="str">
        <f>$A$1&amp;C132</f>
        <v>MASON CO-REGULATEDROHAUL10T</v>
      </c>
      <c r="B132" s="256">
        <f t="shared" si="61"/>
        <v>1</v>
      </c>
      <c r="C132" s="278" t="s">
        <v>480</v>
      </c>
      <c r="D132" s="278" t="s">
        <v>480</v>
      </c>
      <c r="E132" s="290">
        <v>88.58</v>
      </c>
      <c r="F132" s="290">
        <v>88.34</v>
      </c>
      <c r="G132" s="290">
        <v>88.34</v>
      </c>
      <c r="H132" s="255">
        <v>39</v>
      </c>
      <c r="I132" s="281"/>
      <c r="J132" s="282">
        <v>0</v>
      </c>
      <c r="K132" s="282">
        <v>0</v>
      </c>
      <c r="L132" s="282">
        <v>0</v>
      </c>
      <c r="M132" s="282">
        <v>0</v>
      </c>
      <c r="N132" s="282">
        <v>0</v>
      </c>
      <c r="O132" s="282">
        <v>88.34</v>
      </c>
      <c r="P132" s="282">
        <v>0</v>
      </c>
      <c r="Q132" s="282">
        <v>0</v>
      </c>
      <c r="R132" s="282">
        <v>0</v>
      </c>
      <c r="S132" s="282">
        <v>0</v>
      </c>
      <c r="T132" s="282">
        <v>0</v>
      </c>
      <c r="U132" s="282">
        <v>0</v>
      </c>
      <c r="V132" s="282">
        <f>SUM(J132:U132)</f>
        <v>88.34</v>
      </c>
      <c r="W132" s="283"/>
      <c r="X132" s="283">
        <f>IFERROR(J132/$E132,0)</f>
        <v>0</v>
      </c>
      <c r="Y132" s="283">
        <f>IFERROR(K132/$E132,0)</f>
        <v>0</v>
      </c>
      <c r="Z132" s="283">
        <f>IFERROR(L132/$E132,0)</f>
        <v>0</v>
      </c>
      <c r="AA132" s="283">
        <f t="shared" si="65"/>
        <v>0</v>
      </c>
      <c r="AB132" s="283">
        <f t="shared" si="65"/>
        <v>0</v>
      </c>
      <c r="AC132" s="283">
        <f t="shared" si="65"/>
        <v>1</v>
      </c>
      <c r="AD132" s="283">
        <f t="shared" si="65"/>
        <v>0</v>
      </c>
      <c r="AE132" s="283">
        <f t="shared" si="65"/>
        <v>0</v>
      </c>
      <c r="AF132" s="283">
        <f t="shared" si="65"/>
        <v>0</v>
      </c>
      <c r="AG132" s="283">
        <f t="shared" si="65"/>
        <v>0</v>
      </c>
      <c r="AH132" s="283">
        <f>IFERROR(T132/$G132,0)</f>
        <v>0</v>
      </c>
      <c r="AI132" s="283">
        <f>IFERROR(U132/$G132,0)</f>
        <v>0</v>
      </c>
      <c r="AJ132" s="274">
        <f>AVERAGE(X132:AI132)</f>
        <v>8.3333333333333329E-2</v>
      </c>
      <c r="AR132" s="284">
        <f t="shared" si="68"/>
        <v>88.34</v>
      </c>
      <c r="AS132" s="285">
        <f t="shared" si="69"/>
        <v>88.339999999999989</v>
      </c>
      <c r="AT132" s="286">
        <f t="shared" ca="1" si="70"/>
        <v>89.668168446467334</v>
      </c>
      <c r="AU132" s="287">
        <f t="shared" ca="1" si="71"/>
        <v>89.66816844646732</v>
      </c>
      <c r="AV132" s="285">
        <f t="shared" ca="1" si="72"/>
        <v>1.3281684464673305</v>
      </c>
      <c r="AW132"/>
      <c r="AY132" s="358">
        <f t="shared" ca="1" si="73"/>
        <v>0.347223416565415</v>
      </c>
      <c r="AZ132" s="358">
        <f t="shared" ca="1" si="74"/>
        <v>90.015391863032733</v>
      </c>
    </row>
    <row r="133" spans="1:52">
      <c r="A133" s="256" t="str">
        <f t="shared" si="62"/>
        <v>MASON CO-REGULATEDROHAUL20</v>
      </c>
      <c r="B133" s="256">
        <f t="shared" si="61"/>
        <v>1</v>
      </c>
      <c r="C133" s="278" t="s">
        <v>481</v>
      </c>
      <c r="D133" s="278" t="s">
        <v>482</v>
      </c>
      <c r="E133" s="290">
        <v>102.88</v>
      </c>
      <c r="F133" s="290">
        <v>102.6</v>
      </c>
      <c r="G133" s="290">
        <v>102.6</v>
      </c>
      <c r="H133" s="255">
        <v>39</v>
      </c>
      <c r="I133" s="281"/>
      <c r="J133" s="282">
        <v>8144.6600000000008</v>
      </c>
      <c r="K133" s="282">
        <v>8333.2799999999988</v>
      </c>
      <c r="L133" s="282">
        <v>12654.24</v>
      </c>
      <c r="M133" s="282">
        <v>13033</v>
      </c>
      <c r="N133" s="282">
        <v>11286</v>
      </c>
      <c r="O133" s="282">
        <v>13132.8</v>
      </c>
      <c r="P133" s="282">
        <v>11696.4</v>
      </c>
      <c r="Q133" s="282">
        <v>13338</v>
      </c>
      <c r="R133" s="282">
        <v>9336.6</v>
      </c>
      <c r="S133" s="282">
        <v>9776.56</v>
      </c>
      <c r="T133" s="282">
        <v>8823.6</v>
      </c>
      <c r="U133" s="282">
        <v>9028.7999999999993</v>
      </c>
      <c r="V133" s="282">
        <f t="shared" si="63"/>
        <v>128583.94</v>
      </c>
      <c r="W133" s="283"/>
      <c r="X133" s="283">
        <f t="shared" si="64"/>
        <v>79.166601866251952</v>
      </c>
      <c r="Y133" s="283">
        <f t="shared" si="64"/>
        <v>80.999999999999986</v>
      </c>
      <c r="Z133" s="283">
        <f t="shared" si="64"/>
        <v>123</v>
      </c>
      <c r="AA133" s="283">
        <f>IFERROR(M133/$F133,0)</f>
        <v>127.02729044834308</v>
      </c>
      <c r="AB133" s="283">
        <f t="shared" si="65"/>
        <v>110</v>
      </c>
      <c r="AC133" s="283">
        <f t="shared" si="65"/>
        <v>128</v>
      </c>
      <c r="AD133" s="283">
        <f t="shared" si="65"/>
        <v>114</v>
      </c>
      <c r="AE133" s="283">
        <f t="shared" si="65"/>
        <v>130</v>
      </c>
      <c r="AF133" s="283">
        <f t="shared" si="65"/>
        <v>91.000000000000014</v>
      </c>
      <c r="AG133" s="283">
        <f t="shared" si="65"/>
        <v>95.288109161793372</v>
      </c>
      <c r="AH133" s="283">
        <f t="shared" si="66"/>
        <v>86.000000000000014</v>
      </c>
      <c r="AI133" s="283">
        <f t="shared" si="66"/>
        <v>88</v>
      </c>
      <c r="AJ133" s="274">
        <f t="shared" si="67"/>
        <v>104.37350012303237</v>
      </c>
      <c r="AR133" s="284">
        <f t="shared" si="68"/>
        <v>128583.94</v>
      </c>
      <c r="AS133" s="285">
        <f t="shared" si="69"/>
        <v>128504.65335147743</v>
      </c>
      <c r="AT133" s="286">
        <f t="shared" ca="1" si="70"/>
        <v>104.14256376055636</v>
      </c>
      <c r="AU133" s="287">
        <f t="shared" ca="1" si="71"/>
        <v>130436.68669770402</v>
      </c>
      <c r="AV133" s="285">
        <f t="shared" ca="1" si="72"/>
        <v>1932.0333462265844</v>
      </c>
      <c r="AW133"/>
      <c r="AY133" s="358">
        <f t="shared" ca="1" si="73"/>
        <v>505.09197171444777</v>
      </c>
      <c r="AZ133" s="358">
        <f t="shared" ca="1" si="74"/>
        <v>130941.77866941846</v>
      </c>
    </row>
    <row r="134" spans="1:52">
      <c r="A134" s="256" t="str">
        <f>$A$1&amp;C134</f>
        <v>MASON CO-REGULATEDROHAUL20T</v>
      </c>
      <c r="B134" s="256">
        <f t="shared" si="61"/>
        <v>1</v>
      </c>
      <c r="C134" s="278" t="s">
        <v>483</v>
      </c>
      <c r="D134" s="278" t="s">
        <v>484</v>
      </c>
      <c r="E134" s="290">
        <v>102.88</v>
      </c>
      <c r="F134" s="290">
        <v>102.6</v>
      </c>
      <c r="G134" s="290">
        <v>102.6</v>
      </c>
      <c r="H134" s="255">
        <v>39</v>
      </c>
      <c r="I134" s="281"/>
      <c r="J134" s="282">
        <v>0</v>
      </c>
      <c r="K134" s="282">
        <v>0</v>
      </c>
      <c r="L134" s="282">
        <v>0</v>
      </c>
      <c r="M134" s="282">
        <v>0</v>
      </c>
      <c r="N134" s="282">
        <v>0</v>
      </c>
      <c r="O134" s="282">
        <v>205.2</v>
      </c>
      <c r="P134" s="282">
        <v>0</v>
      </c>
      <c r="Q134" s="282">
        <v>0</v>
      </c>
      <c r="R134" s="282">
        <v>0</v>
      </c>
      <c r="S134" s="282">
        <v>0</v>
      </c>
      <c r="T134" s="282">
        <v>0</v>
      </c>
      <c r="U134" s="282">
        <v>0</v>
      </c>
      <c r="V134" s="282">
        <f>SUM(J134:U134)</f>
        <v>205.2</v>
      </c>
      <c r="W134" s="283"/>
      <c r="X134" s="283">
        <f>IFERROR(J134/$E134,0)</f>
        <v>0</v>
      </c>
      <c r="Y134" s="283">
        <f>IFERROR(K134/$E134,0)</f>
        <v>0</v>
      </c>
      <c r="Z134" s="283">
        <f>IFERROR(L134/$E134,0)</f>
        <v>0</v>
      </c>
      <c r="AA134" s="283">
        <f>IFERROR(M134/$F134,0)</f>
        <v>0</v>
      </c>
      <c r="AB134" s="283">
        <f t="shared" si="65"/>
        <v>0</v>
      </c>
      <c r="AC134" s="283">
        <f t="shared" si="65"/>
        <v>2</v>
      </c>
      <c r="AD134" s="283">
        <f t="shared" si="65"/>
        <v>0</v>
      </c>
      <c r="AE134" s="283">
        <f t="shared" si="65"/>
        <v>0</v>
      </c>
      <c r="AF134" s="283">
        <f t="shared" si="65"/>
        <v>0</v>
      </c>
      <c r="AG134" s="283">
        <f t="shared" si="65"/>
        <v>0</v>
      </c>
      <c r="AH134" s="283">
        <f>IFERROR(T134/$G134,0)</f>
        <v>0</v>
      </c>
      <c r="AI134" s="283">
        <f>IFERROR(U134/$G134,0)</f>
        <v>0</v>
      </c>
      <c r="AJ134" s="274">
        <f>AVERAGE(X134:AI134)</f>
        <v>0.16666666666666666</v>
      </c>
      <c r="AR134" s="284">
        <f t="shared" si="68"/>
        <v>205.2</v>
      </c>
      <c r="AS134" s="285">
        <f t="shared" si="69"/>
        <v>205.19999999999996</v>
      </c>
      <c r="AT134" s="286">
        <f t="shared" ca="1" si="70"/>
        <v>104.14256376055636</v>
      </c>
      <c r="AU134" s="287">
        <f t="shared" ca="1" si="71"/>
        <v>208.28512752111271</v>
      </c>
      <c r="AV134" s="285">
        <f t="shared" ca="1" si="72"/>
        <v>3.0851275211127529</v>
      </c>
      <c r="AW134"/>
      <c r="AY134" s="358">
        <f t="shared" ca="1" si="73"/>
        <v>0.80654567669485144</v>
      </c>
      <c r="AZ134" s="358">
        <f t="shared" ca="1" si="74"/>
        <v>209.09167319780755</v>
      </c>
    </row>
    <row r="135" spans="1:52">
      <c r="A135" s="256" t="str">
        <f t="shared" si="62"/>
        <v>MASON CO-REGULATEDROHAUL30</v>
      </c>
      <c r="B135" s="256">
        <f t="shared" si="61"/>
        <v>1</v>
      </c>
      <c r="C135" s="278" t="s">
        <v>485</v>
      </c>
      <c r="D135" s="278" t="s">
        <v>486</v>
      </c>
      <c r="E135" s="290">
        <v>133.04</v>
      </c>
      <c r="F135" s="290">
        <v>133.04</v>
      </c>
      <c r="G135" s="290">
        <v>133.04</v>
      </c>
      <c r="H135" s="255">
        <v>39</v>
      </c>
      <c r="I135" s="281"/>
      <c r="J135" s="282">
        <v>532.16</v>
      </c>
      <c r="K135" s="282">
        <v>532.16</v>
      </c>
      <c r="L135" s="282">
        <v>532.16</v>
      </c>
      <c r="M135" s="282">
        <v>665.2</v>
      </c>
      <c r="N135" s="282">
        <v>532.16</v>
      </c>
      <c r="O135" s="282">
        <v>798.24</v>
      </c>
      <c r="P135" s="282">
        <v>532.16</v>
      </c>
      <c r="Q135" s="282">
        <v>532.16</v>
      </c>
      <c r="R135" s="282">
        <v>665.2</v>
      </c>
      <c r="S135" s="282">
        <v>532.16</v>
      </c>
      <c r="T135" s="282">
        <v>532.16</v>
      </c>
      <c r="U135" s="282">
        <v>665.2</v>
      </c>
      <c r="V135" s="282">
        <f t="shared" si="63"/>
        <v>7051.119999999999</v>
      </c>
      <c r="W135" s="283"/>
      <c r="X135" s="283">
        <f t="shared" si="64"/>
        <v>4</v>
      </c>
      <c r="Y135" s="283">
        <f t="shared" si="64"/>
        <v>4</v>
      </c>
      <c r="Z135" s="283">
        <f t="shared" si="64"/>
        <v>4</v>
      </c>
      <c r="AA135" s="283">
        <f t="shared" si="65"/>
        <v>5.0000000000000009</v>
      </c>
      <c r="AB135" s="283">
        <f t="shared" si="65"/>
        <v>4</v>
      </c>
      <c r="AC135" s="283">
        <f t="shared" si="65"/>
        <v>6</v>
      </c>
      <c r="AD135" s="283">
        <f t="shared" si="65"/>
        <v>4</v>
      </c>
      <c r="AE135" s="283">
        <f t="shared" si="65"/>
        <v>4</v>
      </c>
      <c r="AF135" s="283">
        <f t="shared" si="65"/>
        <v>5.0000000000000009</v>
      </c>
      <c r="AG135" s="283">
        <f t="shared" si="65"/>
        <v>4</v>
      </c>
      <c r="AH135" s="283">
        <f t="shared" si="66"/>
        <v>4</v>
      </c>
      <c r="AI135" s="283">
        <f t="shared" si="66"/>
        <v>5.0000000000000009</v>
      </c>
      <c r="AJ135" s="274">
        <f t="shared" si="67"/>
        <v>4.416666666666667</v>
      </c>
      <c r="AR135" s="284">
        <f t="shared" si="68"/>
        <v>7051.119999999999</v>
      </c>
      <c r="AS135" s="285">
        <f t="shared" si="69"/>
        <v>7051.1200000000008</v>
      </c>
      <c r="AT135" s="286">
        <f t="shared" ca="1" si="70"/>
        <v>135.04022107899041</v>
      </c>
      <c r="AU135" s="287">
        <f t="shared" ca="1" si="71"/>
        <v>7157.131717186493</v>
      </c>
      <c r="AV135" s="285">
        <f t="shared" ca="1" si="72"/>
        <v>106.01171718649221</v>
      </c>
      <c r="AW135"/>
      <c r="AY135" s="358">
        <f t="shared" ca="1" si="73"/>
        <v>27.714670330685191</v>
      </c>
      <c r="AZ135" s="358">
        <f t="shared" ca="1" si="74"/>
        <v>7184.8463875171783</v>
      </c>
    </row>
    <row r="136" spans="1:52">
      <c r="A136" s="256" t="str">
        <f t="shared" si="62"/>
        <v>MASON CO-REGULATEDROHAUL40</v>
      </c>
      <c r="B136" s="256">
        <f t="shared" si="61"/>
        <v>1</v>
      </c>
      <c r="C136" s="278" t="s">
        <v>487</v>
      </c>
      <c r="D136" s="278" t="s">
        <v>488</v>
      </c>
      <c r="E136" s="290">
        <v>174.92</v>
      </c>
      <c r="F136" s="290">
        <v>174.45</v>
      </c>
      <c r="G136" s="290">
        <v>174.45</v>
      </c>
      <c r="H136" s="255">
        <v>39</v>
      </c>
      <c r="I136" s="281"/>
      <c r="J136" s="282">
        <v>7171.72</v>
      </c>
      <c r="K136" s="282">
        <v>8244.56</v>
      </c>
      <c r="L136" s="282">
        <v>6996.8</v>
      </c>
      <c r="M136" s="282">
        <v>7327.84</v>
      </c>
      <c r="N136" s="282">
        <v>9071.4</v>
      </c>
      <c r="O136" s="282">
        <v>5582.4</v>
      </c>
      <c r="P136" s="282">
        <v>7152.45</v>
      </c>
      <c r="Q136" s="282">
        <v>11164.8</v>
      </c>
      <c r="R136" s="282">
        <v>6454.65</v>
      </c>
      <c r="S136" s="282">
        <v>3663.45</v>
      </c>
      <c r="T136" s="282">
        <v>5059.05</v>
      </c>
      <c r="U136" s="282">
        <v>9769.2000000000007</v>
      </c>
      <c r="V136" s="282">
        <f t="shared" si="63"/>
        <v>87658.319999999992</v>
      </c>
      <c r="W136" s="283"/>
      <c r="X136" s="283">
        <f t="shared" si="64"/>
        <v>41.000000000000007</v>
      </c>
      <c r="Y136" s="283">
        <f t="shared" si="64"/>
        <v>47.133318088268922</v>
      </c>
      <c r="Z136" s="283">
        <f t="shared" si="64"/>
        <v>40.000000000000007</v>
      </c>
      <c r="AA136" s="283">
        <f t="shared" si="65"/>
        <v>42.005388363427919</v>
      </c>
      <c r="AB136" s="283">
        <f t="shared" si="65"/>
        <v>52</v>
      </c>
      <c r="AC136" s="283">
        <f t="shared" si="65"/>
        <v>32</v>
      </c>
      <c r="AD136" s="283">
        <f t="shared" si="65"/>
        <v>41</v>
      </c>
      <c r="AE136" s="283">
        <f t="shared" si="65"/>
        <v>64</v>
      </c>
      <c r="AF136" s="283">
        <f t="shared" si="65"/>
        <v>37</v>
      </c>
      <c r="AG136" s="283">
        <f t="shared" si="65"/>
        <v>21</v>
      </c>
      <c r="AH136" s="283">
        <f t="shared" si="66"/>
        <v>29.000000000000004</v>
      </c>
      <c r="AI136" s="283">
        <f t="shared" si="66"/>
        <v>56.000000000000007</v>
      </c>
      <c r="AJ136" s="274">
        <f t="shared" si="67"/>
        <v>41.844892204308074</v>
      </c>
      <c r="AR136" s="284">
        <f t="shared" si="68"/>
        <v>87658.319999999992</v>
      </c>
      <c r="AS136" s="285">
        <f t="shared" si="69"/>
        <v>87598.097340498512</v>
      </c>
      <c r="AT136" s="286">
        <f t="shared" ca="1" si="70"/>
        <v>177.07280943498105</v>
      </c>
      <c r="AU136" s="287">
        <f t="shared" ca="1" si="71"/>
        <v>88915.111477449216</v>
      </c>
      <c r="AV136" s="285">
        <f t="shared" ca="1" si="72"/>
        <v>1317.0141369507037</v>
      </c>
      <c r="AW136"/>
      <c r="AY136" s="358">
        <f t="shared" ca="1" si="73"/>
        <v>344.30734257638323</v>
      </c>
      <c r="AZ136" s="358">
        <f t="shared" ca="1" si="74"/>
        <v>89259.418820025603</v>
      </c>
    </row>
    <row r="137" spans="1:52">
      <c r="A137" s="256" t="str">
        <f>$A$1&amp;C137</f>
        <v>MASON CO-REGULATEDROHAUL40T</v>
      </c>
      <c r="B137" s="256">
        <f t="shared" si="61"/>
        <v>1</v>
      </c>
      <c r="C137" s="278" t="s">
        <v>489</v>
      </c>
      <c r="D137" s="278" t="s">
        <v>490</v>
      </c>
      <c r="E137" s="290">
        <v>174.92</v>
      </c>
      <c r="F137" s="290">
        <v>174.45</v>
      </c>
      <c r="G137" s="290">
        <v>174.45</v>
      </c>
      <c r="H137" s="255">
        <v>39</v>
      </c>
      <c r="I137" s="281"/>
      <c r="J137" s="282">
        <v>0</v>
      </c>
      <c r="K137" s="282">
        <v>0</v>
      </c>
      <c r="L137" s="282">
        <v>0</v>
      </c>
      <c r="M137" s="282">
        <v>0</v>
      </c>
      <c r="N137" s="282">
        <v>174.45</v>
      </c>
      <c r="O137" s="282">
        <v>0</v>
      </c>
      <c r="P137" s="282">
        <v>0</v>
      </c>
      <c r="Q137" s="282">
        <v>0</v>
      </c>
      <c r="R137" s="282">
        <v>0</v>
      </c>
      <c r="S137" s="282">
        <v>0</v>
      </c>
      <c r="T137" s="282">
        <v>0</v>
      </c>
      <c r="U137" s="282">
        <v>0</v>
      </c>
      <c r="V137" s="282">
        <f>SUM(J137:U137)</f>
        <v>174.45</v>
      </c>
      <c r="W137" s="283"/>
      <c r="X137" s="283">
        <f t="shared" si="64"/>
        <v>0</v>
      </c>
      <c r="Y137" s="283">
        <f t="shared" si="64"/>
        <v>0</v>
      </c>
      <c r="Z137" s="283">
        <f t="shared" si="64"/>
        <v>0</v>
      </c>
      <c r="AA137" s="283">
        <f t="shared" si="65"/>
        <v>0</v>
      </c>
      <c r="AB137" s="283">
        <f t="shared" si="65"/>
        <v>1</v>
      </c>
      <c r="AC137" s="283">
        <f t="shared" si="65"/>
        <v>0</v>
      </c>
      <c r="AD137" s="283">
        <f t="shared" si="65"/>
        <v>0</v>
      </c>
      <c r="AE137" s="283">
        <f t="shared" si="65"/>
        <v>0</v>
      </c>
      <c r="AF137" s="283">
        <f t="shared" si="65"/>
        <v>0</v>
      </c>
      <c r="AG137" s="283">
        <f t="shared" si="65"/>
        <v>0</v>
      </c>
      <c r="AH137" s="283">
        <f>IFERROR(T137/$G137,0)</f>
        <v>0</v>
      </c>
      <c r="AI137" s="283">
        <f>IFERROR(U137/$G137,0)</f>
        <v>0</v>
      </c>
      <c r="AJ137" s="274">
        <f>AVERAGE(X137:AI137)</f>
        <v>8.3333333333333329E-2</v>
      </c>
      <c r="AR137" s="284">
        <f t="shared" si="68"/>
        <v>174.45</v>
      </c>
      <c r="AS137" s="285">
        <f t="shared" si="69"/>
        <v>174.44999999999996</v>
      </c>
      <c r="AT137" s="286">
        <f t="shared" ca="1" si="70"/>
        <v>177.07280943498105</v>
      </c>
      <c r="AU137" s="287">
        <f t="shared" ca="1" si="71"/>
        <v>177.07280943498102</v>
      </c>
      <c r="AV137" s="285">
        <f t="shared" ca="1" si="72"/>
        <v>2.6228094349810647</v>
      </c>
      <c r="AW137"/>
      <c r="AY137" s="358">
        <f t="shared" ca="1" si="73"/>
        <v>0.68568174122522807</v>
      </c>
      <c r="AZ137" s="358">
        <f t="shared" ca="1" si="74"/>
        <v>177.75849117620626</v>
      </c>
    </row>
    <row r="138" spans="1:52">
      <c r="A138" s="256" t="str">
        <f>$A$1&amp;C138</f>
        <v>MASON CO-REGULATEDCPHAUL10</v>
      </c>
      <c r="B138" s="256">
        <f t="shared" si="61"/>
        <v>1</v>
      </c>
      <c r="C138" s="278" t="s">
        <v>491</v>
      </c>
      <c r="D138" s="278" t="s">
        <v>492</v>
      </c>
      <c r="E138" s="290">
        <v>133.72999999999999</v>
      </c>
      <c r="F138" s="290">
        <v>133.37</v>
      </c>
      <c r="G138" s="290">
        <v>133.37</v>
      </c>
      <c r="H138" s="255">
        <v>42</v>
      </c>
      <c r="I138" s="281"/>
      <c r="J138" s="282">
        <v>401.19</v>
      </c>
      <c r="K138" s="282">
        <v>267.45999999999998</v>
      </c>
      <c r="L138" s="282">
        <v>267.45999999999998</v>
      </c>
      <c r="M138" s="282">
        <v>266.74</v>
      </c>
      <c r="N138" s="282">
        <v>266.74</v>
      </c>
      <c r="O138" s="282">
        <v>266.74</v>
      </c>
      <c r="P138" s="282">
        <v>400.11</v>
      </c>
      <c r="Q138" s="282">
        <v>266.74</v>
      </c>
      <c r="R138" s="282">
        <v>266.74</v>
      </c>
      <c r="S138" s="282">
        <v>266.74</v>
      </c>
      <c r="T138" s="282">
        <v>266.74</v>
      </c>
      <c r="U138" s="282">
        <v>266.74</v>
      </c>
      <c r="V138" s="282">
        <f>SUM(J138:U138)</f>
        <v>3470.1399999999994</v>
      </c>
      <c r="W138" s="283"/>
      <c r="X138" s="283">
        <f t="shared" si="64"/>
        <v>3</v>
      </c>
      <c r="Y138" s="283">
        <f t="shared" si="64"/>
        <v>2</v>
      </c>
      <c r="Z138" s="283">
        <f t="shared" si="64"/>
        <v>2</v>
      </c>
      <c r="AA138" s="283">
        <f t="shared" si="65"/>
        <v>2</v>
      </c>
      <c r="AB138" s="283">
        <f t="shared" si="65"/>
        <v>2</v>
      </c>
      <c r="AC138" s="283">
        <f t="shared" si="65"/>
        <v>2</v>
      </c>
      <c r="AD138" s="283">
        <f t="shared" si="65"/>
        <v>3</v>
      </c>
      <c r="AE138" s="283">
        <f t="shared" si="65"/>
        <v>2</v>
      </c>
      <c r="AF138" s="283">
        <f t="shared" si="65"/>
        <v>2</v>
      </c>
      <c r="AG138" s="283">
        <f t="shared" si="65"/>
        <v>2</v>
      </c>
      <c r="AH138" s="283">
        <f>IFERROR(T138/$G138,0)</f>
        <v>2</v>
      </c>
      <c r="AI138" s="283">
        <f>IFERROR(U138/$G138,0)</f>
        <v>2</v>
      </c>
      <c r="AJ138" s="274">
        <f>AVERAGE(X138:AI138)</f>
        <v>2.1666666666666665</v>
      </c>
      <c r="AR138" s="284">
        <f t="shared" si="68"/>
        <v>3470.1399999999994</v>
      </c>
      <c r="AS138" s="285">
        <f t="shared" si="69"/>
        <v>3467.62</v>
      </c>
      <c r="AT138" s="286">
        <f t="shared" ca="1" si="70"/>
        <v>135.37518254137819</v>
      </c>
      <c r="AU138" s="287">
        <f t="shared" ca="1" si="71"/>
        <v>3519.7547460758328</v>
      </c>
      <c r="AV138" s="285">
        <f t="shared" ca="1" si="72"/>
        <v>52.134746075832936</v>
      </c>
      <c r="AW138"/>
      <c r="AX138" s="320"/>
      <c r="AY138" s="358">
        <f t="shared" ca="1" si="73"/>
        <v>13.629599997176417</v>
      </c>
      <c r="AZ138" s="358">
        <f t="shared" ca="1" si="74"/>
        <v>3533.3843460730091</v>
      </c>
    </row>
    <row r="139" spans="1:52">
      <c r="A139" s="256" t="str">
        <f t="shared" si="62"/>
        <v>MASON CO-REGULATEDCPHAUL15</v>
      </c>
      <c r="B139" s="256">
        <f t="shared" si="61"/>
        <v>1</v>
      </c>
      <c r="C139" s="278" t="s">
        <v>493</v>
      </c>
      <c r="D139" s="278" t="s">
        <v>494</v>
      </c>
      <c r="E139" s="290">
        <v>154.27000000000001</v>
      </c>
      <c r="F139" s="290">
        <v>153.85</v>
      </c>
      <c r="G139" s="290">
        <v>153.85</v>
      </c>
      <c r="H139" s="255">
        <v>42</v>
      </c>
      <c r="I139" s="281"/>
      <c r="J139" s="282">
        <v>1388.43</v>
      </c>
      <c r="K139" s="282">
        <v>1234.1600000000001</v>
      </c>
      <c r="L139" s="282">
        <v>1234.1600000000001</v>
      </c>
      <c r="M139" s="282">
        <v>1384.65</v>
      </c>
      <c r="N139" s="282">
        <v>1230.8</v>
      </c>
      <c r="O139" s="282">
        <v>1538.5</v>
      </c>
      <c r="P139" s="282">
        <v>1230.8</v>
      </c>
      <c r="Q139" s="282">
        <v>1230.8</v>
      </c>
      <c r="R139" s="282">
        <v>1384.65</v>
      </c>
      <c r="S139" s="282">
        <v>1230.8</v>
      </c>
      <c r="T139" s="282">
        <v>1384.65</v>
      </c>
      <c r="U139" s="282">
        <v>1384.65</v>
      </c>
      <c r="V139" s="282">
        <f t="shared" si="63"/>
        <v>15857.049999999997</v>
      </c>
      <c r="W139" s="283"/>
      <c r="X139" s="283">
        <f t="shared" si="64"/>
        <v>9</v>
      </c>
      <c r="Y139" s="283">
        <f t="shared" si="64"/>
        <v>8</v>
      </c>
      <c r="Z139" s="283">
        <f t="shared" si="64"/>
        <v>8</v>
      </c>
      <c r="AA139" s="283">
        <f t="shared" si="65"/>
        <v>9.0000000000000018</v>
      </c>
      <c r="AB139" s="283">
        <f t="shared" si="65"/>
        <v>8</v>
      </c>
      <c r="AC139" s="283">
        <f t="shared" si="65"/>
        <v>10</v>
      </c>
      <c r="AD139" s="283">
        <f t="shared" si="65"/>
        <v>8</v>
      </c>
      <c r="AE139" s="283">
        <f t="shared" si="65"/>
        <v>8</v>
      </c>
      <c r="AF139" s="283">
        <f t="shared" si="65"/>
        <v>9.0000000000000018</v>
      </c>
      <c r="AG139" s="283">
        <f t="shared" si="65"/>
        <v>8</v>
      </c>
      <c r="AH139" s="283">
        <f t="shared" si="66"/>
        <v>9.0000000000000018</v>
      </c>
      <c r="AI139" s="283">
        <f t="shared" si="66"/>
        <v>9.0000000000000018</v>
      </c>
      <c r="AJ139" s="274">
        <f t="shared" si="67"/>
        <v>8.5833333333333339</v>
      </c>
      <c r="AR139" s="284">
        <f t="shared" si="68"/>
        <v>15857.049999999997</v>
      </c>
      <c r="AS139" s="285">
        <f t="shared" si="69"/>
        <v>15846.55</v>
      </c>
      <c r="AT139" s="286">
        <f t="shared" ca="1" si="70"/>
        <v>156.1630939041091</v>
      </c>
      <c r="AU139" s="287">
        <f t="shared" ca="1" si="71"/>
        <v>16084.798672123237</v>
      </c>
      <c r="AV139" s="285">
        <f t="shared" ca="1" si="72"/>
        <v>238.24867212323807</v>
      </c>
      <c r="AW139"/>
      <c r="AX139" s="320"/>
      <c r="AY139" s="358">
        <f t="shared" ca="1" si="73"/>
        <v>62.285411272070156</v>
      </c>
      <c r="AZ139" s="358">
        <f t="shared" ca="1" si="74"/>
        <v>16147.084083395308</v>
      </c>
    </row>
    <row r="140" spans="1:52">
      <c r="A140" s="256" t="str">
        <f t="shared" si="62"/>
        <v>MASON CO-REGULATEDCPHAUL20</v>
      </c>
      <c r="B140" s="256">
        <f t="shared" si="61"/>
        <v>1</v>
      </c>
      <c r="C140" s="278" t="s">
        <v>495</v>
      </c>
      <c r="D140" s="278" t="s">
        <v>496</v>
      </c>
      <c r="E140" s="290">
        <v>164.56</v>
      </c>
      <c r="F140" s="290">
        <v>164.12</v>
      </c>
      <c r="G140" s="290">
        <v>164.12</v>
      </c>
      <c r="H140" s="255">
        <v>42</v>
      </c>
      <c r="I140" s="281"/>
      <c r="J140" s="282">
        <v>329.12</v>
      </c>
      <c r="K140" s="282">
        <v>164.56</v>
      </c>
      <c r="L140" s="282">
        <v>164.56</v>
      </c>
      <c r="M140" s="282">
        <v>328.24</v>
      </c>
      <c r="N140" s="282">
        <v>164.12</v>
      </c>
      <c r="O140" s="282">
        <v>328.24</v>
      </c>
      <c r="P140" s="282">
        <v>164.12</v>
      </c>
      <c r="Q140" s="282">
        <v>492.36</v>
      </c>
      <c r="R140" s="282">
        <v>492.36</v>
      </c>
      <c r="S140" s="282">
        <v>492.36</v>
      </c>
      <c r="T140" s="282">
        <v>656.48</v>
      </c>
      <c r="U140" s="282">
        <v>984.72</v>
      </c>
      <c r="V140" s="282">
        <f t="shared" si="63"/>
        <v>4761.2400000000007</v>
      </c>
      <c r="W140" s="283"/>
      <c r="X140" s="283">
        <f t="shared" si="64"/>
        <v>2</v>
      </c>
      <c r="Y140" s="283">
        <f t="shared" si="64"/>
        <v>1</v>
      </c>
      <c r="Z140" s="283">
        <f t="shared" si="64"/>
        <v>1</v>
      </c>
      <c r="AA140" s="283">
        <f t="shared" si="65"/>
        <v>2</v>
      </c>
      <c r="AB140" s="283">
        <f t="shared" si="65"/>
        <v>1</v>
      </c>
      <c r="AC140" s="283">
        <f t="shared" si="65"/>
        <v>2</v>
      </c>
      <c r="AD140" s="283">
        <f t="shared" si="65"/>
        <v>1</v>
      </c>
      <c r="AE140" s="283">
        <f t="shared" si="65"/>
        <v>3</v>
      </c>
      <c r="AF140" s="283">
        <f t="shared" si="65"/>
        <v>3</v>
      </c>
      <c r="AG140" s="283">
        <f t="shared" si="65"/>
        <v>3</v>
      </c>
      <c r="AH140" s="283">
        <f t="shared" si="66"/>
        <v>4</v>
      </c>
      <c r="AI140" s="283">
        <f t="shared" si="66"/>
        <v>6</v>
      </c>
      <c r="AJ140" s="274">
        <f t="shared" si="67"/>
        <v>2.4166666666666665</v>
      </c>
      <c r="AR140" s="284">
        <f t="shared" si="68"/>
        <v>4761.2400000000007</v>
      </c>
      <c r="AS140" s="285">
        <f t="shared" si="69"/>
        <v>4759.4799999999996</v>
      </c>
      <c r="AT140" s="286">
        <f t="shared" ca="1" si="70"/>
        <v>166.58750062750985</v>
      </c>
      <c r="AU140" s="287">
        <f t="shared" ca="1" si="71"/>
        <v>4831.0375181977861</v>
      </c>
      <c r="AV140" s="285">
        <f t="shared" ca="1" si="72"/>
        <v>71.557518197786521</v>
      </c>
      <c r="AW140"/>
      <c r="AX140" s="320"/>
      <c r="AY140" s="358">
        <f t="shared" ca="1" si="73"/>
        <v>18.707300279315849</v>
      </c>
      <c r="AZ140" s="358">
        <f t="shared" ca="1" si="74"/>
        <v>4849.7448184771019</v>
      </c>
    </row>
    <row r="141" spans="1:52">
      <c r="A141" s="256" t="str">
        <f t="shared" si="62"/>
        <v>MASON CO-REGULATEDCPHAUL25</v>
      </c>
      <c r="B141" s="256">
        <f t="shared" si="61"/>
        <v>1</v>
      </c>
      <c r="C141" s="278" t="s">
        <v>497</v>
      </c>
      <c r="D141" s="278" t="s">
        <v>498</v>
      </c>
      <c r="E141" s="290">
        <v>180.15</v>
      </c>
      <c r="F141" s="290">
        <v>179.66</v>
      </c>
      <c r="G141" s="290">
        <v>179.66</v>
      </c>
      <c r="H141" s="255">
        <v>42</v>
      </c>
      <c r="I141" s="281"/>
      <c r="J141" s="282">
        <v>2882.4</v>
      </c>
      <c r="K141" s="282">
        <v>2702.25</v>
      </c>
      <c r="L141" s="282">
        <v>3062.55</v>
      </c>
      <c r="M141" s="282">
        <v>3414.03</v>
      </c>
      <c r="N141" s="282">
        <v>2694.9</v>
      </c>
      <c r="O141" s="282">
        <v>3233.88</v>
      </c>
      <c r="P141" s="282">
        <v>3413.54</v>
      </c>
      <c r="Q141" s="282">
        <v>3233.88</v>
      </c>
      <c r="R141" s="282">
        <v>3233.88</v>
      </c>
      <c r="S141" s="282">
        <v>3054.22</v>
      </c>
      <c r="T141" s="282">
        <v>2694.9</v>
      </c>
      <c r="U141" s="282">
        <v>2694.9</v>
      </c>
      <c r="V141" s="282">
        <f t="shared" si="63"/>
        <v>36315.330000000009</v>
      </c>
      <c r="W141" s="283"/>
      <c r="X141" s="283">
        <f t="shared" si="64"/>
        <v>16</v>
      </c>
      <c r="Y141" s="283">
        <f t="shared" si="64"/>
        <v>15</v>
      </c>
      <c r="Z141" s="283">
        <f t="shared" si="64"/>
        <v>17</v>
      </c>
      <c r="AA141" s="283">
        <f t="shared" si="65"/>
        <v>19.002727373928533</v>
      </c>
      <c r="AB141" s="283">
        <f t="shared" si="65"/>
        <v>15</v>
      </c>
      <c r="AC141" s="283">
        <f t="shared" si="65"/>
        <v>18</v>
      </c>
      <c r="AD141" s="283">
        <f t="shared" si="65"/>
        <v>19</v>
      </c>
      <c r="AE141" s="283">
        <f t="shared" si="65"/>
        <v>18</v>
      </c>
      <c r="AF141" s="283">
        <f t="shared" si="65"/>
        <v>18</v>
      </c>
      <c r="AG141" s="283">
        <f t="shared" si="65"/>
        <v>17</v>
      </c>
      <c r="AH141" s="283">
        <f t="shared" si="66"/>
        <v>15</v>
      </c>
      <c r="AI141" s="283">
        <f t="shared" si="66"/>
        <v>15</v>
      </c>
      <c r="AJ141" s="274">
        <f t="shared" si="67"/>
        <v>16.833560614494044</v>
      </c>
      <c r="AR141" s="284">
        <f t="shared" si="68"/>
        <v>36315.330000000009</v>
      </c>
      <c r="AS141" s="285">
        <f t="shared" si="69"/>
        <v>36291.81</v>
      </c>
      <c r="AT141" s="286">
        <f t="shared" ca="1" si="70"/>
        <v>182.36114040176955</v>
      </c>
      <c r="AU141" s="287">
        <f t="shared" ca="1" si="71"/>
        <v>36837.447728177358</v>
      </c>
      <c r="AV141" s="285">
        <f t="shared" ca="1" si="72"/>
        <v>545.63772817736026</v>
      </c>
      <c r="AW141"/>
      <c r="AX141" s="320"/>
      <c r="AY141" s="358">
        <f t="shared" ca="1" si="73"/>
        <v>142.64621079401061</v>
      </c>
      <c r="AZ141" s="358">
        <f t="shared" ca="1" si="74"/>
        <v>36980.093938971368</v>
      </c>
    </row>
    <row r="142" spans="1:52">
      <c r="A142" s="256" t="str">
        <f t="shared" si="62"/>
        <v>MASON CO-REGULATEDCPHAUL30</v>
      </c>
      <c r="B142" s="256">
        <f t="shared" si="61"/>
        <v>1</v>
      </c>
      <c r="C142" s="278" t="s">
        <v>499</v>
      </c>
      <c r="D142" s="278" t="s">
        <v>500</v>
      </c>
      <c r="E142" s="290">
        <v>205.38</v>
      </c>
      <c r="F142" s="290">
        <v>204.83</v>
      </c>
      <c r="G142" s="290">
        <v>204.83</v>
      </c>
      <c r="H142" s="255">
        <v>42</v>
      </c>
      <c r="I142" s="281"/>
      <c r="J142" s="282">
        <v>410.76</v>
      </c>
      <c r="K142" s="282">
        <v>0</v>
      </c>
      <c r="L142" s="282">
        <v>410.76</v>
      </c>
      <c r="M142" s="282">
        <v>614.49</v>
      </c>
      <c r="N142" s="282">
        <v>204.83</v>
      </c>
      <c r="O142" s="282">
        <v>204.83</v>
      </c>
      <c r="P142" s="282">
        <v>204.83</v>
      </c>
      <c r="Q142" s="282">
        <v>409.66</v>
      </c>
      <c r="R142" s="282">
        <v>204.83</v>
      </c>
      <c r="S142" s="282">
        <v>204.83</v>
      </c>
      <c r="T142" s="282">
        <v>409.66</v>
      </c>
      <c r="U142" s="282">
        <v>0</v>
      </c>
      <c r="V142" s="282">
        <f t="shared" si="63"/>
        <v>3279.4799999999996</v>
      </c>
      <c r="W142" s="283"/>
      <c r="X142" s="283">
        <f t="shared" si="64"/>
        <v>2</v>
      </c>
      <c r="Y142" s="283">
        <f t="shared" si="64"/>
        <v>0</v>
      </c>
      <c r="Z142" s="283">
        <f t="shared" si="64"/>
        <v>2</v>
      </c>
      <c r="AA142" s="283">
        <f t="shared" si="65"/>
        <v>3</v>
      </c>
      <c r="AB142" s="283">
        <f t="shared" si="65"/>
        <v>1</v>
      </c>
      <c r="AC142" s="283">
        <f t="shared" si="65"/>
        <v>1</v>
      </c>
      <c r="AD142" s="283">
        <f t="shared" si="65"/>
        <v>1</v>
      </c>
      <c r="AE142" s="283">
        <f t="shared" si="65"/>
        <v>2</v>
      </c>
      <c r="AF142" s="283">
        <f t="shared" si="65"/>
        <v>1</v>
      </c>
      <c r="AG142" s="283">
        <f t="shared" si="65"/>
        <v>1</v>
      </c>
      <c r="AH142" s="283">
        <f t="shared" si="66"/>
        <v>2</v>
      </c>
      <c r="AI142" s="283">
        <f t="shared" si="66"/>
        <v>0</v>
      </c>
      <c r="AJ142" s="274">
        <f t="shared" si="67"/>
        <v>1.3333333333333333</v>
      </c>
      <c r="AR142" s="284">
        <f t="shared" si="68"/>
        <v>3279.4799999999996</v>
      </c>
      <c r="AS142" s="285">
        <f t="shared" si="69"/>
        <v>3277.2799999999997</v>
      </c>
      <c r="AT142" s="286">
        <f t="shared" ca="1" si="70"/>
        <v>207.90956466934463</v>
      </c>
      <c r="AU142" s="287">
        <f t="shared" ca="1" si="71"/>
        <v>3326.5530347095141</v>
      </c>
      <c r="AV142" s="285">
        <f t="shared" ca="1" si="72"/>
        <v>49.273034709514377</v>
      </c>
      <c r="AW142"/>
      <c r="AX142" s="320"/>
      <c r="AY142" s="358">
        <f t="shared" ca="1" si="73"/>
        <v>12.881462062955666</v>
      </c>
      <c r="AZ142" s="358">
        <f t="shared" ca="1" si="74"/>
        <v>3339.4344967724696</v>
      </c>
    </row>
    <row r="143" spans="1:52">
      <c r="A143" s="256" t="str">
        <f t="shared" si="62"/>
        <v>MASON CO-REGULATEDCPHAUL35</v>
      </c>
      <c r="B143" s="256">
        <f t="shared" si="61"/>
        <v>1</v>
      </c>
      <c r="C143" s="278" t="s">
        <v>501</v>
      </c>
      <c r="D143" s="278" t="s">
        <v>502</v>
      </c>
      <c r="E143" s="290">
        <v>236.51</v>
      </c>
      <c r="F143" s="290">
        <v>235.87</v>
      </c>
      <c r="G143" s="290">
        <v>235.87</v>
      </c>
      <c r="H143" s="255">
        <v>42</v>
      </c>
      <c r="I143" s="281"/>
      <c r="J143" s="282">
        <v>473.02</v>
      </c>
      <c r="K143" s="282">
        <v>473.02</v>
      </c>
      <c r="L143" s="282">
        <v>473.02</v>
      </c>
      <c r="M143" s="282">
        <v>943.48</v>
      </c>
      <c r="N143" s="282">
        <v>471.74</v>
      </c>
      <c r="O143" s="282">
        <v>471.74</v>
      </c>
      <c r="P143" s="282">
        <v>471.74</v>
      </c>
      <c r="Q143" s="282">
        <v>471.74</v>
      </c>
      <c r="R143" s="282">
        <v>0</v>
      </c>
      <c r="S143" s="282">
        <v>0</v>
      </c>
      <c r="T143" s="282">
        <v>0</v>
      </c>
      <c r="U143" s="282">
        <v>0</v>
      </c>
      <c r="V143" s="282">
        <f t="shared" si="63"/>
        <v>4249.4999999999991</v>
      </c>
      <c r="W143" s="283"/>
      <c r="X143" s="283">
        <f t="shared" si="64"/>
        <v>2</v>
      </c>
      <c r="Y143" s="283">
        <f t="shared" si="64"/>
        <v>2</v>
      </c>
      <c r="Z143" s="283">
        <f t="shared" si="64"/>
        <v>2</v>
      </c>
      <c r="AA143" s="283">
        <f t="shared" si="65"/>
        <v>4</v>
      </c>
      <c r="AB143" s="283">
        <f t="shared" si="65"/>
        <v>2</v>
      </c>
      <c r="AC143" s="283">
        <f t="shared" si="65"/>
        <v>2</v>
      </c>
      <c r="AD143" s="283">
        <f t="shared" si="65"/>
        <v>2</v>
      </c>
      <c r="AE143" s="283">
        <f t="shared" si="65"/>
        <v>2</v>
      </c>
      <c r="AF143" s="283">
        <f t="shared" si="65"/>
        <v>0</v>
      </c>
      <c r="AG143" s="283">
        <f t="shared" si="65"/>
        <v>0</v>
      </c>
      <c r="AH143" s="283">
        <f t="shared" si="66"/>
        <v>0</v>
      </c>
      <c r="AI143" s="283">
        <f t="shared" si="66"/>
        <v>0</v>
      </c>
      <c r="AJ143" s="274">
        <f t="shared" si="67"/>
        <v>1.5</v>
      </c>
      <c r="AR143" s="284">
        <f t="shared" si="68"/>
        <v>4249.4999999999991</v>
      </c>
      <c r="AS143" s="285">
        <f t="shared" si="69"/>
        <v>4245.66</v>
      </c>
      <c r="AT143" s="286">
        <f t="shared" ca="1" si="70"/>
        <v>239.41624282848372</v>
      </c>
      <c r="AU143" s="287">
        <f t="shared" ca="1" si="71"/>
        <v>4309.492370912707</v>
      </c>
      <c r="AV143" s="285">
        <f t="shared" ca="1" si="72"/>
        <v>63.83237091270712</v>
      </c>
      <c r="AW143"/>
      <c r="AX143" s="320"/>
      <c r="AY143" s="358">
        <f t="shared" ca="1" si="73"/>
        <v>16.687713049299528</v>
      </c>
      <c r="AZ143" s="358">
        <f t="shared" ca="1" si="74"/>
        <v>4326.1800839620064</v>
      </c>
    </row>
    <row r="144" spans="1:52">
      <c r="A144" s="256" t="str">
        <f t="shared" si="62"/>
        <v>MASON CO-REGULATEDRORENT10D</v>
      </c>
      <c r="B144" s="256">
        <f t="shared" si="61"/>
        <v>1</v>
      </c>
      <c r="C144" s="278" t="s">
        <v>503</v>
      </c>
      <c r="D144" s="278" t="s">
        <v>504</v>
      </c>
      <c r="E144" s="290">
        <v>146.69999999999999</v>
      </c>
      <c r="F144" s="290">
        <v>146.4</v>
      </c>
      <c r="G144" s="290">
        <v>146.4</v>
      </c>
      <c r="H144" s="255">
        <v>39</v>
      </c>
      <c r="I144" s="281"/>
      <c r="J144" s="282">
        <v>904.65</v>
      </c>
      <c r="K144" s="282">
        <v>973.11</v>
      </c>
      <c r="L144" s="282">
        <v>782.39</v>
      </c>
      <c r="M144" s="282">
        <v>1107.76</v>
      </c>
      <c r="N144" s="282">
        <v>1288.31</v>
      </c>
      <c r="O144" s="282">
        <v>1019.76</v>
      </c>
      <c r="P144" s="282">
        <v>966.24</v>
      </c>
      <c r="Q144" s="282">
        <v>1361.52</v>
      </c>
      <c r="R144" s="282">
        <v>527.04</v>
      </c>
      <c r="S144" s="282">
        <v>468.48</v>
      </c>
      <c r="T144" s="282">
        <v>351.35999999999996</v>
      </c>
      <c r="U144" s="282">
        <v>366</v>
      </c>
      <c r="V144" s="282">
        <f t="shared" si="63"/>
        <v>10116.619999999999</v>
      </c>
      <c r="W144" s="283"/>
      <c r="X144" s="283">
        <f t="shared" si="64"/>
        <v>6.166666666666667</v>
      </c>
      <c r="Y144" s="283">
        <f t="shared" si="64"/>
        <v>6.6333333333333337</v>
      </c>
      <c r="Z144" s="283">
        <f t="shared" si="64"/>
        <v>5.3332651670074984</v>
      </c>
      <c r="AA144" s="283">
        <f t="shared" si="65"/>
        <v>7.5666666666666664</v>
      </c>
      <c r="AB144" s="283">
        <f t="shared" si="65"/>
        <v>8.7999316939890697</v>
      </c>
      <c r="AC144" s="283">
        <f t="shared" si="65"/>
        <v>6.9655737704918028</v>
      </c>
      <c r="AD144" s="283">
        <f t="shared" si="65"/>
        <v>6.6</v>
      </c>
      <c r="AE144" s="283">
        <f t="shared" si="65"/>
        <v>9.2999999999999989</v>
      </c>
      <c r="AF144" s="283">
        <f t="shared" si="65"/>
        <v>3.5999999999999996</v>
      </c>
      <c r="AG144" s="283">
        <f t="shared" si="65"/>
        <v>3.2</v>
      </c>
      <c r="AH144" s="283">
        <f t="shared" si="66"/>
        <v>2.3999999999999995</v>
      </c>
      <c r="AI144" s="283">
        <f t="shared" si="66"/>
        <v>2.5</v>
      </c>
      <c r="AJ144" s="283">
        <f>AVERAGE(X144:AI144)</f>
        <v>5.7554531081795872</v>
      </c>
      <c r="AN144" s="256">
        <v>10</v>
      </c>
      <c r="AO144" s="256">
        <v>1</v>
      </c>
      <c r="AP144" s="274">
        <f t="shared" ref="AP144:AP149" si="75">+AO144*AJ144</f>
        <v>5.7554531081795872</v>
      </c>
      <c r="AQ144" s="274"/>
      <c r="AR144" s="284">
        <f t="shared" si="68"/>
        <v>10116.619999999999</v>
      </c>
      <c r="AS144" s="285">
        <f t="shared" si="69"/>
        <v>10111.1800204499</v>
      </c>
      <c r="AT144" s="286">
        <f t="shared" ca="1" si="70"/>
        <v>148.60108513202195</v>
      </c>
      <c r="AU144" s="287">
        <f t="shared" ca="1" si="71"/>
        <v>10263.198927623464</v>
      </c>
      <c r="AV144" s="285">
        <f t="shared" ca="1" si="72"/>
        <v>152.018907173564</v>
      </c>
      <c r="AW144"/>
      <c r="AY144" s="358">
        <f t="shared" ca="1" si="73"/>
        <v>39.742341772793502</v>
      </c>
      <c r="AZ144" s="358">
        <f t="shared" ca="1" si="74"/>
        <v>10302.941269396257</v>
      </c>
    </row>
    <row r="145" spans="1:52">
      <c r="A145" s="256" t="str">
        <f t="shared" si="62"/>
        <v>MASON CO-REGULATEDRORENT20D</v>
      </c>
      <c r="B145" s="256">
        <f t="shared" si="61"/>
        <v>1</v>
      </c>
      <c r="C145" s="278" t="s">
        <v>505</v>
      </c>
      <c r="D145" s="278" t="s">
        <v>506</v>
      </c>
      <c r="E145" s="290">
        <v>189.9</v>
      </c>
      <c r="F145" s="290">
        <v>189.29999999999998</v>
      </c>
      <c r="G145" s="290">
        <v>189.3</v>
      </c>
      <c r="H145" s="255">
        <v>39</v>
      </c>
      <c r="I145" s="281"/>
      <c r="J145" s="282">
        <v>6975.58</v>
      </c>
      <c r="K145" s="282">
        <v>7785.8</v>
      </c>
      <c r="L145" s="282">
        <v>10045.64</v>
      </c>
      <c r="M145" s="282">
        <v>8158.78</v>
      </c>
      <c r="N145" s="282">
        <v>9206.17</v>
      </c>
      <c r="O145" s="282">
        <v>9635.32</v>
      </c>
      <c r="P145" s="282">
        <v>9540.7199999999993</v>
      </c>
      <c r="Q145" s="282">
        <v>8644.7000000000007</v>
      </c>
      <c r="R145" s="282">
        <v>6739.08</v>
      </c>
      <c r="S145" s="282">
        <v>6631.81</v>
      </c>
      <c r="T145" s="282">
        <v>6575.02</v>
      </c>
      <c r="U145" s="282">
        <v>6448.82</v>
      </c>
      <c r="V145" s="282">
        <f t="shared" si="63"/>
        <v>96387.44</v>
      </c>
      <c r="W145" s="283"/>
      <c r="X145" s="283">
        <f t="shared" si="64"/>
        <v>36.732912058978407</v>
      </c>
      <c r="Y145" s="283">
        <f t="shared" si="64"/>
        <v>40.999473407056342</v>
      </c>
      <c r="Z145" s="283">
        <f t="shared" si="64"/>
        <v>52.89963138493944</v>
      </c>
      <c r="AA145" s="283">
        <f t="shared" si="65"/>
        <v>43.099735868991019</v>
      </c>
      <c r="AB145" s="283">
        <f t="shared" si="65"/>
        <v>48.632699418911784</v>
      </c>
      <c r="AC145" s="283">
        <f t="shared" si="65"/>
        <v>50.899735868991023</v>
      </c>
      <c r="AD145" s="283">
        <f t="shared" si="65"/>
        <v>50.4</v>
      </c>
      <c r="AE145" s="283">
        <f t="shared" si="65"/>
        <v>45.666666666666671</v>
      </c>
      <c r="AF145" s="283">
        <f t="shared" si="65"/>
        <v>35.6</v>
      </c>
      <c r="AG145" s="283">
        <f t="shared" si="65"/>
        <v>35.033333333333339</v>
      </c>
      <c r="AH145" s="283">
        <f t="shared" si="66"/>
        <v>34.733333333333334</v>
      </c>
      <c r="AI145" s="283">
        <f t="shared" si="66"/>
        <v>34.066666666666663</v>
      </c>
      <c r="AJ145" s="283">
        <f>AVERAGE(X145:AI145)</f>
        <v>42.397015667322343</v>
      </c>
      <c r="AN145" s="256">
        <v>20</v>
      </c>
      <c r="AO145" s="256">
        <v>1</v>
      </c>
      <c r="AP145" s="274">
        <f t="shared" si="75"/>
        <v>42.397015667322343</v>
      </c>
      <c r="AQ145" s="274"/>
      <c r="AR145" s="284">
        <f t="shared" si="68"/>
        <v>96387.44</v>
      </c>
      <c r="AS145" s="285">
        <f t="shared" si="69"/>
        <v>96309.060789889452</v>
      </c>
      <c r="AT145" s="286">
        <f t="shared" ca="1" si="70"/>
        <v>192.14607524243002</v>
      </c>
      <c r="AU145" s="287">
        <f t="shared" ca="1" si="71"/>
        <v>97757.041949613631</v>
      </c>
      <c r="AV145" s="285">
        <f t="shared" ca="1" si="72"/>
        <v>1447.9811597241787</v>
      </c>
      <c r="AW145"/>
      <c r="AY145" s="358">
        <f t="shared" ca="1" si="73"/>
        <v>378.54608482761671</v>
      </c>
      <c r="AZ145" s="358">
        <f t="shared" ca="1" si="74"/>
        <v>98135.588034441244</v>
      </c>
    </row>
    <row r="146" spans="1:52">
      <c r="A146" s="256" t="str">
        <f t="shared" si="62"/>
        <v>MASON CO-REGULATEDRORENT40D</v>
      </c>
      <c r="B146" s="256">
        <f t="shared" si="61"/>
        <v>1</v>
      </c>
      <c r="C146" s="278" t="s">
        <v>507</v>
      </c>
      <c r="D146" s="278" t="s">
        <v>508</v>
      </c>
      <c r="E146" s="290">
        <v>298.8</v>
      </c>
      <c r="F146" s="290">
        <v>297.89999999999998</v>
      </c>
      <c r="G146" s="290">
        <v>297.89999999999998</v>
      </c>
      <c r="H146" s="255">
        <v>39</v>
      </c>
      <c r="I146" s="281"/>
      <c r="J146" s="282">
        <v>2308.86</v>
      </c>
      <c r="K146" s="282">
        <v>3137.3999999999996</v>
      </c>
      <c r="L146" s="282">
        <v>3177.22</v>
      </c>
      <c r="M146" s="282">
        <v>4031.57</v>
      </c>
      <c r="N146" s="282">
        <v>3961.81</v>
      </c>
      <c r="O146" s="282">
        <v>3266.96</v>
      </c>
      <c r="P146" s="282">
        <v>3912.42</v>
      </c>
      <c r="Q146" s="282">
        <v>4458.57</v>
      </c>
      <c r="R146" s="282">
        <v>3088.23</v>
      </c>
      <c r="S146" s="282">
        <v>2859.84</v>
      </c>
      <c r="T146" s="282">
        <v>2631.45</v>
      </c>
      <c r="U146" s="282">
        <v>3505.29</v>
      </c>
      <c r="V146" s="282">
        <f t="shared" si="63"/>
        <v>40339.619999999995</v>
      </c>
      <c r="W146" s="283"/>
      <c r="X146" s="283">
        <f t="shared" si="64"/>
        <v>7.7271084337349398</v>
      </c>
      <c r="Y146" s="283">
        <f t="shared" si="64"/>
        <v>10.499999999999998</v>
      </c>
      <c r="Z146" s="283">
        <f t="shared" si="64"/>
        <v>10.633266398929049</v>
      </c>
      <c r="AA146" s="283">
        <f t="shared" si="65"/>
        <v>13.533299765021821</v>
      </c>
      <c r="AB146" s="283">
        <f t="shared" si="65"/>
        <v>13.299127223900639</v>
      </c>
      <c r="AC146" s="283">
        <f t="shared" si="65"/>
        <v>10.966633098355153</v>
      </c>
      <c r="AD146" s="283">
        <f t="shared" si="65"/>
        <v>13.133333333333335</v>
      </c>
      <c r="AE146" s="283">
        <f t="shared" si="65"/>
        <v>14.966666666666667</v>
      </c>
      <c r="AF146" s="283">
        <f t="shared" si="65"/>
        <v>10.366666666666667</v>
      </c>
      <c r="AG146" s="283">
        <f t="shared" si="65"/>
        <v>9.6000000000000014</v>
      </c>
      <c r="AH146" s="283">
        <f t="shared" si="66"/>
        <v>8.8333333333333339</v>
      </c>
      <c r="AI146" s="283">
        <f t="shared" si="66"/>
        <v>11.766666666666667</v>
      </c>
      <c r="AJ146" s="283">
        <f>AVERAGE(X146:AI146)</f>
        <v>11.277175132217357</v>
      </c>
      <c r="AN146" s="256">
        <v>40</v>
      </c>
      <c r="AO146" s="256">
        <v>1</v>
      </c>
      <c r="AP146" s="274">
        <f t="shared" si="75"/>
        <v>11.277175132217357</v>
      </c>
      <c r="AQ146" s="274"/>
      <c r="AR146" s="284">
        <f t="shared" si="68"/>
        <v>40339.619999999995</v>
      </c>
      <c r="AS146" s="285">
        <f t="shared" si="69"/>
        <v>40313.645662650604</v>
      </c>
      <c r="AT146" s="286">
        <f t="shared" ca="1" si="70"/>
        <v>302.37884741003643</v>
      </c>
      <c r="AU146" s="287">
        <f t="shared" ca="1" si="71"/>
        <v>40919.750622252111</v>
      </c>
      <c r="AV146" s="285">
        <f t="shared" ca="1" si="72"/>
        <v>606.10495960150729</v>
      </c>
      <c r="AW146"/>
      <c r="AY146" s="358">
        <f t="shared" ca="1" si="73"/>
        <v>158.45417456636935</v>
      </c>
      <c r="AZ146" s="358">
        <f t="shared" ca="1" si="74"/>
        <v>41078.204796818478</v>
      </c>
    </row>
    <row r="147" spans="1:52">
      <c r="A147" s="256" t="str">
        <f t="shared" si="62"/>
        <v>MASON CO-REGULATEDRORENT10M</v>
      </c>
      <c r="B147" s="256">
        <f t="shared" si="61"/>
        <v>1</v>
      </c>
      <c r="C147" s="278" t="s">
        <v>509</v>
      </c>
      <c r="D147" s="278" t="s">
        <v>510</v>
      </c>
      <c r="E147" s="290">
        <v>88.34</v>
      </c>
      <c r="F147" s="290">
        <v>88.1</v>
      </c>
      <c r="G147" s="290">
        <v>88.1</v>
      </c>
      <c r="H147" s="255">
        <v>39</v>
      </c>
      <c r="I147" s="281"/>
      <c r="J147" s="282">
        <v>0</v>
      </c>
      <c r="K147" s="282">
        <v>0</v>
      </c>
      <c r="L147" s="282">
        <v>0</v>
      </c>
      <c r="M147" s="282">
        <v>0</v>
      </c>
      <c r="N147" s="282">
        <v>0</v>
      </c>
      <c r="O147" s="282">
        <v>0</v>
      </c>
      <c r="P147" s="282">
        <v>0</v>
      </c>
      <c r="Q147" s="282">
        <v>0</v>
      </c>
      <c r="R147" s="282">
        <v>0</v>
      </c>
      <c r="S147" s="282">
        <v>0</v>
      </c>
      <c r="T147" s="282">
        <v>0</v>
      </c>
      <c r="U147" s="282">
        <v>0</v>
      </c>
      <c r="V147" s="282">
        <f t="shared" si="63"/>
        <v>0</v>
      </c>
      <c r="W147" s="283"/>
      <c r="X147" s="283">
        <f t="shared" si="64"/>
        <v>0</v>
      </c>
      <c r="Y147" s="283">
        <f t="shared" si="64"/>
        <v>0</v>
      </c>
      <c r="Z147" s="283">
        <f t="shared" si="64"/>
        <v>0</v>
      </c>
      <c r="AA147" s="283">
        <f t="shared" si="65"/>
        <v>0</v>
      </c>
      <c r="AB147" s="283">
        <f t="shared" si="65"/>
        <v>0</v>
      </c>
      <c r="AC147" s="283">
        <f t="shared" si="65"/>
        <v>0</v>
      </c>
      <c r="AD147" s="283">
        <f t="shared" si="65"/>
        <v>0</v>
      </c>
      <c r="AE147" s="283">
        <f t="shared" si="65"/>
        <v>0</v>
      </c>
      <c r="AF147" s="283">
        <f t="shared" si="65"/>
        <v>0</v>
      </c>
      <c r="AG147" s="283">
        <f t="shared" si="65"/>
        <v>0</v>
      </c>
      <c r="AH147" s="283">
        <f t="shared" si="66"/>
        <v>0</v>
      </c>
      <c r="AI147" s="283">
        <f t="shared" si="66"/>
        <v>0</v>
      </c>
      <c r="AJ147" s="283">
        <f t="shared" si="67"/>
        <v>0</v>
      </c>
      <c r="AN147" s="256">
        <v>10</v>
      </c>
      <c r="AO147" s="256">
        <v>1</v>
      </c>
      <c r="AP147" s="274">
        <f t="shared" si="75"/>
        <v>0</v>
      </c>
      <c r="AQ147" s="274"/>
      <c r="AR147" s="284">
        <f t="shared" si="68"/>
        <v>0</v>
      </c>
      <c r="AS147" s="285">
        <f t="shared" si="69"/>
        <v>0</v>
      </c>
      <c r="AT147" s="286">
        <f t="shared" ca="1" si="70"/>
        <v>89.424560110185325</v>
      </c>
      <c r="AU147" s="287">
        <f t="shared" ca="1" si="71"/>
        <v>0</v>
      </c>
      <c r="AV147" s="285">
        <f t="shared" ca="1" si="72"/>
        <v>0</v>
      </c>
      <c r="AW147"/>
      <c r="AY147" s="358">
        <f t="shared" ca="1" si="73"/>
        <v>0</v>
      </c>
      <c r="AZ147" s="358">
        <f t="shared" ca="1" si="74"/>
        <v>0</v>
      </c>
    </row>
    <row r="148" spans="1:52">
      <c r="A148" s="256" t="str">
        <f t="shared" si="62"/>
        <v>MASON CO-REGULATEDRORENT20M</v>
      </c>
      <c r="B148" s="256">
        <f t="shared" si="61"/>
        <v>1</v>
      </c>
      <c r="C148" s="278" t="s">
        <v>511</v>
      </c>
      <c r="D148" s="278" t="s">
        <v>512</v>
      </c>
      <c r="E148" s="290">
        <v>102.6</v>
      </c>
      <c r="F148" s="290">
        <v>102.32</v>
      </c>
      <c r="G148" s="290">
        <v>102.32</v>
      </c>
      <c r="H148" s="255">
        <v>39</v>
      </c>
      <c r="I148" s="281"/>
      <c r="J148" s="282">
        <v>2453.6800000000003</v>
      </c>
      <c r="K148" s="282">
        <v>2462.4</v>
      </c>
      <c r="L148" s="282">
        <v>2530.8000000000002</v>
      </c>
      <c r="M148" s="282">
        <v>2558</v>
      </c>
      <c r="N148" s="282">
        <v>2558</v>
      </c>
      <c r="O148" s="282">
        <v>2558</v>
      </c>
      <c r="P148" s="282">
        <v>2558</v>
      </c>
      <c r="Q148" s="282">
        <v>2455.6799999999998</v>
      </c>
      <c r="R148" s="282">
        <v>2455.6799999999998</v>
      </c>
      <c r="S148" s="282">
        <v>2455.6799999999998</v>
      </c>
      <c r="T148" s="282">
        <v>2455.6799999999998</v>
      </c>
      <c r="U148" s="282">
        <v>2455.6799999999998</v>
      </c>
      <c r="V148" s="282">
        <f t="shared" si="63"/>
        <v>29957.280000000002</v>
      </c>
      <c r="W148" s="283"/>
      <c r="X148" s="283">
        <f t="shared" si="64"/>
        <v>23.915009746588698</v>
      </c>
      <c r="Y148" s="283">
        <f t="shared" si="64"/>
        <v>24.000000000000004</v>
      </c>
      <c r="Z148" s="283">
        <f t="shared" si="64"/>
        <v>24.666666666666671</v>
      </c>
      <c r="AA148" s="283">
        <f t="shared" si="65"/>
        <v>25</v>
      </c>
      <c r="AB148" s="283">
        <f t="shared" si="65"/>
        <v>25</v>
      </c>
      <c r="AC148" s="283">
        <f t="shared" si="65"/>
        <v>25</v>
      </c>
      <c r="AD148" s="283">
        <f t="shared" si="65"/>
        <v>25</v>
      </c>
      <c r="AE148" s="283">
        <f t="shared" si="65"/>
        <v>24</v>
      </c>
      <c r="AF148" s="283">
        <f t="shared" si="65"/>
        <v>24</v>
      </c>
      <c r="AG148" s="283">
        <f t="shared" si="65"/>
        <v>24</v>
      </c>
      <c r="AH148" s="283">
        <f t="shared" si="66"/>
        <v>24</v>
      </c>
      <c r="AI148" s="283">
        <f t="shared" si="66"/>
        <v>24</v>
      </c>
      <c r="AJ148" s="283">
        <f t="shared" si="67"/>
        <v>24.381806367771279</v>
      </c>
      <c r="AN148" s="256">
        <v>20</v>
      </c>
      <c r="AO148" s="256">
        <v>1</v>
      </c>
      <c r="AP148" s="274">
        <f t="shared" si="75"/>
        <v>24.381806367771279</v>
      </c>
      <c r="AQ148" s="274"/>
      <c r="AR148" s="284">
        <f t="shared" si="68"/>
        <v>29957.280000000002</v>
      </c>
      <c r="AS148" s="285">
        <f t="shared" si="69"/>
        <v>29936.957130604285</v>
      </c>
      <c r="AT148" s="286">
        <f t="shared" ca="1" si="70"/>
        <v>103.85835403489402</v>
      </c>
      <c r="AU148" s="287">
        <f t="shared" ca="1" si="71"/>
        <v>30387.051333050673</v>
      </c>
      <c r="AV148" s="285">
        <f t="shared" ca="1" si="72"/>
        <v>450.0942024463875</v>
      </c>
      <c r="AW148"/>
      <c r="AY148" s="358">
        <f t="shared" ca="1" si="73"/>
        <v>117.66824243220267</v>
      </c>
      <c r="AZ148" s="358">
        <f t="shared" ca="1" si="74"/>
        <v>30504.719575482875</v>
      </c>
    </row>
    <row r="149" spans="1:52">
      <c r="A149" s="256" t="str">
        <f t="shared" si="62"/>
        <v>MASON CO-REGULATEDRORENT40M</v>
      </c>
      <c r="B149" s="256">
        <f t="shared" si="61"/>
        <v>1</v>
      </c>
      <c r="C149" s="278" t="s">
        <v>513</v>
      </c>
      <c r="D149" s="278" t="s">
        <v>514</v>
      </c>
      <c r="E149" s="290">
        <v>174.45</v>
      </c>
      <c r="F149" s="290">
        <v>173.98</v>
      </c>
      <c r="G149" s="290">
        <v>173.98</v>
      </c>
      <c r="H149" s="255">
        <v>39</v>
      </c>
      <c r="I149" s="281"/>
      <c r="J149" s="282">
        <v>697.8</v>
      </c>
      <c r="K149" s="282">
        <v>697.8</v>
      </c>
      <c r="L149" s="282">
        <v>697.8</v>
      </c>
      <c r="M149" s="282">
        <v>695.92</v>
      </c>
      <c r="N149" s="282">
        <v>695.92</v>
      </c>
      <c r="O149" s="282">
        <v>695.92</v>
      </c>
      <c r="P149" s="282">
        <v>695.92</v>
      </c>
      <c r="Q149" s="282">
        <v>695.92</v>
      </c>
      <c r="R149" s="282">
        <v>695.92</v>
      </c>
      <c r="S149" s="282">
        <v>695.92</v>
      </c>
      <c r="T149" s="282">
        <v>695.92</v>
      </c>
      <c r="U149" s="282">
        <v>695.92</v>
      </c>
      <c r="V149" s="282">
        <f t="shared" si="63"/>
        <v>8356.68</v>
      </c>
      <c r="W149" s="283"/>
      <c r="X149" s="283">
        <f t="shared" si="64"/>
        <v>4</v>
      </c>
      <c r="Y149" s="283">
        <f t="shared" si="64"/>
        <v>4</v>
      </c>
      <c r="Z149" s="283">
        <f t="shared" si="64"/>
        <v>4</v>
      </c>
      <c r="AA149" s="283">
        <f t="shared" si="65"/>
        <v>4</v>
      </c>
      <c r="AB149" s="283">
        <f t="shared" si="65"/>
        <v>4</v>
      </c>
      <c r="AC149" s="283">
        <f t="shared" si="65"/>
        <v>4</v>
      </c>
      <c r="AD149" s="283">
        <f t="shared" si="65"/>
        <v>4</v>
      </c>
      <c r="AE149" s="283">
        <f t="shared" si="65"/>
        <v>4</v>
      </c>
      <c r="AF149" s="283">
        <f t="shared" si="65"/>
        <v>4</v>
      </c>
      <c r="AG149" s="283">
        <f t="shared" si="65"/>
        <v>4</v>
      </c>
      <c r="AH149" s="283">
        <f t="shared" si="66"/>
        <v>4</v>
      </c>
      <c r="AI149" s="283">
        <f t="shared" si="66"/>
        <v>4</v>
      </c>
      <c r="AJ149" s="283">
        <f t="shared" si="67"/>
        <v>4</v>
      </c>
      <c r="AN149" s="256">
        <v>40</v>
      </c>
      <c r="AO149" s="256">
        <v>1</v>
      </c>
      <c r="AP149" s="274">
        <f t="shared" si="75"/>
        <v>4</v>
      </c>
      <c r="AQ149" s="274"/>
      <c r="AR149" s="284">
        <f t="shared" si="68"/>
        <v>8356.68</v>
      </c>
      <c r="AS149" s="285">
        <f t="shared" si="69"/>
        <v>8351.0399999999991</v>
      </c>
      <c r="AT149" s="286">
        <f t="shared" ca="1" si="70"/>
        <v>176.59574310976214</v>
      </c>
      <c r="AU149" s="287">
        <f t="shared" ca="1" si="71"/>
        <v>8476.5956692685832</v>
      </c>
      <c r="AV149" s="285">
        <f t="shared" ca="1" si="72"/>
        <v>125.5556692685841</v>
      </c>
      <c r="AW149"/>
      <c r="AY149" s="358">
        <f t="shared" ca="1" si="73"/>
        <v>32.824050720788364</v>
      </c>
      <c r="AZ149" s="358">
        <f t="shared" ca="1" si="74"/>
        <v>8509.4197199893715</v>
      </c>
    </row>
    <row r="150" spans="1:52">
      <c r="A150" s="256" t="str">
        <f t="shared" si="62"/>
        <v>MASON CO-REGULATEDROLID</v>
      </c>
      <c r="B150" s="256">
        <f t="shared" si="61"/>
        <v>1</v>
      </c>
      <c r="C150" s="278" t="s">
        <v>515</v>
      </c>
      <c r="D150" s="278" t="s">
        <v>516</v>
      </c>
      <c r="E150" s="290">
        <v>15.37</v>
      </c>
      <c r="F150" s="290">
        <v>15.33</v>
      </c>
      <c r="G150" s="290">
        <v>15.33</v>
      </c>
      <c r="H150" s="255">
        <v>39</v>
      </c>
      <c r="I150" s="281"/>
      <c r="J150" s="282">
        <v>406.98</v>
      </c>
      <c r="K150" s="282">
        <v>406.69</v>
      </c>
      <c r="L150" s="282">
        <v>396.53000000000003</v>
      </c>
      <c r="M150" s="282">
        <v>398.58</v>
      </c>
      <c r="N150" s="282">
        <v>391.93</v>
      </c>
      <c r="O150" s="282">
        <v>398.58</v>
      </c>
      <c r="P150" s="282">
        <v>396.51</v>
      </c>
      <c r="Q150" s="282">
        <v>383.23</v>
      </c>
      <c r="R150" s="282">
        <v>444.57</v>
      </c>
      <c r="S150" s="282">
        <v>443.52</v>
      </c>
      <c r="T150" s="282">
        <v>421.02</v>
      </c>
      <c r="U150" s="282">
        <v>405.71999999999997</v>
      </c>
      <c r="V150" s="282">
        <f t="shared" si="63"/>
        <v>4893.8600000000006</v>
      </c>
      <c r="W150" s="283"/>
      <c r="X150" s="283">
        <f t="shared" si="64"/>
        <v>26.478854912166561</v>
      </c>
      <c r="Y150" s="283">
        <f t="shared" si="64"/>
        <v>26.459986987638256</v>
      </c>
      <c r="Z150" s="283">
        <f t="shared" si="64"/>
        <v>25.798959011060511</v>
      </c>
      <c r="AA150" s="283">
        <f t="shared" si="65"/>
        <v>26</v>
      </c>
      <c r="AB150" s="283">
        <f t="shared" si="65"/>
        <v>25.5662100456621</v>
      </c>
      <c r="AC150" s="283">
        <f t="shared" si="65"/>
        <v>26</v>
      </c>
      <c r="AD150" s="283">
        <f t="shared" si="65"/>
        <v>25.864970645792564</v>
      </c>
      <c r="AE150" s="283">
        <f t="shared" si="65"/>
        <v>24.998695368558383</v>
      </c>
      <c r="AF150" s="283">
        <f t="shared" si="65"/>
        <v>29</v>
      </c>
      <c r="AG150" s="283">
        <f t="shared" si="65"/>
        <v>28.931506849315067</v>
      </c>
      <c r="AH150" s="283">
        <f t="shared" si="66"/>
        <v>27.463796477495105</v>
      </c>
      <c r="AI150" s="283">
        <f t="shared" si="66"/>
        <v>26.465753424657532</v>
      </c>
      <c r="AJ150" s="283">
        <f t="shared" si="67"/>
        <v>26.585727810195507</v>
      </c>
      <c r="AR150" s="284">
        <f t="shared" si="68"/>
        <v>4893.8600000000006</v>
      </c>
      <c r="AS150" s="285">
        <f t="shared" si="69"/>
        <v>4890.7104879635654</v>
      </c>
      <c r="AT150" s="286">
        <f t="shared" ca="1" si="70"/>
        <v>15.560482480012952</v>
      </c>
      <c r="AU150" s="287">
        <f t="shared" ca="1" si="71"/>
        <v>4964.2410217072838</v>
      </c>
      <c r="AV150" s="285">
        <f t="shared" ca="1" si="72"/>
        <v>73.530533743718479</v>
      </c>
      <c r="AW150"/>
      <c r="AY150" s="358">
        <f t="shared" ca="1" si="73"/>
        <v>19.223106237978463</v>
      </c>
      <c r="AZ150" s="358">
        <f t="shared" ca="1" si="74"/>
        <v>4983.4641279452626</v>
      </c>
    </row>
    <row r="151" spans="1:52">
      <c r="A151" s="256" t="str">
        <f t="shared" si="62"/>
        <v>MASON CO-REGULATEDRODEL</v>
      </c>
      <c r="B151" s="256">
        <f t="shared" si="61"/>
        <v>1</v>
      </c>
      <c r="C151" s="278" t="s">
        <v>517</v>
      </c>
      <c r="D151" s="278" t="s">
        <v>518</v>
      </c>
      <c r="E151" s="290">
        <v>82.28</v>
      </c>
      <c r="F151" s="290">
        <v>82.06</v>
      </c>
      <c r="G151" s="290">
        <v>82.06</v>
      </c>
      <c r="H151" s="255">
        <v>39</v>
      </c>
      <c r="I151" s="281"/>
      <c r="J151" s="282">
        <v>3784.88</v>
      </c>
      <c r="K151" s="282">
        <v>3949.44</v>
      </c>
      <c r="L151" s="282">
        <v>4689.96</v>
      </c>
      <c r="M151" s="282">
        <v>5170.66</v>
      </c>
      <c r="N151" s="282">
        <v>4431.24</v>
      </c>
      <c r="O151" s="282">
        <v>4513.3</v>
      </c>
      <c r="P151" s="282">
        <v>4759.4799999999996</v>
      </c>
      <c r="Q151" s="282">
        <v>4513.3</v>
      </c>
      <c r="R151" s="282">
        <v>2133.56</v>
      </c>
      <c r="S151" s="282">
        <v>1723.26</v>
      </c>
      <c r="T151" s="282">
        <v>1887.38</v>
      </c>
      <c r="U151" s="282">
        <v>2543.86</v>
      </c>
      <c r="V151" s="282">
        <f t="shared" si="63"/>
        <v>44100.32</v>
      </c>
      <c r="W151" s="283"/>
      <c r="X151" s="283">
        <f t="shared" si="64"/>
        <v>46</v>
      </c>
      <c r="Y151" s="283">
        <f t="shared" si="64"/>
        <v>48</v>
      </c>
      <c r="Z151" s="283">
        <f t="shared" si="64"/>
        <v>57</v>
      </c>
      <c r="AA151" s="283">
        <f t="shared" si="65"/>
        <v>63.010723860589806</v>
      </c>
      <c r="AB151" s="283">
        <f t="shared" si="65"/>
        <v>53.999999999999993</v>
      </c>
      <c r="AC151" s="283">
        <f t="shared" si="65"/>
        <v>55</v>
      </c>
      <c r="AD151" s="283">
        <f t="shared" si="65"/>
        <v>57.999999999999993</v>
      </c>
      <c r="AE151" s="283">
        <f t="shared" si="65"/>
        <v>55</v>
      </c>
      <c r="AF151" s="283">
        <f t="shared" si="65"/>
        <v>26</v>
      </c>
      <c r="AG151" s="283">
        <f t="shared" si="65"/>
        <v>21</v>
      </c>
      <c r="AH151" s="283">
        <f t="shared" si="66"/>
        <v>23</v>
      </c>
      <c r="AI151" s="283">
        <f t="shared" si="66"/>
        <v>31</v>
      </c>
      <c r="AJ151" s="283">
        <f t="shared" si="67"/>
        <v>44.750893655049147</v>
      </c>
      <c r="AR151" s="284">
        <f t="shared" si="68"/>
        <v>44100.32</v>
      </c>
      <c r="AS151" s="285">
        <f t="shared" si="69"/>
        <v>44067.1</v>
      </c>
      <c r="AT151" s="286">
        <f t="shared" ca="1" si="70"/>
        <v>83.293750313754927</v>
      </c>
      <c r="AU151" s="287">
        <f t="shared" ca="1" si="71"/>
        <v>44729.63714905276</v>
      </c>
      <c r="AV151" s="285">
        <f t="shared" ca="1" si="72"/>
        <v>662.53714905276138</v>
      </c>
      <c r="AW151"/>
      <c r="AY151" s="358">
        <f t="shared" ca="1" si="73"/>
        <v>173.20725628401408</v>
      </c>
      <c r="AZ151" s="358">
        <f t="shared" ca="1" si="74"/>
        <v>44902.844405336771</v>
      </c>
    </row>
    <row r="152" spans="1:52">
      <c r="A152" s="256" t="str">
        <f t="shared" si="62"/>
        <v>MASON CO-REGULATEDROMILE</v>
      </c>
      <c r="B152" s="256">
        <f t="shared" si="61"/>
        <v>1</v>
      </c>
      <c r="C152" s="278" t="s">
        <v>519</v>
      </c>
      <c r="D152" s="278" t="s">
        <v>520</v>
      </c>
      <c r="E152" s="290">
        <v>2.57</v>
      </c>
      <c r="F152" s="290">
        <v>2.56</v>
      </c>
      <c r="G152" s="290">
        <v>2.56</v>
      </c>
      <c r="H152" s="255">
        <v>39</v>
      </c>
      <c r="I152" s="281"/>
      <c r="J152" s="282">
        <v>2785.88</v>
      </c>
      <c r="K152" s="282">
        <v>2570</v>
      </c>
      <c r="L152" s="282">
        <v>3490.06</v>
      </c>
      <c r="M152" s="282">
        <v>3561.89</v>
      </c>
      <c r="N152" s="282">
        <v>3471.36</v>
      </c>
      <c r="O152" s="282">
        <v>3432.96</v>
      </c>
      <c r="P152" s="282">
        <v>2995.2</v>
      </c>
      <c r="Q152" s="282">
        <v>3878.4</v>
      </c>
      <c r="R152" s="282">
        <v>2176</v>
      </c>
      <c r="S152" s="282">
        <v>2129.92</v>
      </c>
      <c r="T152" s="282">
        <v>2337.2800000000002</v>
      </c>
      <c r="U152" s="282">
        <v>3077.12</v>
      </c>
      <c r="V152" s="282">
        <f t="shared" si="63"/>
        <v>35906.070000000007</v>
      </c>
      <c r="W152" s="283"/>
      <c r="X152" s="283">
        <f t="shared" si="64"/>
        <v>1084</v>
      </c>
      <c r="Y152" s="283">
        <f t="shared" si="64"/>
        <v>1000.0000000000001</v>
      </c>
      <c r="Z152" s="283">
        <f t="shared" si="64"/>
        <v>1358</v>
      </c>
      <c r="AA152" s="283">
        <f t="shared" si="65"/>
        <v>1391.36328125</v>
      </c>
      <c r="AB152" s="283">
        <f t="shared" si="65"/>
        <v>1356</v>
      </c>
      <c r="AC152" s="283">
        <f t="shared" si="65"/>
        <v>1341</v>
      </c>
      <c r="AD152" s="283">
        <f t="shared" si="65"/>
        <v>1170</v>
      </c>
      <c r="AE152" s="283">
        <f t="shared" si="65"/>
        <v>1515</v>
      </c>
      <c r="AF152" s="283">
        <f t="shared" si="65"/>
        <v>850</v>
      </c>
      <c r="AG152" s="283">
        <f t="shared" si="65"/>
        <v>832</v>
      </c>
      <c r="AH152" s="283">
        <f t="shared" si="66"/>
        <v>913.00000000000011</v>
      </c>
      <c r="AI152" s="283">
        <f t="shared" si="66"/>
        <v>1202</v>
      </c>
      <c r="AJ152" s="283">
        <f t="shared" si="67"/>
        <v>1167.6969401041667</v>
      </c>
      <c r="AR152" s="284">
        <f t="shared" si="68"/>
        <v>35906.070000000007</v>
      </c>
      <c r="AS152" s="285">
        <f t="shared" si="69"/>
        <v>35871.65</v>
      </c>
      <c r="AT152" s="286">
        <f t="shared" ca="1" si="70"/>
        <v>2.5984889203413672</v>
      </c>
      <c r="AU152" s="287">
        <f t="shared" ca="1" si="71"/>
        <v>36410.970734126335</v>
      </c>
      <c r="AV152" s="285">
        <f t="shared" ca="1" si="72"/>
        <v>539.32073412633326</v>
      </c>
      <c r="AW152"/>
      <c r="AY152" s="358">
        <f t="shared" ca="1" si="73"/>
        <v>140.99475742402959</v>
      </c>
      <c r="AZ152" s="358">
        <f t="shared" ca="1" si="74"/>
        <v>36551.965491550363</v>
      </c>
    </row>
    <row r="153" spans="1:52">
      <c r="A153" s="256" t="str">
        <f t="shared" si="62"/>
        <v>MASON CO-REGULATEDROWAIT</v>
      </c>
      <c r="B153" s="256">
        <f t="shared" si="61"/>
        <v>1</v>
      </c>
      <c r="C153" s="278" t="s">
        <v>521</v>
      </c>
      <c r="D153" s="278" t="s">
        <v>522</v>
      </c>
      <c r="E153" s="290">
        <v>160.08000000000001</v>
      </c>
      <c r="F153" s="290">
        <v>159.65</v>
      </c>
      <c r="G153" s="290">
        <v>159.65</v>
      </c>
      <c r="H153" s="255">
        <v>29</v>
      </c>
      <c r="I153" s="281"/>
      <c r="J153" s="282">
        <v>0</v>
      </c>
      <c r="K153" s="282">
        <v>0</v>
      </c>
      <c r="L153" s="282">
        <v>0</v>
      </c>
      <c r="M153" s="282">
        <v>0</v>
      </c>
      <c r="N153" s="282">
        <v>0</v>
      </c>
      <c r="O153" s="282">
        <v>0</v>
      </c>
      <c r="P153" s="282">
        <v>0</v>
      </c>
      <c r="Q153" s="282">
        <v>0</v>
      </c>
      <c r="R153" s="282">
        <v>0</v>
      </c>
      <c r="S153" s="282">
        <v>0</v>
      </c>
      <c r="T153" s="282">
        <v>0</v>
      </c>
      <c r="U153" s="282">
        <v>0</v>
      </c>
      <c r="V153" s="282">
        <f t="shared" si="63"/>
        <v>0</v>
      </c>
      <c r="W153" s="283"/>
      <c r="X153" s="283">
        <f t="shared" si="64"/>
        <v>0</v>
      </c>
      <c r="Y153" s="283">
        <f t="shared" si="64"/>
        <v>0</v>
      </c>
      <c r="Z153" s="283">
        <f t="shared" si="64"/>
        <v>0</v>
      </c>
      <c r="AA153" s="283">
        <f t="shared" si="65"/>
        <v>0</v>
      </c>
      <c r="AB153" s="283">
        <f t="shared" si="65"/>
        <v>0</v>
      </c>
      <c r="AC153" s="283">
        <f t="shared" si="65"/>
        <v>0</v>
      </c>
      <c r="AD153" s="283">
        <f t="shared" si="65"/>
        <v>0</v>
      </c>
      <c r="AE153" s="283">
        <f t="shared" si="65"/>
        <v>0</v>
      </c>
      <c r="AF153" s="283">
        <f t="shared" si="65"/>
        <v>0</v>
      </c>
      <c r="AG153" s="283">
        <f t="shared" si="65"/>
        <v>0</v>
      </c>
      <c r="AH153" s="283">
        <f t="shared" si="66"/>
        <v>0</v>
      </c>
      <c r="AI153" s="283">
        <f t="shared" si="66"/>
        <v>0</v>
      </c>
      <c r="AJ153" s="283">
        <f t="shared" si="67"/>
        <v>0</v>
      </c>
      <c r="AR153" s="284">
        <f t="shared" si="68"/>
        <v>0</v>
      </c>
      <c r="AS153" s="285">
        <f t="shared" si="69"/>
        <v>0</v>
      </c>
      <c r="AT153" s="286">
        <f t="shared" ca="1" si="70"/>
        <v>162.05029536425755</v>
      </c>
      <c r="AU153" s="287">
        <f t="shared" ca="1" si="71"/>
        <v>0</v>
      </c>
      <c r="AV153" s="285">
        <f t="shared" ca="1" si="72"/>
        <v>0</v>
      </c>
      <c r="AW153"/>
      <c r="AY153" s="358">
        <f t="shared" ca="1" si="73"/>
        <v>0</v>
      </c>
      <c r="AZ153" s="358">
        <f t="shared" ca="1" si="74"/>
        <v>0</v>
      </c>
    </row>
    <row r="154" spans="1:52">
      <c r="A154" s="256" t="str">
        <f t="shared" si="62"/>
        <v>MASON CO-REGULATEDWASHREF</v>
      </c>
      <c r="B154" s="256">
        <f t="shared" si="61"/>
        <v>1</v>
      </c>
      <c r="C154" s="278" t="s">
        <v>523</v>
      </c>
      <c r="D154" s="278" t="s">
        <v>524</v>
      </c>
      <c r="E154" s="290">
        <v>11.21</v>
      </c>
      <c r="F154" s="290">
        <v>11.18</v>
      </c>
      <c r="G154" s="290">
        <v>11.18</v>
      </c>
      <c r="H154" s="255">
        <v>33</v>
      </c>
      <c r="I154" s="281"/>
      <c r="J154" s="282">
        <v>22.42</v>
      </c>
      <c r="K154" s="282">
        <v>0</v>
      </c>
      <c r="L154" s="282">
        <v>0</v>
      </c>
      <c r="M154" s="282">
        <v>0</v>
      </c>
      <c r="N154" s="282">
        <v>22.36</v>
      </c>
      <c r="O154" s="282">
        <v>11.18</v>
      </c>
      <c r="P154" s="282">
        <v>11.18</v>
      </c>
      <c r="Q154" s="282">
        <v>0</v>
      </c>
      <c r="R154" s="282">
        <v>0</v>
      </c>
      <c r="S154" s="282">
        <v>22.36</v>
      </c>
      <c r="T154" s="282">
        <v>0</v>
      </c>
      <c r="U154" s="282">
        <v>0</v>
      </c>
      <c r="V154" s="282">
        <f t="shared" si="63"/>
        <v>89.5</v>
      </c>
      <c r="W154" s="283"/>
      <c r="X154" s="283">
        <f t="shared" si="64"/>
        <v>2</v>
      </c>
      <c r="Y154" s="283">
        <f t="shared" si="64"/>
        <v>0</v>
      </c>
      <c r="Z154" s="283">
        <f t="shared" si="64"/>
        <v>0</v>
      </c>
      <c r="AA154" s="283">
        <f t="shared" si="65"/>
        <v>0</v>
      </c>
      <c r="AB154" s="283">
        <f t="shared" si="65"/>
        <v>2</v>
      </c>
      <c r="AC154" s="283">
        <f t="shared" si="65"/>
        <v>1</v>
      </c>
      <c r="AD154" s="283">
        <f t="shared" si="65"/>
        <v>1</v>
      </c>
      <c r="AE154" s="283">
        <f t="shared" si="65"/>
        <v>0</v>
      </c>
      <c r="AF154" s="283">
        <f t="shared" si="65"/>
        <v>0</v>
      </c>
      <c r="AG154" s="283">
        <f t="shared" si="65"/>
        <v>2</v>
      </c>
      <c r="AH154" s="283">
        <f t="shared" si="66"/>
        <v>0</v>
      </c>
      <c r="AI154" s="283">
        <f t="shared" si="66"/>
        <v>0</v>
      </c>
      <c r="AJ154" s="283">
        <f t="shared" si="67"/>
        <v>0.66666666666666663</v>
      </c>
      <c r="AR154" s="284">
        <f t="shared" si="68"/>
        <v>89.5</v>
      </c>
      <c r="AS154" s="285">
        <f t="shared" si="69"/>
        <v>89.44</v>
      </c>
      <c r="AT154" s="286">
        <f t="shared" ca="1" si="70"/>
        <v>11.348088331803314</v>
      </c>
      <c r="AU154" s="287">
        <f t="shared" ca="1" si="71"/>
        <v>90.784706654426515</v>
      </c>
      <c r="AV154" s="285">
        <f t="shared" ca="1" si="72"/>
        <v>1.3447066544265169</v>
      </c>
      <c r="AW154"/>
      <c r="AY154" s="358">
        <f t="shared" ca="1" si="73"/>
        <v>0.35154700450091381</v>
      </c>
      <c r="AZ154" s="358">
        <f t="shared" ca="1" si="74"/>
        <v>91.13625365892743</v>
      </c>
    </row>
    <row r="155" spans="1:52">
      <c r="A155" s="256" t="str">
        <f t="shared" si="62"/>
        <v>MASON CO-REGULATEDSP</v>
      </c>
      <c r="B155" s="256">
        <f t="shared" si="61"/>
        <v>1</v>
      </c>
      <c r="C155" s="278" t="s">
        <v>525</v>
      </c>
      <c r="D155" s="278" t="s">
        <v>526</v>
      </c>
      <c r="E155" s="290">
        <v>160.08000000000001</v>
      </c>
      <c r="F155" s="290">
        <v>160.08000000000001</v>
      </c>
      <c r="G155" s="290">
        <v>159.65</v>
      </c>
      <c r="H155" s="255">
        <v>29</v>
      </c>
      <c r="I155" s="281"/>
      <c r="J155" s="282">
        <v>0</v>
      </c>
      <c r="K155" s="282">
        <v>320.16000000000003</v>
      </c>
      <c r="L155" s="282">
        <v>320.16000000000003</v>
      </c>
      <c r="M155" s="282">
        <v>0</v>
      </c>
      <c r="N155" s="282">
        <v>160.08000000000001</v>
      </c>
      <c r="O155" s="282">
        <v>0</v>
      </c>
      <c r="P155" s="282">
        <v>478.95</v>
      </c>
      <c r="Q155" s="282">
        <v>957.9</v>
      </c>
      <c r="R155" s="282">
        <v>159.65</v>
      </c>
      <c r="S155" s="282">
        <v>159.65</v>
      </c>
      <c r="T155" s="282">
        <v>0</v>
      </c>
      <c r="U155" s="282">
        <v>0</v>
      </c>
      <c r="V155" s="282">
        <f t="shared" si="63"/>
        <v>2556.5500000000002</v>
      </c>
      <c r="W155" s="283"/>
      <c r="X155" s="283">
        <f t="shared" si="64"/>
        <v>0</v>
      </c>
      <c r="Y155" s="283">
        <f t="shared" si="64"/>
        <v>2</v>
      </c>
      <c r="Z155" s="283">
        <f t="shared" si="64"/>
        <v>2</v>
      </c>
      <c r="AA155" s="283">
        <f t="shared" si="65"/>
        <v>0</v>
      </c>
      <c r="AB155" s="283">
        <f t="shared" si="65"/>
        <v>1</v>
      </c>
      <c r="AC155" s="283">
        <f t="shared" si="65"/>
        <v>0</v>
      </c>
      <c r="AD155" s="283">
        <f t="shared" si="65"/>
        <v>2.9919415292353819</v>
      </c>
      <c r="AE155" s="283">
        <f t="shared" si="65"/>
        <v>5.9838830584707638</v>
      </c>
      <c r="AF155" s="283">
        <f t="shared" si="65"/>
        <v>0.99731384307846072</v>
      </c>
      <c r="AG155" s="283">
        <f t="shared" si="65"/>
        <v>0.99731384307846072</v>
      </c>
      <c r="AH155" s="283">
        <f t="shared" si="66"/>
        <v>0</v>
      </c>
      <c r="AI155" s="283">
        <f t="shared" si="66"/>
        <v>0</v>
      </c>
      <c r="AJ155" s="283">
        <f t="shared" si="67"/>
        <v>1.3308710228219223</v>
      </c>
      <c r="AR155" s="284">
        <f t="shared" si="68"/>
        <v>2556.5500000000002</v>
      </c>
      <c r="AS155" s="285">
        <f t="shared" si="69"/>
        <v>2549.6827055222388</v>
      </c>
      <c r="AT155" s="286">
        <f t="shared" ca="1" si="70"/>
        <v>162.05029536425755</v>
      </c>
      <c r="AU155" s="287">
        <f t="shared" ca="1" si="71"/>
        <v>2588.016508080289</v>
      </c>
      <c r="AV155" s="285">
        <f t="shared" ca="1" si="72"/>
        <v>38.333802558050138</v>
      </c>
      <c r="AW155"/>
      <c r="AY155" s="358">
        <f t="shared" ca="1" si="73"/>
        <v>10.021615804496072</v>
      </c>
      <c r="AZ155" s="358">
        <f t="shared" ca="1" si="74"/>
        <v>2598.0381238847849</v>
      </c>
    </row>
    <row r="156" spans="1:52">
      <c r="C156" s="278"/>
      <c r="D156" s="278"/>
      <c r="E156" s="290"/>
      <c r="F156" s="290"/>
      <c r="G156" s="290"/>
      <c r="I156" s="281"/>
      <c r="J156" s="282"/>
      <c r="K156" s="282"/>
      <c r="L156" s="282"/>
      <c r="M156" s="282"/>
      <c r="N156" s="282"/>
      <c r="O156" s="282"/>
      <c r="P156" s="282"/>
      <c r="Q156" s="282"/>
      <c r="R156" s="282"/>
      <c r="S156" s="282"/>
      <c r="T156" s="282"/>
      <c r="U156" s="282"/>
      <c r="V156" s="282"/>
      <c r="W156" s="283"/>
      <c r="X156" s="283"/>
      <c r="Y156" s="283"/>
      <c r="Z156" s="283"/>
      <c r="AA156" s="283"/>
      <c r="AB156" s="283"/>
      <c r="AC156" s="283"/>
      <c r="AD156" s="283"/>
      <c r="AE156" s="283"/>
      <c r="AF156" s="283"/>
      <c r="AG156" s="283"/>
      <c r="AH156" s="283"/>
      <c r="AI156" s="283"/>
      <c r="AJ156" s="283"/>
      <c r="AR156" s="284">
        <f t="shared" si="68"/>
        <v>0</v>
      </c>
      <c r="AS156" s="285">
        <f t="shared" si="69"/>
        <v>0</v>
      </c>
      <c r="AT156" s="286">
        <f t="shared" ca="1" si="70"/>
        <v>0</v>
      </c>
      <c r="AU156" s="287">
        <f t="shared" ca="1" si="71"/>
        <v>0</v>
      </c>
      <c r="AV156" s="285">
        <f t="shared" ca="1" si="72"/>
        <v>0</v>
      </c>
      <c r="AW156"/>
      <c r="AY156" s="358">
        <f t="shared" ca="1" si="73"/>
        <v>0</v>
      </c>
      <c r="AZ156" s="358">
        <f t="shared" ca="1" si="74"/>
        <v>0</v>
      </c>
    </row>
    <row r="157" spans="1:52">
      <c r="C157" s="278"/>
      <c r="D157" s="278"/>
      <c r="E157" s="290"/>
      <c r="F157" s="290"/>
      <c r="G157" s="290"/>
      <c r="I157" s="281"/>
      <c r="J157" s="282"/>
      <c r="K157" s="282"/>
      <c r="L157" s="282"/>
      <c r="M157" s="282"/>
      <c r="N157" s="282"/>
      <c r="O157" s="282"/>
      <c r="P157" s="282"/>
      <c r="Q157" s="282"/>
      <c r="R157" s="282"/>
      <c r="S157" s="282"/>
      <c r="T157" s="282"/>
      <c r="U157" s="282"/>
      <c r="V157" s="282"/>
      <c r="W157" s="283"/>
      <c r="X157" s="283"/>
      <c r="Y157" s="283"/>
      <c r="Z157" s="283"/>
      <c r="AA157" s="283"/>
      <c r="AB157" s="283"/>
      <c r="AC157" s="283"/>
      <c r="AD157" s="283"/>
      <c r="AE157" s="283"/>
      <c r="AF157" s="283"/>
      <c r="AG157" s="283"/>
      <c r="AH157" s="283"/>
      <c r="AI157" s="283"/>
      <c r="AJ157" s="283"/>
      <c r="AR157" s="284">
        <f t="shared" si="68"/>
        <v>0</v>
      </c>
      <c r="AS157" s="285">
        <f t="shared" si="69"/>
        <v>0</v>
      </c>
      <c r="AT157" s="286">
        <f t="shared" ca="1" si="70"/>
        <v>0</v>
      </c>
      <c r="AU157" s="287">
        <f t="shared" ca="1" si="71"/>
        <v>0</v>
      </c>
      <c r="AV157" s="285">
        <f t="shared" ca="1" si="72"/>
        <v>0</v>
      </c>
      <c r="AW157"/>
      <c r="AY157" s="358">
        <f t="shared" ca="1" si="73"/>
        <v>0</v>
      </c>
      <c r="AZ157" s="358">
        <f t="shared" ca="1" si="74"/>
        <v>0</v>
      </c>
    </row>
    <row r="158" spans="1:52">
      <c r="C158" s="278"/>
      <c r="D158" s="278"/>
      <c r="E158" s="290"/>
      <c r="F158" s="290"/>
      <c r="G158" s="290"/>
      <c r="I158" s="281"/>
      <c r="J158" s="282"/>
      <c r="K158" s="282"/>
      <c r="L158" s="282"/>
      <c r="M158" s="282"/>
      <c r="N158" s="282"/>
      <c r="O158" s="282"/>
      <c r="P158" s="282"/>
      <c r="Q158" s="282"/>
      <c r="R158" s="282"/>
      <c r="S158" s="282"/>
      <c r="T158" s="282"/>
      <c r="U158" s="282"/>
      <c r="V158" s="282"/>
      <c r="W158" s="283"/>
      <c r="X158" s="283"/>
      <c r="Y158" s="283"/>
      <c r="Z158" s="283"/>
      <c r="AA158" s="283"/>
      <c r="AB158" s="283"/>
      <c r="AC158" s="283"/>
      <c r="AD158" s="283"/>
      <c r="AE158" s="283"/>
      <c r="AF158" s="283"/>
      <c r="AG158" s="283"/>
      <c r="AH158" s="283"/>
      <c r="AI158" s="283"/>
      <c r="AJ158" s="283"/>
      <c r="AR158" s="284">
        <f t="shared" si="68"/>
        <v>0</v>
      </c>
      <c r="AS158" s="285">
        <f t="shared" si="69"/>
        <v>0</v>
      </c>
      <c r="AT158" s="286">
        <f t="shared" ca="1" si="70"/>
        <v>0</v>
      </c>
      <c r="AU158" s="287">
        <f t="shared" ca="1" si="71"/>
        <v>0</v>
      </c>
      <c r="AV158" s="285">
        <f t="shared" ca="1" si="72"/>
        <v>0</v>
      </c>
      <c r="AW158"/>
      <c r="AY158" s="358">
        <f t="shared" ca="1" si="73"/>
        <v>0</v>
      </c>
      <c r="AZ158" s="358">
        <f t="shared" ca="1" si="74"/>
        <v>0</v>
      </c>
    </row>
    <row r="159" spans="1:52">
      <c r="C159" s="278"/>
      <c r="D159" s="278"/>
      <c r="E159" s="290"/>
      <c r="F159" s="290"/>
      <c r="G159" s="290"/>
      <c r="I159" s="281"/>
      <c r="J159" s="282"/>
      <c r="K159" s="282"/>
      <c r="L159" s="282"/>
      <c r="M159" s="282"/>
      <c r="N159" s="282"/>
      <c r="O159" s="282"/>
      <c r="P159" s="282"/>
      <c r="Q159" s="282"/>
      <c r="R159" s="282"/>
      <c r="S159" s="282"/>
      <c r="T159" s="282"/>
      <c r="U159" s="282"/>
      <c r="V159" s="282"/>
      <c r="W159" s="283"/>
      <c r="X159" s="283"/>
      <c r="Y159" s="283"/>
      <c r="Z159" s="283"/>
      <c r="AA159" s="283"/>
      <c r="AB159" s="283"/>
      <c r="AC159" s="283"/>
      <c r="AD159" s="283"/>
      <c r="AE159" s="283"/>
      <c r="AF159" s="283"/>
      <c r="AG159" s="283"/>
      <c r="AH159" s="283"/>
      <c r="AI159" s="283"/>
      <c r="AJ159" s="283"/>
      <c r="AR159" s="284">
        <f t="shared" si="68"/>
        <v>0</v>
      </c>
      <c r="AS159" s="285">
        <f t="shared" si="69"/>
        <v>0</v>
      </c>
      <c r="AT159" s="286">
        <f t="shared" ca="1" si="70"/>
        <v>0</v>
      </c>
      <c r="AU159" s="287">
        <f t="shared" ca="1" si="71"/>
        <v>0</v>
      </c>
      <c r="AV159" s="285">
        <f t="shared" ca="1" si="72"/>
        <v>0</v>
      </c>
      <c r="AW159"/>
      <c r="AY159" s="358">
        <f t="shared" ca="1" si="73"/>
        <v>0</v>
      </c>
      <c r="AZ159" s="358">
        <f t="shared" ca="1" si="74"/>
        <v>0</v>
      </c>
    </row>
    <row r="160" spans="1:52">
      <c r="E160" s="295"/>
      <c r="F160" s="295"/>
      <c r="G160" s="295"/>
      <c r="I160" s="281"/>
      <c r="J160" s="282"/>
      <c r="K160" s="282"/>
      <c r="L160" s="282"/>
      <c r="M160" s="284"/>
      <c r="N160" s="284"/>
      <c r="O160" s="284"/>
      <c r="P160" s="284"/>
      <c r="Q160" s="284"/>
      <c r="R160" s="284"/>
      <c r="S160" s="284"/>
      <c r="T160" s="284"/>
      <c r="U160" s="284"/>
      <c r="V160" s="284"/>
      <c r="X160" s="283"/>
      <c r="Y160" s="283"/>
      <c r="Z160" s="283"/>
      <c r="AA160" s="283"/>
      <c r="AB160" s="283"/>
      <c r="AC160" s="283"/>
      <c r="AD160" s="283"/>
      <c r="AE160" s="283"/>
      <c r="AF160" s="283"/>
      <c r="AG160" s="283"/>
      <c r="AH160" s="283"/>
      <c r="AI160" s="283"/>
      <c r="AK160" s="256" t="s">
        <v>161</v>
      </c>
      <c r="AL160" s="321">
        <f>+SUM(AP144:AP149)</f>
        <v>87.811450275490571</v>
      </c>
      <c r="AT160" s="270"/>
      <c r="AU160" s="294"/>
      <c r="AW160"/>
      <c r="AY160" s="359"/>
      <c r="AZ160" s="359"/>
    </row>
    <row r="161" spans="1:52">
      <c r="B161" s="256">
        <f>COUNTIF(C:C,C161)</f>
        <v>0</v>
      </c>
      <c r="D161" s="257" t="s">
        <v>527</v>
      </c>
      <c r="E161" s="295"/>
      <c r="F161" s="295"/>
      <c r="G161" s="295"/>
      <c r="I161" s="281"/>
      <c r="J161" s="296">
        <f t="shared" ref="J161:V161" si="76">SUM(J131:J160)</f>
        <v>42517.090000000004</v>
      </c>
      <c r="K161" s="296">
        <f t="shared" si="76"/>
        <v>44431.410000000011</v>
      </c>
      <c r="L161" s="296">
        <f t="shared" si="76"/>
        <v>52634.91</v>
      </c>
      <c r="M161" s="296">
        <f t="shared" si="76"/>
        <v>54102.53</v>
      </c>
      <c r="N161" s="296">
        <f t="shared" si="76"/>
        <v>53256.060000000005</v>
      </c>
      <c r="O161" s="296">
        <f t="shared" si="76"/>
        <v>52089.610000000008</v>
      </c>
      <c r="P161" s="296">
        <f t="shared" si="76"/>
        <v>52464.169999999991</v>
      </c>
      <c r="Q161" s="296">
        <f t="shared" si="76"/>
        <v>59637.780000000006</v>
      </c>
      <c r="R161" s="296">
        <f t="shared" si="76"/>
        <v>40900.340000000011</v>
      </c>
      <c r="S161" s="296">
        <f t="shared" si="76"/>
        <v>37076.58</v>
      </c>
      <c r="T161" s="296">
        <f t="shared" si="76"/>
        <v>37359.03</v>
      </c>
      <c r="U161" s="296">
        <f t="shared" si="76"/>
        <v>44557.640000000007</v>
      </c>
      <c r="V161" s="296">
        <f t="shared" si="76"/>
        <v>571027.15000000014</v>
      </c>
      <c r="W161" s="310"/>
      <c r="X161" s="298">
        <f t="shared" ref="X161:AJ161" si="77">+SUM(X144:X149)</f>
        <v>78.541696905968706</v>
      </c>
      <c r="Y161" s="298">
        <f t="shared" si="77"/>
        <v>86.132806740389682</v>
      </c>
      <c r="Z161" s="298">
        <f t="shared" si="77"/>
        <v>97.53282961754266</v>
      </c>
      <c r="AA161" s="298">
        <f t="shared" si="77"/>
        <v>93.199702300679505</v>
      </c>
      <c r="AB161" s="298">
        <f t="shared" si="77"/>
        <v>99.731758336801491</v>
      </c>
      <c r="AC161" s="298">
        <f t="shared" si="77"/>
        <v>97.831942737837977</v>
      </c>
      <c r="AD161" s="298">
        <f t="shared" si="77"/>
        <v>99.13333333333334</v>
      </c>
      <c r="AE161" s="298">
        <f t="shared" si="77"/>
        <v>97.933333333333337</v>
      </c>
      <c r="AF161" s="298">
        <f t="shared" si="77"/>
        <v>77.566666666666663</v>
      </c>
      <c r="AG161" s="298">
        <f t="shared" si="77"/>
        <v>75.833333333333343</v>
      </c>
      <c r="AH161" s="298">
        <f t="shared" si="77"/>
        <v>73.966666666666669</v>
      </c>
      <c r="AI161" s="298">
        <f t="shared" si="77"/>
        <v>76.333333333333329</v>
      </c>
      <c r="AJ161" s="298">
        <f t="shared" si="77"/>
        <v>87.811450275490571</v>
      </c>
      <c r="AR161" s="299">
        <f>SUM(AR131:AR160)</f>
        <v>571027.15000000014</v>
      </c>
      <c r="AS161" s="299">
        <f>SUM(AS131:AS160)</f>
        <v>570626.22748905607</v>
      </c>
      <c r="AT161" s="300"/>
      <c r="AU161" s="301">
        <f ca="1">SUM(AU131:AU160)</f>
        <v>579205.44132285321</v>
      </c>
      <c r="AV161" s="299">
        <f ca="1">SUM(AV131:AV160)</f>
        <v>8579.2138337973429</v>
      </c>
      <c r="AW161"/>
      <c r="AY161" s="359">
        <f t="shared" ref="AY161:AZ161" ca="1" si="78">SUM(AY131:AY160)</f>
        <v>2242.8660662280258</v>
      </c>
      <c r="AZ161" s="359">
        <f t="shared" ca="1" si="78"/>
        <v>581448.30738908134</v>
      </c>
    </row>
    <row r="162" spans="1:52">
      <c r="E162" s="295"/>
      <c r="F162" s="295"/>
      <c r="G162" s="295"/>
      <c r="I162" s="281"/>
      <c r="J162" s="282"/>
      <c r="K162" s="282"/>
      <c r="L162" s="282"/>
      <c r="M162" s="284"/>
      <c r="N162" s="284"/>
      <c r="O162" s="284"/>
      <c r="P162" s="284"/>
      <c r="Q162" s="284"/>
      <c r="R162" s="284"/>
      <c r="S162" s="284"/>
      <c r="T162" s="284"/>
      <c r="U162" s="284"/>
      <c r="V162" s="284"/>
      <c r="X162" s="283"/>
      <c r="Y162" s="283"/>
      <c r="Z162" s="283"/>
      <c r="AA162" s="283"/>
      <c r="AB162" s="283"/>
      <c r="AC162" s="283"/>
      <c r="AD162" s="283"/>
      <c r="AE162" s="283"/>
      <c r="AF162" s="283"/>
      <c r="AG162" s="283"/>
      <c r="AH162" s="283"/>
      <c r="AI162" s="283"/>
      <c r="AT162" s="270"/>
      <c r="AU162" s="294"/>
      <c r="AW162"/>
    </row>
    <row r="163" spans="1:52">
      <c r="E163" s="295"/>
      <c r="F163" s="295"/>
      <c r="G163" s="295"/>
      <c r="I163" s="311"/>
      <c r="J163" s="284"/>
      <c r="K163" s="284"/>
      <c r="L163" s="284"/>
      <c r="M163" s="284"/>
      <c r="N163" s="284"/>
      <c r="O163" s="284"/>
      <c r="P163" s="284"/>
      <c r="Q163" s="284"/>
      <c r="R163" s="284"/>
      <c r="S163" s="284"/>
      <c r="T163" s="284"/>
      <c r="U163" s="284"/>
      <c r="V163" s="284"/>
      <c r="X163" s="283"/>
      <c r="Y163" s="283"/>
      <c r="Z163" s="283"/>
      <c r="AA163" s="283"/>
      <c r="AB163" s="283"/>
      <c r="AC163" s="283"/>
      <c r="AD163" s="283"/>
      <c r="AE163" s="283"/>
      <c r="AF163" s="283"/>
      <c r="AG163" s="283"/>
      <c r="AH163" s="283"/>
      <c r="AI163" s="283"/>
      <c r="AT163" s="270"/>
      <c r="AU163" s="294"/>
      <c r="AW163"/>
    </row>
    <row r="164" spans="1:52">
      <c r="B164" s="256">
        <f>COUNTIF(C:C,C164)</f>
        <v>1</v>
      </c>
      <c r="C164" s="253" t="s">
        <v>528</v>
      </c>
      <c r="D164" s="253" t="s">
        <v>528</v>
      </c>
      <c r="E164" s="295"/>
      <c r="F164" s="322"/>
      <c r="G164" s="322"/>
      <c r="I164" s="281"/>
      <c r="J164" s="282"/>
      <c r="K164" s="282"/>
      <c r="L164" s="282"/>
      <c r="M164" s="284"/>
      <c r="N164" s="284"/>
      <c r="O164" s="284"/>
      <c r="P164" s="284"/>
      <c r="Q164" s="284"/>
      <c r="R164" s="284"/>
      <c r="S164" s="284"/>
      <c r="T164" s="284"/>
      <c r="U164" s="284"/>
      <c r="V164" s="284"/>
      <c r="X164" s="283"/>
      <c r="Y164" s="283"/>
      <c r="Z164" s="283"/>
      <c r="AA164" s="283"/>
      <c r="AB164" s="283"/>
      <c r="AC164" s="283"/>
      <c r="AD164" s="283"/>
      <c r="AE164" s="283"/>
      <c r="AF164" s="283"/>
      <c r="AG164" s="283"/>
      <c r="AH164" s="283"/>
      <c r="AI164" s="283"/>
      <c r="AJ164" s="274"/>
      <c r="AT164" s="270"/>
      <c r="AU164" s="294"/>
      <c r="AW164"/>
    </row>
    <row r="165" spans="1:52">
      <c r="A165" s="256" t="str">
        <f>$A$1&amp;C165</f>
        <v>MASON CO-REGULATEDDISPMC-TON</v>
      </c>
      <c r="B165" s="256">
        <f>COUNTIF(C:C,C165)</f>
        <v>1</v>
      </c>
      <c r="C165" s="278" t="s">
        <v>529</v>
      </c>
      <c r="D165" s="278" t="s">
        <v>530</v>
      </c>
      <c r="E165" s="290">
        <v>110.27</v>
      </c>
      <c r="F165" s="290">
        <v>120.2</v>
      </c>
      <c r="G165" s="290">
        <v>126.69</v>
      </c>
      <c r="H165" s="255">
        <v>34</v>
      </c>
      <c r="I165" s="281"/>
      <c r="J165" s="282">
        <v>53226.92</v>
      </c>
      <c r="K165" s="282">
        <v>53376.06</v>
      </c>
      <c r="L165" s="282">
        <v>59387.25</v>
      </c>
      <c r="M165" s="282">
        <v>64045.26</v>
      </c>
      <c r="N165" s="282">
        <v>67202.59</v>
      </c>
      <c r="O165" s="282">
        <v>60138.13</v>
      </c>
      <c r="P165" s="282">
        <v>60059.17</v>
      </c>
      <c r="Q165" s="282">
        <v>87275.09</v>
      </c>
      <c r="R165" s="282">
        <v>52646.41</v>
      </c>
      <c r="S165" s="282">
        <v>42599.15</v>
      </c>
      <c r="T165" s="282">
        <v>45693.57</v>
      </c>
      <c r="U165" s="282">
        <v>69607.849999999991</v>
      </c>
      <c r="V165" s="282">
        <f>SUM(J165:U165)</f>
        <v>715257.45</v>
      </c>
      <c r="W165" s="283"/>
      <c r="X165" s="283">
        <f t="shared" ref="X165:Z167" si="79">IFERROR(J165/$E165,0)</f>
        <v>482.69629092228166</v>
      </c>
      <c r="Y165" s="283">
        <f t="shared" si="79"/>
        <v>484.048789335268</v>
      </c>
      <c r="Z165" s="283">
        <f t="shared" si="79"/>
        <v>538.56216559354311</v>
      </c>
      <c r="AA165" s="283">
        <f t="shared" ref="AA165:AG167" si="80">IFERROR(M165/$F165,0)</f>
        <v>532.82246256239603</v>
      </c>
      <c r="AB165" s="283">
        <f t="shared" si="80"/>
        <v>559.08976705490841</v>
      </c>
      <c r="AC165" s="283">
        <f t="shared" si="80"/>
        <v>500.31722129783691</v>
      </c>
      <c r="AD165" s="283">
        <f t="shared" si="80"/>
        <v>499.66031613976702</v>
      </c>
      <c r="AE165" s="283">
        <f t="shared" si="80"/>
        <v>726.08227953410972</v>
      </c>
      <c r="AF165" s="283">
        <f t="shared" si="80"/>
        <v>437.99009983361066</v>
      </c>
      <c r="AG165" s="283">
        <f t="shared" si="80"/>
        <v>354.40224625623961</v>
      </c>
      <c r="AH165" s="283">
        <f t="shared" ref="AH165:AI167" si="81">IFERROR(T165/$G165,0)</f>
        <v>360.67227089746626</v>
      </c>
      <c r="AI165" s="283">
        <f t="shared" si="81"/>
        <v>549.43444628621035</v>
      </c>
      <c r="AJ165" s="274">
        <f>AVERAGE(X165:AI165)</f>
        <v>502.14819630946982</v>
      </c>
      <c r="AR165" s="284">
        <f>V165</f>
        <v>715257.45</v>
      </c>
      <c r="AS165" s="285">
        <v>759636.26469999994</v>
      </c>
      <c r="AT165" s="286"/>
      <c r="AU165" s="316">
        <f>AS165</f>
        <v>759636.26469999994</v>
      </c>
      <c r="AV165" s="285">
        <f>AU165-AS165</f>
        <v>0</v>
      </c>
      <c r="AW165"/>
    </row>
    <row r="166" spans="1:52">
      <c r="A166" s="256" t="str">
        <f>$A$1&amp;C166</f>
        <v>MASON CO-REGULATEDDISPOLY-TON</v>
      </c>
      <c r="B166" s="256">
        <f>COUNTIF(C:C,C166)</f>
        <v>1</v>
      </c>
      <c r="C166" s="278" t="s">
        <v>531</v>
      </c>
      <c r="D166" s="278" t="s">
        <v>532</v>
      </c>
      <c r="E166" s="290">
        <v>0</v>
      </c>
      <c r="F166" s="290">
        <v>0</v>
      </c>
      <c r="G166" s="290">
        <v>0</v>
      </c>
      <c r="I166" s="281"/>
      <c r="J166" s="282">
        <v>0</v>
      </c>
      <c r="K166" s="282">
        <v>0</v>
      </c>
      <c r="L166" s="282">
        <v>0</v>
      </c>
      <c r="M166" s="282">
        <v>0</v>
      </c>
      <c r="N166" s="282">
        <v>0</v>
      </c>
      <c r="O166" s="282">
        <v>0</v>
      </c>
      <c r="P166" s="282">
        <v>0</v>
      </c>
      <c r="Q166" s="282">
        <v>0</v>
      </c>
      <c r="R166" s="282">
        <v>0</v>
      </c>
      <c r="S166" s="282">
        <v>0</v>
      </c>
      <c r="T166" s="282">
        <v>0</v>
      </c>
      <c r="U166" s="282">
        <v>0</v>
      </c>
      <c r="V166" s="282">
        <f>SUM(J166:U166)</f>
        <v>0</v>
      </c>
      <c r="W166" s="283"/>
      <c r="X166" s="283">
        <f t="shared" si="79"/>
        <v>0</v>
      </c>
      <c r="Y166" s="283">
        <f t="shared" si="79"/>
        <v>0</v>
      </c>
      <c r="Z166" s="283">
        <f t="shared" si="79"/>
        <v>0</v>
      </c>
      <c r="AA166" s="283">
        <f t="shared" si="80"/>
        <v>0</v>
      </c>
      <c r="AB166" s="283">
        <f t="shared" si="80"/>
        <v>0</v>
      </c>
      <c r="AC166" s="283">
        <f t="shared" si="80"/>
        <v>0</v>
      </c>
      <c r="AD166" s="283">
        <f t="shared" si="80"/>
        <v>0</v>
      </c>
      <c r="AE166" s="283">
        <f t="shared" si="80"/>
        <v>0</v>
      </c>
      <c r="AF166" s="283">
        <f t="shared" si="80"/>
        <v>0</v>
      </c>
      <c r="AG166" s="283">
        <f t="shared" si="80"/>
        <v>0</v>
      </c>
      <c r="AH166" s="283">
        <f t="shared" si="81"/>
        <v>0</v>
      </c>
      <c r="AI166" s="283">
        <f t="shared" si="81"/>
        <v>0</v>
      </c>
      <c r="AJ166" s="274">
        <f>AVERAGE(X166:AI166)</f>
        <v>0</v>
      </c>
      <c r="AR166" s="284">
        <f>V166</f>
        <v>0</v>
      </c>
      <c r="AS166" s="285">
        <f>G166*12*AJ166</f>
        <v>0</v>
      </c>
      <c r="AT166" s="286">
        <f ca="1">+IFERROR($G166*(1+$AV$1),0)</f>
        <v>0</v>
      </c>
      <c r="AU166" s="287">
        <f ca="1">AT166*12*AJ166</f>
        <v>0</v>
      </c>
      <c r="AV166" s="285">
        <f ca="1">AU166-AS166</f>
        <v>0</v>
      </c>
      <c r="AW166"/>
    </row>
    <row r="167" spans="1:52">
      <c r="A167" s="256" t="str">
        <f>$A$1&amp;C167</f>
        <v>MASON CO-REGULATEDDISPMCMISC</v>
      </c>
      <c r="B167" s="256">
        <f>COUNTIF(C:C,C167)</f>
        <v>1</v>
      </c>
      <c r="C167" s="256" t="s">
        <v>533</v>
      </c>
      <c r="D167" s="278" t="s">
        <v>532</v>
      </c>
      <c r="E167" s="290">
        <v>0</v>
      </c>
      <c r="F167" s="290">
        <v>0</v>
      </c>
      <c r="G167" s="290">
        <v>0</v>
      </c>
      <c r="I167" s="281"/>
      <c r="J167" s="282">
        <v>485.75</v>
      </c>
      <c r="K167" s="282">
        <v>323.5</v>
      </c>
      <c r="L167" s="282">
        <v>367.88</v>
      </c>
      <c r="M167" s="282">
        <v>277.2</v>
      </c>
      <c r="N167" s="282">
        <v>404.5</v>
      </c>
      <c r="O167" s="282">
        <v>215.95</v>
      </c>
      <c r="P167" s="282">
        <v>673.7</v>
      </c>
      <c r="Q167" s="282">
        <v>542.38</v>
      </c>
      <c r="R167" s="282">
        <v>100.61</v>
      </c>
      <c r="S167" s="282">
        <v>84.63</v>
      </c>
      <c r="T167" s="282">
        <v>2932.52</v>
      </c>
      <c r="U167" s="282">
        <v>61.7</v>
      </c>
      <c r="V167" s="282">
        <f>SUM(J167:U167)</f>
        <v>6470.3200000000006</v>
      </c>
      <c r="W167" s="283"/>
      <c r="X167" s="283">
        <f t="shared" si="79"/>
        <v>0</v>
      </c>
      <c r="Y167" s="283">
        <f t="shared" si="79"/>
        <v>0</v>
      </c>
      <c r="Z167" s="283">
        <f t="shared" si="79"/>
        <v>0</v>
      </c>
      <c r="AA167" s="283">
        <f t="shared" si="80"/>
        <v>0</v>
      </c>
      <c r="AB167" s="283">
        <f t="shared" si="80"/>
        <v>0</v>
      </c>
      <c r="AC167" s="283">
        <f t="shared" si="80"/>
        <v>0</v>
      </c>
      <c r="AD167" s="283">
        <f t="shared" si="80"/>
        <v>0</v>
      </c>
      <c r="AE167" s="283">
        <f t="shared" si="80"/>
        <v>0</v>
      </c>
      <c r="AF167" s="283">
        <f t="shared" si="80"/>
        <v>0</v>
      </c>
      <c r="AG167" s="283">
        <f t="shared" si="80"/>
        <v>0</v>
      </c>
      <c r="AH167" s="283">
        <f t="shared" si="81"/>
        <v>0</v>
      </c>
      <c r="AI167" s="283">
        <f t="shared" si="81"/>
        <v>0</v>
      </c>
      <c r="AJ167" s="274">
        <f>AVERAGE(X167:AI167)</f>
        <v>0</v>
      </c>
      <c r="AR167" s="284">
        <f>V167</f>
        <v>6470.3200000000006</v>
      </c>
      <c r="AS167" s="285">
        <f>AR167</f>
        <v>6470.3200000000006</v>
      </c>
      <c r="AT167" s="286">
        <f ca="1">+IFERROR($G167*(1+$AV$1),0)</f>
        <v>0</v>
      </c>
      <c r="AU167" s="316">
        <f>AS167</f>
        <v>6470.3200000000006</v>
      </c>
      <c r="AV167" s="285">
        <f>AU167-AS167</f>
        <v>0</v>
      </c>
      <c r="AW167"/>
    </row>
    <row r="168" spans="1:52">
      <c r="C168" s="278"/>
      <c r="D168" s="278"/>
      <c r="E168" s="290"/>
      <c r="F168" s="323"/>
      <c r="G168" s="323"/>
      <c r="I168" s="281"/>
      <c r="J168" s="282"/>
      <c r="K168" s="282"/>
      <c r="L168" s="282"/>
      <c r="M168" s="282"/>
      <c r="N168" s="282"/>
      <c r="O168" s="282"/>
      <c r="P168" s="282"/>
      <c r="Q168" s="282"/>
      <c r="R168" s="282"/>
      <c r="S168" s="282"/>
      <c r="T168" s="282"/>
      <c r="U168" s="282"/>
      <c r="V168" s="282"/>
      <c r="W168" s="283"/>
      <c r="X168" s="283"/>
      <c r="Y168" s="283"/>
      <c r="Z168" s="283"/>
      <c r="AA168" s="283"/>
      <c r="AB168" s="283"/>
      <c r="AC168" s="283"/>
      <c r="AD168" s="283"/>
      <c r="AE168" s="283"/>
      <c r="AF168" s="283"/>
      <c r="AG168" s="283"/>
      <c r="AH168" s="283"/>
      <c r="AI168" s="283"/>
      <c r="AT168" s="270"/>
      <c r="AU168" s="294"/>
      <c r="AW168"/>
    </row>
    <row r="169" spans="1:52">
      <c r="B169" s="256">
        <f>COUNTIF(C:C,C169)</f>
        <v>0</v>
      </c>
      <c r="D169" s="257" t="s">
        <v>534</v>
      </c>
      <c r="E169" s="295"/>
      <c r="F169" s="323"/>
      <c r="G169" s="323"/>
      <c r="I169" s="311"/>
      <c r="J169" s="296">
        <f t="shared" ref="J169:V169" si="82">SUM(J165:J168)</f>
        <v>53712.67</v>
      </c>
      <c r="K169" s="296">
        <f t="shared" si="82"/>
        <v>53699.56</v>
      </c>
      <c r="L169" s="296">
        <f t="shared" si="82"/>
        <v>59755.13</v>
      </c>
      <c r="M169" s="296">
        <f t="shared" si="82"/>
        <v>64322.46</v>
      </c>
      <c r="N169" s="296">
        <f t="shared" si="82"/>
        <v>67607.09</v>
      </c>
      <c r="O169" s="296">
        <f t="shared" si="82"/>
        <v>60354.079999999994</v>
      </c>
      <c r="P169" s="296">
        <f t="shared" si="82"/>
        <v>60732.869999999995</v>
      </c>
      <c r="Q169" s="296">
        <f t="shared" si="82"/>
        <v>87817.47</v>
      </c>
      <c r="R169" s="296">
        <f t="shared" si="82"/>
        <v>52747.020000000004</v>
      </c>
      <c r="S169" s="296">
        <f t="shared" si="82"/>
        <v>42683.78</v>
      </c>
      <c r="T169" s="296">
        <f t="shared" si="82"/>
        <v>48626.09</v>
      </c>
      <c r="U169" s="296">
        <f t="shared" si="82"/>
        <v>69669.549999999988</v>
      </c>
      <c r="V169" s="296">
        <f t="shared" si="82"/>
        <v>721727.7699999999</v>
      </c>
      <c r="W169" s="310"/>
      <c r="X169" s="283"/>
      <c r="Y169" s="283"/>
      <c r="Z169" s="283"/>
      <c r="AA169" s="283"/>
      <c r="AB169" s="283"/>
      <c r="AC169" s="283"/>
      <c r="AD169" s="283"/>
      <c r="AE169" s="283"/>
      <c r="AF169" s="283"/>
      <c r="AG169" s="283"/>
      <c r="AH169" s="283"/>
      <c r="AI169" s="283"/>
      <c r="AR169" s="299">
        <f>SUM(AR165:AR168)</f>
        <v>721727.7699999999</v>
      </c>
      <c r="AS169" s="299">
        <f>SUM(AS165:AS168)</f>
        <v>766106.58469999989</v>
      </c>
      <c r="AT169" s="300"/>
      <c r="AU169" s="299">
        <f ca="1">SUM(AU165:AU168)</f>
        <v>766106.58469999989</v>
      </c>
      <c r="AV169" s="299">
        <f ca="1">SUM(AV165:AV168)</f>
        <v>0</v>
      </c>
      <c r="AW169"/>
    </row>
    <row r="170" spans="1:52">
      <c r="E170" s="295"/>
      <c r="F170" s="323"/>
      <c r="G170" s="323"/>
      <c r="I170" s="311"/>
      <c r="J170" s="284"/>
      <c r="K170" s="284"/>
      <c r="L170" s="284"/>
      <c r="M170" s="284"/>
      <c r="N170" s="284"/>
      <c r="O170" s="284"/>
      <c r="P170" s="284"/>
      <c r="Q170" s="284"/>
      <c r="R170" s="284"/>
      <c r="S170" s="284"/>
      <c r="T170" s="284"/>
      <c r="U170" s="284"/>
      <c r="V170" s="284"/>
      <c r="X170" s="283"/>
      <c r="Y170" s="283"/>
      <c r="Z170" s="283"/>
      <c r="AA170" s="283"/>
      <c r="AB170" s="283"/>
      <c r="AC170" s="283"/>
      <c r="AD170" s="283"/>
      <c r="AE170" s="283"/>
      <c r="AF170" s="283"/>
      <c r="AG170" s="283"/>
      <c r="AH170" s="283"/>
      <c r="AI170" s="283"/>
      <c r="AT170" s="270"/>
      <c r="AU170" s="294"/>
      <c r="AW170"/>
    </row>
    <row r="171" spans="1:52">
      <c r="E171" s="295"/>
      <c r="F171" s="323"/>
      <c r="G171" s="323"/>
      <c r="I171" s="311"/>
      <c r="J171" s="284"/>
      <c r="K171" s="284"/>
      <c r="L171" s="284"/>
      <c r="M171" s="284"/>
      <c r="N171" s="284"/>
      <c r="O171" s="284"/>
      <c r="P171" s="284"/>
      <c r="Q171" s="284"/>
      <c r="R171" s="284"/>
      <c r="S171" s="284"/>
      <c r="T171" s="284"/>
      <c r="U171" s="284"/>
      <c r="V171" s="284"/>
      <c r="X171" s="283"/>
      <c r="Y171" s="283"/>
      <c r="Z171" s="283"/>
      <c r="AA171" s="283"/>
      <c r="AB171" s="283"/>
      <c r="AC171" s="283"/>
      <c r="AD171" s="283"/>
      <c r="AE171" s="283"/>
      <c r="AF171" s="283"/>
      <c r="AG171" s="283"/>
      <c r="AH171" s="283"/>
      <c r="AI171" s="283"/>
      <c r="AT171" s="270"/>
      <c r="AU171" s="294"/>
      <c r="AW171"/>
    </row>
    <row r="172" spans="1:52">
      <c r="B172" s="256">
        <f>COUNTIF(C:C,C172)</f>
        <v>1</v>
      </c>
      <c r="C172" s="273" t="s">
        <v>535</v>
      </c>
      <c r="D172" s="273" t="s">
        <v>535</v>
      </c>
      <c r="E172" s="295"/>
      <c r="F172" s="323"/>
      <c r="G172" s="323"/>
      <c r="I172" s="311"/>
      <c r="J172" s="282"/>
      <c r="K172" s="284"/>
      <c r="L172" s="284"/>
      <c r="M172" s="284"/>
      <c r="N172" s="284"/>
      <c r="O172" s="284"/>
      <c r="P172" s="284"/>
      <c r="Q172" s="284"/>
      <c r="R172" s="284"/>
      <c r="S172" s="284"/>
      <c r="T172" s="284"/>
      <c r="U172" s="284"/>
      <c r="V172" s="284"/>
      <c r="X172" s="283"/>
      <c r="Y172" s="283"/>
      <c r="Z172" s="283"/>
      <c r="AA172" s="283"/>
      <c r="AB172" s="283"/>
      <c r="AC172" s="283"/>
      <c r="AD172" s="283"/>
      <c r="AE172" s="283"/>
      <c r="AF172" s="283"/>
      <c r="AG172" s="283"/>
      <c r="AH172" s="283"/>
      <c r="AI172" s="283"/>
      <c r="AT172" s="270"/>
      <c r="AU172" s="294"/>
      <c r="AW172"/>
    </row>
    <row r="173" spans="1:52">
      <c r="A173" s="256" t="str">
        <f>$A$1&amp;C173</f>
        <v>MASON CO-REGULATEDFINCHG</v>
      </c>
      <c r="B173" s="256">
        <f>COUNTIF(C:C,C173)</f>
        <v>1</v>
      </c>
      <c r="C173" s="278" t="s">
        <v>536</v>
      </c>
      <c r="D173" s="278" t="s">
        <v>537</v>
      </c>
      <c r="E173" s="290">
        <v>0</v>
      </c>
      <c r="F173" s="290">
        <v>0</v>
      </c>
      <c r="G173" s="290">
        <v>0</v>
      </c>
      <c r="H173" s="255">
        <v>8</v>
      </c>
      <c r="I173" s="281"/>
      <c r="J173" s="282">
        <v>796.31</v>
      </c>
      <c r="K173" s="282">
        <v>433.66</v>
      </c>
      <c r="L173" s="282">
        <v>800.1</v>
      </c>
      <c r="M173" s="282">
        <v>274.06</v>
      </c>
      <c r="N173" s="282">
        <v>975.26</v>
      </c>
      <c r="O173" s="282">
        <v>208.95</v>
      </c>
      <c r="P173" s="282">
        <v>777.88</v>
      </c>
      <c r="Q173" s="282">
        <v>230.73999999999998</v>
      </c>
      <c r="R173" s="282">
        <v>742.35</v>
      </c>
      <c r="S173" s="282">
        <v>319.45</v>
      </c>
      <c r="T173" s="282">
        <v>747.68</v>
      </c>
      <c r="U173" s="282">
        <v>-802.46</v>
      </c>
      <c r="V173" s="282">
        <f>SUM(J173:U173)</f>
        <v>5503.9800000000005</v>
      </c>
      <c r="W173" s="283"/>
      <c r="X173" s="283"/>
      <c r="Y173" s="283"/>
      <c r="Z173" s="283"/>
      <c r="AA173" s="283"/>
      <c r="AB173" s="283"/>
      <c r="AC173" s="283"/>
      <c r="AD173" s="283"/>
      <c r="AE173" s="283"/>
      <c r="AF173" s="283"/>
      <c r="AG173" s="283"/>
      <c r="AH173" s="283"/>
      <c r="AI173" s="283"/>
      <c r="AR173" s="284">
        <f>V173</f>
        <v>5503.9800000000005</v>
      </c>
      <c r="AS173" s="285">
        <f>AR173</f>
        <v>5503.9800000000005</v>
      </c>
      <c r="AT173" s="286"/>
      <c r="AU173" s="316">
        <f>AS173</f>
        <v>5503.9800000000005</v>
      </c>
      <c r="AV173" s="285">
        <f>AU173-AS173</f>
        <v>0</v>
      </c>
      <c r="AW173"/>
      <c r="AY173" s="358">
        <f t="shared" ref="AY173:AY175" ca="1" si="83">+AZ$2*AU173</f>
        <v>21.313145717353009</v>
      </c>
      <c r="AZ173" s="358">
        <f t="shared" ref="AZ173:AZ175" ca="1" si="84">+AU173+AY173</f>
        <v>5525.2931457173536</v>
      </c>
    </row>
    <row r="174" spans="1:52">
      <c r="A174" s="256" t="str">
        <f>$A$1&amp;C174</f>
        <v>MASON CO-REGULATEDC19-ADJFIN</v>
      </c>
      <c r="B174" s="256">
        <f>COUNTIF(C:C,C174)</f>
        <v>1</v>
      </c>
      <c r="C174" s="278" t="s">
        <v>538</v>
      </c>
      <c r="D174" s="278" t="s">
        <v>537</v>
      </c>
      <c r="E174" s="290">
        <v>0</v>
      </c>
      <c r="F174" s="290">
        <v>0</v>
      </c>
      <c r="G174" s="290">
        <v>0</v>
      </c>
      <c r="H174" s="255">
        <v>8</v>
      </c>
      <c r="I174" s="281"/>
      <c r="J174" s="282">
        <v>0</v>
      </c>
      <c r="K174" s="282">
        <v>0</v>
      </c>
      <c r="L174" s="282">
        <v>0</v>
      </c>
      <c r="M174" s="282">
        <v>0</v>
      </c>
      <c r="N174" s="282">
        <v>0</v>
      </c>
      <c r="O174" s="282">
        <v>0</v>
      </c>
      <c r="P174" s="282">
        <v>0</v>
      </c>
      <c r="Q174" s="282">
        <v>0</v>
      </c>
      <c r="R174" s="282">
        <v>0</v>
      </c>
      <c r="S174" s="282">
        <v>0</v>
      </c>
      <c r="T174" s="282">
        <v>0</v>
      </c>
      <c r="U174" s="282">
        <v>0</v>
      </c>
      <c r="V174" s="282">
        <f>SUM(J174:U174)</f>
        <v>0</v>
      </c>
      <c r="W174" s="283"/>
      <c r="X174" s="283"/>
      <c r="Y174" s="283"/>
      <c r="Z174" s="283"/>
      <c r="AA174" s="283"/>
      <c r="AB174" s="283"/>
      <c r="AC174" s="283"/>
      <c r="AD174" s="283"/>
      <c r="AE174" s="283"/>
      <c r="AF174" s="283"/>
      <c r="AG174" s="283"/>
      <c r="AH174" s="283"/>
      <c r="AI174" s="283"/>
      <c r="AR174" s="284">
        <f>V174</f>
        <v>0</v>
      </c>
      <c r="AS174" s="285">
        <f>AR174</f>
        <v>0</v>
      </c>
      <c r="AT174" s="286"/>
      <c r="AU174" s="316">
        <f>AS174</f>
        <v>0</v>
      </c>
      <c r="AV174" s="285">
        <f>AU174-AS174</f>
        <v>0</v>
      </c>
      <c r="AW174"/>
      <c r="AY174" s="358">
        <f t="shared" ca="1" si="83"/>
        <v>0</v>
      </c>
      <c r="AZ174" s="358">
        <f t="shared" ca="1" si="84"/>
        <v>0</v>
      </c>
    </row>
    <row r="175" spans="1:52">
      <c r="A175" s="256" t="str">
        <f>$A$1&amp;C175</f>
        <v>MASON CO-REGULATEDNSF FEES</v>
      </c>
      <c r="B175" s="256">
        <f>COUNTIF(C:C,C175)</f>
        <v>1</v>
      </c>
      <c r="C175" s="278" t="s">
        <v>539</v>
      </c>
      <c r="D175" s="289" t="s">
        <v>540</v>
      </c>
      <c r="E175" s="290">
        <v>22.68</v>
      </c>
      <c r="F175" s="290">
        <v>22.68</v>
      </c>
      <c r="G175" s="290">
        <v>22.68</v>
      </c>
      <c r="H175" s="255">
        <v>14</v>
      </c>
      <c r="I175" s="281"/>
      <c r="J175" s="282">
        <v>0</v>
      </c>
      <c r="K175" s="282">
        <v>0</v>
      </c>
      <c r="L175" s="282">
        <v>0</v>
      </c>
      <c r="M175" s="282">
        <v>0</v>
      </c>
      <c r="N175" s="282">
        <v>0</v>
      </c>
      <c r="O175" s="282">
        <v>0</v>
      </c>
      <c r="P175" s="282">
        <v>0</v>
      </c>
      <c r="Q175" s="282">
        <v>22.68</v>
      </c>
      <c r="R175" s="282">
        <v>0</v>
      </c>
      <c r="S175" s="282">
        <v>22.68</v>
      </c>
      <c r="T175" s="282">
        <v>22.68</v>
      </c>
      <c r="U175" s="282">
        <v>22.68</v>
      </c>
      <c r="V175" s="282">
        <f>SUM(J175:U175)</f>
        <v>90.72</v>
      </c>
      <c r="W175" s="283"/>
      <c r="X175" s="283"/>
      <c r="Y175" s="283"/>
      <c r="Z175" s="283"/>
      <c r="AA175" s="283"/>
      <c r="AB175" s="283"/>
      <c r="AC175" s="283"/>
      <c r="AD175" s="283"/>
      <c r="AE175" s="283"/>
      <c r="AF175" s="283"/>
      <c r="AG175" s="283"/>
      <c r="AH175" s="283"/>
      <c r="AI175" s="283"/>
      <c r="AR175" s="284">
        <f>V175</f>
        <v>90.72</v>
      </c>
      <c r="AS175" s="285">
        <f>AR175</f>
        <v>90.72</v>
      </c>
      <c r="AT175" s="286">
        <f ca="1">+IFERROR($G175*(1+$AV$1),0)</f>
        <v>23.0209877786493</v>
      </c>
      <c r="AU175" s="316">
        <f>AS175</f>
        <v>90.72</v>
      </c>
      <c r="AV175" s="285">
        <f>AU175-AS175</f>
        <v>0</v>
      </c>
      <c r="AW175"/>
      <c r="AY175" s="358">
        <f t="shared" ca="1" si="83"/>
        <v>0.35129643993587634</v>
      </c>
      <c r="AZ175" s="358">
        <f t="shared" ca="1" si="84"/>
        <v>91.071296439935878</v>
      </c>
    </row>
    <row r="176" spans="1:52">
      <c r="E176" s="324"/>
      <c r="F176" s="324"/>
      <c r="G176" s="324"/>
      <c r="I176" s="311"/>
      <c r="J176" s="282"/>
      <c r="K176" s="282"/>
      <c r="L176" s="282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  <c r="X176" s="283"/>
      <c r="Y176" s="283"/>
      <c r="Z176" s="283"/>
      <c r="AA176" s="283"/>
      <c r="AB176" s="283"/>
      <c r="AC176" s="283"/>
      <c r="AD176" s="283"/>
      <c r="AE176" s="283"/>
      <c r="AF176" s="283"/>
      <c r="AG176" s="283"/>
      <c r="AH176" s="283"/>
      <c r="AI176" s="283"/>
      <c r="AR176" s="284"/>
      <c r="AS176" s="284"/>
      <c r="AT176" s="284"/>
      <c r="AU176" s="294"/>
      <c r="AV176" s="284"/>
      <c r="AW176"/>
      <c r="AX176" s="320"/>
    </row>
    <row r="177" spans="1:49">
      <c r="D177" s="257" t="s">
        <v>541</v>
      </c>
      <c r="J177" s="296">
        <f t="shared" ref="J177:V177" si="85">SUM(J173:J176)</f>
        <v>796.31</v>
      </c>
      <c r="K177" s="296">
        <f t="shared" si="85"/>
        <v>433.66</v>
      </c>
      <c r="L177" s="296">
        <f t="shared" si="85"/>
        <v>800.1</v>
      </c>
      <c r="M177" s="296">
        <f t="shared" si="85"/>
        <v>274.06</v>
      </c>
      <c r="N177" s="296">
        <f t="shared" si="85"/>
        <v>975.26</v>
      </c>
      <c r="O177" s="296">
        <f t="shared" si="85"/>
        <v>208.95</v>
      </c>
      <c r="P177" s="296">
        <f t="shared" si="85"/>
        <v>777.88</v>
      </c>
      <c r="Q177" s="296">
        <f t="shared" si="85"/>
        <v>253.42</v>
      </c>
      <c r="R177" s="296">
        <f t="shared" si="85"/>
        <v>742.35</v>
      </c>
      <c r="S177" s="296">
        <f t="shared" si="85"/>
        <v>342.13</v>
      </c>
      <c r="T177" s="296">
        <f t="shared" si="85"/>
        <v>770.3599999999999</v>
      </c>
      <c r="U177" s="296">
        <f t="shared" si="85"/>
        <v>-779.78000000000009</v>
      </c>
      <c r="V177" s="296">
        <f t="shared" si="85"/>
        <v>5594.7000000000007</v>
      </c>
      <c r="X177" s="283"/>
      <c r="Y177" s="283"/>
      <c r="Z177" s="283"/>
      <c r="AA177" s="283"/>
      <c r="AB177" s="283"/>
      <c r="AC177" s="283"/>
      <c r="AD177" s="283"/>
      <c r="AE177" s="283"/>
      <c r="AF177" s="283"/>
      <c r="AG177" s="283"/>
      <c r="AH177" s="283"/>
      <c r="AI177" s="283"/>
      <c r="AR177" s="299">
        <f>SUM(AR173:AR176)</f>
        <v>5594.7000000000007</v>
      </c>
      <c r="AS177" s="299">
        <f>SUM(AS173:AS176)</f>
        <v>5594.7000000000007</v>
      </c>
      <c r="AT177" s="299"/>
      <c r="AU177" s="299">
        <f>SUM(AU173:AU176)</f>
        <v>5594.7000000000007</v>
      </c>
      <c r="AV177" s="299">
        <f>SUM(AV173:AV176)</f>
        <v>0</v>
      </c>
      <c r="AW177"/>
    </row>
    <row r="178" spans="1:49">
      <c r="G178" s="325"/>
      <c r="J178" s="284"/>
      <c r="K178" s="284"/>
      <c r="L178" s="284"/>
      <c r="M178" s="284"/>
      <c r="N178" s="284"/>
      <c r="O178" s="284"/>
      <c r="P178" s="284"/>
      <c r="Q178" s="284"/>
      <c r="R178" s="284"/>
      <c r="S178" s="284"/>
      <c r="T178" s="284"/>
      <c r="U178" s="284"/>
      <c r="V178" s="284"/>
      <c r="X178" s="283"/>
      <c r="Y178" s="283"/>
      <c r="Z178" s="283"/>
      <c r="AA178" s="283"/>
      <c r="AB178" s="283"/>
      <c r="AC178" s="283"/>
      <c r="AD178" s="283"/>
      <c r="AE178" s="283"/>
      <c r="AF178" s="283"/>
      <c r="AG178" s="283"/>
      <c r="AH178" s="283"/>
      <c r="AI178" s="283"/>
      <c r="AU178" s="294"/>
      <c r="AW178"/>
    </row>
    <row r="179" spans="1:49" ht="15.75" thickBot="1">
      <c r="A179" s="253"/>
      <c r="C179" s="253"/>
      <c r="D179" s="257" t="s">
        <v>542</v>
      </c>
      <c r="E179" s="265"/>
      <c r="F179" s="265"/>
      <c r="G179" s="265"/>
      <c r="I179" s="253"/>
      <c r="J179" s="326">
        <f t="shared" ref="J179:U179" si="86">J177+J169+J161+J110+J66+J49</f>
        <v>731892.03500000003</v>
      </c>
      <c r="K179" s="326">
        <f t="shared" si="86"/>
        <v>736955.8899999999</v>
      </c>
      <c r="L179" s="326">
        <f t="shared" si="86"/>
        <v>784067.12999999989</v>
      </c>
      <c r="M179" s="326">
        <f t="shared" si="86"/>
        <v>794828.73</v>
      </c>
      <c r="N179" s="326">
        <f t="shared" si="86"/>
        <v>823107.48499999999</v>
      </c>
      <c r="O179" s="326">
        <f t="shared" si="86"/>
        <v>811197.2</v>
      </c>
      <c r="P179" s="326">
        <f t="shared" si="86"/>
        <v>800244.08499999996</v>
      </c>
      <c r="Q179" s="326">
        <f t="shared" si="86"/>
        <v>818895.20499999984</v>
      </c>
      <c r="R179" s="326">
        <f t="shared" si="86"/>
        <v>754299.35499999998</v>
      </c>
      <c r="S179" s="326">
        <f t="shared" si="86"/>
        <v>737082.80999999982</v>
      </c>
      <c r="T179" s="326">
        <f t="shared" si="86"/>
        <v>749324.65</v>
      </c>
      <c r="U179" s="326">
        <f t="shared" si="86"/>
        <v>769646.9850000001</v>
      </c>
      <c r="V179" s="326">
        <f>V177+V169+V161+V110+V66+V49+V125</f>
        <v>9311541.5600000005</v>
      </c>
      <c r="W179" s="253"/>
      <c r="X179" s="283"/>
      <c r="Y179" s="283"/>
      <c r="Z179" s="283"/>
      <c r="AA179" s="283"/>
      <c r="AB179" s="283"/>
      <c r="AC179" s="283"/>
      <c r="AD179" s="283"/>
      <c r="AE179" s="283"/>
      <c r="AF179" s="283"/>
      <c r="AG179" s="283"/>
      <c r="AH179" s="283"/>
      <c r="AI179" s="283"/>
      <c r="AJ179" s="253"/>
      <c r="AK179" s="253"/>
      <c r="AL179" s="253"/>
      <c r="AM179" s="253"/>
      <c r="AN179" s="253"/>
      <c r="AO179" s="253"/>
      <c r="AP179" s="253"/>
      <c r="AQ179"/>
      <c r="AR179"/>
      <c r="AS179"/>
      <c r="AT179"/>
      <c r="AU179"/>
      <c r="AV179"/>
      <c r="AW179"/>
    </row>
    <row r="180" spans="1:49" ht="15.75" thickTop="1">
      <c r="A180" s="253"/>
      <c r="C180" s="253"/>
      <c r="D180" s="253"/>
      <c r="E180" s="265"/>
      <c r="F180" s="265"/>
      <c r="G180" s="265"/>
      <c r="I180" s="257"/>
      <c r="J180" s="327"/>
      <c r="K180" s="328"/>
      <c r="L180" s="328"/>
      <c r="M180" s="328"/>
      <c r="N180" s="328"/>
      <c r="O180" s="328"/>
      <c r="P180" s="328"/>
      <c r="Q180" s="328"/>
      <c r="R180" s="328"/>
      <c r="S180" s="328"/>
      <c r="T180" s="328"/>
      <c r="U180" s="328"/>
      <c r="V180" s="328"/>
      <c r="W180" s="253"/>
      <c r="X180" s="283"/>
      <c r="Y180" s="283"/>
      <c r="Z180" s="283"/>
      <c r="AA180" s="283"/>
      <c r="AB180" s="283"/>
      <c r="AC180" s="283"/>
      <c r="AD180" s="283"/>
      <c r="AE180" s="283"/>
      <c r="AF180" s="283"/>
      <c r="AG180" s="283"/>
      <c r="AH180" s="283"/>
      <c r="AI180" s="283"/>
      <c r="AJ180" s="253"/>
      <c r="AK180" s="253"/>
      <c r="AL180" s="253"/>
      <c r="AM180" s="253"/>
      <c r="AN180" s="253"/>
      <c r="AO180" s="253"/>
      <c r="AP180" s="253"/>
      <c r="AQ180" s="253"/>
      <c r="AR180" s="253"/>
      <c r="AS180" s="253"/>
      <c r="AT180" s="253"/>
      <c r="AU180" s="329"/>
      <c r="AV180" s="253"/>
      <c r="AW180"/>
    </row>
    <row r="181" spans="1:49">
      <c r="A181" s="253"/>
      <c r="C181" s="253"/>
      <c r="D181" s="253"/>
      <c r="E181" s="265"/>
      <c r="F181" s="265"/>
      <c r="G181" s="265"/>
      <c r="I181" s="257"/>
      <c r="J181" s="330">
        <f t="shared" ref="J181:U181" si="87">+J179/$V179</f>
        <v>7.8600522833299796E-2</v>
      </c>
      <c r="K181" s="330">
        <f t="shared" si="87"/>
        <v>7.9144348468117659E-2</v>
      </c>
      <c r="L181" s="330">
        <f t="shared" si="87"/>
        <v>8.4203794285594089E-2</v>
      </c>
      <c r="M181" s="330">
        <f t="shared" si="87"/>
        <v>8.5359521286398038E-2</v>
      </c>
      <c r="N181" s="330">
        <f t="shared" si="87"/>
        <v>8.8396478681452603E-2</v>
      </c>
      <c r="O181" s="330">
        <f t="shared" si="87"/>
        <v>8.7117390259492097E-2</v>
      </c>
      <c r="P181" s="330">
        <f t="shared" si="87"/>
        <v>8.5941095772760517E-2</v>
      </c>
      <c r="Q181" s="330">
        <f t="shared" si="87"/>
        <v>8.7944106754327775E-2</v>
      </c>
      <c r="R181" s="330">
        <f t="shared" si="87"/>
        <v>8.1006925667418697E-2</v>
      </c>
      <c r="S181" s="330">
        <f t="shared" si="87"/>
        <v>7.9157978864242945E-2</v>
      </c>
      <c r="T181" s="330">
        <f t="shared" si="87"/>
        <v>8.0472674172331143E-2</v>
      </c>
      <c r="U181" s="330">
        <f t="shared" si="87"/>
        <v>8.2655162954564529E-2</v>
      </c>
      <c r="V181" s="328"/>
      <c r="W181" s="253"/>
      <c r="X181" s="283"/>
      <c r="Y181" s="283"/>
      <c r="Z181" s="283"/>
      <c r="AA181" s="283"/>
      <c r="AB181" s="283"/>
      <c r="AC181" s="283"/>
      <c r="AD181" s="283"/>
      <c r="AE181" s="283"/>
      <c r="AF181" s="283"/>
      <c r="AG181" s="283"/>
      <c r="AH181" s="283"/>
      <c r="AI181" s="283"/>
      <c r="AJ181" s="253"/>
      <c r="AK181" s="253"/>
      <c r="AL181" s="253"/>
      <c r="AM181" s="253"/>
      <c r="AN181" s="253"/>
      <c r="AO181" s="253"/>
      <c r="AP181" s="253"/>
      <c r="AQ181" s="253"/>
      <c r="AR181" s="331" t="s">
        <v>543</v>
      </c>
      <c r="AS181" s="331"/>
      <c r="AT181" s="331"/>
      <c r="AU181" s="331"/>
      <c r="AV181" s="331"/>
      <c r="AW181"/>
    </row>
    <row r="182" spans="1:49" ht="41.25" customHeight="1">
      <c r="J182" s="332"/>
      <c r="K182" s="333"/>
      <c r="L182" s="328"/>
      <c r="M182" s="328"/>
      <c r="N182" s="274"/>
      <c r="O182" s="274"/>
      <c r="P182" s="274"/>
      <c r="Q182" s="274"/>
      <c r="R182" s="274"/>
      <c r="S182" s="274"/>
      <c r="T182" s="274"/>
      <c r="U182" s="274"/>
      <c r="V182" s="274"/>
      <c r="X182" s="283"/>
      <c r="Y182" s="283"/>
      <c r="Z182" s="283"/>
      <c r="AA182" s="283"/>
      <c r="AB182" s="283"/>
      <c r="AC182" s="283"/>
      <c r="AD182" s="283"/>
      <c r="AE182" s="283"/>
      <c r="AF182" s="283"/>
      <c r="AG182" s="283"/>
      <c r="AH182" s="283"/>
      <c r="AI182" s="283"/>
      <c r="AQ182" s="257"/>
      <c r="AR182" s="264" t="s">
        <v>299</v>
      </c>
      <c r="AS182" s="264" t="s">
        <v>300</v>
      </c>
      <c r="AT182" s="264" t="s">
        <v>301</v>
      </c>
      <c r="AU182" s="264" t="s">
        <v>302</v>
      </c>
      <c r="AV182" s="264" t="s">
        <v>303</v>
      </c>
      <c r="AW182"/>
    </row>
    <row r="183" spans="1:49">
      <c r="J183" s="332"/>
      <c r="K183" s="333"/>
      <c r="L183" s="328"/>
      <c r="M183" s="328"/>
      <c r="N183" s="274"/>
      <c r="O183" s="274"/>
      <c r="P183" s="274"/>
      <c r="Q183" s="274"/>
      <c r="R183" s="274"/>
      <c r="S183" s="274"/>
      <c r="T183" s="274"/>
      <c r="U183" s="274"/>
      <c r="V183" s="274"/>
      <c r="X183" s="283"/>
      <c r="Y183" s="283"/>
      <c r="Z183" s="283"/>
      <c r="AA183" s="283"/>
      <c r="AB183" s="283"/>
      <c r="AC183" s="283"/>
      <c r="AD183" s="283"/>
      <c r="AE183" s="283"/>
      <c r="AF183" s="283"/>
      <c r="AG183" s="283"/>
      <c r="AH183" s="283"/>
      <c r="AI183" s="283"/>
      <c r="AJ183" s="263"/>
      <c r="AQ183" s="257" t="s">
        <v>307</v>
      </c>
      <c r="AR183" s="285">
        <f>AR49</f>
        <v>4655055.6900000004</v>
      </c>
      <c r="AS183" s="285">
        <f>AS49</f>
        <v>4728313.6071556471</v>
      </c>
      <c r="AT183" s="285"/>
      <c r="AU183" s="285">
        <f ca="1">AU49</f>
        <v>4799402.5469114361</v>
      </c>
      <c r="AV183" s="285">
        <f ca="1">AV49</f>
        <v>71088.939755787738</v>
      </c>
      <c r="AW183"/>
    </row>
    <row r="184" spans="1:49">
      <c r="A184" s="253"/>
      <c r="C184" s="253"/>
      <c r="E184" s="265"/>
      <c r="F184" s="265"/>
      <c r="G184" s="265"/>
      <c r="I184" s="253"/>
      <c r="J184" s="332"/>
      <c r="K184" s="333"/>
      <c r="L184" s="328"/>
      <c r="M184" s="328"/>
      <c r="N184" s="328"/>
      <c r="O184" s="328"/>
      <c r="P184" s="328"/>
      <c r="Q184" s="328"/>
      <c r="R184" s="328"/>
      <c r="S184" s="328"/>
      <c r="T184" s="328"/>
      <c r="U184" s="328"/>
      <c r="V184" s="328"/>
      <c r="W184" s="253"/>
      <c r="X184" s="283"/>
      <c r="Y184" s="283"/>
      <c r="Z184" s="283"/>
      <c r="AA184" s="283"/>
      <c r="AB184" s="283"/>
      <c r="AC184" s="283"/>
      <c r="AD184" s="283"/>
      <c r="AE184" s="283"/>
      <c r="AF184" s="283"/>
      <c r="AG184" s="283"/>
      <c r="AH184" s="283"/>
      <c r="AI184" s="283"/>
      <c r="AJ184" s="253"/>
      <c r="AK184" s="253"/>
      <c r="AL184" s="253"/>
      <c r="AM184" s="253"/>
      <c r="AN184" s="253"/>
      <c r="AO184" s="253"/>
      <c r="AP184" s="253"/>
      <c r="AQ184" s="257" t="s">
        <v>386</v>
      </c>
      <c r="AR184" s="285">
        <f>AR66</f>
        <v>1746153.1700000002</v>
      </c>
      <c r="AS184" s="285">
        <f>AS66</f>
        <v>1745198.1780027137</v>
      </c>
      <c r="AT184" s="285"/>
      <c r="AU184" s="285">
        <f ca="1">AU66</f>
        <v>2225784.9414334218</v>
      </c>
      <c r="AV184" s="285">
        <f ca="1">AV66</f>
        <v>480586.7634307082</v>
      </c>
      <c r="AW184"/>
    </row>
    <row r="185" spans="1:49">
      <c r="A185" s="253"/>
      <c r="C185" s="253"/>
      <c r="E185" s="265"/>
      <c r="F185" s="265"/>
      <c r="G185" s="265"/>
      <c r="I185" s="257"/>
      <c r="J185" s="332"/>
      <c r="K185" s="333"/>
      <c r="L185" s="328"/>
      <c r="M185" s="328"/>
      <c r="N185" s="328"/>
      <c r="O185" s="328"/>
      <c r="P185" s="328"/>
      <c r="Q185" s="328"/>
      <c r="R185" s="328"/>
      <c r="S185" s="328"/>
      <c r="T185" s="328"/>
      <c r="U185" s="328"/>
      <c r="V185" s="328"/>
      <c r="W185" s="253"/>
      <c r="X185" s="283"/>
      <c r="Y185" s="283"/>
      <c r="Z185" s="283"/>
      <c r="AA185" s="283"/>
      <c r="AB185" s="283"/>
      <c r="AC185" s="283"/>
      <c r="AD185" s="283"/>
      <c r="AE185" s="283"/>
      <c r="AF185" s="283"/>
      <c r="AG185" s="283"/>
      <c r="AH185" s="283"/>
      <c r="AI185" s="283"/>
      <c r="AJ185" s="253"/>
      <c r="AK185" s="253"/>
      <c r="AL185" s="253"/>
      <c r="AM185" s="253"/>
      <c r="AN185" s="253"/>
      <c r="AO185" s="253"/>
      <c r="AP185" s="253"/>
      <c r="AQ185" s="257" t="s">
        <v>409</v>
      </c>
      <c r="AR185" s="285">
        <f>AR110</f>
        <v>1611983.0799999998</v>
      </c>
      <c r="AS185" s="285">
        <f>AS110</f>
        <v>1644622.6178705427</v>
      </c>
      <c r="AT185" s="285"/>
      <c r="AU185" s="285">
        <f ca="1">AU110</f>
        <v>1669349.0822966481</v>
      </c>
      <c r="AV185" s="285">
        <f ca="1">AV110</f>
        <v>24726.46442610558</v>
      </c>
      <c r="AW185"/>
    </row>
    <row r="186" spans="1:49">
      <c r="A186" s="253"/>
      <c r="C186" s="253"/>
      <c r="D186" s="253"/>
      <c r="E186" s="265"/>
      <c r="F186" s="265"/>
      <c r="G186" s="265"/>
      <c r="I186" s="257"/>
      <c r="J186" s="332"/>
      <c r="K186" s="333"/>
      <c r="L186" s="328"/>
      <c r="M186" s="328"/>
      <c r="N186" s="328"/>
      <c r="O186" s="328"/>
      <c r="P186" s="328"/>
      <c r="Q186" s="328"/>
      <c r="R186" s="328"/>
      <c r="S186" s="328"/>
      <c r="T186" s="328"/>
      <c r="U186" s="328"/>
      <c r="V186" s="328"/>
      <c r="W186" s="253"/>
      <c r="X186" s="283"/>
      <c r="Y186" s="283"/>
      <c r="Z186" s="283"/>
      <c r="AA186" s="283"/>
      <c r="AB186" s="283"/>
      <c r="AC186" s="283"/>
      <c r="AD186" s="283"/>
      <c r="AE186" s="283"/>
      <c r="AF186" s="283"/>
      <c r="AG186" s="283"/>
      <c r="AH186" s="283"/>
      <c r="AI186" s="283"/>
      <c r="AJ186" s="253"/>
      <c r="AK186" s="253"/>
      <c r="AL186" s="253"/>
      <c r="AM186" s="253"/>
      <c r="AN186" s="253"/>
      <c r="AO186" s="253"/>
      <c r="AP186" s="253"/>
      <c r="AQ186" s="257" t="s">
        <v>477</v>
      </c>
      <c r="AR186" s="285">
        <f>AR161</f>
        <v>571027.15000000014</v>
      </c>
      <c r="AS186" s="285">
        <f>AS161</f>
        <v>570626.22748905607</v>
      </c>
      <c r="AT186" s="285"/>
      <c r="AU186" s="285">
        <f ca="1">AU161</f>
        <v>579205.44132285321</v>
      </c>
      <c r="AV186" s="285">
        <f ca="1">AV161</f>
        <v>8579.2138337973429</v>
      </c>
      <c r="AW186"/>
    </row>
    <row r="187" spans="1:49">
      <c r="E187" s="334"/>
      <c r="F187" s="334"/>
      <c r="G187" s="334"/>
      <c r="J187" s="332"/>
      <c r="K187" s="333"/>
      <c r="L187" s="328"/>
      <c r="M187" s="328"/>
      <c r="N187" s="274"/>
      <c r="O187" s="274"/>
      <c r="P187" s="274"/>
      <c r="Q187" s="274"/>
      <c r="R187" s="274"/>
      <c r="S187" s="274"/>
      <c r="T187" s="274"/>
      <c r="U187" s="274"/>
      <c r="V187" s="274"/>
      <c r="X187" s="283"/>
      <c r="Y187" s="283"/>
      <c r="Z187" s="283"/>
      <c r="AA187" s="283"/>
      <c r="AB187" s="283"/>
      <c r="AC187" s="283"/>
      <c r="AD187" s="283"/>
      <c r="AE187" s="283"/>
      <c r="AF187" s="283"/>
      <c r="AG187" s="283"/>
      <c r="AH187" s="283"/>
      <c r="AI187" s="283"/>
      <c r="AQ187" s="257" t="s">
        <v>528</v>
      </c>
      <c r="AR187" s="285">
        <f>AR169</f>
        <v>721727.7699999999</v>
      </c>
      <c r="AS187" s="285">
        <f>AS169</f>
        <v>766106.58469999989</v>
      </c>
      <c r="AT187" s="285"/>
      <c r="AU187" s="285">
        <f ca="1">AU169</f>
        <v>766106.58469999989</v>
      </c>
      <c r="AV187" s="285">
        <f ca="1">AV169</f>
        <v>0</v>
      </c>
      <c r="AW187"/>
    </row>
    <row r="188" spans="1:49">
      <c r="E188" s="334"/>
      <c r="F188" s="334"/>
      <c r="G188" s="334"/>
      <c r="J188" s="332"/>
      <c r="K188" s="333"/>
      <c r="L188" s="328"/>
      <c r="M188" s="328"/>
      <c r="N188" s="274"/>
      <c r="O188" s="274"/>
      <c r="P188" s="274"/>
      <c r="Q188" s="274"/>
      <c r="R188" s="274"/>
      <c r="S188" s="274"/>
      <c r="T188" s="274"/>
      <c r="U188" s="274"/>
      <c r="V188" s="274"/>
      <c r="X188" s="283"/>
      <c r="Y188" s="283"/>
      <c r="Z188" s="283"/>
      <c r="AA188" s="283"/>
      <c r="AB188" s="283"/>
      <c r="AC188" s="283"/>
      <c r="AD188" s="283"/>
      <c r="AE188" s="283"/>
      <c r="AF188" s="283"/>
      <c r="AG188" s="283"/>
      <c r="AH188" s="283"/>
      <c r="AI188" s="283"/>
      <c r="AQ188" s="257" t="s">
        <v>535</v>
      </c>
      <c r="AR188" s="285">
        <f>AR177</f>
        <v>5594.7000000000007</v>
      </c>
      <c r="AS188" s="285">
        <f>AS177</f>
        <v>5594.7000000000007</v>
      </c>
      <c r="AT188" s="285"/>
      <c r="AU188" s="285">
        <f>AU177</f>
        <v>5594.7000000000007</v>
      </c>
      <c r="AV188" s="285"/>
      <c r="AW188"/>
    </row>
    <row r="189" spans="1:49">
      <c r="E189" s="334"/>
      <c r="F189" s="334"/>
      <c r="G189" s="334"/>
      <c r="J189" s="274"/>
      <c r="K189" s="274"/>
      <c r="L189" s="274"/>
      <c r="M189" s="274"/>
      <c r="N189" s="274"/>
      <c r="O189" s="274"/>
      <c r="P189" s="274"/>
      <c r="Q189" s="274"/>
      <c r="R189" s="274"/>
      <c r="S189" s="274"/>
      <c r="T189" s="274"/>
      <c r="U189" s="274"/>
      <c r="V189" s="274"/>
      <c r="X189" s="283"/>
      <c r="Y189" s="283"/>
      <c r="Z189" s="283"/>
      <c r="AA189" s="283"/>
      <c r="AB189" s="283"/>
      <c r="AC189" s="283"/>
      <c r="AD189" s="283"/>
      <c r="AE189" s="283"/>
      <c r="AF189" s="283"/>
      <c r="AG189" s="283"/>
      <c r="AH189" s="283"/>
      <c r="AI189" s="283"/>
      <c r="AW189"/>
    </row>
    <row r="190" spans="1:49">
      <c r="J190" s="274"/>
      <c r="K190" s="274"/>
      <c r="L190" s="274"/>
      <c r="M190" s="274"/>
      <c r="N190" s="274"/>
      <c r="O190" s="274"/>
      <c r="P190" s="274"/>
      <c r="Q190" s="274"/>
      <c r="R190" s="274"/>
      <c r="S190" s="274"/>
      <c r="T190" s="274"/>
      <c r="U190" s="274"/>
      <c r="V190" s="274"/>
      <c r="X190" s="283"/>
      <c r="Y190" s="283"/>
      <c r="Z190" s="283"/>
      <c r="AA190" s="283"/>
      <c r="AB190" s="283"/>
      <c r="AC190" s="283"/>
      <c r="AD190" s="283"/>
      <c r="AE190" s="283"/>
      <c r="AF190" s="283"/>
      <c r="AG190" s="283"/>
      <c r="AH190" s="283"/>
      <c r="AI190" s="283"/>
      <c r="AQ190" s="253" t="s">
        <v>544</v>
      </c>
      <c r="AR190" s="299">
        <f>SUM(AR183:AR189)</f>
        <v>9311541.5599999987</v>
      </c>
      <c r="AS190" s="299">
        <f>SUM(AS183:AS189)</f>
        <v>9460461.9152179584</v>
      </c>
      <c r="AT190" s="299"/>
      <c r="AU190" s="299">
        <f ca="1">SUM(AU183:AU189)</f>
        <v>10045443.296664359</v>
      </c>
      <c r="AV190" s="299">
        <f ca="1">SUM(AV183:AV189)</f>
        <v>584981.38144639891</v>
      </c>
      <c r="AW190"/>
    </row>
    <row r="191" spans="1:49">
      <c r="J191" s="274"/>
      <c r="K191" s="274"/>
      <c r="L191" s="274"/>
      <c r="M191" s="274"/>
      <c r="N191" s="274"/>
      <c r="O191" s="274"/>
      <c r="P191" s="274"/>
      <c r="Q191" s="274"/>
      <c r="R191" s="274"/>
      <c r="S191" s="274"/>
      <c r="T191" s="274"/>
      <c r="U191" s="274"/>
      <c r="V191" s="274"/>
      <c r="X191" s="283"/>
      <c r="Y191" s="283"/>
      <c r="Z191" s="283"/>
      <c r="AA191" s="283"/>
      <c r="AB191" s="283"/>
      <c r="AC191" s="283"/>
      <c r="AD191" s="283"/>
      <c r="AE191" s="283"/>
      <c r="AF191" s="283"/>
      <c r="AG191" s="283"/>
      <c r="AH191" s="283"/>
      <c r="AI191" s="283"/>
      <c r="AW191"/>
    </row>
    <row r="192" spans="1:49">
      <c r="J192" s="274"/>
      <c r="K192" s="274"/>
      <c r="L192" s="274"/>
      <c r="M192" s="274"/>
      <c r="N192" s="274"/>
      <c r="O192" s="274"/>
      <c r="P192" s="274"/>
      <c r="Q192" s="274"/>
      <c r="R192" s="274"/>
      <c r="S192" s="274"/>
      <c r="T192" s="274"/>
      <c r="U192" s="274"/>
      <c r="V192" s="274"/>
      <c r="X192" s="283"/>
      <c r="Y192" s="283"/>
      <c r="Z192" s="283"/>
      <c r="AA192" s="283"/>
      <c r="AB192" s="283"/>
      <c r="AC192" s="283"/>
      <c r="AD192" s="283"/>
      <c r="AE192" s="283"/>
      <c r="AF192" s="283"/>
      <c r="AG192" s="283"/>
      <c r="AH192" s="283"/>
      <c r="AI192" s="283"/>
      <c r="AQ192"/>
      <c r="AR192"/>
      <c r="AS192"/>
      <c r="AT192"/>
      <c r="AU192"/>
      <c r="AV192"/>
      <c r="AW192"/>
    </row>
    <row r="193" spans="10:49">
      <c r="J193" s="274"/>
      <c r="K193" s="274"/>
      <c r="L193" s="274"/>
      <c r="M193" s="274"/>
      <c r="N193" s="274"/>
      <c r="O193" s="274"/>
      <c r="P193" s="274"/>
      <c r="Q193" s="274"/>
      <c r="R193" s="274"/>
      <c r="S193" s="274"/>
      <c r="T193" s="274"/>
      <c r="U193" s="274"/>
      <c r="V193" s="274"/>
      <c r="X193" s="283"/>
      <c r="Y193" s="283"/>
      <c r="Z193" s="283"/>
      <c r="AA193" s="283"/>
      <c r="AB193" s="283"/>
      <c r="AC193" s="283"/>
      <c r="AD193" s="283"/>
      <c r="AE193" s="283"/>
      <c r="AF193" s="283"/>
      <c r="AG193" s="283"/>
      <c r="AH193" s="283"/>
      <c r="AI193" s="283"/>
      <c r="AQ193"/>
      <c r="AR193"/>
      <c r="AS193"/>
      <c r="AT193"/>
      <c r="AU193"/>
      <c r="AV193"/>
      <c r="AW193"/>
    </row>
    <row r="194" spans="10:49">
      <c r="J194" s="274"/>
      <c r="K194" s="274"/>
      <c r="L194" s="274"/>
      <c r="M194" s="274"/>
      <c r="N194" s="274"/>
      <c r="O194" s="274"/>
      <c r="P194" s="274"/>
      <c r="Q194" s="274"/>
      <c r="R194" s="274"/>
      <c r="S194" s="274"/>
      <c r="T194" s="274"/>
      <c r="U194" s="274"/>
      <c r="V194" s="274"/>
      <c r="X194" s="283"/>
      <c r="Y194" s="283"/>
      <c r="Z194" s="283"/>
      <c r="AA194" s="283"/>
      <c r="AB194" s="283"/>
      <c r="AC194" s="283"/>
      <c r="AD194" s="283"/>
      <c r="AE194" s="283"/>
      <c r="AF194" s="283"/>
      <c r="AG194" s="283"/>
      <c r="AH194" s="283"/>
      <c r="AI194" s="283"/>
      <c r="AQ194" s="253"/>
      <c r="AR194" s="331" t="s">
        <v>545</v>
      </c>
      <c r="AS194" s="331"/>
      <c r="AT194" s="331"/>
      <c r="AU194" s="331"/>
      <c r="AV194" s="331"/>
      <c r="AW194"/>
    </row>
    <row r="195" spans="10:49" ht="24.75">
      <c r="J195" s="274"/>
      <c r="K195" s="274"/>
      <c r="L195" s="274"/>
      <c r="M195" s="274"/>
      <c r="N195" s="274"/>
      <c r="O195" s="274"/>
      <c r="P195" s="274"/>
      <c r="Q195" s="274"/>
      <c r="R195" s="274"/>
      <c r="S195" s="274"/>
      <c r="T195" s="274"/>
      <c r="U195" s="274"/>
      <c r="V195" s="274"/>
      <c r="X195" s="283"/>
      <c r="Y195" s="283"/>
      <c r="Z195" s="283"/>
      <c r="AA195" s="283"/>
      <c r="AB195" s="283"/>
      <c r="AC195" s="283"/>
      <c r="AD195" s="283"/>
      <c r="AE195" s="283"/>
      <c r="AF195" s="283"/>
      <c r="AG195" s="283"/>
      <c r="AH195" s="283"/>
      <c r="AI195" s="283"/>
      <c r="AQ195" s="257"/>
      <c r="AR195" s="264" t="s">
        <v>299</v>
      </c>
      <c r="AS195" s="264" t="s">
        <v>300</v>
      </c>
      <c r="AT195" s="264" t="s">
        <v>301</v>
      </c>
      <c r="AU195" s="264" t="s">
        <v>302</v>
      </c>
      <c r="AV195" s="264" t="s">
        <v>303</v>
      </c>
      <c r="AW195"/>
    </row>
    <row r="196" spans="10:49">
      <c r="J196" s="274"/>
      <c r="K196" s="274"/>
      <c r="L196" s="274"/>
      <c r="M196" s="274"/>
      <c r="N196" s="274"/>
      <c r="O196" s="274"/>
      <c r="P196" s="274"/>
      <c r="Q196" s="274"/>
      <c r="R196" s="274"/>
      <c r="S196" s="274"/>
      <c r="T196" s="274"/>
      <c r="U196" s="274"/>
      <c r="V196" s="274"/>
      <c r="X196" s="283"/>
      <c r="Y196" s="283"/>
      <c r="Z196" s="283"/>
      <c r="AA196" s="283"/>
      <c r="AB196" s="283"/>
      <c r="AC196" s="283"/>
      <c r="AD196" s="283"/>
      <c r="AE196" s="283"/>
      <c r="AF196" s="283"/>
      <c r="AG196" s="283"/>
      <c r="AH196" s="283"/>
      <c r="AI196" s="283"/>
      <c r="AQ196" s="257" t="s">
        <v>307</v>
      </c>
      <c r="AR196" s="285">
        <v>0</v>
      </c>
      <c r="AS196" s="285">
        <v>0</v>
      </c>
      <c r="AT196" s="285">
        <v>0</v>
      </c>
      <c r="AU196" s="285">
        <v>0</v>
      </c>
      <c r="AV196" s="285">
        <v>0</v>
      </c>
      <c r="AW196"/>
    </row>
    <row r="197" spans="10:49">
      <c r="J197" s="274"/>
      <c r="K197" s="274"/>
      <c r="L197" s="274"/>
      <c r="M197" s="274"/>
      <c r="N197" s="274"/>
      <c r="O197" s="274"/>
      <c r="P197" s="274"/>
      <c r="Q197" s="274"/>
      <c r="R197" s="274"/>
      <c r="S197" s="274"/>
      <c r="T197" s="274"/>
      <c r="U197" s="274"/>
      <c r="V197" s="274"/>
      <c r="X197" s="283"/>
      <c r="Y197" s="283"/>
      <c r="Z197" s="283"/>
      <c r="AA197" s="283"/>
      <c r="AB197" s="283"/>
      <c r="AC197" s="283"/>
      <c r="AD197" s="283"/>
      <c r="AE197" s="283"/>
      <c r="AF197" s="283"/>
      <c r="AG197" s="283"/>
      <c r="AH197" s="283"/>
      <c r="AI197" s="283"/>
      <c r="AQ197" s="257" t="s">
        <v>386</v>
      </c>
      <c r="AR197" s="285">
        <v>0</v>
      </c>
      <c r="AS197" s="285">
        <v>0</v>
      </c>
      <c r="AT197" s="285">
        <v>0</v>
      </c>
      <c r="AU197" s="285">
        <v>0</v>
      </c>
      <c r="AV197" s="285">
        <v>0</v>
      </c>
      <c r="AW197"/>
    </row>
    <row r="198" spans="10:49">
      <c r="J198" s="274"/>
      <c r="K198" s="274"/>
      <c r="L198" s="274"/>
      <c r="M198" s="274"/>
      <c r="N198" s="274"/>
      <c r="O198" s="274"/>
      <c r="P198" s="274"/>
      <c r="Q198" s="274"/>
      <c r="R198" s="274"/>
      <c r="S198" s="274"/>
      <c r="T198" s="274"/>
      <c r="U198" s="274"/>
      <c r="V198" s="274"/>
      <c r="AQ198" s="257" t="s">
        <v>409</v>
      </c>
      <c r="AR198" s="285">
        <v>2435.8700000000003</v>
      </c>
      <c r="AS198" s="285">
        <v>2487.3939666917313</v>
      </c>
      <c r="AT198" s="285">
        <v>0</v>
      </c>
      <c r="AU198" s="285">
        <v>2524.7912745986046</v>
      </c>
      <c r="AV198" s="285">
        <v>37.397307906873216</v>
      </c>
      <c r="AW198"/>
    </row>
    <row r="199" spans="10:49">
      <c r="J199" s="274"/>
      <c r="K199" s="274"/>
      <c r="L199" s="274"/>
      <c r="M199" s="274"/>
      <c r="N199" s="274"/>
      <c r="O199" s="274"/>
      <c r="P199" s="274"/>
      <c r="Q199" s="274"/>
      <c r="R199" s="274"/>
      <c r="S199" s="274"/>
      <c r="T199" s="274"/>
      <c r="U199" s="274"/>
      <c r="V199" s="274"/>
      <c r="AQ199" s="257" t="s">
        <v>477</v>
      </c>
      <c r="AR199" s="285">
        <v>168984.2</v>
      </c>
      <c r="AS199" s="285">
        <v>168860.88025911865</v>
      </c>
      <c r="AT199" s="285">
        <v>0</v>
      </c>
      <c r="AU199" s="285">
        <v>171399.65876266017</v>
      </c>
      <c r="AV199" s="285">
        <v>2538.7785035415591</v>
      </c>
      <c r="AW199"/>
    </row>
    <row r="200" spans="10:49">
      <c r="AQ200" s="257" t="s">
        <v>528</v>
      </c>
      <c r="AR200" s="285">
        <v>271642.11</v>
      </c>
      <c r="AS200" s="285">
        <v>271642.11</v>
      </c>
      <c r="AT200" s="285">
        <v>0</v>
      </c>
      <c r="AU200" s="285">
        <v>271642.11</v>
      </c>
      <c r="AV200" s="285">
        <v>0</v>
      </c>
      <c r="AW200"/>
    </row>
    <row r="201" spans="10:49">
      <c r="AQ201" s="257" t="s">
        <v>535</v>
      </c>
      <c r="AR201" s="285">
        <v>580.96</v>
      </c>
      <c r="AS201" s="285">
        <v>580.96</v>
      </c>
      <c r="AT201" s="285">
        <v>0</v>
      </c>
      <c r="AU201" s="285">
        <v>580.96</v>
      </c>
      <c r="AV201" s="285">
        <v>0</v>
      </c>
      <c r="AW201"/>
    </row>
    <row r="202" spans="10:49">
      <c r="AW202"/>
    </row>
    <row r="203" spans="10:49">
      <c r="AQ203" s="253" t="s">
        <v>544</v>
      </c>
      <c r="AR203" s="299">
        <f>SUM(AR196:AR202)</f>
        <v>443643.14</v>
      </c>
      <c r="AS203" s="299">
        <f>SUM(AS196:AS202)</f>
        <v>443571.34422581043</v>
      </c>
      <c r="AT203" s="299"/>
      <c r="AU203" s="299">
        <f>SUM(AU196:AU202)</f>
        <v>446147.5200372588</v>
      </c>
      <c r="AV203" s="299">
        <f>SUM(AV196:AV202)</f>
        <v>2576.1758114484323</v>
      </c>
      <c r="AW203"/>
    </row>
    <row r="204" spans="10:49">
      <c r="AR204"/>
      <c r="AS204"/>
      <c r="AT204"/>
      <c r="AU204"/>
      <c r="AV204"/>
      <c r="AW204"/>
    </row>
    <row r="205" spans="10:49">
      <c r="AR205"/>
      <c r="AS205"/>
      <c r="AT205"/>
      <c r="AU205"/>
      <c r="AV205"/>
      <c r="AW205"/>
    </row>
    <row r="206" spans="10:49">
      <c r="AL206"/>
      <c r="AM206"/>
      <c r="AN206"/>
      <c r="AO206"/>
      <c r="AP206"/>
      <c r="AQ206"/>
      <c r="AR206" s="253"/>
      <c r="AS206" s="253"/>
      <c r="AT206" s="253"/>
      <c r="AU206" s="253"/>
      <c r="AV206" s="253"/>
      <c r="AW206"/>
    </row>
    <row r="207" spans="10:49">
      <c r="AL207"/>
      <c r="AM207"/>
      <c r="AN207"/>
      <c r="AO207"/>
      <c r="AP207"/>
    </row>
    <row r="208" spans="10:49">
      <c r="AL208"/>
      <c r="AM208"/>
      <c r="AN208"/>
      <c r="AO208"/>
      <c r="AQ208" s="253"/>
      <c r="AR208" s="331" t="s">
        <v>546</v>
      </c>
      <c r="AS208" s="331"/>
      <c r="AT208" s="331"/>
      <c r="AU208" s="331"/>
      <c r="AV208" s="331"/>
    </row>
    <row r="209" spans="38:49" ht="24.75">
      <c r="AL209"/>
      <c r="AM209"/>
      <c r="AN209"/>
      <c r="AO209"/>
      <c r="AQ209" s="257"/>
      <c r="AR209" s="264" t="s">
        <v>299</v>
      </c>
      <c r="AS209" s="264" t="s">
        <v>300</v>
      </c>
      <c r="AT209" s="264" t="s">
        <v>301</v>
      </c>
      <c r="AU209" s="264" t="s">
        <v>302</v>
      </c>
      <c r="AV209" s="264" t="s">
        <v>303</v>
      </c>
    </row>
    <row r="210" spans="38:49">
      <c r="AL210"/>
      <c r="AM210"/>
      <c r="AN210"/>
      <c r="AO210"/>
      <c r="AQ210" s="257" t="s">
        <v>307</v>
      </c>
      <c r="AR210" s="285">
        <f t="shared" ref="AR210:AS215" si="88">AR183+AR196</f>
        <v>4655055.6900000004</v>
      </c>
      <c r="AS210" s="285">
        <f t="shared" si="88"/>
        <v>4728313.6071556471</v>
      </c>
      <c r="AT210" s="285"/>
      <c r="AU210" s="285">
        <f t="shared" ref="AU210:AV215" ca="1" si="89">AU183+AU196</f>
        <v>4799402.5469114361</v>
      </c>
      <c r="AV210" s="285">
        <f t="shared" ca="1" si="89"/>
        <v>71088.939755787738</v>
      </c>
      <c r="AW210" s="335"/>
    </row>
    <row r="211" spans="38:49">
      <c r="AL211"/>
      <c r="AM211"/>
      <c r="AN211"/>
      <c r="AO211"/>
      <c r="AQ211" s="257" t="s">
        <v>386</v>
      </c>
      <c r="AR211" s="285">
        <f t="shared" si="88"/>
        <v>1746153.1700000002</v>
      </c>
      <c r="AS211" s="285">
        <f t="shared" si="88"/>
        <v>1745198.1780027137</v>
      </c>
      <c r="AT211" s="285"/>
      <c r="AU211" s="285">
        <f t="shared" ca="1" si="89"/>
        <v>2225784.9414334218</v>
      </c>
      <c r="AV211" s="285">
        <f t="shared" ca="1" si="89"/>
        <v>480586.7634307082</v>
      </c>
      <c r="AW211" s="335"/>
    </row>
    <row r="212" spans="38:49">
      <c r="AL212"/>
      <c r="AM212"/>
      <c r="AN212"/>
      <c r="AO212"/>
      <c r="AQ212" s="257" t="s">
        <v>409</v>
      </c>
      <c r="AR212" s="285">
        <f t="shared" si="88"/>
        <v>1614418.95</v>
      </c>
      <c r="AS212" s="285">
        <f t="shared" si="88"/>
        <v>1647110.0118372345</v>
      </c>
      <c r="AT212" s="285"/>
      <c r="AU212" s="285">
        <f t="shared" ca="1" si="89"/>
        <v>1671873.8735712466</v>
      </c>
      <c r="AV212" s="285">
        <f t="shared" ca="1" si="89"/>
        <v>24763.861734012455</v>
      </c>
      <c r="AW212" s="335"/>
    </row>
    <row r="213" spans="38:49">
      <c r="AL213"/>
      <c r="AM213"/>
      <c r="AN213"/>
      <c r="AO213"/>
      <c r="AQ213" s="257" t="s">
        <v>477</v>
      </c>
      <c r="AR213" s="285">
        <f t="shared" si="88"/>
        <v>740011.35000000009</v>
      </c>
      <c r="AS213" s="285">
        <f t="shared" si="88"/>
        <v>739487.10774817469</v>
      </c>
      <c r="AT213" s="285"/>
      <c r="AU213" s="285">
        <f t="shared" ca="1" si="89"/>
        <v>750605.10008551343</v>
      </c>
      <c r="AV213" s="285">
        <f t="shared" ca="1" si="89"/>
        <v>11117.992337338903</v>
      </c>
      <c r="AW213" s="335"/>
    </row>
    <row r="214" spans="38:49">
      <c r="AL214"/>
      <c r="AM214"/>
      <c r="AN214"/>
      <c r="AO214"/>
      <c r="AQ214" s="257" t="s">
        <v>528</v>
      </c>
      <c r="AR214" s="285">
        <f t="shared" si="88"/>
        <v>993369.87999999989</v>
      </c>
      <c r="AS214" s="285">
        <f t="shared" si="88"/>
        <v>1037748.6946999999</v>
      </c>
      <c r="AT214" s="285"/>
      <c r="AU214" s="285">
        <f t="shared" ca="1" si="89"/>
        <v>1037748.6946999999</v>
      </c>
      <c r="AV214" s="285">
        <f t="shared" ca="1" si="89"/>
        <v>0</v>
      </c>
      <c r="AW214" s="335"/>
    </row>
    <row r="215" spans="38:49">
      <c r="AL215"/>
      <c r="AM215"/>
      <c r="AN215"/>
      <c r="AO215"/>
      <c r="AQ215" s="257" t="s">
        <v>535</v>
      </c>
      <c r="AR215" s="285">
        <f t="shared" si="88"/>
        <v>6175.6600000000008</v>
      </c>
      <c r="AS215" s="285">
        <f t="shared" si="88"/>
        <v>6175.6600000000008</v>
      </c>
      <c r="AT215" s="285"/>
      <c r="AU215" s="285">
        <f t="shared" si="89"/>
        <v>6175.6600000000008</v>
      </c>
      <c r="AV215" s="285">
        <f t="shared" si="89"/>
        <v>0</v>
      </c>
      <c r="AW215" s="335"/>
    </row>
    <row r="216" spans="38:49">
      <c r="AL216"/>
      <c r="AM216"/>
      <c r="AN216"/>
      <c r="AO216"/>
    </row>
    <row r="217" spans="38:49">
      <c r="AL217"/>
      <c r="AM217"/>
      <c r="AN217"/>
      <c r="AO217"/>
      <c r="AQ217" s="256" t="s">
        <v>544</v>
      </c>
      <c r="AR217" s="299">
        <f>SUM(AR210:AR216)</f>
        <v>9755184.6999999993</v>
      </c>
      <c r="AS217" s="299">
        <f>SUM(AS210:AS216)</f>
        <v>9904033.2594437711</v>
      </c>
      <c r="AT217" s="299"/>
      <c r="AU217" s="299">
        <f ca="1">SUM(AU210:AU216)</f>
        <v>10491590.816701617</v>
      </c>
      <c r="AV217" s="299">
        <f ca="1">SUM(AV210:AV216)</f>
        <v>587557.55725784728</v>
      </c>
    </row>
    <row r="218" spans="38:49">
      <c r="AT218" s="336" t="s">
        <v>547</v>
      </c>
      <c r="AU218" s="337">
        <v>10491590.779936383</v>
      </c>
    </row>
    <row r="219" spans="38:49" ht="15.75" thickBot="1">
      <c r="AT219" s="336" t="s">
        <v>548</v>
      </c>
      <c r="AU219" s="338">
        <f ca="1">AU217-AU218</f>
        <v>3.6765234544873238E-2</v>
      </c>
      <c r="AW219" s="260"/>
    </row>
    <row r="220" spans="38:49">
      <c r="AQ220" s="339" t="s">
        <v>549</v>
      </c>
      <c r="AR220" s="340" t="s">
        <v>550</v>
      </c>
      <c r="AS220" s="341" t="s">
        <v>551</v>
      </c>
      <c r="AT220" s="342" t="s">
        <v>552</v>
      </c>
      <c r="AW220" s="260"/>
    </row>
    <row r="221" spans="38:49">
      <c r="AQ221" s="343" t="s">
        <v>284</v>
      </c>
      <c r="AR221" s="260">
        <f ca="1">AR223-AR222</f>
        <v>110917.11373889423</v>
      </c>
      <c r="AS221" s="260">
        <f ca="1">SUM(AV210,AV212:AV215)</f>
        <v>106970.79382713909</v>
      </c>
      <c r="AT221" s="344">
        <f ca="1">+AS221-AR221</f>
        <v>-3946.3199117551412</v>
      </c>
    </row>
    <row r="222" spans="38:49">
      <c r="AQ222" s="343" t="s">
        <v>286</v>
      </c>
      <c r="AR222" s="260">
        <f ca="1">'LG BRG - Recycle'!J20</f>
        <v>481269.29745353223</v>
      </c>
      <c r="AS222" s="260">
        <f ca="1">AV211</f>
        <v>480586.7634307082</v>
      </c>
      <c r="AT222" s="344">
        <f ca="1">+AS222-AR222</f>
        <v>-682.53402282402385</v>
      </c>
    </row>
    <row r="223" spans="38:49" ht="15.75" thickBot="1">
      <c r="AQ223" s="345" t="s">
        <v>93</v>
      </c>
      <c r="AR223" s="346">
        <v>592186.41119242646</v>
      </c>
      <c r="AS223" s="346">
        <f ca="1">SUM(AS221:AS222)</f>
        <v>587557.55725784728</v>
      </c>
      <c r="AT223" s="347">
        <f ca="1">SUM(AT221:AT222)</f>
        <v>-4628.8539345791651</v>
      </c>
    </row>
    <row r="225" spans="43:49">
      <c r="AQ225"/>
      <c r="AR225"/>
      <c r="AS225"/>
      <c r="AT225"/>
    </row>
    <row r="226" spans="43:49">
      <c r="AQ226"/>
      <c r="AR226"/>
      <c r="AS226"/>
      <c r="AT226"/>
    </row>
    <row r="227" spans="43:49">
      <c r="AQ227"/>
      <c r="AR227"/>
      <c r="AS227"/>
      <c r="AT227"/>
    </row>
    <row r="228" spans="43:49">
      <c r="AQ228"/>
      <c r="AR228"/>
      <c r="AS228"/>
      <c r="AT228"/>
    </row>
    <row r="233" spans="43:49">
      <c r="AQ233"/>
      <c r="AR233"/>
      <c r="AS233"/>
      <c r="AT233"/>
      <c r="AU233"/>
      <c r="AV233"/>
      <c r="AW233"/>
    </row>
    <row r="234" spans="43:49">
      <c r="AQ234"/>
      <c r="AR234"/>
      <c r="AS234"/>
      <c r="AT234"/>
      <c r="AU234"/>
      <c r="AV234"/>
      <c r="AW234"/>
    </row>
    <row r="235" spans="43:49">
      <c r="AQ235"/>
      <c r="AR235"/>
      <c r="AS235"/>
      <c r="AT235"/>
      <c r="AU235"/>
      <c r="AV235"/>
      <c r="AW235"/>
    </row>
    <row r="236" spans="43:49">
      <c r="AQ236"/>
      <c r="AR236"/>
      <c r="AS236"/>
      <c r="AT236"/>
      <c r="AU236"/>
      <c r="AV236"/>
      <c r="AW236"/>
    </row>
    <row r="237" spans="43:49">
      <c r="AQ237"/>
      <c r="AR237"/>
      <c r="AS237"/>
      <c r="AT237"/>
      <c r="AU237"/>
      <c r="AV237"/>
      <c r="AW237"/>
    </row>
    <row r="238" spans="43:49">
      <c r="AQ238"/>
      <c r="AR238"/>
      <c r="AS238"/>
      <c r="AT238"/>
      <c r="AU238"/>
      <c r="AV238"/>
      <c r="AW238"/>
    </row>
    <row r="239" spans="43:49">
      <c r="AQ239"/>
      <c r="AR239"/>
      <c r="AS239"/>
      <c r="AT239"/>
      <c r="AU239"/>
      <c r="AV239"/>
      <c r="AW239"/>
    </row>
    <row r="240" spans="43:49">
      <c r="AQ240"/>
      <c r="AR240"/>
      <c r="AS240"/>
      <c r="AT240"/>
      <c r="AU240"/>
      <c r="AV240"/>
      <c r="AW240"/>
    </row>
    <row r="241" spans="43:49">
      <c r="AQ241"/>
      <c r="AR241"/>
      <c r="AS241"/>
      <c r="AT241"/>
      <c r="AU241"/>
      <c r="AV241"/>
      <c r="AW241"/>
    </row>
    <row r="242" spans="43:49">
      <c r="AQ242"/>
      <c r="AR242"/>
      <c r="AS242"/>
      <c r="AT242"/>
      <c r="AU242"/>
      <c r="AV242"/>
      <c r="AW242"/>
    </row>
    <row r="243" spans="43:49">
      <c r="AQ243"/>
      <c r="AR243"/>
      <c r="AS243"/>
      <c r="AT243"/>
      <c r="AU243"/>
      <c r="AV243"/>
      <c r="AW243"/>
    </row>
    <row r="244" spans="43:49">
      <c r="AQ244"/>
      <c r="AR244"/>
      <c r="AS244"/>
      <c r="AT244"/>
      <c r="AU244"/>
      <c r="AV244"/>
      <c r="AW244"/>
    </row>
    <row r="245" spans="43:49">
      <c r="AQ245"/>
      <c r="AR245"/>
      <c r="AS245"/>
      <c r="AT245"/>
      <c r="AU245"/>
      <c r="AV245"/>
      <c r="AW245"/>
    </row>
    <row r="246" spans="43:49">
      <c r="AQ246"/>
      <c r="AR246"/>
      <c r="AS246"/>
      <c r="AT246"/>
      <c r="AU246"/>
      <c r="AV246"/>
      <c r="AW246"/>
    </row>
    <row r="247" spans="43:49">
      <c r="AQ247"/>
      <c r="AR247"/>
      <c r="AS247"/>
      <c r="AT247"/>
      <c r="AU247"/>
      <c r="AV247"/>
      <c r="AW247"/>
    </row>
    <row r="248" spans="43:49">
      <c r="AQ248"/>
      <c r="AR248"/>
      <c r="AS248"/>
      <c r="AT248"/>
      <c r="AU248"/>
      <c r="AV248"/>
      <c r="AW248"/>
    </row>
    <row r="249" spans="43:49">
      <c r="AQ249"/>
      <c r="AR249"/>
      <c r="AS249"/>
      <c r="AT249"/>
      <c r="AU249"/>
      <c r="AV249"/>
      <c r="AW249"/>
    </row>
    <row r="250" spans="43:49">
      <c r="AQ250"/>
      <c r="AR250"/>
      <c r="AS250"/>
      <c r="AT250"/>
      <c r="AU250"/>
      <c r="AV250"/>
      <c r="AW250"/>
    </row>
    <row r="251" spans="43:49">
      <c r="AQ251"/>
      <c r="AR251"/>
      <c r="AS251"/>
      <c r="AT251"/>
      <c r="AU251"/>
      <c r="AV251"/>
      <c r="AW251"/>
    </row>
    <row r="252" spans="43:49">
      <c r="AQ252"/>
      <c r="AR252"/>
      <c r="AS252"/>
      <c r="AT252"/>
      <c r="AU252"/>
      <c r="AV252"/>
      <c r="AW252"/>
    </row>
    <row r="253" spans="43:49">
      <c r="AQ253"/>
      <c r="AR253"/>
      <c r="AS253"/>
      <c r="AT253"/>
      <c r="AU253"/>
      <c r="AV253"/>
      <c r="AW253"/>
    </row>
    <row r="254" spans="43:49">
      <c r="AQ254"/>
      <c r="AR254"/>
      <c r="AS254"/>
      <c r="AT254"/>
      <c r="AU254"/>
      <c r="AV254"/>
      <c r="AW254"/>
    </row>
    <row r="255" spans="43:49">
      <c r="AQ255"/>
      <c r="AR255"/>
      <c r="AS255"/>
      <c r="AT255"/>
      <c r="AU255"/>
      <c r="AV255"/>
      <c r="AW255"/>
    </row>
    <row r="256" spans="43:49">
      <c r="AQ256"/>
      <c r="AR256"/>
      <c r="AS256"/>
      <c r="AT256"/>
      <c r="AU256"/>
      <c r="AV256"/>
      <c r="AW256"/>
    </row>
    <row r="257" spans="43:49">
      <c r="AQ257"/>
      <c r="AR257"/>
      <c r="AS257"/>
      <c r="AT257"/>
      <c r="AU257"/>
      <c r="AV257"/>
      <c r="AW257"/>
    </row>
    <row r="258" spans="43:49">
      <c r="AQ258"/>
      <c r="AR258"/>
      <c r="AS258"/>
      <c r="AT258"/>
      <c r="AU258"/>
      <c r="AV258"/>
      <c r="AW258"/>
    </row>
    <row r="259" spans="43:49">
      <c r="AQ259"/>
      <c r="AR259"/>
      <c r="AS259"/>
      <c r="AT259"/>
      <c r="AU259"/>
      <c r="AV259"/>
      <c r="AW259"/>
    </row>
    <row r="260" spans="43:49">
      <c r="AQ260"/>
      <c r="AR260"/>
      <c r="AS260"/>
      <c r="AT260"/>
      <c r="AU260"/>
      <c r="AV260"/>
      <c r="AW260"/>
    </row>
    <row r="261" spans="43:49">
      <c r="AQ261"/>
      <c r="AR261"/>
      <c r="AS261"/>
      <c r="AT261"/>
      <c r="AU261"/>
      <c r="AV261"/>
      <c r="AW261"/>
    </row>
    <row r="262" spans="43:49">
      <c r="AQ262"/>
      <c r="AR262"/>
      <c r="AS262"/>
      <c r="AT262"/>
      <c r="AU262"/>
      <c r="AV262"/>
      <c r="AW262"/>
    </row>
    <row r="263" spans="43:49">
      <c r="AQ263"/>
      <c r="AR263"/>
      <c r="AS263"/>
      <c r="AT263"/>
      <c r="AU263"/>
      <c r="AV263"/>
      <c r="AW263"/>
    </row>
    <row r="264" spans="43:49">
      <c r="AQ264"/>
      <c r="AR264"/>
      <c r="AS264"/>
      <c r="AT264"/>
      <c r="AU264"/>
      <c r="AV264"/>
      <c r="AW264"/>
    </row>
    <row r="265" spans="43:49">
      <c r="AQ265"/>
      <c r="AR265"/>
      <c r="AS265"/>
      <c r="AT265"/>
      <c r="AU265"/>
      <c r="AV265"/>
      <c r="AW265"/>
    </row>
    <row r="266" spans="43:49">
      <c r="AQ266"/>
      <c r="AR266"/>
      <c r="AS266"/>
      <c r="AT266"/>
      <c r="AU266"/>
      <c r="AV266"/>
      <c r="AW266"/>
    </row>
    <row r="267" spans="43:49">
      <c r="AQ267"/>
      <c r="AR267"/>
      <c r="AS267"/>
      <c r="AT267"/>
      <c r="AU267"/>
      <c r="AV267"/>
      <c r="AW267"/>
    </row>
    <row r="268" spans="43:49">
      <c r="AQ268"/>
      <c r="AR268"/>
      <c r="AS268"/>
      <c r="AT268"/>
      <c r="AU268"/>
      <c r="AV268"/>
      <c r="AW268"/>
    </row>
    <row r="269" spans="43:49">
      <c r="AQ269"/>
      <c r="AR269"/>
      <c r="AS269"/>
      <c r="AT269"/>
      <c r="AU269"/>
      <c r="AV269"/>
      <c r="AW269"/>
    </row>
    <row r="270" spans="43:49">
      <c r="AQ270"/>
      <c r="AR270"/>
      <c r="AS270"/>
      <c r="AT270"/>
      <c r="AU270"/>
      <c r="AV270"/>
      <c r="AW270"/>
    </row>
    <row r="271" spans="43:49">
      <c r="AQ271"/>
      <c r="AR271"/>
      <c r="AS271"/>
      <c r="AT271"/>
      <c r="AU271"/>
      <c r="AV271"/>
      <c r="AW271"/>
    </row>
    <row r="272" spans="43:49">
      <c r="AQ272"/>
      <c r="AR272"/>
      <c r="AS272"/>
      <c r="AT272"/>
      <c r="AU272"/>
      <c r="AV272"/>
      <c r="AW272"/>
    </row>
    <row r="273" spans="43:49">
      <c r="AQ273"/>
      <c r="AR273"/>
      <c r="AS273"/>
      <c r="AT273"/>
      <c r="AU273"/>
      <c r="AV273"/>
      <c r="AW273"/>
    </row>
    <row r="274" spans="43:49">
      <c r="AQ274"/>
      <c r="AR274"/>
      <c r="AS274"/>
      <c r="AT274"/>
      <c r="AU274"/>
      <c r="AV274"/>
      <c r="AW274"/>
    </row>
    <row r="275" spans="43:49">
      <c r="AQ275"/>
      <c r="AR275"/>
      <c r="AS275"/>
      <c r="AT275"/>
      <c r="AU275"/>
      <c r="AV275"/>
      <c r="AW275"/>
    </row>
    <row r="276" spans="43:49">
      <c r="AQ276"/>
      <c r="AR276"/>
      <c r="AS276"/>
      <c r="AT276"/>
      <c r="AU276"/>
      <c r="AV276"/>
      <c r="AW276"/>
    </row>
    <row r="277" spans="43:49">
      <c r="AQ277"/>
      <c r="AR277"/>
      <c r="AS277"/>
      <c r="AT277"/>
      <c r="AU277"/>
      <c r="AV277"/>
      <c r="AW277"/>
    </row>
    <row r="278" spans="43:49">
      <c r="AQ278"/>
      <c r="AR278"/>
      <c r="AS278"/>
      <c r="AT278"/>
      <c r="AU278"/>
      <c r="AV278"/>
      <c r="AW278"/>
    </row>
    <row r="279" spans="43:49">
      <c r="AQ279"/>
      <c r="AR279"/>
      <c r="AS279"/>
      <c r="AT279"/>
      <c r="AU279"/>
      <c r="AV279"/>
      <c r="AW279"/>
    </row>
    <row r="280" spans="43:49">
      <c r="AQ280"/>
      <c r="AR280"/>
      <c r="AS280"/>
      <c r="AT280"/>
      <c r="AU280"/>
      <c r="AV280"/>
      <c r="AW280"/>
    </row>
    <row r="281" spans="43:49">
      <c r="AQ281"/>
      <c r="AR281"/>
      <c r="AS281"/>
      <c r="AT281"/>
      <c r="AU281"/>
      <c r="AV281"/>
      <c r="AW281"/>
    </row>
    <row r="282" spans="43:49">
      <c r="AQ282"/>
      <c r="AR282"/>
      <c r="AS282"/>
      <c r="AT282"/>
      <c r="AU282"/>
      <c r="AV282"/>
      <c r="AW282"/>
    </row>
    <row r="283" spans="43:49">
      <c r="AQ283"/>
      <c r="AR283"/>
      <c r="AS283"/>
      <c r="AT283"/>
      <c r="AU283"/>
      <c r="AV283"/>
      <c r="AW283"/>
    </row>
    <row r="284" spans="43:49">
      <c r="AQ284"/>
      <c r="AR284"/>
      <c r="AS284"/>
      <c r="AT284"/>
      <c r="AU284"/>
      <c r="AV284"/>
      <c r="AW284"/>
    </row>
  </sheetData>
  <autoFilter ref="C5:H175" xr:uid="{76052F48-4D0B-4AB0-8B4C-7DF68698C810}"/>
  <mergeCells count="1">
    <mergeCell ref="AL4:AP4"/>
  </mergeCells>
  <pageMargins left="0.25" right="0.25" top="0.75" bottom="0.75" header="0.3" footer="0.3"/>
  <pageSetup scale="70" orientation="landscape" errors="blank" r:id="rId1"/>
  <headerFooter>
    <oddHeader>&amp;C&amp;"-,Bold"&amp;KFF0000TEXT IN RED BOX CONFIDENTIAL PER WAC 480-07-160</oddHeader>
  </headerFooter>
  <rowBreaks count="2" manualBreakCount="2">
    <brk id="125" max="16383" man="1"/>
    <brk id="174" max="48" man="1"/>
  </rowBreaks>
  <colBreaks count="2" manualBreakCount="2">
    <brk id="22" max="1048575" man="1"/>
    <brk id="42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C34421F042F2FA43A925E44885FF5E9F" ma:contentTypeVersion="19" ma:contentTypeDescription="" ma:contentTypeScope="" ma:versionID="85a2b7f6bd55b30e2d638bdb5ca3a344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TG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227</IndustryCode>
    <CaseStatus xmlns="dc463f71-b30c-4ab2-9473-d307f9d35888">Pending</CaseStatus>
    <OpenedDate xmlns="dc463f71-b30c-4ab2-9473-d307f9d35888">2025-08-21T07:00:00+00:00</OpenedDate>
    <SignificantOrder xmlns="dc463f71-b30c-4ab2-9473-d307f9d35888">false</SignificantOrder>
    <Date1 xmlns="dc463f71-b30c-4ab2-9473-d307f9d35888">2025-08-22T07:00:00+00:00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Mason County Garbage Co., Inc.  </CaseCompanyNames>
    <Nickname xmlns="http://schemas.microsoft.com/sharepoint/v3" xsi:nil="true"/>
    <DocketNumber xmlns="dc463f71-b30c-4ab2-9473-d307f9d35888">250632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AE506AE4-3068-49A1-9CB5-28FE6D01BC9A}"/>
</file>

<file path=customXml/itemProps2.xml><?xml version="1.0" encoding="utf-8"?>
<ds:datastoreItem xmlns:ds="http://schemas.openxmlformats.org/officeDocument/2006/customXml" ds:itemID="{03440FA1-D11F-4118-AFFE-D1B5EF2DDF14}"/>
</file>

<file path=customXml/itemProps3.xml><?xml version="1.0" encoding="utf-8"?>
<ds:datastoreItem xmlns:ds="http://schemas.openxmlformats.org/officeDocument/2006/customXml" ds:itemID="{5429414A-9ABD-4227-AF46-47BAF1B864E1}"/>
</file>

<file path=customXml/itemProps4.xml><?xml version="1.0" encoding="utf-8"?>
<ds:datastoreItem xmlns:ds="http://schemas.openxmlformats.org/officeDocument/2006/customXml" ds:itemID="{B31BB1AD-3E26-4075-B610-876DD55EEC43}"/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34</vt:i4>
      </vt:variant>
    </vt:vector>
  </HeadingPairs>
  <TitlesOfParts>
    <vt:vector size="38" baseType="lpstr">
      <vt:lpstr>Rate Sheet</vt:lpstr>
      <vt:lpstr>LG BRG - MSW</vt:lpstr>
      <vt:lpstr>LG BRG - Recycle</vt:lpstr>
      <vt:lpstr>Mason Co. Reg. - Price Out (C)</vt:lpstr>
      <vt:lpstr>'LG BRG - MSW'!Debt_Rate</vt:lpstr>
      <vt:lpstr>'LG BRG - Recycle'!Debt_Rate</vt:lpstr>
      <vt:lpstr>'LG BRG - MSW'!debtP</vt:lpstr>
      <vt:lpstr>'LG BRG - Recycle'!debtP</vt:lpstr>
      <vt:lpstr>'LG BRG - MSW'!Equity_percent</vt:lpstr>
      <vt:lpstr>'LG BRG - Recycle'!Equity_percent</vt:lpstr>
      <vt:lpstr>'LG BRG - MSW'!equityP</vt:lpstr>
      <vt:lpstr>'LG BRG - Recycle'!equityP</vt:lpstr>
      <vt:lpstr>'LG BRG - MSW'!expenses</vt:lpstr>
      <vt:lpstr>'LG BRG - Recycle'!expenses</vt:lpstr>
      <vt:lpstr>'LG BRG - MSW'!Investment</vt:lpstr>
      <vt:lpstr>'LG BRG - Recycle'!Investment</vt:lpstr>
      <vt:lpstr>'LG BRG - MSW'!Pfd_weighted</vt:lpstr>
      <vt:lpstr>'LG BRG - Recycle'!Pfd_weighted</vt:lpstr>
      <vt:lpstr>'LG BRG - MSW'!Print_Area</vt:lpstr>
      <vt:lpstr>'LG BRG - Recycle'!Print_Area</vt:lpstr>
      <vt:lpstr>'Rate Sheet'!Print_Area</vt:lpstr>
      <vt:lpstr>'Rate Sheet'!Print_Titles</vt:lpstr>
      <vt:lpstr>'LG BRG - MSW'!regDebt_weighted</vt:lpstr>
      <vt:lpstr>'LG BRG - Recycle'!regDebt_weighted</vt:lpstr>
      <vt:lpstr>'LG BRG - MSW'!Revenue</vt:lpstr>
      <vt:lpstr>'LG BRG - Recycle'!Revenue</vt:lpstr>
      <vt:lpstr>'LG BRG - MSW'!slope</vt:lpstr>
      <vt:lpstr>'LG BRG - Recycle'!slope</vt:lpstr>
      <vt:lpstr>'LG BRG - MSW'!taxrate</vt:lpstr>
      <vt:lpstr>'LG BRG - Recycle'!taxrate</vt:lpstr>
      <vt:lpstr>'LG BRG - MSW'!y_inter1</vt:lpstr>
      <vt:lpstr>'LG BRG - Recycle'!y_inter1</vt:lpstr>
      <vt:lpstr>'LG BRG - MSW'!y_inter2</vt:lpstr>
      <vt:lpstr>'LG BRG - Recycle'!y_inter2</vt:lpstr>
      <vt:lpstr>'LG BRG - MSW'!y_inter3</vt:lpstr>
      <vt:lpstr>'LG BRG - Recycle'!y_inter3</vt:lpstr>
      <vt:lpstr>'LG BRG - MSW'!y_inter4</vt:lpstr>
      <vt:lpstr>'LG BRG - Recycle'!y_inter4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Vandenburg</dc:creator>
  <cp:lastModifiedBy>Booth, Avery (UTC)</cp:lastModifiedBy>
  <cp:lastPrinted>2025-08-21T01:06:24Z</cp:lastPrinted>
  <dcterms:created xsi:type="dcterms:W3CDTF">2025-08-15T17:57:28Z</dcterms:created>
  <dcterms:modified xsi:type="dcterms:W3CDTF">2025-08-22T16:39:35Z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0x0101006E56B4D1795A2E4DB2F0B01679ED314A00C34421F042F2FA43A925E44885FF5E9F</vt:lpwstr>
  </property>
</Properties>
</file>