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wcnx.org\Regions\Western Region\2000 Western Region Office\WUTC\WUTC - Sanitary Disposal 2054\Misc Filing\B&amp;O Tax Update 10.1.2025\"/>
    </mc:Choice>
  </mc:AlternateContent>
  <xr:revisionPtr revIDLastSave="0" documentId="13_ncr:1_{EDAB70F7-D9B2-44FD-BEB5-960FCC930C58}" xr6:coauthVersionLast="47" xr6:coauthVersionMax="47" xr10:uidLastSave="{00000000-0000-0000-0000-000000000000}"/>
  <bookViews>
    <workbookView xWindow="28680" yWindow="1425" windowWidth="29040" windowHeight="15840" activeTab="2" xr2:uid="{B33059C5-6F27-4BB6-8140-7E7FD82EF5B7}"/>
  </bookViews>
  <sheets>
    <sheet name="STAFF Rate Sheet" sheetId="4" r:id="rId1"/>
    <sheet name="STAFF LG Public (2)" sheetId="2" r:id="rId2"/>
    <sheet name="STAFF Price Out" sheetId="3" r:id="rId3"/>
  </sheets>
  <definedNames>
    <definedName name="\6">#REF!</definedName>
    <definedName name="\7">#REF!</definedName>
    <definedName name="\A">#REF!</definedName>
    <definedName name="\c">#REF!</definedName>
    <definedName name="\D">#REF!</definedName>
    <definedName name="\E">#REF!</definedName>
    <definedName name="\M">#REF!</definedName>
    <definedName name="\p">#REF!</definedName>
    <definedName name="\R">#REF!</definedName>
    <definedName name="\S">#REF!</definedName>
    <definedName name="\Y">#REF!</definedName>
    <definedName name="\z">#REF!</definedName>
    <definedName name="______________CYA1">#REF!</definedName>
    <definedName name="______________CYA10">#REF!</definedName>
    <definedName name="______________CYA11">#REF!</definedName>
    <definedName name="______________CYA2">#REF!</definedName>
    <definedName name="______________CYA3">#REF!</definedName>
    <definedName name="______________CYA4">#REF!</definedName>
    <definedName name="______________CYA5">#REF!</definedName>
    <definedName name="______________CYA6">#REF!</definedName>
    <definedName name="______________CYA7">#REF!</definedName>
    <definedName name="______________CYA8">#REF!</definedName>
    <definedName name="______________CYA9">#REF!</definedName>
    <definedName name="______________LYA12">#REF!</definedName>
    <definedName name="_____________CYA1">#REF!</definedName>
    <definedName name="_____________CYA10">#REF!</definedName>
    <definedName name="_____________CYA11">#REF!</definedName>
    <definedName name="_____________CYA2">#REF!</definedName>
    <definedName name="_____________CYA3">#REF!</definedName>
    <definedName name="_____________CYA4">#REF!</definedName>
    <definedName name="_____________CYA5">#REF!</definedName>
    <definedName name="_____________CYA6">#REF!</definedName>
    <definedName name="_____________CYA7">#REF!</definedName>
    <definedName name="_____________CYA8">#REF!</definedName>
    <definedName name="_____________CYA9">#REF!</definedName>
    <definedName name="_____________LYA12">#REF!</definedName>
    <definedName name="____________CYA1">#REF!</definedName>
    <definedName name="____________CYA10">#REF!</definedName>
    <definedName name="____________CYA11">#REF!</definedName>
    <definedName name="____________CYA2">#REF!</definedName>
    <definedName name="____________CYA3">#REF!</definedName>
    <definedName name="____________CYA4">#REF!</definedName>
    <definedName name="____________CYA5">#REF!</definedName>
    <definedName name="____________CYA6">#REF!</definedName>
    <definedName name="____________CYA7">#REF!</definedName>
    <definedName name="____________CYA8">#REF!</definedName>
    <definedName name="____________CYA9">#REF!</definedName>
    <definedName name="____________LYA12">#REF!</definedName>
    <definedName name="___________CYA1">#REF!</definedName>
    <definedName name="___________CYA10">#REF!</definedName>
    <definedName name="___________CYA11">#REF!</definedName>
    <definedName name="___________CYA2">#REF!</definedName>
    <definedName name="___________CYA3">#REF!</definedName>
    <definedName name="___________CYA4">#REF!</definedName>
    <definedName name="___________CYA5">#REF!</definedName>
    <definedName name="___________CYA6">#REF!</definedName>
    <definedName name="___________CYA7">#REF!</definedName>
    <definedName name="___________CYA8">#REF!</definedName>
    <definedName name="___________CYA9">#REF!</definedName>
    <definedName name="___________LYA12">#REF!</definedName>
    <definedName name="__________CYA1">#REF!</definedName>
    <definedName name="__________CYA10">#REF!</definedName>
    <definedName name="__________CYA11">#REF!</definedName>
    <definedName name="__________CYA2">#REF!</definedName>
    <definedName name="__________CYA3">#REF!</definedName>
    <definedName name="__________CYA4">#REF!</definedName>
    <definedName name="__________CYA5">#REF!</definedName>
    <definedName name="__________CYA6">#REF!</definedName>
    <definedName name="__________CYA7">#REF!</definedName>
    <definedName name="__________CYA8">#REF!</definedName>
    <definedName name="__________CYA9">#REF!</definedName>
    <definedName name="__________LYA12">#REF!</definedName>
    <definedName name="_________CYA1">#REF!</definedName>
    <definedName name="_________CYA10">#REF!</definedName>
    <definedName name="_________CYA11">#REF!</definedName>
    <definedName name="_________CYA2">#REF!</definedName>
    <definedName name="_________CYA3">#REF!</definedName>
    <definedName name="_________CYA4">#REF!</definedName>
    <definedName name="_________CYA5">#REF!</definedName>
    <definedName name="_________CYA6">#REF!</definedName>
    <definedName name="_________CYA7">#REF!</definedName>
    <definedName name="_________CYA8">#REF!</definedName>
    <definedName name="_________CYA9">#REF!</definedName>
    <definedName name="_________LYA12">#REF!</definedName>
    <definedName name="________CYA1">#REF!</definedName>
    <definedName name="________CYA10">#REF!</definedName>
    <definedName name="________CYA11">#REF!</definedName>
    <definedName name="________CYA2">#REF!</definedName>
    <definedName name="________CYA3">#REF!</definedName>
    <definedName name="________CYA4">#REF!</definedName>
    <definedName name="________CYA5">#REF!</definedName>
    <definedName name="________CYA6">#REF!</definedName>
    <definedName name="________CYA7">#REF!</definedName>
    <definedName name="________CYA8">#REF!</definedName>
    <definedName name="________CYA9">#REF!</definedName>
    <definedName name="________LYA12">#REF!</definedName>
    <definedName name="_______CYA1">#REF!</definedName>
    <definedName name="_______CYA10">#REF!</definedName>
    <definedName name="_______CYA11">#REF!</definedName>
    <definedName name="_______CYA2">#REF!</definedName>
    <definedName name="_______CYA3">#REF!</definedName>
    <definedName name="_______CYA4">#REF!</definedName>
    <definedName name="_______CYA5">#REF!</definedName>
    <definedName name="_______CYA6">#REF!</definedName>
    <definedName name="_______CYA7">#REF!</definedName>
    <definedName name="_______CYA8">#REF!</definedName>
    <definedName name="_______CYA9">#REF!</definedName>
    <definedName name="_______LYA12">#REF!</definedName>
    <definedName name="______ACT1">#REF!</definedName>
    <definedName name="______ACT2">#REF!</definedName>
    <definedName name="______ACT3">#REF!</definedName>
    <definedName name="______CYA1">#REF!</definedName>
    <definedName name="______CYA10">#REF!</definedName>
    <definedName name="______CYA11">#REF!</definedName>
    <definedName name="______CYA2">#REF!</definedName>
    <definedName name="______CYA3">#REF!</definedName>
    <definedName name="______CYA4">#REF!</definedName>
    <definedName name="______CYA5">#REF!</definedName>
    <definedName name="______CYA6">#REF!</definedName>
    <definedName name="______CYA7">#REF!</definedName>
    <definedName name="______CYA8">#REF!</definedName>
    <definedName name="______CYA9">#REF!</definedName>
    <definedName name="______LYA12">#REF!</definedName>
    <definedName name="_____ACT1">#REF!</definedName>
    <definedName name="_____ACT2">#REF!</definedName>
    <definedName name="_____ACT3">#REF!</definedName>
    <definedName name="_____CYA1">#REF!</definedName>
    <definedName name="_____CYA10">#REF!</definedName>
    <definedName name="_____CYA11">#REF!</definedName>
    <definedName name="_____CYA2">#REF!</definedName>
    <definedName name="_____CYA3">#REF!</definedName>
    <definedName name="_____CYA4">#REF!</definedName>
    <definedName name="_____CYA5">#REF!</definedName>
    <definedName name="_____CYA6">#REF!</definedName>
    <definedName name="_____CYA7">#REF!</definedName>
    <definedName name="_____CYA8">#REF!</definedName>
    <definedName name="_____CYA9">#REF!</definedName>
    <definedName name="_____LYA12">#REF!</definedName>
    <definedName name="_____MAS95">#REF!</definedName>
    <definedName name="_____Sub1">#REF!</definedName>
    <definedName name="_____Sub10">#REF!</definedName>
    <definedName name="_____Sub11">#REF!</definedName>
    <definedName name="_____Sub12">#REF!</definedName>
    <definedName name="_____Sub13">#REF!</definedName>
    <definedName name="_____Sub2">#REF!</definedName>
    <definedName name="_____Sub3">#REF!</definedName>
    <definedName name="_____Sub4">#REF!</definedName>
    <definedName name="_____Sub5">#REF!</definedName>
    <definedName name="_____Sub6">#REF!</definedName>
    <definedName name="_____Sub7">#REF!</definedName>
    <definedName name="_____Sub8">#REF!</definedName>
    <definedName name="_____Sub9">#REF!</definedName>
    <definedName name="____ACT1">#REF!</definedName>
    <definedName name="____ACT2">#REF!</definedName>
    <definedName name="____ACT3">#REF!</definedName>
    <definedName name="____CYA1">#REF!</definedName>
    <definedName name="____CYA10">#REF!</definedName>
    <definedName name="____CYA11">#REF!</definedName>
    <definedName name="____CYA2">#REF!</definedName>
    <definedName name="____CYA3">#REF!</definedName>
    <definedName name="____CYA4">#REF!</definedName>
    <definedName name="____CYA5">#REF!</definedName>
    <definedName name="____CYA6">#REF!</definedName>
    <definedName name="____CYA7">#REF!</definedName>
    <definedName name="____CYA8">#REF!</definedName>
    <definedName name="____CYA9">#REF!</definedName>
    <definedName name="____LYA12">#REF!</definedName>
    <definedName name="____MAS95">#REF!</definedName>
    <definedName name="____Sub1">#REF!</definedName>
    <definedName name="____Sub10">#REF!</definedName>
    <definedName name="____Sub11">#REF!</definedName>
    <definedName name="____Sub12">#REF!</definedName>
    <definedName name="____Sub13">#REF!</definedName>
    <definedName name="____Sub2">#REF!</definedName>
    <definedName name="____Sub3">#REF!</definedName>
    <definedName name="____Sub4">#REF!</definedName>
    <definedName name="____Sub5">#REF!</definedName>
    <definedName name="____Sub6">#REF!</definedName>
    <definedName name="____Sub7">#REF!</definedName>
    <definedName name="____Sub8">#REF!</definedName>
    <definedName name="____Sub9">#REF!</definedName>
    <definedName name="___ACT1">#REF!</definedName>
    <definedName name="___ACT2">#REF!</definedName>
    <definedName name="___ACT3">#REF!</definedName>
    <definedName name="___CYA1">#REF!</definedName>
    <definedName name="___CYA10">#REF!</definedName>
    <definedName name="___CYA11">#REF!</definedName>
    <definedName name="___CYA2">#REF!</definedName>
    <definedName name="___CYA3">#REF!</definedName>
    <definedName name="___CYA4">#REF!</definedName>
    <definedName name="___CYA5">#REF!</definedName>
    <definedName name="___CYA6">#REF!</definedName>
    <definedName name="___CYA7">#REF!</definedName>
    <definedName name="___CYA8">#REF!</definedName>
    <definedName name="___CYA9">#REF!</definedName>
    <definedName name="___LYA12">#REF!</definedName>
    <definedName name="___MAS95">#REF!</definedName>
    <definedName name="___Sub1">#REF!</definedName>
    <definedName name="___Sub10">#REF!</definedName>
    <definedName name="___Sub11">#REF!</definedName>
    <definedName name="___Sub12">#REF!</definedName>
    <definedName name="___Sub13">#REF!</definedName>
    <definedName name="___Sub2">#REF!</definedName>
    <definedName name="___Sub3">#REF!</definedName>
    <definedName name="___Sub4">#REF!</definedName>
    <definedName name="___Sub5">#REF!</definedName>
    <definedName name="___Sub6">#REF!</definedName>
    <definedName name="___Sub7">#REF!</definedName>
    <definedName name="___Sub8">#REF!</definedName>
    <definedName name="___Sub9">#REF!</definedName>
    <definedName name="__ACT1">#REF!</definedName>
    <definedName name="__ACT2">#REF!</definedName>
    <definedName name="__ACT3">#REF!</definedName>
    <definedName name="__CYA1">#REF!</definedName>
    <definedName name="__CYA10">#REF!</definedName>
    <definedName name="__CYA11">#REF!</definedName>
    <definedName name="__CYA2">#REF!</definedName>
    <definedName name="__CYA3">#REF!</definedName>
    <definedName name="__CYA4">#REF!</definedName>
    <definedName name="__CYA5">#REF!</definedName>
    <definedName name="__CYA6">#REF!</definedName>
    <definedName name="__CYA7">#REF!</definedName>
    <definedName name="__CYA8">#REF!</definedName>
    <definedName name="__CYA9">#REF!</definedName>
    <definedName name="__IntlFixup" hidden="1">TRUE</definedName>
    <definedName name="__LYA1">#REF!</definedName>
    <definedName name="__LYA10">#REF!</definedName>
    <definedName name="__LYA11">#REF!</definedName>
    <definedName name="__LYA12">#REF!</definedName>
    <definedName name="__LYA2">#REF!</definedName>
    <definedName name="__LYA3">#REF!</definedName>
    <definedName name="__LYA4">#REF!</definedName>
    <definedName name="__LYA5">#REF!</definedName>
    <definedName name="__LYA6">#REF!</definedName>
    <definedName name="__LYA7">#REF!</definedName>
    <definedName name="__LYA8">#REF!</definedName>
    <definedName name="__LYA9">#REF!</definedName>
    <definedName name="__MAS95">#REF!</definedName>
    <definedName name="__Sub1">#REF!</definedName>
    <definedName name="__Sub10">#REF!</definedName>
    <definedName name="__Sub11">#REF!</definedName>
    <definedName name="__Sub12">#REF!</definedName>
    <definedName name="__Sub13">#REF!</definedName>
    <definedName name="__Sub2">#REF!</definedName>
    <definedName name="__Sub3">#REF!</definedName>
    <definedName name="__Sub4">#REF!</definedName>
    <definedName name="__Sub5">#REF!</definedName>
    <definedName name="__Sub6">#REF!</definedName>
    <definedName name="__Sub7">#REF!</definedName>
    <definedName name="__Sub8">#REF!</definedName>
    <definedName name="__Sub9">#REF!</definedName>
    <definedName name="_1">#REF!</definedName>
    <definedName name="_10">#REF!</definedName>
    <definedName name="_11">#REF!</definedName>
    <definedName name="_12">#REF!</definedName>
    <definedName name="_123Graph_g" hidden="1">#REF!</definedName>
    <definedName name="_13">#REF!</definedName>
    <definedName name="_13054">#REF!</definedName>
    <definedName name="_132" hidden="1">#REF!</definedName>
    <definedName name="_132Graph_h" hidden="1">#REF!</definedName>
    <definedName name="_14">#REF!</definedName>
    <definedName name="_15">#REF!</definedName>
    <definedName name="_16">#REF!</definedName>
    <definedName name="_17">#REF!</definedName>
    <definedName name="_18">#REF!</definedName>
    <definedName name="_19">#REF!</definedName>
    <definedName name="_2">#REF!</definedName>
    <definedName name="_20">#REF!</definedName>
    <definedName name="_21">#REF!</definedName>
    <definedName name="_22">#REF!</definedName>
    <definedName name="_23">#REF!</definedName>
    <definedName name="_24">#REF!</definedName>
    <definedName name="_25">#REF!</definedName>
    <definedName name="_26">#REF!</definedName>
    <definedName name="_27">#REF!</definedName>
    <definedName name="_28">#REF!</definedName>
    <definedName name="_29">#REF!</definedName>
    <definedName name="_3">#REF!</definedName>
    <definedName name="_30">#REF!</definedName>
    <definedName name="_31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">#REF!</definedName>
    <definedName name="_ACT1" localSheetId="2">#REF!</definedName>
    <definedName name="_ACT1">#REF!</definedName>
    <definedName name="_ACT2" localSheetId="2">#REF!</definedName>
    <definedName name="_ACT2">#REF!</definedName>
    <definedName name="_ACT3" localSheetId="2">#REF!</definedName>
    <definedName name="_ACT3">#REF!</definedName>
    <definedName name="_ACT4">#REF!</definedName>
    <definedName name="_BUN1">#REF!</definedName>
    <definedName name="_BUN3">#REF!</definedName>
    <definedName name="_COS1">#REF!</definedName>
    <definedName name="_COS2">#REF!</definedName>
    <definedName name="_CYA1">#REF!</definedName>
    <definedName name="_CYA10">#REF!</definedName>
    <definedName name="_CYA11">#REF!</definedName>
    <definedName name="_CYA2">#REF!</definedName>
    <definedName name="_CYA3">#REF!</definedName>
    <definedName name="_CYA4">#REF!</definedName>
    <definedName name="_CYA5">#REF!</definedName>
    <definedName name="_CYA6">#REF!</definedName>
    <definedName name="_CYA7">#REF!</definedName>
    <definedName name="_CYA8">#REF!</definedName>
    <definedName name="_CYA9">#REF!</definedName>
    <definedName name="_CYB4">#REF!</definedName>
    <definedName name="_CYB5">#REF!</definedName>
    <definedName name="_CYB6">#REF!</definedName>
    <definedName name="_Fill" hidden="1">#REF!</definedName>
    <definedName name="_JV100">#REF!</definedName>
    <definedName name="_JV502">#REF!</definedName>
    <definedName name="_Key1" hidden="1">#REF!</definedName>
    <definedName name="_Key2" hidden="1">#REF!</definedName>
    <definedName name="_key5" hidden="1">#REF!</definedName>
    <definedName name="_LYA1">#REF!</definedName>
    <definedName name="_LYA10">#REF!</definedName>
    <definedName name="_LYA11">#REF!</definedName>
    <definedName name="_LYA12">#REF!</definedName>
    <definedName name="_LYA2">#REF!</definedName>
    <definedName name="_LYA3">#REF!</definedName>
    <definedName name="_LYA4">#REF!</definedName>
    <definedName name="_LYA5">#REF!</definedName>
    <definedName name="_LYA6">#REF!</definedName>
    <definedName name="_LYA7">#REF!</definedName>
    <definedName name="_LYA8">#REF!</definedName>
    <definedName name="_LYA9">#REF!</definedName>
    <definedName name="_MAS95">#REF!</definedName>
    <definedName name="_max" hidden="1">#REF!</definedName>
    <definedName name="_Mon" hidden="1">#REF!</definedName>
    <definedName name="_Order1" hidden="1">255</definedName>
    <definedName name="_Order2" hidden="1">255</definedName>
    <definedName name="_Order3" hidden="1">0</definedName>
    <definedName name="_PER1">#REF!</definedName>
    <definedName name="_PER2">#REF!</definedName>
    <definedName name="_PER3">#REF!</definedName>
    <definedName name="_PER4">#REF!</definedName>
    <definedName name="_PER5">#REF!</definedName>
    <definedName name="_Regression_Int">0</definedName>
    <definedName name="_res1">#REF!</definedName>
    <definedName name="_res2">#REF!</definedName>
    <definedName name="_res3">#REF!</definedName>
    <definedName name="_res4">#REF!</definedName>
    <definedName name="_res5">#REF!</definedName>
    <definedName name="_SFD1">#REF!</definedName>
    <definedName name="_SFD3">#REF!</definedName>
    <definedName name="_SFV1">#REF!</definedName>
    <definedName name="_SFV4">#REF!</definedName>
    <definedName name="_SHR1">#REF!</definedName>
    <definedName name="_Sort" hidden="1">#REF!</definedName>
    <definedName name="_Sort1" hidden="1">#REF!</definedName>
    <definedName name="_sort3" hidden="1">#REF!</definedName>
    <definedName name="_Sub1">#REF!</definedName>
    <definedName name="_Sub10">#REF!</definedName>
    <definedName name="_Sub11">#REF!</definedName>
    <definedName name="_Sub12">#REF!</definedName>
    <definedName name="_Sub13">#REF!</definedName>
    <definedName name="_Sub2">#REF!</definedName>
    <definedName name="_Sub3">#REF!</definedName>
    <definedName name="_Sub4">#REF!</definedName>
    <definedName name="_Sub5">#REF!</definedName>
    <definedName name="_Sub6">#REF!</definedName>
    <definedName name="_Sub7">#REF!</definedName>
    <definedName name="_Sub8">#REF!</definedName>
    <definedName name="_Sub9">#REF!</definedName>
    <definedName name="_tax1">#REF!</definedName>
    <definedName name="_tax2">#REF!</definedName>
    <definedName name="_tax3">#REF!</definedName>
    <definedName name="_tax4">#REF!</definedName>
    <definedName name="a">#REF!</definedName>
    <definedName name="aaaaaaa" localSheetId="1">rank</definedName>
    <definedName name="aaaaaaa" localSheetId="2">rank</definedName>
    <definedName name="aaaaaaa" localSheetId="0">rank</definedName>
    <definedName name="aaaaaaa">rank</definedName>
    <definedName name="AccrualThreshold">#REF!</definedName>
    <definedName name="ACCT" localSheetId="2">#REF!</definedName>
    <definedName name="ACCT">#REF!</definedName>
    <definedName name="ACCT.ConsolSum">#REF!</definedName>
    <definedName name="AcctName">#REF!</definedName>
    <definedName name="ACT_CUR" localSheetId="2">#REF!</definedName>
    <definedName name="ACT_CUR">#REF!</definedName>
    <definedName name="ACT_YTD" localSheetId="2">#REF!</definedName>
    <definedName name="ACT_YTD">#REF!</definedName>
    <definedName name="AD">#REF!</definedName>
    <definedName name="adfd" localSheetId="1">rank</definedName>
    <definedName name="adfd" localSheetId="2">rank</definedName>
    <definedName name="adfd" localSheetId="0">rank</definedName>
    <definedName name="adfd">rank</definedName>
    <definedName name="Adjtot1">#REF!</definedName>
    <definedName name="Adjtot10">#REF!</definedName>
    <definedName name="Adjtot11">#REF!</definedName>
    <definedName name="Adjtot12">#REF!</definedName>
    <definedName name="Adjtot13">#REF!</definedName>
    <definedName name="Adjtot2">#REF!</definedName>
    <definedName name="Adjtot3">#REF!</definedName>
    <definedName name="Adjtot4">#REF!</definedName>
    <definedName name="Adjtot5">#REF!</definedName>
    <definedName name="Adjtot6">#REF!</definedName>
    <definedName name="Adjtot7">#REF!</definedName>
    <definedName name="Adjtot8">#REF!</definedName>
    <definedName name="Adjtot9">#REF!</definedName>
    <definedName name="ADK">#REF!</definedName>
    <definedName name="afsdfsdfsd">#REF!</definedName>
    <definedName name="ajeRow">#REF!</definedName>
    <definedName name="AmountCount" localSheetId="2">#REF!</definedName>
    <definedName name="AmountCount">#REF!</definedName>
    <definedName name="AmountCount1">#REF!</definedName>
    <definedName name="AmountTotal" localSheetId="2">#REF!</definedName>
    <definedName name="AmountTotal">#REF!</definedName>
    <definedName name="AmountTotal1">#REF!</definedName>
    <definedName name="AOK">#REF!</definedName>
    <definedName name="APA">#REF!</definedName>
    <definedName name="APN">#REF!</definedName>
    <definedName name="ASD">#REF!</definedName>
    <definedName name="AST">#REF!</definedName>
    <definedName name="averaging">#REF!</definedName>
    <definedName name="BalanceCheck">#REF!</definedName>
    <definedName name="BaseMonthDate">#REF!</definedName>
    <definedName name="BaseMonthDate2">#REF!</definedName>
    <definedName name="BaseMonthDate3">#REF!</definedName>
    <definedName name="BaseYear">#REF!</definedName>
    <definedName name="BatchCode">#REF!</definedName>
    <definedName name="BEGCELL">#REF!</definedName>
    <definedName name="begin">#REF!</definedName>
    <definedName name="BIGFLUX">#REF!</definedName>
    <definedName name="BookRev">#REF!</definedName>
    <definedName name="BookRev_com">#REF!</definedName>
    <definedName name="BookRev_mfr">#REF!</definedName>
    <definedName name="BookRev_ro">#REF!</definedName>
    <definedName name="BookRev_rr">#REF!</definedName>
    <definedName name="BookRev_yw">#REF!</definedName>
    <definedName name="BoolList">#REF!</definedName>
    <definedName name="boxes">#REF!</definedName>
    <definedName name="BREMAIR_COST_of_SERVICE_STUDY" localSheetId="2">#REF!</definedName>
    <definedName name="BREMAIR_COST_of_SERVICE_STUDY">#REF!</definedName>
    <definedName name="Brokerage">#REF!</definedName>
    <definedName name="BUD_CUR" localSheetId="2">#REF!</definedName>
    <definedName name="BUD_CUR">#REF!</definedName>
    <definedName name="BUD_YTD" localSheetId="2">#REF!</definedName>
    <definedName name="BUD_YTD">#REF!</definedName>
    <definedName name="BudYear">#REF!</definedName>
    <definedName name="BudYrs_Limit">#REF!</definedName>
    <definedName name="BUN">#REF!</definedName>
    <definedName name="BusUnitCode">#REF!</definedName>
    <definedName name="BusUnitName">#REF!</definedName>
    <definedName name="button_area_1">#REF!</definedName>
    <definedName name="BUV">#REF!</definedName>
    <definedName name="Calc">#REF!</definedName>
    <definedName name="Calc0">#REF!</definedName>
    <definedName name="Calc1">#REF!</definedName>
    <definedName name="Calc10">#REF!</definedName>
    <definedName name="Calc11">#REF!</definedName>
    <definedName name="Calc12">#REF!</definedName>
    <definedName name="Calc13">#REF!</definedName>
    <definedName name="Calc14">#REF!</definedName>
    <definedName name="Calc15">#REF!</definedName>
    <definedName name="Calc16">#REF!</definedName>
    <definedName name="Calc17">#REF!</definedName>
    <definedName name="Calc18">#REF!</definedName>
    <definedName name="Calc2">#REF!</definedName>
    <definedName name="Calc3">#REF!</definedName>
    <definedName name="Calc4">#REF!</definedName>
    <definedName name="Calc5">#REF!</definedName>
    <definedName name="Calc6">#REF!</definedName>
    <definedName name="Calc7">#REF!</definedName>
    <definedName name="Calc8">#REF!</definedName>
    <definedName name="Calc9">#REF!</definedName>
    <definedName name="CalRecyTons">#REF!</definedName>
    <definedName name="CanCartTons">#REF!</definedName>
    <definedName name="CC">#REF!</definedName>
    <definedName name="CCT">#REF!</definedName>
    <definedName name="celltips_area">#REF!</definedName>
    <definedName name="CheckTotals" localSheetId="2">#REF!</definedName>
    <definedName name="CheckTotals">#REF!</definedName>
    <definedName name="ClassCode">#REF!</definedName>
    <definedName name="clear">#REF!</definedName>
    <definedName name="CloseDate">#REF!</definedName>
    <definedName name="CoCanTons">#REF!</definedName>
    <definedName name="CoComYd">#REF!</definedName>
    <definedName name="CoCustCnt">#REF!</definedName>
    <definedName name="colgroup">#REF!</definedName>
    <definedName name="colsegment">#REF!</definedName>
    <definedName name="Comments">#REF!:INDEX(#REF!,SUMPRODUCT(--(#REF!&lt;&gt;"")))</definedName>
    <definedName name="CommlStaffPriceOut">#REF!</definedName>
    <definedName name="Company">#REF!</definedName>
    <definedName name="CoMultiYd">#REF!</definedName>
    <definedName name="Consideration">#REF!</definedName>
    <definedName name="ContainerTons">#REF!</definedName>
    <definedName name="ControlNumber">#REF!</definedName>
    <definedName name="COST_OF_SERVICE_STUDY">#REF!</definedName>
    <definedName name="Coststudy">#REF!</definedName>
    <definedName name="CoXtraYds">#REF!</definedName>
    <definedName name="CR">#REF!</definedName>
    <definedName name="CRCTable" localSheetId="2">#REF!</definedName>
    <definedName name="CRCTable">#REF!</definedName>
    <definedName name="CRCTableOLD" localSheetId="2">#REF!</definedName>
    <definedName name="CRCTableOLD">#REF!</definedName>
    <definedName name="CreateNewWorkbook">#REF!</definedName>
    <definedName name="_xlnm.Criteria">#REF!</definedName>
    <definedName name="CriteriaType">#REF!</definedName>
    <definedName name="CtyCanTons">#REF!</definedName>
    <definedName name="CtyComYd">#REF!</definedName>
    <definedName name="CtyCustCnt">#REF!</definedName>
    <definedName name="CtyMultiYd">#REF!</definedName>
    <definedName name="CtyXtraYds">#REF!</definedName>
    <definedName name="CUR">#REF!</definedName>
    <definedName name="Currency">#REF!</definedName>
    <definedName name="CurrentMonth">#REF!</definedName>
    <definedName name="Cutomers" localSheetId="2">#REF!</definedName>
    <definedName name="Cutomers">#REF!</definedName>
    <definedName name="CWR">#REF!</definedName>
    <definedName name="CWRS">#REF!</definedName>
    <definedName name="CYear">#REF!</definedName>
    <definedName name="CYFApr1">#REF!</definedName>
    <definedName name="CYFApr2">#REF!</definedName>
    <definedName name="CYFApr3">#REF!</definedName>
    <definedName name="CYFMar2">#REF!</definedName>
    <definedName name="CYFMar3">#REF!</definedName>
    <definedName name="dasd" localSheetId="1">rank</definedName>
    <definedName name="dasd" localSheetId="2">rank</definedName>
    <definedName name="dasd" localSheetId="0">rank</definedName>
    <definedName name="dasd">rank</definedName>
    <definedName name="Data_End_Test">#REF!</definedName>
    <definedName name="Data_Start_Test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55">#REF!</definedName>
    <definedName name="data56">#REF!</definedName>
    <definedName name="data57">#REF!</definedName>
    <definedName name="data58">#REF!</definedName>
    <definedName name="data59">#REF!</definedName>
    <definedName name="data6">#REF!</definedName>
    <definedName name="data60">#REF!</definedName>
    <definedName name="data61">#REF!</definedName>
    <definedName name="data62">#REF!</definedName>
    <definedName name="data63">#REF!</definedName>
    <definedName name="data64">#REF!</definedName>
    <definedName name="data65">#REF!</definedName>
    <definedName name="data66">#REF!</definedName>
    <definedName name="data67">#REF!</definedName>
    <definedName name="data68">#REF!</definedName>
    <definedName name="data69">#REF!</definedName>
    <definedName name="data7">#REF!</definedName>
    <definedName name="data70">#REF!</definedName>
    <definedName name="data8">#REF!</definedName>
    <definedName name="data9">#REF!</definedName>
    <definedName name="_xlnm.Database" localSheetId="2">#REF!</definedName>
    <definedName name="_xlnm.Database">#REF!</definedName>
    <definedName name="Database_MI">#REF!</definedName>
    <definedName name="Database1" localSheetId="2">#REF!</definedName>
    <definedName name="Database1">#REF!</definedName>
    <definedName name="Database2">#REF!</definedName>
    <definedName name="DATE">#REF!</definedName>
    <definedName name="DateFrom">#REF!</definedName>
    <definedName name="DateRange">#REF!</definedName>
    <definedName name="Dates">#REF!</definedName>
    <definedName name="DateTo">#REF!</definedName>
    <definedName name="DAY">#REF!</definedName>
    <definedName name="DBxStaffPriceOut">#REF!</definedName>
    <definedName name="DEBITS">#REF!</definedName>
    <definedName name="Debt_Rate" localSheetId="1">'STAFF LG Public (2)'!$K$27</definedName>
    <definedName name="debtP" localSheetId="1">'STAFF LG Public (2)'!$I$27</definedName>
    <definedName name="debtP">#REF!</definedName>
    <definedName name="DeleteCMReconBook">#REF!</definedName>
    <definedName name="deletion">#REF!</definedName>
    <definedName name="DEPRECIATION">#REF!</definedName>
    <definedName name="DEPT" localSheetId="2">#REF!</definedName>
    <definedName name="DEPT">#REF!</definedName>
    <definedName name="Detail">#REF!</definedName>
    <definedName name="DetailBudYear">#REF!</definedName>
    <definedName name="DetailDistrict">#REF!</definedName>
    <definedName name="dflt3">#REF!</definedName>
    <definedName name="dflt4">#REF!</definedName>
    <definedName name="dflt6">#REF!</definedName>
    <definedName name="display_area_2">#REF!</definedName>
    <definedName name="DispRates">#REF!</definedName>
    <definedName name="Dist">#REF!</definedName>
    <definedName name="District" localSheetId="2">#REF!</definedName>
    <definedName name="District">#REF!</definedName>
    <definedName name="District_1">#REF!</definedName>
    <definedName name="DistrictCode">#REF!</definedName>
    <definedName name="DistrictName">#REF!</definedName>
    <definedName name="DistrictNum" localSheetId="2">#REF!</definedName>
    <definedName name="DistrictNum">#REF!</definedName>
    <definedName name="DistrictSelection">#REF!</definedName>
    <definedName name="DistStaffSignOffStatus">#REF!</definedName>
    <definedName name="DivisionSignOffReq">#REF!</definedName>
    <definedName name="DivSignOffStatus">#REF!</definedName>
    <definedName name="dOG">#REF!</definedName>
    <definedName name="drlFilter">#REF!</definedName>
    <definedName name="End" localSheetId="2">#REF!</definedName>
    <definedName name="End">#REF!</definedName>
    <definedName name="EndOfEntry">#REF!</definedName>
    <definedName name="EndPoint">#REF!</definedName>
    <definedName name="EndTime">#REF!</definedName>
    <definedName name="EntrieShownLimit">#REF!</definedName>
    <definedName name="Equity_percent" localSheetId="1">'STAFF LG Public (2)'!$S$57</definedName>
    <definedName name="equityP" localSheetId="1">'STAFF LG Public (2)'!$I$26</definedName>
    <definedName name="error">#REF!</definedName>
    <definedName name="ewfw32a" localSheetId="1" hidden="1">{#N/A,#N/A,TRUE,"SUMM";#N/A,#N/A,TRUE,"Rev";#N/A,#N/A,TRUE,"Dir_Costs";#N/A,#N/A,TRUE,"G and A Costs";#N/A,#N/A,TRUE,"Itemize";#N/A,#N/A,TRUE,"Cust_Count1";#N/A,#N/A,TRUE,"Cust_Count2";#N/A,#N/A,TRUE,"Rev_Breakdown";#N/A,#N/A,TRUE,"Truck Hours";#N/A,#N/A,TRUE,"Labor Hours";#N/A,#N/A,TRUE,"Container Breakdown";#N/A,#N/A,TRUE,"Cart Breakdown"}</definedName>
    <definedName name="ewfw32a" localSheetId="2" hidden="1">{#N/A,#N/A,TRUE,"SUMM";#N/A,#N/A,TRUE,"Rev";#N/A,#N/A,TRUE,"Dir_Costs";#N/A,#N/A,TRUE,"G and A Costs";#N/A,#N/A,TRUE,"Itemize";#N/A,#N/A,TRUE,"Cust_Count1";#N/A,#N/A,TRUE,"Cust_Count2";#N/A,#N/A,TRUE,"Rev_Breakdown";#N/A,#N/A,TRUE,"Truck Hours";#N/A,#N/A,TRUE,"Labor Hours";#N/A,#N/A,TRUE,"Container Breakdown";#N/A,#N/A,TRUE,"Cart Breakdown"}</definedName>
    <definedName name="ewfw32a" localSheetId="0" hidden="1">{#N/A,#N/A,TRUE,"SUMM";#N/A,#N/A,TRUE,"Rev";#N/A,#N/A,TRUE,"Dir_Costs";#N/A,#N/A,TRUE,"G and A Costs";#N/A,#N/A,TRUE,"Itemize";#N/A,#N/A,TRUE,"Cust_Count1";#N/A,#N/A,TRUE,"Cust_Count2";#N/A,#N/A,TRUE,"Rev_Breakdown";#N/A,#N/A,TRUE,"Truck Hours";#N/A,#N/A,TRUE,"Labor Hours";#N/A,#N/A,TRUE,"Container Breakdown";#N/A,#N/A,TRUE,"Cart Breakdown"}</definedName>
    <definedName name="ewfw32a" hidden="1">{#N/A,#N/A,TRUE,"SUMM";#N/A,#N/A,TRUE,"Rev";#N/A,#N/A,TRUE,"Dir_Costs";#N/A,#N/A,TRUE,"G and A Costs";#N/A,#N/A,TRUE,"Itemize";#N/A,#N/A,TRUE,"Cust_Count1";#N/A,#N/A,TRUE,"Cust_Count2";#N/A,#N/A,TRUE,"Rev_Breakdown";#N/A,#N/A,TRUE,"Truck Hours";#N/A,#N/A,TRUE,"Labor Hours";#N/A,#N/A,TRUE,"Container Breakdown";#N/A,#N/A,TRUE,"Cart Breakdown"}</definedName>
    <definedName name="ExcludeIC">#REF!</definedName>
    <definedName name="ExcludeIC_1">#REF!</definedName>
    <definedName name="expenses" localSheetId="1">'STAFF LG Public (2)'!$I$8</definedName>
    <definedName name="expenses">#REF!</definedName>
    <definedName name="ExpensesPF1">#REF!</definedName>
    <definedName name="EXT">#REF!</definedName>
    <definedName name="FBTable" localSheetId="2">#REF!</definedName>
    <definedName name="FBTable">#REF!</definedName>
    <definedName name="FBTableOld" localSheetId="2">#REF!</definedName>
    <definedName name="FBTableOld">#REF!</definedName>
    <definedName name="fences">#REF!</definedName>
    <definedName name="FICA">#REF!</definedName>
    <definedName name="filter">#REF!</definedName>
    <definedName name="Financial">#REF!</definedName>
    <definedName name="FIRST">#REF!</definedName>
    <definedName name="First_Day">#REF!</definedName>
    <definedName name="FirstColCriteria">#REF!</definedName>
    <definedName name="FirstHeaderCriteria">#REF!</definedName>
    <definedName name="flag">#REF!</definedName>
    <definedName name="FLUX">#REF!</definedName>
    <definedName name="Format_Column">#REF!</definedName>
    <definedName name="formata">#REF!</definedName>
    <definedName name="formatb">#REF!</definedName>
    <definedName name="Formula">#REF!</definedName>
    <definedName name="FROM">#REF!</definedName>
    <definedName name="FromMonth">#REF!</definedName>
    <definedName name="FundsApprPend">#REF!</definedName>
    <definedName name="FundsBudUnbud">#REF!</definedName>
    <definedName name="FY">#REF!</definedName>
    <definedName name="GLAccount">#REF!</definedName>
    <definedName name="GLMappingStart" localSheetId="2">#REF!</definedName>
    <definedName name="GLMappingStart">#REF!</definedName>
    <definedName name="GLMappingStart1">#REF!</definedName>
    <definedName name="GRETABLE">#REF!</definedName>
    <definedName name="GrossWeightList">#REF!</definedName>
    <definedName name="HasBudAdd">#REF!</definedName>
    <definedName name="HeaderReturnMessage">#REF!</definedName>
    <definedName name="Heading1">#REF!</definedName>
    <definedName name="help">#REF!</definedName>
    <definedName name="IDN">#REF!</definedName>
    <definedName name="IFN">#REF!</definedName>
    <definedName name="Import_Range">#REF!</definedName>
    <definedName name="IncomeStmnt" localSheetId="2">#REF!</definedName>
    <definedName name="IncomeStmnt">#REF!</definedName>
    <definedName name="Incomplete">#REF!</definedName>
    <definedName name="INPUT" localSheetId="1">'STAFF LG Public (2)'!#REF!</definedName>
    <definedName name="INPUT" localSheetId="2">#REF!</definedName>
    <definedName name="INPUT">#REF!</definedName>
    <definedName name="INPUT1">#REF!</definedName>
    <definedName name="INPUTc" localSheetId="1">#REF!</definedName>
    <definedName name="INPUTc">#REF!</definedName>
    <definedName name="InsertColRange">#REF!</definedName>
    <definedName name="Insurance" localSheetId="2">#REF!</definedName>
    <definedName name="Insurance">#REF!</definedName>
    <definedName name="INT">#REF!</definedName>
    <definedName name="inter2">#REF!</definedName>
    <definedName name="intercept">#REF!</definedName>
    <definedName name="Interject_LastPulledValues_BalanceRange" localSheetId="2">#REF!</definedName>
    <definedName name="Interject_LastPulledValues_DescriptionRange" localSheetId="2">#REF!</definedName>
    <definedName name="Interject_LastPulledValues_LastChangeGUID" localSheetId="2">#REF!</definedName>
    <definedName name="Interject_LastPulledValues_PreviousLastChangeGUID" localSheetId="2">#REF!</definedName>
    <definedName name="Investment" localSheetId="1">'STAFF LG Public (2)'!$J$28</definedName>
    <definedName name="Invoice_Start">#REF!</definedName>
    <definedName name="InvoiceNumber">#REF!</definedName>
    <definedName name="InvoiceStatus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ItemCount">#REF!</definedName>
    <definedName name="ItemDesc">#REF!</definedName>
    <definedName name="JECreateLink">#REF!</definedName>
    <definedName name="JEDetail" localSheetId="2">#REF!</definedName>
    <definedName name="JEDetail">#REF!</definedName>
    <definedName name="JEDetail1">#REF!</definedName>
    <definedName name="JEDetailLevel">#REF!</definedName>
    <definedName name="JESummaryIncomplete">#REF!</definedName>
    <definedName name="JEType" localSheetId="2">#REF!</definedName>
    <definedName name="JEType">#REF!</definedName>
    <definedName name="JEType1">#REF!</definedName>
    <definedName name="Juris1CanCount">#REF!</definedName>
    <definedName name="Juris1CanTons">#REF!</definedName>
    <definedName name="Juris1ComYd">#REF!</definedName>
    <definedName name="Juris1CustCnt">#REF!</definedName>
    <definedName name="Juris1MultiYd">#REF!</definedName>
    <definedName name="Juris1SeasonalYds">#REF!</definedName>
    <definedName name="Juris1XtraYds">#REF!</definedName>
    <definedName name="Juris2CanCount">#REF!</definedName>
    <definedName name="Juris2CanTons">#REF!</definedName>
    <definedName name="Juris2ComYd">#REF!</definedName>
    <definedName name="Juris2CustCnt">#REF!</definedName>
    <definedName name="Juris2MultiYd">#REF!</definedName>
    <definedName name="Juris2SeasonalYds">#REF!</definedName>
    <definedName name="Juris2XtraYds">#REF!</definedName>
    <definedName name="Juris3CanCount">#REF!</definedName>
    <definedName name="Juris3CanTons">#REF!</definedName>
    <definedName name="Juris3ComYd">#REF!</definedName>
    <definedName name="Juris3CustCnt">#REF!</definedName>
    <definedName name="Juris3MultiYd">#REF!</definedName>
    <definedName name="Juris3SeasonalYds">#REF!</definedName>
    <definedName name="Juris3XtraYds">#REF!</definedName>
    <definedName name="Juris4CanCount">#REF!</definedName>
    <definedName name="Juris4CanTons">#REF!</definedName>
    <definedName name="Juris4ComYd">#REF!</definedName>
    <definedName name="Juris4CustCnt">#REF!</definedName>
    <definedName name="Juris4MultiYd">#REF!</definedName>
    <definedName name="Juris4SeasonalYds">#REF!</definedName>
    <definedName name="Juris4XtraYds">#REF!</definedName>
    <definedName name="Juris5CanCount">#REF!</definedName>
    <definedName name="Juris5CanTons">#REF!</definedName>
    <definedName name="Juris5ComYD">#REF!</definedName>
    <definedName name="Juris5CustCnt">#REF!</definedName>
    <definedName name="Juris5MultiYd">#REF!</definedName>
    <definedName name="Juris5SeasonalYds">#REF!</definedName>
    <definedName name="Juris5XtraYds">#REF!</definedName>
    <definedName name="Jurisdiction_1">#REF!</definedName>
    <definedName name="Jurisdiction_2">#REF!</definedName>
    <definedName name="Jurisdiction_3">#REF!</definedName>
    <definedName name="Jurisdiction_4">#REF!</definedName>
    <definedName name="Jurisdiction_5">#REF!</definedName>
    <definedName name="JV100_2">#REF!</definedName>
    <definedName name="LAST_ROW">#REF!</definedName>
    <definedName name="LastExecutedFor">#REF!</definedName>
    <definedName name="LastSavedOn">#REF!</definedName>
    <definedName name="LastTranxDate">#REF!</definedName>
    <definedName name="lblBillAreaStatus" localSheetId="2">#REF!</definedName>
    <definedName name="lblBillAreaStatus">#REF!</definedName>
    <definedName name="lblBillCycleStatus" localSheetId="2">#REF!</definedName>
    <definedName name="lblBillCycleStatus">#REF!</definedName>
    <definedName name="lblCategoryStatus" localSheetId="2">#REF!</definedName>
    <definedName name="lblCategoryStatus">#REF!</definedName>
    <definedName name="lblCompanyStatus" localSheetId="2">#REF!</definedName>
    <definedName name="lblCompanyStatus">#REF!</definedName>
    <definedName name="lblDatabaseStatus" localSheetId="2">#REF!</definedName>
    <definedName name="lblDatabaseStatus">#REF!</definedName>
    <definedName name="lblPullStatus" localSheetId="2">#REF!</definedName>
    <definedName name="lblPullStatus">#REF!</definedName>
    <definedName name="level">#REF!</definedName>
    <definedName name="LITTLE">#REF!</definedName>
    <definedName name="LITTLE01">#REF!</definedName>
    <definedName name="lllllllllllllllllllll" localSheetId="2">#REF!</definedName>
    <definedName name="lllllllllllllllllllll">#REF!</definedName>
    <definedName name="LOB">#REF!</definedName>
    <definedName name="LOCAL_MYSQL_DATE_FORMAT" localSheetId="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U_Line">#REF!</definedName>
    <definedName name="Lurito">#REF!</definedName>
    <definedName name="LYN">#REF!</definedName>
    <definedName name="MainDataEnd" localSheetId="2">#REF!</definedName>
    <definedName name="MainDataEnd">#REF!</definedName>
    <definedName name="MainDataEnd2">#REF!</definedName>
    <definedName name="MainDataEnd3">#REF!</definedName>
    <definedName name="MainDataEnd4">#REF!</definedName>
    <definedName name="MainDataEnd5">#REF!</definedName>
    <definedName name="MainDataEndJ">#REF!</definedName>
    <definedName name="MainDataStart" localSheetId="2">#REF!</definedName>
    <definedName name="MainDataStart">#REF!</definedName>
    <definedName name="MainDataStart2">#REF!</definedName>
    <definedName name="MainDataStart3">#REF!</definedName>
    <definedName name="MainDataStart4">#REF!</definedName>
    <definedName name="MainDataStart5">#REF!</definedName>
    <definedName name="MainDataStartJ">#REF!</definedName>
    <definedName name="MapKeyStart" localSheetId="2">#REF!</definedName>
    <definedName name="MapKeyStart">#REF!</definedName>
    <definedName name="master_def" localSheetId="2">#REF!</definedName>
    <definedName name="master_def">#REF!</definedName>
    <definedName name="MASTERA">#REF!</definedName>
    <definedName name="MASTERD">#REF!</definedName>
    <definedName name="MATRIX">#REF!</definedName>
    <definedName name="MemoAttachment">#REF!</definedName>
    <definedName name="MetaSet">#REF!</definedName>
    <definedName name="MFStaffPriceOut">#REF!</definedName>
    <definedName name="MILTON">#REF!</definedName>
    <definedName name="MissingAccountList">#REF!</definedName>
    <definedName name="Month">#REF!</definedName>
    <definedName name="MONTH1">#REF!</definedName>
    <definedName name="MONTH2">#REF!</definedName>
    <definedName name="MONTH3">#REF!</definedName>
    <definedName name="MONTH4">#REF!</definedName>
    <definedName name="MONTH5">#REF!</definedName>
    <definedName name="MONTH6">#REF!</definedName>
    <definedName name="MonthList">#REF!</definedName>
    <definedName name="monthlyplcf">#REF!</definedName>
    <definedName name="MORESTUFF">#REF!</definedName>
    <definedName name="MthValue">#REF!</definedName>
    <definedName name="NarrThreshold_Doll">#REF!</definedName>
    <definedName name="NarrThreshold_Perc">#REF!</definedName>
    <definedName name="New">#REF!</definedName>
    <definedName name="NewAccountCheck">#REF!</definedName>
    <definedName name="NewLob">#REF!</definedName>
    <definedName name="NewOnlyOrg">#N/A</definedName>
    <definedName name="NewSource">#REF!</definedName>
    <definedName name="nn">#REF!</definedName>
    <definedName name="NO">#REF!</definedName>
    <definedName name="NONRECAP">#REF!</definedName>
    <definedName name="NOTES" localSheetId="2">#REF!</definedName>
    <definedName name="NOTES">#REF!</definedName>
    <definedName name="NR">#REF!</definedName>
    <definedName name="number">#REF!</definedName>
    <definedName name="NvsASD">"V2008-12-31"</definedName>
    <definedName name="NvsAutoDrillOk">"VN"</definedName>
    <definedName name="NvsElapsedTime">0.000729166669771075</definedName>
    <definedName name="NvsEndTime">39896.5868402778</definedName>
    <definedName name="NvsEndTime2">39823.1371643519</definedName>
    <definedName name="NvsEndTime3">39918.4137268519</definedName>
    <definedName name="NvsEndTime4">39825.0263078704</definedName>
    <definedName name="NvsEndTime5">39822.9425347222</definedName>
    <definedName name="NvsInstanceHook" localSheetId="1">rank</definedName>
    <definedName name="NvsInstanceHook" localSheetId="2">rank</definedName>
    <definedName name="NvsInstanceHook" localSheetId="0">rank</definedName>
    <definedName name="NvsInstanceHook">rank</definedName>
    <definedName name="NvsInstanceHook1" localSheetId="1">rank</definedName>
    <definedName name="NvsInstanceHook1" localSheetId="2">rank</definedName>
    <definedName name="NvsInstanceHook1" localSheetId="0">rank</definedName>
    <definedName name="NvsInstanceHook1">rank</definedName>
    <definedName name="NvsInstLang">"VENG"</definedName>
    <definedName name="NvsInstSpec">"%,FBUSINESS_UNIT,V01815"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"V"</definedName>
    <definedName name="NvsPanelEffdt">"V1950-01-01"</definedName>
    <definedName name="NvsPanelSetid">"VWASTE"</definedName>
    <definedName name="NvsReqBU">"V01815"</definedName>
    <definedName name="NvsReqBUOnly">"VY"</definedName>
    <definedName name="NvsTransLed">"VN"</definedName>
    <definedName name="NvsTreeASD">"V2008-12-31"</definedName>
    <definedName name="NvsValTbl.ACCOUNT">"GL_ACCOUNT_TBL"</definedName>
    <definedName name="NvsValTbl.ACCOUNT_SUM">"ZGL_SACCT_VW"</definedName>
    <definedName name="NvsValTbl.ASSET_CLASS">"ASSET_CLASS_TBL"</definedName>
    <definedName name="NvsValTbl.BUSINESS_UNIT">"BUS_UNIT_TBL_GL"</definedName>
    <definedName name="NvsValTbl.CURRENCY_CD">"CURRENCY_CD_TBL"</definedName>
    <definedName name="NvsValTbl.DEPTID">"DEPT_TBL"</definedName>
    <definedName name="NvsValTbl.OPERATING_UNIT">"OPER_UNIT_TBL"</definedName>
    <definedName name="NvsValTbl.PRODUCT">"PRODUCT_TBL"</definedName>
    <definedName name="observations">#REF!</definedName>
    <definedName name="OfficerSalary">#N/A</definedName>
    <definedName name="OffsetAcctBil" localSheetId="2">#REF!</definedName>
    <definedName name="OffsetAcctBil">#REF!</definedName>
    <definedName name="OffsetAcctPmt" localSheetId="2">#REF!</definedName>
    <definedName name="OffsetAcctPmt">#REF!</definedName>
    <definedName name="Operations">#REF!</definedName>
    <definedName name="OPR">#REF!</definedName>
    <definedName name="Org11_13">#N/A</definedName>
    <definedName name="Org7_10">#N/A</definedName>
    <definedName name="ORIG2GALWT_">#REF!</definedName>
    <definedName name="ORIG2OH">#REF!</definedName>
    <definedName name="OthCanTons">#REF!</definedName>
    <definedName name="OthComYd">#REF!</definedName>
    <definedName name="OthCustCnt">#REF!</definedName>
    <definedName name="OthMultiYd">#REF!</definedName>
    <definedName name="OthXtraYds">#REF!</definedName>
    <definedName name="outliercut">#REF!</definedName>
    <definedName name="p" localSheetId="2">#REF!</definedName>
    <definedName name="p">#REF!</definedName>
    <definedName name="PAGE_1" localSheetId="2">#REF!</definedName>
    <definedName name="PAGE_1">#REF!</definedName>
    <definedName name="Page10">#REF!</definedName>
    <definedName name="Page10a">#REF!</definedName>
    <definedName name="page11">#REF!</definedName>
    <definedName name="page12">#REF!</definedName>
    <definedName name="Page16">#REF!</definedName>
    <definedName name="Page17">#REF!</definedName>
    <definedName name="Page18">#REF!</definedName>
    <definedName name="Page20">#REF!</definedName>
    <definedName name="page7">#REF!</definedName>
    <definedName name="Page7a">#REF!</definedName>
    <definedName name="pBatchID" localSheetId="2">#REF!</definedName>
    <definedName name="pBatchID">#REF!</definedName>
    <definedName name="pBillArea" localSheetId="2">#REF!</definedName>
    <definedName name="pBillArea">#REF!</definedName>
    <definedName name="pBillCycle" localSheetId="2">#REF!</definedName>
    <definedName name="pBillCycle">#REF!</definedName>
    <definedName name="pCategory" localSheetId="2">#REF!</definedName>
    <definedName name="pCategory">#REF!</definedName>
    <definedName name="pCompany" localSheetId="2">#REF!</definedName>
    <definedName name="pCompany">#REF!</definedName>
    <definedName name="pCustomerNumber" localSheetId="2">#REF!</definedName>
    <definedName name="pCustomerNumber">#REF!</definedName>
    <definedName name="pDatabase" localSheetId="2">#REF!</definedName>
    <definedName name="pDatabase">#REF!</definedName>
    <definedName name="PED">#REF!</definedName>
    <definedName name="PendingStatus">#REF!</definedName>
    <definedName name="pEndPostDate" localSheetId="2">#REF!</definedName>
    <definedName name="pEndPostDate">#REF!</definedName>
    <definedName name="PER">#REF!</definedName>
    <definedName name="Period" localSheetId="2">#REF!</definedName>
    <definedName name="Period">#REF!</definedName>
    <definedName name="Pfd_weighted" localSheetId="1">'STAFF LG Public (2)'!$U$56</definedName>
    <definedName name="PFREVB4">#REF!</definedName>
    <definedName name="PLANT1">#REF!</definedName>
    <definedName name="PLANT2">#REF!</definedName>
    <definedName name="PLANTAFTER">#REF!</definedName>
    <definedName name="PLANTAFTER01">#REF!</definedName>
    <definedName name="pMonth" localSheetId="2">#REF!</definedName>
    <definedName name="pMonth">#REF!</definedName>
    <definedName name="POApprPend">#REF!</definedName>
    <definedName name="POBudUnbud">#REF!</definedName>
    <definedName name="pOnlyShowLastTranx" localSheetId="2">#REF!</definedName>
    <definedName name="pOnlyShowLastTranx">#REF!</definedName>
    <definedName name="POSeqNum">#REF!</definedName>
    <definedName name="POTruckSubTypeLookup">#REF!</definedName>
    <definedName name="ppemeasurement">#REF!</definedName>
    <definedName name="Prepare">#REF!</definedName>
    <definedName name="primtbl">#REF!</definedName>
    <definedName name="_xlnm.Print_Area" localSheetId="1">'STAFF LG Public (2)'!$F$2:$N$49</definedName>
    <definedName name="_xlnm.Print_Area" localSheetId="2">#REF!</definedName>
    <definedName name="_xlnm.Print_Area">#REF!</definedName>
    <definedName name="Print_Area_MI" localSheetId="1">#REF!</definedName>
    <definedName name="Print_Area_MI" localSheetId="2">#REF!</definedName>
    <definedName name="Print_Area_MI">#REF!</definedName>
    <definedName name="Print_Area_MIc" localSheetId="1">#REF!</definedName>
    <definedName name="Print_Area_MIc">#REF!</definedName>
    <definedName name="Print_Area1" localSheetId="2">#REF!</definedName>
    <definedName name="Print_Area1">#REF!</definedName>
    <definedName name="Print_Area11">#REF!</definedName>
    <definedName name="Print_Area2" localSheetId="2">#REF!</definedName>
    <definedName name="Print_Area2">#REF!</definedName>
    <definedName name="Print_Area3" localSheetId="2">#REF!</definedName>
    <definedName name="Print_Area3">#REF!</definedName>
    <definedName name="Print_Area5" localSheetId="2">#REF!</definedName>
    <definedName name="Print_Area5">#REF!</definedName>
    <definedName name="_xlnm.Print_Titles">#REF!</definedName>
    <definedName name="Print_Titles_MI">#REF!</definedName>
    <definedName name="Print1" localSheetId="2">#REF!</definedName>
    <definedName name="Print1">#REF!</definedName>
    <definedName name="Print2" localSheetId="2">#REF!</definedName>
    <definedName name="Print2">#REF!</definedName>
    <definedName name="Print5" localSheetId="2">#REF!</definedName>
    <definedName name="Print5">#REF!</definedName>
    <definedName name="Prnit_Range">#REF!</definedName>
    <definedName name="ProRev">#REF!</definedName>
    <definedName name="ProRev_com">#REF!</definedName>
    <definedName name="ProRev_mfr">#REF!</definedName>
    <definedName name="ProRev_ro">#REF!</definedName>
    <definedName name="ProRev_rr">#REF!</definedName>
    <definedName name="ProRev_yw">#REF!</definedName>
    <definedName name="pServer" localSheetId="2">#REF!</definedName>
    <definedName name="pServer">#REF!</definedName>
    <definedName name="pServiceCode" localSheetId="2">#REF!</definedName>
    <definedName name="pServiceCode">#REF!</definedName>
    <definedName name="pShowAllUnposted" localSheetId="2">#REF!</definedName>
    <definedName name="pShowAllUnposted">#REF!</definedName>
    <definedName name="pShowCustomerDetail" localSheetId="2">#REF!</definedName>
    <definedName name="pShowCustomerDetail">#REF!</definedName>
    <definedName name="pSortOption" localSheetId="2">#REF!</definedName>
    <definedName name="pSortOption">#REF!</definedName>
    <definedName name="pStartPostDate" localSheetId="2">#REF!</definedName>
    <definedName name="pStartPostDate">#REF!</definedName>
    <definedName name="pTransType" localSheetId="2">#REF!</definedName>
    <definedName name="pTransType">#REF!</definedName>
    <definedName name="PYear">#REF!</definedName>
    <definedName name="QtrValue">#REF!</definedName>
    <definedName name="Quarter_Budget">#REF!</definedName>
    <definedName name="Quarter_Month">#REF!</definedName>
    <definedName name="qzqzqz10">#REF!</definedName>
    <definedName name="qzqzqz11">#REF!</definedName>
    <definedName name="qzqzqz12">#REF!</definedName>
    <definedName name="qzqzqz13">#REF!</definedName>
    <definedName name="qzqzqz14">#REF!</definedName>
    <definedName name="qzqzqz15">#REF!</definedName>
    <definedName name="qzqzqz16">#REF!</definedName>
    <definedName name="qzqzqz17">#REF!</definedName>
    <definedName name="qzqzqz18">#REF!</definedName>
    <definedName name="qzqzqz19">#REF!</definedName>
    <definedName name="qzqzqz20">#REF!</definedName>
    <definedName name="qzqzqz21">#REF!</definedName>
    <definedName name="qzqzqz22">#REF!</definedName>
    <definedName name="qzqzqz23">#REF!</definedName>
    <definedName name="qzqzqz24">#REF!</definedName>
    <definedName name="qzqzqz25">#REF!</definedName>
    <definedName name="qzqzqz26">#REF!</definedName>
    <definedName name="qzqzqz27">#REF!</definedName>
    <definedName name="qzqzqz28">#REF!</definedName>
    <definedName name="qzqzqz29">#REF!</definedName>
    <definedName name="qzqzqz30">#REF!</definedName>
    <definedName name="qzqzqz31">#REF!</definedName>
    <definedName name="qzqzqz32">#REF!</definedName>
    <definedName name="qzqzqz6">#REF!</definedName>
    <definedName name="qzqzqz7">#REF!</definedName>
    <definedName name="qzqzqz8">#REF!</definedName>
    <definedName name="qzqzqz9">#REF!</definedName>
    <definedName name="range">#REF!</definedName>
    <definedName name="Range1">#REF!</definedName>
    <definedName name="RBPROFORMAS">#REF!</definedName>
    <definedName name="RBU">#REF!</definedName>
    <definedName name="RCW_81.04.080">#N/A</definedName>
    <definedName name="RECAP">#REF!</definedName>
    <definedName name="RECAP2">#REF!</definedName>
    <definedName name="ReconMonth">#REF!</definedName>
    <definedName name="_xlnm.Recorder">#REF!</definedName>
    <definedName name="RecyDisposal">#N/A</definedName>
    <definedName name="Reg_Cust_Billed_Percent">#REF!</definedName>
    <definedName name="Reg_Cust_Percent">#REF!</definedName>
    <definedName name="Reg_Drive_Percent">#REF!</definedName>
    <definedName name="Reg_Haul_Rev_Percent">#REF!</definedName>
    <definedName name="Reg_Lab_Percent">#REF!</definedName>
    <definedName name="Reg_Steel_Cont_Percent">#REF!</definedName>
    <definedName name="regDebt_weighted" localSheetId="1">'STAFF LG Public (2)'!$U$55</definedName>
    <definedName name="Region">#REF!</definedName>
    <definedName name="RegionSignOffReq">#REF!</definedName>
    <definedName name="RegionSignOffStatus">#REF!</definedName>
    <definedName name="RegulatedIS">#REF!</definedName>
    <definedName name="RelatedSalary">#N/A</definedName>
    <definedName name="report_type">#REF!</definedName>
    <definedName name="ReportFormula">#REF!</definedName>
    <definedName name="ReportFormulas">#REF!</definedName>
    <definedName name="Reporting_Jurisdiction">#REF!</definedName>
    <definedName name="ReportNames" localSheetId="2">#REF!</definedName>
    <definedName name="ReportNames">#REF!</definedName>
    <definedName name="ReportType">#REF!</definedName>
    <definedName name="ReportVersion">#REF!</definedName>
    <definedName name="residential">#REF!</definedName>
    <definedName name="ReslStaffPriceOut">#REF!</definedName>
    <definedName name="RetainedEarnings" localSheetId="2">#REF!</definedName>
    <definedName name="RetainedEarnings">#REF!</definedName>
    <definedName name="RevCust" localSheetId="2">#REF!</definedName>
    <definedName name="RevCust">#REF!</definedName>
    <definedName name="RevCustomer">#REF!</definedName>
    <definedName name="REVDETAIL">#REF!</definedName>
    <definedName name="Revenue" localSheetId="1">'STAFF LG Public (2)'!$I$7</definedName>
    <definedName name="Revenue">#REF!</definedName>
    <definedName name="RevenuePF1">#REF!</definedName>
    <definedName name="Reverse">#REF!</definedName>
    <definedName name="ReviewByMe">#REF!</definedName>
    <definedName name="REVMAT">#REF!</definedName>
    <definedName name="RID">#REF!</definedName>
    <definedName name="rngBodyText">#REF!</definedName>
    <definedName name="RngBottomRight">#REF!</definedName>
    <definedName name="rngColDelChars">#REF!</definedName>
    <definedName name="rngColumnDelete">#REF!</definedName>
    <definedName name="rngCreateLog">#REF!</definedName>
    <definedName name="rngDeleteColumns">#REF!</definedName>
    <definedName name="rngDeleteRows">#REF!</definedName>
    <definedName name="rngEmail">#REF!</definedName>
    <definedName name="rngFileDir">#REF!</definedName>
    <definedName name="rngFileFormat">#REF!</definedName>
    <definedName name="rngFileName">#REF!</definedName>
    <definedName name="rngFilePassword">#REF!</definedName>
    <definedName name="rngPassword">#REF!</definedName>
    <definedName name="rngPasswordProtect">#REF!</definedName>
    <definedName name="rngPrint">#REF!</definedName>
    <definedName name="rngRetainFormulas">#REF!</definedName>
    <definedName name="rngSaveFile">#REF!</definedName>
    <definedName name="rngSourceTab">#REF!</definedName>
    <definedName name="rngSubjectLine">#REF!</definedName>
    <definedName name="rngTabName">#REF!</definedName>
    <definedName name="rngTopLeft">#REF!</definedName>
    <definedName name="ROCE">#REF!,#REF!</definedName>
    <definedName name="rolloff1">#REF!</definedName>
    <definedName name="rolloff2">#REF!</definedName>
    <definedName name="rolloff3">#REF!</definedName>
    <definedName name="rolloff4">#REF!</definedName>
    <definedName name="rolloff5">#REF!</definedName>
    <definedName name="ROW_SUPRESS">#REF!</definedName>
    <definedName name="rowgroup">#REF!</definedName>
    <definedName name="rowsegment">#REF!</definedName>
    <definedName name="RptEmailAddress">#REF!</definedName>
    <definedName name="rtr">#REF!</definedName>
    <definedName name="RTT">#REF!</definedName>
    <definedName name="sale">#REF!</definedName>
    <definedName name="SALES_TAX_RETURN">#REF!</definedName>
    <definedName name="Sbst">#REF!</definedName>
    <definedName name="SCN">#REF!</definedName>
    <definedName name="seffasfasdfsd">#REF!</definedName>
    <definedName name="SEPARATE">#REF!</definedName>
    <definedName name="Separation">#REF!</definedName>
    <definedName name="Sequential_Group">#REF!</definedName>
    <definedName name="Sequential_Segment">#REF!</definedName>
    <definedName name="Sequential_sort">#REF!</definedName>
    <definedName name="Setting_DeprFactor">#REF!</definedName>
    <definedName name="Setting_LFDeplUnitAcct">#REF!</definedName>
    <definedName name="Setting_LFUnitCost">#REF!</definedName>
    <definedName name="Setting_LFUnitCostNY">#REF!</definedName>
    <definedName name="Setting_LFUnitRow">#REF!</definedName>
    <definedName name="SFD">#REF!</definedName>
    <definedName name="SFD_BU">#REF!</definedName>
    <definedName name="SFD_DEPTID">#REF!</definedName>
    <definedName name="SFD_OP">#REF!</definedName>
    <definedName name="SFD_PROD">#REF!</definedName>
    <definedName name="SFD_PROJ">#REF!</definedName>
    <definedName name="sfdbusunit">#REF!</definedName>
    <definedName name="SFV">#REF!</definedName>
    <definedName name="SFV_BU">#REF!</definedName>
    <definedName name="SFV_CUR">#REF!</definedName>
    <definedName name="SFV_CUR1">#REF!</definedName>
    <definedName name="SFV_CUR5">#REF!</definedName>
    <definedName name="SFV_DEPTID">#REF!</definedName>
    <definedName name="SFV_OP">#REF!</definedName>
    <definedName name="SFV_PROD">#REF!</definedName>
    <definedName name="SFV_PROJ">#REF!</definedName>
    <definedName name="ShowHundreds">#REF!</definedName>
    <definedName name="ShowSaved">#REF!</definedName>
    <definedName name="SIC_Table">#REF!</definedName>
    <definedName name="sics">#REF!</definedName>
    <definedName name="slope" localSheetId="1">'STAFF LG Public (2)'!$Y$57</definedName>
    <definedName name="slope">#REF!</definedName>
    <definedName name="SLOPE1">#REF!</definedName>
    <definedName name="sort">#REF!</definedName>
    <definedName name="Sort1">#REF!</definedName>
    <definedName name="sortcol" localSheetId="2">#REF!</definedName>
    <definedName name="sortcol">#REF!</definedName>
    <definedName name="Source">#REF!</definedName>
    <definedName name="SPWS_WBID">"115966228744984"</definedName>
    <definedName name="sSRCDate" localSheetId="2">#REF!</definedName>
    <definedName name="sSRCDate">#REF!</definedName>
    <definedName name="start">#REF!</definedName>
    <definedName name="StartOfEntry">#REF!</definedName>
    <definedName name="StartPoint">#REF!</definedName>
    <definedName name="Stop">#REF!</definedName>
    <definedName name="SubSystem">#REF!</definedName>
    <definedName name="SubtypeToTruckType">#REF!</definedName>
    <definedName name="SUMM">#REF!</definedName>
    <definedName name="SUMMARY">#REF!</definedName>
    <definedName name="Summary_DistrictName">#REF!</definedName>
    <definedName name="Summary_DistrictNo">#REF!</definedName>
    <definedName name="SUMMARY01">#REF!</definedName>
    <definedName name="SUMMARY1">#REF!</definedName>
    <definedName name="Supplemental_filter">#REF!</definedName>
    <definedName name="SWDisposal">#N/A</definedName>
    <definedName name="Syst">#REF!</definedName>
    <definedName name="System" localSheetId="2">#REF!</definedName>
    <definedName name="System">#REF!</definedName>
    <definedName name="System_1">#REF!</definedName>
    <definedName name="Table_SIC">#REF!</definedName>
    <definedName name="TargetMonths">#REF!</definedName>
    <definedName name="taxrate" localSheetId="1">'STAFF LG Public (2)'!$J$38</definedName>
    <definedName name="TemplateEnd" localSheetId="2">#REF!</definedName>
    <definedName name="TemplateEnd">#REF!</definedName>
    <definedName name="TemplateStart" localSheetId="2">#REF!</definedName>
    <definedName name="TemplateStart">#REF!</definedName>
    <definedName name="test">#REF!</definedName>
    <definedName name="TheTable" localSheetId="2">#REF!</definedName>
    <definedName name="TheTable">#REF!</definedName>
    <definedName name="TheTableOLD" localSheetId="2">#REF!</definedName>
    <definedName name="TheTableOLD">#REF!</definedName>
    <definedName name="Thousands1">#REF!</definedName>
    <definedName name="Thousands2">#REF!</definedName>
    <definedName name="Thousands3">#REF!</definedName>
    <definedName name="Thousands4">#REF!</definedName>
    <definedName name="timeseries">#REF!</definedName>
    <definedName name="Title2">#REF!</definedName>
    <definedName name="ToMonth">#REF!</definedName>
    <definedName name="Tons">#REF!</definedName>
    <definedName name="TOP">#REF!</definedName>
    <definedName name="TOT">#REF!</definedName>
    <definedName name="Total_Comm">#REF!</definedName>
    <definedName name="Total_DB">#REF!</definedName>
    <definedName name="Total_Interest">#REF!</definedName>
    <definedName name="Total_Resi">#REF!</definedName>
    <definedName name="Totalcapacity">#REF!</definedName>
    <definedName name="TotalYards">#REF!</definedName>
    <definedName name="TOTCONT">#REF!</definedName>
    <definedName name="TOTCONTCONT">#REF!</definedName>
    <definedName name="TOTCONTCUST">#REF!</definedName>
    <definedName name="TOTCONTDH">#REF!</definedName>
    <definedName name="TOTCONTREV">#REF!</definedName>
    <definedName name="TOTCONTTH">#REF!</definedName>
    <definedName name="TOTCRECCONT">#REF!</definedName>
    <definedName name="TOTCRECCUST">#REF!</definedName>
    <definedName name="TOTCRECDH">#REF!</definedName>
    <definedName name="TOTCRECREV">#REF!</definedName>
    <definedName name="TOTCRECTDEP">#REF!</definedName>
    <definedName name="TOTCRECTH">#REF!</definedName>
    <definedName name="TOTCRECTV">#REF!</definedName>
    <definedName name="TOTCUST">#REF!</definedName>
    <definedName name="TOTDBCONT">#REF!</definedName>
    <definedName name="TOTDBCUST">#REF!</definedName>
    <definedName name="TOTDBDH">#REF!</definedName>
    <definedName name="TOTDBREV">#REF!</definedName>
    <definedName name="TOTDBTDEP">#REF!</definedName>
    <definedName name="TOTDBTH">#REF!</definedName>
    <definedName name="TOTDBTV">#REF!</definedName>
    <definedName name="TOTDEBCONT">#REF!</definedName>
    <definedName name="TOTDEBCUST">#REF!</definedName>
    <definedName name="TOTDEBDH">#REF!</definedName>
    <definedName name="TOTDEBREV">#REF!</definedName>
    <definedName name="TOTDEBTH">#REF!</definedName>
    <definedName name="TOTDH">#REF!</definedName>
    <definedName name="TOTFELCONT">#REF!</definedName>
    <definedName name="TOTFELCUST">#REF!</definedName>
    <definedName name="TOTFELDH">#REF!</definedName>
    <definedName name="TOTFELREV">#REF!</definedName>
    <definedName name="TOTFELTDEP">#REF!</definedName>
    <definedName name="TOTFELTH">#REF!</definedName>
    <definedName name="TOTFELTV">#REF!</definedName>
    <definedName name="TOTRESCONT">#REF!</definedName>
    <definedName name="TOTRESCUST">#REF!</definedName>
    <definedName name="TOTRESDH">#REF!</definedName>
    <definedName name="TOTRESRCONT">#REF!</definedName>
    <definedName name="TOTRESRCUST">#REF!</definedName>
    <definedName name="TOTRESRDH">#REF!</definedName>
    <definedName name="TOTRESREV">#REF!</definedName>
    <definedName name="TOTRESRREV">#REF!</definedName>
    <definedName name="TOTRESRTDEP">#REF!</definedName>
    <definedName name="TOTRESRTH">#REF!</definedName>
    <definedName name="TOTRESRTV">#REF!</definedName>
    <definedName name="TOTRESTDEP">#REF!</definedName>
    <definedName name="TOTRESTH">#REF!</definedName>
    <definedName name="TOTRESTV">#REF!</definedName>
    <definedName name="TOTREV">#REF!</definedName>
    <definedName name="TOTTABLE">#REF!</definedName>
    <definedName name="TOTTDEP">#REF!</definedName>
    <definedName name="TOTTH">#REF!</definedName>
    <definedName name="TOTTV">#REF!</definedName>
    <definedName name="TOTUNREGCONT">#REF!</definedName>
    <definedName name="TOTUNREGCUST">#REF!</definedName>
    <definedName name="TOTUNREGDH">#REF!</definedName>
    <definedName name="TOTUNREGREV">#REF!</definedName>
    <definedName name="TOTUNREGTH">#REF!</definedName>
    <definedName name="Transactions" localSheetId="2">#REF!</definedName>
    <definedName name="Transactions">#REF!</definedName>
    <definedName name="TYPE">#REF!</definedName>
    <definedName name="TypeSelection">#REF!</definedName>
    <definedName name="UnformattedIS">#REF!</definedName>
    <definedName name="UNID">#REF!</definedName>
    <definedName name="UnregulatedIS">#REF!</definedName>
    <definedName name="UserTestMode">#REF!</definedName>
    <definedName name="ValidFormats">#REF!</definedName>
    <definedName name="variable">#REF!</definedName>
    <definedName name="Variables">#REF!</definedName>
    <definedName name="VarianceStatus">#REF!</definedName>
    <definedName name="VarianceTolerance">#REF!</definedName>
    <definedName name="VendorName">#REF!</definedName>
    <definedName name="Version">#REF!</definedName>
    <definedName name="Waste_Connections__Inc.">#REF!</definedName>
    <definedName name="Waste_Management__Inc.">#REF!</definedName>
    <definedName name="WksInYr">#REF!</definedName>
    <definedName name="WM">#REF!</definedName>
    <definedName name="wrn.PrintReview." localSheetId="1" hidden="1">{#N/A,#N/A,TRUE,"SUMM";#N/A,#N/A,TRUE,"Rev";#N/A,#N/A,TRUE,"Dir_Costs";#N/A,#N/A,TRUE,"G and A Costs";#N/A,#N/A,TRUE,"Itemize";#N/A,#N/A,TRUE,"Cust_Count1";#N/A,#N/A,TRUE,"Cust_Count2";#N/A,#N/A,TRUE,"Rev_Breakdown";#N/A,#N/A,TRUE,"Truck Hours";#N/A,#N/A,TRUE,"Labor Hours";#N/A,#N/A,TRUE,"Container Breakdown";#N/A,#N/A,TRUE,"Cart Breakdown"}</definedName>
    <definedName name="wrn.PrintReview." localSheetId="2" hidden="1">{#N/A,#N/A,TRUE,"SUMM";#N/A,#N/A,TRUE,"Rev";#N/A,#N/A,TRUE,"Dir_Costs";#N/A,#N/A,TRUE,"G and A Costs";#N/A,#N/A,TRUE,"Itemize";#N/A,#N/A,TRUE,"Cust_Count1";#N/A,#N/A,TRUE,"Cust_Count2";#N/A,#N/A,TRUE,"Rev_Breakdown";#N/A,#N/A,TRUE,"Truck Hours";#N/A,#N/A,TRUE,"Labor Hours";#N/A,#N/A,TRUE,"Container Breakdown";#N/A,#N/A,TRUE,"Cart Breakdown"}</definedName>
    <definedName name="wrn.PrintReview." localSheetId="0" hidden="1">{#N/A,#N/A,TRUE,"SUMM";#N/A,#N/A,TRUE,"Rev";#N/A,#N/A,TRUE,"Dir_Costs";#N/A,#N/A,TRUE,"G and A Costs";#N/A,#N/A,TRUE,"Itemize";#N/A,#N/A,TRUE,"Cust_Count1";#N/A,#N/A,TRUE,"Cust_Count2";#N/A,#N/A,TRUE,"Rev_Breakdown";#N/A,#N/A,TRUE,"Truck Hours";#N/A,#N/A,TRUE,"Labor Hours";#N/A,#N/A,TRUE,"Container Breakdown";#N/A,#N/A,TRUE,"Cart Breakdown"}</definedName>
    <definedName name="wrn.PrintReview." hidden="1">{#N/A,#N/A,TRUE,"SUMM";#N/A,#N/A,TRUE,"Rev";#N/A,#N/A,TRUE,"Dir_Costs";#N/A,#N/A,TRUE,"G and A Costs";#N/A,#N/A,TRUE,"Itemize";#N/A,#N/A,TRUE,"Cust_Count1";#N/A,#N/A,TRUE,"Cust_Count2";#N/A,#N/A,TRUE,"Rev_Breakdown";#N/A,#N/A,TRUE,"Truck Hours";#N/A,#N/A,TRUE,"Labor Hours";#N/A,#N/A,TRUE,"Container Breakdown";#N/A,#N/A,TRUE,"Cart Breakdown"}</definedName>
    <definedName name="wrn.PrintReview2" localSheetId="1" hidden="1">{#N/A,#N/A,TRUE,"SUMM";#N/A,#N/A,TRUE,"Rev";#N/A,#N/A,TRUE,"Dir_Costs";#N/A,#N/A,TRUE,"G and A Costs";#N/A,#N/A,TRUE,"Itemize";#N/A,#N/A,TRUE,"Cust_Count1";#N/A,#N/A,TRUE,"Cust_Count2";#N/A,#N/A,TRUE,"Rev_Breakdown";#N/A,#N/A,TRUE,"Truck Hours";#N/A,#N/A,TRUE,"Labor Hours";#N/A,#N/A,TRUE,"Container Breakdown";#N/A,#N/A,TRUE,"Cart Breakdown"}</definedName>
    <definedName name="wrn.PrintReview2" localSheetId="2" hidden="1">{#N/A,#N/A,TRUE,"SUMM";#N/A,#N/A,TRUE,"Rev";#N/A,#N/A,TRUE,"Dir_Costs";#N/A,#N/A,TRUE,"G and A Costs";#N/A,#N/A,TRUE,"Itemize";#N/A,#N/A,TRUE,"Cust_Count1";#N/A,#N/A,TRUE,"Cust_Count2";#N/A,#N/A,TRUE,"Rev_Breakdown";#N/A,#N/A,TRUE,"Truck Hours";#N/A,#N/A,TRUE,"Labor Hours";#N/A,#N/A,TRUE,"Container Breakdown";#N/A,#N/A,TRUE,"Cart Breakdown"}</definedName>
    <definedName name="wrn.PrintReview2" localSheetId="0" hidden="1">{#N/A,#N/A,TRUE,"SUMM";#N/A,#N/A,TRUE,"Rev";#N/A,#N/A,TRUE,"Dir_Costs";#N/A,#N/A,TRUE,"G and A Costs";#N/A,#N/A,TRUE,"Itemize";#N/A,#N/A,TRUE,"Cust_Count1";#N/A,#N/A,TRUE,"Cust_Count2";#N/A,#N/A,TRUE,"Rev_Breakdown";#N/A,#N/A,TRUE,"Truck Hours";#N/A,#N/A,TRUE,"Labor Hours";#N/A,#N/A,TRUE,"Container Breakdown";#N/A,#N/A,TRUE,"Cart Breakdown"}</definedName>
    <definedName name="wrn.PrintReview2" hidden="1">{#N/A,#N/A,TRUE,"SUMM";#N/A,#N/A,TRUE,"Rev";#N/A,#N/A,TRUE,"Dir_Costs";#N/A,#N/A,TRUE,"G and A Costs";#N/A,#N/A,TRUE,"Itemize";#N/A,#N/A,TRUE,"Cust_Count1";#N/A,#N/A,TRUE,"Cust_Count2";#N/A,#N/A,TRUE,"Rev_Breakdown";#N/A,#N/A,TRUE,"Truck Hours";#N/A,#N/A,TRUE,"Labor Hours";#N/A,#N/A,TRUE,"Container Breakdown";#N/A,#N/A,TRUE,"Cart Breakdown"}</definedName>
    <definedName name="wrn.PrintReviewPDXAM" localSheetId="1" hidden="1">{#N/A,#N/A,TRUE,"SUMM";#N/A,#N/A,TRUE,"Rev";#N/A,#N/A,TRUE,"Dir_Costs";#N/A,#N/A,TRUE,"G and A Costs";#N/A,#N/A,TRUE,"Itemize";#N/A,#N/A,TRUE,"Cust_Count1";#N/A,#N/A,TRUE,"Cust_Count2";#N/A,#N/A,TRUE,"Rev_Breakdown";#N/A,#N/A,TRUE,"Truck Hours";#N/A,#N/A,TRUE,"Labor Hours";#N/A,#N/A,TRUE,"Container Breakdown";#N/A,#N/A,TRUE,"Cart Breakdown"}</definedName>
    <definedName name="wrn.PrintReviewPDXAM" localSheetId="2" hidden="1">{#N/A,#N/A,TRUE,"SUMM";#N/A,#N/A,TRUE,"Rev";#N/A,#N/A,TRUE,"Dir_Costs";#N/A,#N/A,TRUE,"G and A Costs";#N/A,#N/A,TRUE,"Itemize";#N/A,#N/A,TRUE,"Cust_Count1";#N/A,#N/A,TRUE,"Cust_Count2";#N/A,#N/A,TRUE,"Rev_Breakdown";#N/A,#N/A,TRUE,"Truck Hours";#N/A,#N/A,TRUE,"Labor Hours";#N/A,#N/A,TRUE,"Container Breakdown";#N/A,#N/A,TRUE,"Cart Breakdown"}</definedName>
    <definedName name="wrn.PrintReviewPDXAM" localSheetId="0" hidden="1">{#N/A,#N/A,TRUE,"SUMM";#N/A,#N/A,TRUE,"Rev";#N/A,#N/A,TRUE,"Dir_Costs";#N/A,#N/A,TRUE,"G and A Costs";#N/A,#N/A,TRUE,"Itemize";#N/A,#N/A,TRUE,"Cust_Count1";#N/A,#N/A,TRUE,"Cust_Count2";#N/A,#N/A,TRUE,"Rev_Breakdown";#N/A,#N/A,TRUE,"Truck Hours";#N/A,#N/A,TRUE,"Labor Hours";#N/A,#N/A,TRUE,"Container Breakdown";#N/A,#N/A,TRUE,"Cart Breakdown"}</definedName>
    <definedName name="wrn.PrintReviewPDXAM" hidden="1">{#N/A,#N/A,TRUE,"SUMM";#N/A,#N/A,TRUE,"Rev";#N/A,#N/A,TRUE,"Dir_Costs";#N/A,#N/A,TRUE,"G and A Costs";#N/A,#N/A,TRUE,"Itemize";#N/A,#N/A,TRUE,"Cust_Count1";#N/A,#N/A,TRUE,"Cust_Count2";#N/A,#N/A,TRUE,"Rev_Breakdown";#N/A,#N/A,TRUE,"Truck Hours";#N/A,#N/A,TRUE,"Labor Hours";#N/A,#N/A,TRUE,"Container Breakdown";#N/A,#N/A,TRUE,"Cart Breakdown"}</definedName>
    <definedName name="wrn.PrnPg1_Pg11." localSheetId="1" hidden="1">{"Page1",#N/A,TRUE,"SUMM";"Page2",#N/A,TRUE,"Rev";"Page3",#N/A,TRUE,"Dir_Costs";"Page4",#N/A,TRUE,"G and A Costs";"Page5",#N/A,TRUE,"Itemize";"Page6",#N/A,TRUE,"Cust_Count1";"Page7",#N/A,TRUE,"Cust_Count2";"Page8",#N/A,TRUE,"Rev_Breakdown";"Page9",#N/A,TRUE,"Truck Hours";"Page10",#N/A,TRUE,"Labor Hours";"Page11",#N/A,TRUE,"Container Breakdown"}</definedName>
    <definedName name="wrn.PrnPg1_Pg11." localSheetId="2" hidden="1">{"Page1",#N/A,TRUE,"SUMM";"Page2",#N/A,TRUE,"Rev";"Page3",#N/A,TRUE,"Dir_Costs";"Page4",#N/A,TRUE,"G and A Costs";"Page5",#N/A,TRUE,"Itemize";"Page6",#N/A,TRUE,"Cust_Count1";"Page7",#N/A,TRUE,"Cust_Count2";"Page8",#N/A,TRUE,"Rev_Breakdown";"Page9",#N/A,TRUE,"Truck Hours";"Page10",#N/A,TRUE,"Labor Hours";"Page11",#N/A,TRUE,"Container Breakdown"}</definedName>
    <definedName name="wrn.PrnPg1_Pg11." localSheetId="0" hidden="1">{"Page1",#N/A,TRUE,"SUMM";"Page2",#N/A,TRUE,"Rev";"Page3",#N/A,TRUE,"Dir_Costs";"Page4",#N/A,TRUE,"G and A Costs";"Page5",#N/A,TRUE,"Itemize";"Page6",#N/A,TRUE,"Cust_Count1";"Page7",#N/A,TRUE,"Cust_Count2";"Page8",#N/A,TRUE,"Rev_Breakdown";"Page9",#N/A,TRUE,"Truck Hours";"Page10",#N/A,TRUE,"Labor Hours";"Page11",#N/A,TRUE,"Container Breakdown"}</definedName>
    <definedName name="wrn.PrnPg1_Pg11." hidden="1">{"Page1",#N/A,TRUE,"SUMM";"Page2",#N/A,TRUE,"Rev";"Page3",#N/A,TRUE,"Dir_Costs";"Page4",#N/A,TRUE,"G and A Costs";"Page5",#N/A,TRUE,"Itemize";"Page6",#N/A,TRUE,"Cust_Count1";"Page7",#N/A,TRUE,"Cust_Count2";"Page8",#N/A,TRUE,"Rev_Breakdown";"Page9",#N/A,TRUE,"Truck Hours";"Page10",#N/A,TRUE,"Labor Hours";"Page11",#N/A,TRUE,"Container Breakdown"}</definedName>
    <definedName name="wrn.test." localSheetId="1" hidden="1">{"Page1",#N/A,TRUE,"SUMM";"Page2",#N/A,TRUE,"Rev";"Page3",#N/A,TRUE,"Dir_Costs"}</definedName>
    <definedName name="wrn.test." localSheetId="2" hidden="1">{"Page1",#N/A,TRUE,"SUMM";"Page2",#N/A,TRUE,"Rev";"Page3",#N/A,TRUE,"Dir_Costs"}</definedName>
    <definedName name="wrn.test." localSheetId="0" hidden="1">{"Page1",#N/A,TRUE,"SUMM";"Page2",#N/A,TRUE,"Rev";"Page3",#N/A,TRUE,"Dir_Costs"}</definedName>
    <definedName name="wrn.test." hidden="1">{"Page1",#N/A,TRUE,"SUMM";"Page2",#N/A,TRUE,"Rev";"Page3",#N/A,TRUE,"Dir_Costs"}</definedName>
    <definedName name="WTable" localSheetId="2">#REF!</definedName>
    <definedName name="WTable">#REF!</definedName>
    <definedName name="WTableOld" localSheetId="2">#REF!</definedName>
    <definedName name="WTableOld">#REF!</definedName>
    <definedName name="ww">#REF!</definedName>
    <definedName name="x" localSheetId="1">rank</definedName>
    <definedName name="x" localSheetId="2">rank</definedName>
    <definedName name="x" localSheetId="0">rank</definedName>
    <definedName name="x">rank</definedName>
    <definedName name="xperiod">#REF!</definedName>
    <definedName name="xtabin" localSheetId="2">#REF!</definedName>
    <definedName name="xtabin">#REF!</definedName>
    <definedName name="xx" localSheetId="2">#REF!</definedName>
    <definedName name="xx">#REF!</definedName>
    <definedName name="xxx">#REF!</definedName>
    <definedName name="xxxx">#REF!</definedName>
    <definedName name="y_inter1" localSheetId="1">'STAFF LG Public (2)'!$X$54</definedName>
    <definedName name="y_inter1">#REF!</definedName>
    <definedName name="y_inter2" localSheetId="1">'STAFF LG Public (2)'!$X$55</definedName>
    <definedName name="y_inter2">#REF!</definedName>
    <definedName name="y_inter3" localSheetId="1">'STAFF LG Public (2)'!$Z$54</definedName>
    <definedName name="y_inter3">#REF!</definedName>
    <definedName name="y_inter4" localSheetId="1">'STAFF LG Public (2)'!$Z$55</definedName>
    <definedName name="y_inter4">#REF!</definedName>
    <definedName name="Year">#REF!</definedName>
    <definedName name="Year_of_Review">#REF!</definedName>
    <definedName name="YEAR4">#REF!</definedName>
    <definedName name="yearlycf">#REF!</definedName>
    <definedName name="yearlypl">#REF!</definedName>
    <definedName name="YearMonth">#REF!</definedName>
    <definedName name="YearMonth_1">#REF!</definedName>
    <definedName name="YearMonthDate">#REF!</definedName>
    <definedName name="YearMonthDate2">#REF!</definedName>
    <definedName name="YearMonthDate3">#REF!</definedName>
    <definedName name="YearMonthDate4">#REF!</definedName>
    <definedName name="YearMonthDate5">#REF!</definedName>
    <definedName name="years">#REF!</definedName>
    <definedName name="yrCur">#REF!</definedName>
    <definedName name="yrNext">#REF!</definedName>
    <definedName name="YTD">#REF!</definedName>
    <definedName name="ytd_95">#REF!</definedName>
    <definedName name="YWMedWasteDisp">#N/A</definedName>
    <definedName name="yy">#REF!</definedName>
    <definedName name="Zero_Format">#REF!</definedName>
  </definedNames>
  <calcPr calcId="191029" iterate="1" concurrentManualCount="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4" l="1"/>
  <c r="E82" i="4"/>
  <c r="E81" i="4"/>
  <c r="E80" i="4"/>
  <c r="E79" i="4"/>
  <c r="E78" i="4"/>
  <c r="E77" i="4"/>
  <c r="D76" i="4"/>
  <c r="D75" i="4"/>
  <c r="D74" i="4"/>
  <c r="D73" i="4"/>
  <c r="D72" i="4"/>
  <c r="D71" i="4"/>
  <c r="D70" i="4"/>
  <c r="D69" i="4"/>
  <c r="AE57" i="3"/>
  <c r="AD57" i="3"/>
  <c r="AC57" i="3"/>
  <c r="AB57" i="3"/>
  <c r="AA57" i="3"/>
  <c r="Z57" i="3"/>
  <c r="Y57" i="3"/>
  <c r="X57" i="3"/>
  <c r="W57" i="3"/>
  <c r="V57" i="3"/>
  <c r="U57" i="3"/>
  <c r="T57" i="3"/>
  <c r="R57" i="3"/>
  <c r="Q52" i="3"/>
  <c r="P52" i="3"/>
  <c r="O52" i="3"/>
  <c r="N52" i="3"/>
  <c r="M52" i="3"/>
  <c r="L52" i="3"/>
  <c r="K52" i="3"/>
  <c r="J52" i="3"/>
  <c r="I52" i="3"/>
  <c r="H52" i="3"/>
  <c r="G52" i="3"/>
  <c r="F52" i="3"/>
  <c r="AP50" i="3"/>
  <c r="AE50" i="3"/>
  <c r="AD50" i="3"/>
  <c r="AC50" i="3"/>
  <c r="AB50" i="3"/>
  <c r="AA50" i="3"/>
  <c r="Z50" i="3"/>
  <c r="Y50" i="3"/>
  <c r="X50" i="3"/>
  <c r="W50" i="3"/>
  <c r="V50" i="3"/>
  <c r="U50" i="3"/>
  <c r="T50" i="3"/>
  <c r="AF50" i="3" s="1"/>
  <c r="R50" i="3"/>
  <c r="AG50" i="3" s="1"/>
  <c r="AP49" i="3"/>
  <c r="AE49" i="3"/>
  <c r="AD49" i="3"/>
  <c r="AC49" i="3"/>
  <c r="AB49" i="3"/>
  <c r="AA49" i="3"/>
  <c r="Z49" i="3"/>
  <c r="Y49" i="3"/>
  <c r="X49" i="3"/>
  <c r="W49" i="3"/>
  <c r="V49" i="3"/>
  <c r="U49" i="3"/>
  <c r="T49" i="3"/>
  <c r="R49" i="3"/>
  <c r="AG49" i="3" s="1"/>
  <c r="AP48" i="3"/>
  <c r="AE48" i="3"/>
  <c r="AD48" i="3"/>
  <c r="AC48" i="3"/>
  <c r="AB48" i="3"/>
  <c r="AA48" i="3"/>
  <c r="Z48" i="3"/>
  <c r="Y48" i="3"/>
  <c r="X48" i="3"/>
  <c r="W48" i="3"/>
  <c r="V48" i="3"/>
  <c r="U48" i="3"/>
  <c r="T48" i="3"/>
  <c r="R48" i="3"/>
  <c r="AG48" i="3" s="1"/>
  <c r="AP47" i="3"/>
  <c r="AE47" i="3"/>
  <c r="AD47" i="3"/>
  <c r="AC47" i="3"/>
  <c r="AB47" i="3"/>
  <c r="AA47" i="3"/>
  <c r="Z47" i="3"/>
  <c r="Y47" i="3"/>
  <c r="X47" i="3"/>
  <c r="W47" i="3"/>
  <c r="V47" i="3"/>
  <c r="U47" i="3"/>
  <c r="T47" i="3"/>
  <c r="R47" i="3"/>
  <c r="AG47" i="3" s="1"/>
  <c r="AP46" i="3"/>
  <c r="AE46" i="3"/>
  <c r="AD46" i="3"/>
  <c r="AC46" i="3"/>
  <c r="AB46" i="3"/>
  <c r="AA46" i="3"/>
  <c r="Z46" i="3"/>
  <c r="Y46" i="3"/>
  <c r="X46" i="3"/>
  <c r="W46" i="3"/>
  <c r="V46" i="3"/>
  <c r="U46" i="3"/>
  <c r="T46" i="3"/>
  <c r="R46" i="3"/>
  <c r="AG46" i="3" s="1"/>
  <c r="AP45" i="3"/>
  <c r="AE45" i="3"/>
  <c r="AD45" i="3"/>
  <c r="AC45" i="3"/>
  <c r="AB45" i="3"/>
  <c r="AA45" i="3"/>
  <c r="Z45" i="3"/>
  <c r="Y45" i="3"/>
  <c r="X45" i="3"/>
  <c r="W45" i="3"/>
  <c r="V45" i="3"/>
  <c r="U45" i="3"/>
  <c r="T45" i="3"/>
  <c r="R45" i="3"/>
  <c r="AG45" i="3" s="1"/>
  <c r="AP44" i="3"/>
  <c r="AE44" i="3"/>
  <c r="AD44" i="3"/>
  <c r="AC44" i="3"/>
  <c r="AB44" i="3"/>
  <c r="AA44" i="3"/>
  <c r="Z44" i="3"/>
  <c r="Y44" i="3"/>
  <c r="X44" i="3"/>
  <c r="W44" i="3"/>
  <c r="V44" i="3"/>
  <c r="U44" i="3"/>
  <c r="T44" i="3"/>
  <c r="R44" i="3"/>
  <c r="AG44" i="3" s="1"/>
  <c r="AP43" i="3"/>
  <c r="AR43" i="3" s="1"/>
  <c r="AE43" i="3"/>
  <c r="AD43" i="3"/>
  <c r="AC43" i="3"/>
  <c r="AB43" i="3"/>
  <c r="AA43" i="3"/>
  <c r="Z43" i="3"/>
  <c r="Y43" i="3"/>
  <c r="X43" i="3"/>
  <c r="W43" i="3"/>
  <c r="V43" i="3"/>
  <c r="U43" i="3"/>
  <c r="T43" i="3"/>
  <c r="AF43" i="3" s="1"/>
  <c r="R43" i="3"/>
  <c r="AG43" i="3" s="1"/>
  <c r="AP42" i="3"/>
  <c r="AE42" i="3"/>
  <c r="AD42" i="3"/>
  <c r="AC42" i="3"/>
  <c r="AB42" i="3"/>
  <c r="AA42" i="3"/>
  <c r="Z42" i="3"/>
  <c r="Y42" i="3"/>
  <c r="X42" i="3"/>
  <c r="W42" i="3"/>
  <c r="V42" i="3"/>
  <c r="U42" i="3"/>
  <c r="T42" i="3"/>
  <c r="AF42" i="3" s="1"/>
  <c r="R42" i="3"/>
  <c r="AR41" i="3"/>
  <c r="AP41" i="3"/>
  <c r="AE41" i="3"/>
  <c r="AD41" i="3"/>
  <c r="AC41" i="3"/>
  <c r="AB41" i="3"/>
  <c r="AA41" i="3"/>
  <c r="Z41" i="3"/>
  <c r="Y41" i="3"/>
  <c r="X41" i="3"/>
  <c r="W41" i="3"/>
  <c r="V41" i="3"/>
  <c r="U41" i="3"/>
  <c r="T41" i="3"/>
  <c r="R41" i="3"/>
  <c r="AG41" i="3" s="1"/>
  <c r="AP40" i="3"/>
  <c r="AE40" i="3"/>
  <c r="AD40" i="3"/>
  <c r="AC40" i="3"/>
  <c r="AB40" i="3"/>
  <c r="AA40" i="3"/>
  <c r="Z40" i="3"/>
  <c r="Y40" i="3"/>
  <c r="X40" i="3"/>
  <c r="W40" i="3"/>
  <c r="V40" i="3"/>
  <c r="U40" i="3"/>
  <c r="T40" i="3"/>
  <c r="R40" i="3"/>
  <c r="AG40" i="3" s="1"/>
  <c r="AP39" i="3"/>
  <c r="AR39" i="3" s="1"/>
  <c r="AE39" i="3"/>
  <c r="AD39" i="3"/>
  <c r="AC39" i="3"/>
  <c r="AB39" i="3"/>
  <c r="AA39" i="3"/>
  <c r="Z39" i="3"/>
  <c r="Y39" i="3"/>
  <c r="X39" i="3"/>
  <c r="W39" i="3"/>
  <c r="V39" i="3"/>
  <c r="U39" i="3"/>
  <c r="T39" i="3"/>
  <c r="R39" i="3"/>
  <c r="AP38" i="3"/>
  <c r="AE38" i="3"/>
  <c r="AD38" i="3"/>
  <c r="AC38" i="3"/>
  <c r="AB38" i="3"/>
  <c r="AA38" i="3"/>
  <c r="Z38" i="3"/>
  <c r="Y38" i="3"/>
  <c r="X38" i="3"/>
  <c r="W38" i="3"/>
  <c r="V38" i="3"/>
  <c r="U38" i="3"/>
  <c r="T38" i="3"/>
  <c r="AF38" i="3" s="1"/>
  <c r="R38" i="3"/>
  <c r="AP37" i="3"/>
  <c r="AE37" i="3"/>
  <c r="AD37" i="3"/>
  <c r="AC37" i="3"/>
  <c r="AB37" i="3"/>
  <c r="AA37" i="3"/>
  <c r="Z37" i="3"/>
  <c r="Y37" i="3"/>
  <c r="X37" i="3"/>
  <c r="W37" i="3"/>
  <c r="V37" i="3"/>
  <c r="U37" i="3"/>
  <c r="T37" i="3"/>
  <c r="R37" i="3"/>
  <c r="AP36" i="3"/>
  <c r="AE36" i="3"/>
  <c r="AD36" i="3"/>
  <c r="AC36" i="3"/>
  <c r="AB36" i="3"/>
  <c r="AA36" i="3"/>
  <c r="Z36" i="3"/>
  <c r="Y36" i="3"/>
  <c r="X36" i="3"/>
  <c r="W36" i="3"/>
  <c r="V36" i="3"/>
  <c r="U36" i="3"/>
  <c r="T36" i="3"/>
  <c r="AF36" i="3" s="1"/>
  <c r="R36" i="3"/>
  <c r="AP35" i="3"/>
  <c r="AE35" i="3"/>
  <c r="AD35" i="3"/>
  <c r="AC35" i="3"/>
  <c r="AB35" i="3"/>
  <c r="AA35" i="3"/>
  <c r="Z35" i="3"/>
  <c r="Y35" i="3"/>
  <c r="X35" i="3"/>
  <c r="W35" i="3"/>
  <c r="V35" i="3"/>
  <c r="U35" i="3"/>
  <c r="T35" i="3"/>
  <c r="R35" i="3"/>
  <c r="AP34" i="3"/>
  <c r="AE34" i="3"/>
  <c r="AD34" i="3"/>
  <c r="AC34" i="3"/>
  <c r="AB34" i="3"/>
  <c r="AA34" i="3"/>
  <c r="Z34" i="3"/>
  <c r="Y34" i="3"/>
  <c r="X34" i="3"/>
  <c r="W34" i="3"/>
  <c r="V34" i="3"/>
  <c r="U34" i="3"/>
  <c r="T34" i="3"/>
  <c r="R34" i="3"/>
  <c r="AG34" i="3" s="1"/>
  <c r="AP33" i="3"/>
  <c r="AE33" i="3"/>
  <c r="AE52" i="3" s="1"/>
  <c r="AD33" i="3"/>
  <c r="AD52" i="3" s="1"/>
  <c r="AC33" i="3"/>
  <c r="AB33" i="3"/>
  <c r="AB52" i="3" s="1"/>
  <c r="AA33" i="3"/>
  <c r="AA52" i="3" s="1"/>
  <c r="Z33" i="3"/>
  <c r="Z52" i="3" s="1"/>
  <c r="Y33" i="3"/>
  <c r="Y52" i="3" s="1"/>
  <c r="X33" i="3"/>
  <c r="X52" i="3" s="1"/>
  <c r="W33" i="3"/>
  <c r="W52" i="3" s="1"/>
  <c r="V33" i="3"/>
  <c r="V52" i="3" s="1"/>
  <c r="U33" i="3"/>
  <c r="U52" i="3" s="1"/>
  <c r="T33" i="3"/>
  <c r="R33" i="3"/>
  <c r="AG33" i="3" s="1"/>
  <c r="AP32" i="3"/>
  <c r="AE32" i="3"/>
  <c r="AD32" i="3"/>
  <c r="AC32" i="3"/>
  <c r="AB32" i="3"/>
  <c r="AA32" i="3"/>
  <c r="Z32" i="3"/>
  <c r="Y32" i="3"/>
  <c r="X32" i="3"/>
  <c r="W32" i="3"/>
  <c r="V32" i="3"/>
  <c r="U32" i="3"/>
  <c r="T32" i="3"/>
  <c r="R32" i="3"/>
  <c r="AG32" i="3" s="1"/>
  <c r="AP31" i="3"/>
  <c r="AE31" i="3"/>
  <c r="AD31" i="3"/>
  <c r="AC31" i="3"/>
  <c r="AB31" i="3"/>
  <c r="AA31" i="3"/>
  <c r="Z31" i="3"/>
  <c r="Y31" i="3"/>
  <c r="X31" i="3"/>
  <c r="W31" i="3"/>
  <c r="V31" i="3"/>
  <c r="U31" i="3"/>
  <c r="T31" i="3"/>
  <c r="R31" i="3"/>
  <c r="AG31" i="3" s="1"/>
  <c r="AV30" i="3"/>
  <c r="AR30" i="3"/>
  <c r="AP30" i="3"/>
  <c r="AE30" i="3"/>
  <c r="AD30" i="3"/>
  <c r="AC30" i="3"/>
  <c r="AB30" i="3"/>
  <c r="AA30" i="3"/>
  <c r="Z30" i="3"/>
  <c r="Y30" i="3"/>
  <c r="X30" i="3"/>
  <c r="W30" i="3"/>
  <c r="V30" i="3"/>
  <c r="U30" i="3"/>
  <c r="T30" i="3"/>
  <c r="R30" i="3"/>
  <c r="AG30" i="3" s="1"/>
  <c r="AP29" i="3"/>
  <c r="AE29" i="3"/>
  <c r="AD29" i="3"/>
  <c r="AC29" i="3"/>
  <c r="AB29" i="3"/>
  <c r="AA29" i="3"/>
  <c r="Z29" i="3"/>
  <c r="Y29" i="3"/>
  <c r="X29" i="3"/>
  <c r="W29" i="3"/>
  <c r="V29" i="3"/>
  <c r="U29" i="3"/>
  <c r="T29" i="3"/>
  <c r="R29" i="3"/>
  <c r="AG29" i="3" s="1"/>
  <c r="AO27" i="3"/>
  <c r="AO26" i="3"/>
  <c r="AM26" i="3"/>
  <c r="Q26" i="3"/>
  <c r="P26" i="3"/>
  <c r="O26" i="3"/>
  <c r="N26" i="3"/>
  <c r="M26" i="3"/>
  <c r="L26" i="3"/>
  <c r="K26" i="3"/>
  <c r="J26" i="3"/>
  <c r="I26" i="3"/>
  <c r="H26" i="3"/>
  <c r="G26" i="3"/>
  <c r="F26" i="3"/>
  <c r="AP24" i="3"/>
  <c r="AE24" i="3"/>
  <c r="AD24" i="3"/>
  <c r="AC24" i="3"/>
  <c r="AB24" i="3"/>
  <c r="AA24" i="3"/>
  <c r="Z24" i="3"/>
  <c r="Y24" i="3"/>
  <c r="X24" i="3"/>
  <c r="W24" i="3"/>
  <c r="V24" i="3"/>
  <c r="U24" i="3"/>
  <c r="T24" i="3"/>
  <c r="AP23" i="3"/>
  <c r="AE23" i="3"/>
  <c r="AD23" i="3"/>
  <c r="AC23" i="3"/>
  <c r="AB23" i="3"/>
  <c r="AA23" i="3"/>
  <c r="Z23" i="3"/>
  <c r="Y23" i="3"/>
  <c r="X23" i="3"/>
  <c r="W23" i="3"/>
  <c r="V23" i="3"/>
  <c r="U23" i="3"/>
  <c r="T23" i="3"/>
  <c r="R23" i="3"/>
  <c r="AG23" i="3" s="1"/>
  <c r="B23" i="3"/>
  <c r="AP22" i="3"/>
  <c r="AE22" i="3"/>
  <c r="AD22" i="3"/>
  <c r="AC22" i="3"/>
  <c r="AB22" i="3"/>
  <c r="AA22" i="3"/>
  <c r="Z22" i="3"/>
  <c r="Y22" i="3"/>
  <c r="X22" i="3"/>
  <c r="W22" i="3"/>
  <c r="V22" i="3"/>
  <c r="U22" i="3"/>
  <c r="T22" i="3"/>
  <c r="R22" i="3"/>
  <c r="B22" i="3"/>
  <c r="AP21" i="3"/>
  <c r="AE21" i="3"/>
  <c r="AD21" i="3"/>
  <c r="AC21" i="3"/>
  <c r="AB21" i="3"/>
  <c r="AA21" i="3"/>
  <c r="Z21" i="3"/>
  <c r="Y21" i="3"/>
  <c r="X21" i="3"/>
  <c r="W21" i="3"/>
  <c r="V21" i="3"/>
  <c r="U21" i="3"/>
  <c r="T21" i="3"/>
  <c r="R21" i="3"/>
  <c r="AG21" i="3" s="1"/>
  <c r="B21" i="3"/>
  <c r="AP20" i="3"/>
  <c r="AE20" i="3"/>
  <c r="AD20" i="3"/>
  <c r="AC20" i="3"/>
  <c r="AB20" i="3"/>
  <c r="AA20" i="3"/>
  <c r="Z20" i="3"/>
  <c r="Y20" i="3"/>
  <c r="X20" i="3"/>
  <c r="W20" i="3"/>
  <c r="V20" i="3"/>
  <c r="U20" i="3"/>
  <c r="T20" i="3"/>
  <c r="AF20" i="3" s="1"/>
  <c r="BA20" i="3" s="1"/>
  <c r="BB20" i="3" s="1"/>
  <c r="R20" i="3"/>
  <c r="AN20" i="3" s="1"/>
  <c r="B20" i="3"/>
  <c r="AP19" i="3"/>
  <c r="AE19" i="3"/>
  <c r="AD19" i="3"/>
  <c r="AC19" i="3"/>
  <c r="AB19" i="3"/>
  <c r="AA19" i="3"/>
  <c r="Z19" i="3"/>
  <c r="Y19" i="3"/>
  <c r="X19" i="3"/>
  <c r="W19" i="3"/>
  <c r="V19" i="3"/>
  <c r="U19" i="3"/>
  <c r="T19" i="3"/>
  <c r="R19" i="3"/>
  <c r="AG19" i="3" s="1"/>
  <c r="B19" i="3"/>
  <c r="AP18" i="3"/>
  <c r="AE18" i="3"/>
  <c r="AD18" i="3"/>
  <c r="AD26" i="3" s="1"/>
  <c r="AC18" i="3"/>
  <c r="AC26" i="3" s="1"/>
  <c r="AB18" i="3"/>
  <c r="AB26" i="3" s="1"/>
  <c r="AA18" i="3"/>
  <c r="Z18" i="3"/>
  <c r="Z26" i="3" s="1"/>
  <c r="Y18" i="3"/>
  <c r="Y26" i="3" s="1"/>
  <c r="X18" i="3"/>
  <c r="X26" i="3" s="1"/>
  <c r="W18" i="3"/>
  <c r="V18" i="3"/>
  <c r="V26" i="3" s="1"/>
  <c r="U18" i="3"/>
  <c r="U26" i="3" s="1"/>
  <c r="T18" i="3"/>
  <c r="T26" i="3" s="1"/>
  <c r="R18" i="3"/>
  <c r="Q14" i="3"/>
  <c r="P14" i="3"/>
  <c r="O14" i="3"/>
  <c r="N14" i="3"/>
  <c r="M14" i="3"/>
  <c r="L14" i="3"/>
  <c r="K14" i="3"/>
  <c r="J14" i="3"/>
  <c r="I14" i="3"/>
  <c r="H14" i="3"/>
  <c r="G14" i="3"/>
  <c r="F14" i="3"/>
  <c r="AF13" i="3"/>
  <c r="AP12" i="3"/>
  <c r="AE12" i="3"/>
  <c r="AD12" i="3"/>
  <c r="AC12" i="3"/>
  <c r="AB12" i="3"/>
  <c r="AA12" i="3"/>
  <c r="Z12" i="3"/>
  <c r="Y12" i="3"/>
  <c r="X12" i="3"/>
  <c r="W12" i="3"/>
  <c r="V12" i="3"/>
  <c r="U12" i="3"/>
  <c r="T12" i="3"/>
  <c r="AF12" i="3" s="1"/>
  <c r="R12" i="3"/>
  <c r="AG12" i="3" s="1"/>
  <c r="AP11" i="3"/>
  <c r="AE11" i="3"/>
  <c r="AD11" i="3"/>
  <c r="AC11" i="3"/>
  <c r="AB11" i="3"/>
  <c r="AA11" i="3"/>
  <c r="Z11" i="3"/>
  <c r="Y11" i="3"/>
  <c r="X11" i="3"/>
  <c r="W11" i="3"/>
  <c r="V11" i="3"/>
  <c r="U11" i="3"/>
  <c r="T11" i="3"/>
  <c r="AF11" i="3" s="1"/>
  <c r="AF14" i="3" s="1"/>
  <c r="R11" i="3"/>
  <c r="AG11" i="3" s="1"/>
  <c r="AP10" i="3"/>
  <c r="AE10" i="3"/>
  <c r="AD10" i="3"/>
  <c r="AC10" i="3"/>
  <c r="AC14" i="3" s="1"/>
  <c r="AB10" i="3"/>
  <c r="AB14" i="3" s="1"/>
  <c r="AA10" i="3"/>
  <c r="Z10" i="3"/>
  <c r="Y10" i="3"/>
  <c r="Y14" i="3" s="1"/>
  <c r="X10" i="3"/>
  <c r="X14" i="3" s="1"/>
  <c r="W10" i="3"/>
  <c r="V10" i="3"/>
  <c r="U10" i="3"/>
  <c r="U14" i="3" s="1"/>
  <c r="T10" i="3"/>
  <c r="T14" i="3" s="1"/>
  <c r="R10" i="3"/>
  <c r="AE6" i="3"/>
  <c r="AD6" i="3"/>
  <c r="AC6" i="3"/>
  <c r="AB6" i="3"/>
  <c r="AA6" i="3"/>
  <c r="Z6" i="3"/>
  <c r="Y6" i="3"/>
  <c r="X6" i="3"/>
  <c r="W6" i="3"/>
  <c r="V6" i="3"/>
  <c r="U6" i="3"/>
  <c r="T6" i="3"/>
  <c r="S58" i="2"/>
  <c r="U56" i="2"/>
  <c r="U55" i="2"/>
  <c r="J45" i="2"/>
  <c r="J44" i="2"/>
  <c r="J43" i="2"/>
  <c r="J38" i="2"/>
  <c r="V34" i="2"/>
  <c r="V32" i="2"/>
  <c r="V31" i="2"/>
  <c r="V29" i="2"/>
  <c r="V28" i="2"/>
  <c r="V27" i="2"/>
  <c r="V24" i="2"/>
  <c r="V23" i="2"/>
  <c r="V22" i="2"/>
  <c r="V21" i="2"/>
  <c r="V19" i="2"/>
  <c r="V18" i="2"/>
  <c r="V17" i="2"/>
  <c r="V16" i="2"/>
  <c r="V14" i="2"/>
  <c r="J46" i="2"/>
  <c r="V13" i="2"/>
  <c r="V12" i="2"/>
  <c r="V11" i="2"/>
  <c r="V9" i="2"/>
  <c r="K27" i="2"/>
  <c r="V8" i="2"/>
  <c r="F8" i="2"/>
  <c r="F9" i="2" s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F48" i="2" s="1"/>
  <c r="F49" i="2" s="1"/>
  <c r="I27" i="2"/>
  <c r="AC7" i="2" s="1"/>
  <c r="Y7" i="2"/>
  <c r="Y8" i="2" s="1"/>
  <c r="Y9" i="2" s="1"/>
  <c r="Y11" i="2" s="1"/>
  <c r="Y12" i="2" s="1"/>
  <c r="Y13" i="2" s="1"/>
  <c r="Y14" i="2" s="1"/>
  <c r="Y16" i="2" s="1"/>
  <c r="Y17" i="2" s="1"/>
  <c r="Y18" i="2" s="1"/>
  <c r="Y19" i="2" s="1"/>
  <c r="Y21" i="2" s="1"/>
  <c r="Y22" i="2" s="1"/>
  <c r="Y23" i="2" s="1"/>
  <c r="Y24" i="2" s="1"/>
  <c r="Y26" i="2" s="1"/>
  <c r="Y27" i="2" s="1"/>
  <c r="Y28" i="2" s="1"/>
  <c r="Y29" i="2" s="1"/>
  <c r="Y31" i="2" s="1"/>
  <c r="Y32" i="2" s="1"/>
  <c r="Y33" i="2" s="1"/>
  <c r="Y34" i="2" s="1"/>
  <c r="Y36" i="2" s="1"/>
  <c r="Y37" i="2" s="1"/>
  <c r="Y38" i="2" s="1"/>
  <c r="Y39" i="2" s="1"/>
  <c r="V7" i="2"/>
  <c r="Y6" i="2"/>
  <c r="V6" i="2"/>
  <c r="R26" i="3" l="1"/>
  <c r="W26" i="3"/>
  <c r="AA26" i="3"/>
  <c r="AE26" i="3"/>
  <c r="AF19" i="3"/>
  <c r="AG22" i="3"/>
  <c r="AF23" i="3"/>
  <c r="AF30" i="3"/>
  <c r="AF31" i="3"/>
  <c r="AF33" i="3"/>
  <c r="AG35" i="3"/>
  <c r="AG37" i="3"/>
  <c r="AG39" i="3"/>
  <c r="AF40" i="3"/>
  <c r="AG42" i="3"/>
  <c r="AF45" i="3"/>
  <c r="AF47" i="3"/>
  <c r="V14" i="3"/>
  <c r="Z14" i="3"/>
  <c r="AD14" i="3"/>
  <c r="AG10" i="3"/>
  <c r="W14" i="3"/>
  <c r="AA14" i="3"/>
  <c r="AE14" i="3"/>
  <c r="AF22" i="3"/>
  <c r="AF24" i="3"/>
  <c r="AS30" i="3"/>
  <c r="AC52" i="3"/>
  <c r="AF35" i="3"/>
  <c r="AF37" i="3"/>
  <c r="BA37" i="3" s="1"/>
  <c r="BB37" i="3" s="1"/>
  <c r="AF39" i="3"/>
  <c r="BA47" i="3"/>
  <c r="BB47" i="3" s="1"/>
  <c r="AF49" i="3"/>
  <c r="AF21" i="3"/>
  <c r="AF29" i="3"/>
  <c r="AF32" i="3"/>
  <c r="AF34" i="3"/>
  <c r="BA34" i="3" s="1"/>
  <c r="BB34" i="3" s="1"/>
  <c r="AG36" i="3"/>
  <c r="AF41" i="3"/>
  <c r="AF44" i="3"/>
  <c r="AF46" i="3"/>
  <c r="BA46" i="3" s="1"/>
  <c r="BB46" i="3" s="1"/>
  <c r="H55" i="3"/>
  <c r="L55" i="3"/>
  <c r="P55" i="3"/>
  <c r="AG52" i="3"/>
  <c r="AF48" i="3"/>
  <c r="I2" i="4"/>
  <c r="I3" i="4" s="1"/>
  <c r="BA12" i="3"/>
  <c r="BB12" i="3" s="1"/>
  <c r="AG14" i="3"/>
  <c r="BA11" i="3"/>
  <c r="BB11" i="3" s="1"/>
  <c r="R14" i="3"/>
  <c r="BA22" i="3"/>
  <c r="BB22" i="3" s="1"/>
  <c r="AU30" i="3"/>
  <c r="AT30" i="3"/>
  <c r="BA35" i="3"/>
  <c r="BB35" i="3" s="1"/>
  <c r="AS39" i="3"/>
  <c r="BA39" i="3"/>
  <c r="BB39" i="3" s="1"/>
  <c r="BA42" i="3"/>
  <c r="BB42" i="3" s="1"/>
  <c r="BA49" i="3"/>
  <c r="BB49" i="3" s="1"/>
  <c r="G55" i="3"/>
  <c r="K55" i="3"/>
  <c r="O55" i="3"/>
  <c r="AF10" i="3"/>
  <c r="BA10" i="3" s="1"/>
  <c r="BA21" i="3"/>
  <c r="BB21" i="3" s="1"/>
  <c r="BA29" i="3"/>
  <c r="BA32" i="3"/>
  <c r="BB32" i="3" s="1"/>
  <c r="AS41" i="3"/>
  <c r="BA41" i="3"/>
  <c r="BB41" i="3" s="1"/>
  <c r="BA44" i="3"/>
  <c r="BB44" i="3" s="1"/>
  <c r="BA36" i="3"/>
  <c r="BB36" i="3" s="1"/>
  <c r="BA38" i="3"/>
  <c r="BB38" i="3" s="1"/>
  <c r="AS43" i="3"/>
  <c r="BA43" i="3"/>
  <c r="BB43" i="3" s="1"/>
  <c r="BA48" i="3"/>
  <c r="BB48" i="3" s="1"/>
  <c r="BA50" i="3"/>
  <c r="BB50" i="3" s="1"/>
  <c r="I55" i="3"/>
  <c r="M55" i="3"/>
  <c r="Q55" i="3"/>
  <c r="AF18" i="3"/>
  <c r="BA18" i="3" s="1"/>
  <c r="AF26" i="3"/>
  <c r="BA19" i="3"/>
  <c r="BB19" i="3" s="1"/>
  <c r="BA23" i="3"/>
  <c r="BB23" i="3" s="1"/>
  <c r="BA30" i="3"/>
  <c r="BB30" i="3" s="1"/>
  <c r="BA31" i="3"/>
  <c r="BB31" i="3" s="1"/>
  <c r="BA33" i="3"/>
  <c r="BB33" i="3" s="1"/>
  <c r="AF52" i="3"/>
  <c r="BA40" i="3"/>
  <c r="BB40" i="3" s="1"/>
  <c r="BA45" i="3"/>
  <c r="BB45" i="3" s="1"/>
  <c r="F55" i="3"/>
  <c r="J55" i="3"/>
  <c r="N55" i="3"/>
  <c r="BA24" i="3"/>
  <c r="BB24" i="3" s="1"/>
  <c r="R52" i="3"/>
  <c r="R55" i="3" s="1"/>
  <c r="AV2" i="3" s="1"/>
  <c r="AG18" i="3"/>
  <c r="AR31" i="3"/>
  <c r="AS31" i="3" s="1"/>
  <c r="T52" i="3"/>
  <c r="AG20" i="3"/>
  <c r="AG26" i="3" s="1"/>
  <c r="AR40" i="3"/>
  <c r="AS40" i="3" s="1"/>
  <c r="AR42" i="3"/>
  <c r="AS42" i="3" s="1"/>
  <c r="AC37" i="2"/>
  <c r="AC29" i="2"/>
  <c r="AC28" i="2"/>
  <c r="AC27" i="2"/>
  <c r="I26" i="2"/>
  <c r="AC33" i="2"/>
  <c r="AC26" i="2"/>
  <c r="AC32" i="2"/>
  <c r="AC24" i="2"/>
  <c r="AC22" i="2"/>
  <c r="AC18" i="2"/>
  <c r="AC17" i="2"/>
  <c r="AC16" i="2"/>
  <c r="AC14" i="2"/>
  <c r="AC13" i="2"/>
  <c r="AC12" i="2"/>
  <c r="AC11" i="2"/>
  <c r="AC9" i="2"/>
  <c r="AC39" i="2"/>
  <c r="AC36" i="2"/>
  <c r="AC21" i="2"/>
  <c r="AC38" i="2"/>
  <c r="AC34" i="2"/>
  <c r="AC31" i="2"/>
  <c r="AC23" i="2"/>
  <c r="AC19" i="2"/>
  <c r="AC8" i="2"/>
  <c r="J47" i="2"/>
  <c r="L27" i="2"/>
  <c r="AC6" i="2"/>
  <c r="Y67" i="2"/>
  <c r="K38" i="2"/>
  <c r="Z67" i="2" s="1"/>
  <c r="V33" i="2"/>
  <c r="V26" i="2"/>
  <c r="V39" i="2"/>
  <c r="V38" i="2"/>
  <c r="V36" i="2"/>
  <c r="V37" i="2"/>
  <c r="M59" i="3" l="1"/>
  <c r="H59" i="3"/>
  <c r="F59" i="3"/>
  <c r="L59" i="3"/>
  <c r="J59" i="3"/>
  <c r="Q59" i="3"/>
  <c r="G59" i="3"/>
  <c r="BA26" i="3"/>
  <c r="BB18" i="3"/>
  <c r="BB26" i="3" s="1"/>
  <c r="AU40" i="3"/>
  <c r="AT40" i="3"/>
  <c r="BA52" i="3"/>
  <c r="BB29" i="3"/>
  <c r="BB52" i="3" s="1"/>
  <c r="O59" i="3"/>
  <c r="AT31" i="3"/>
  <c r="AU31" i="3"/>
  <c r="AT41" i="3"/>
  <c r="AU41" i="3"/>
  <c r="AT39" i="3"/>
  <c r="AU39" i="3"/>
  <c r="BA14" i="3"/>
  <c r="BB10" i="3"/>
  <c r="BB14" i="3" s="1"/>
  <c r="AU42" i="3"/>
  <c r="AT42" i="3"/>
  <c r="N59" i="3"/>
  <c r="I59" i="3"/>
  <c r="AT43" i="3"/>
  <c r="AU43" i="3"/>
  <c r="P59" i="3"/>
  <c r="K59" i="3"/>
  <c r="I28" i="2"/>
  <c r="BA55" i="3" l="1"/>
  <c r="BB55" i="3" s="1"/>
  <c r="J28" i="2"/>
  <c r="J27" i="2" l="1"/>
  <c r="M27" i="2" s="1"/>
  <c r="K11" i="2" s="1"/>
  <c r="J26" i="2"/>
  <c r="I11" i="2" l="1"/>
  <c r="M11" i="2"/>
  <c r="I7" i="2" l="1"/>
  <c r="S7" i="2"/>
  <c r="I8" i="2"/>
  <c r="AS2" i="3"/>
  <c r="AS3" i="3"/>
  <c r="AS4" i="3"/>
  <c r="AQ22" i="3"/>
  <c r="AR22" i="3" s="1"/>
  <c r="AQ36" i="3"/>
  <c r="AR36" i="3" s="1"/>
  <c r="AS36" i="3" s="1"/>
  <c r="AQ45" i="3"/>
  <c r="AR45" i="3" s="1"/>
  <c r="AS45" i="3" s="1"/>
  <c r="AQ49" i="3"/>
  <c r="AR49" i="3" s="1"/>
  <c r="AS49" i="3" s="1"/>
  <c r="AT49" i="3" l="1"/>
  <c r="AU49" i="3"/>
  <c r="AT36" i="3"/>
  <c r="AU36" i="3"/>
  <c r="AT45" i="3"/>
  <c r="AU45" i="3"/>
  <c r="AQ35" i="3"/>
  <c r="AR35" i="3" s="1"/>
  <c r="AS35" i="3" s="1"/>
  <c r="AQ29" i="3"/>
  <c r="AR29" i="3" s="1"/>
  <c r="AS29" i="3" s="1"/>
  <c r="AQ33" i="3"/>
  <c r="AQ34" i="3"/>
  <c r="AR34" i="3" s="1"/>
  <c r="AS34" i="3" s="1"/>
  <c r="AQ44" i="3"/>
  <c r="AR44" i="3" s="1"/>
  <c r="AS44" i="3" s="1"/>
  <c r="AQ10" i="3"/>
  <c r="AR10" i="3" s="1"/>
  <c r="AS10" i="3" s="1"/>
  <c r="AQ12" i="3"/>
  <c r="AR12" i="3" s="1"/>
  <c r="AS12" i="3" s="1"/>
  <c r="AQ38" i="3"/>
  <c r="AR38" i="3" s="1"/>
  <c r="AS38" i="3" s="1"/>
  <c r="AT38" i="3" s="1"/>
  <c r="I16" i="2"/>
  <c r="K8" i="2"/>
  <c r="AQ48" i="3"/>
  <c r="AR48" i="3" s="1"/>
  <c r="AS48" i="3" s="1"/>
  <c r="AQ37" i="3"/>
  <c r="AR37" i="3" s="1"/>
  <c r="AS37" i="3" s="1"/>
  <c r="AS22" i="3"/>
  <c r="AP26" i="3"/>
  <c r="AQ47" i="3"/>
  <c r="AR47" i="3" s="1"/>
  <c r="AS47" i="3" s="1"/>
  <c r="AQ11" i="3"/>
  <c r="AR11" i="3" s="1"/>
  <c r="AS11" i="3" s="1"/>
  <c r="U7" i="2"/>
  <c r="W7" i="2" s="1"/>
  <c r="X7" i="2" s="1"/>
  <c r="Z7" i="2" s="1"/>
  <c r="AA7" i="2" s="1"/>
  <c r="AB7" i="2" s="1"/>
  <c r="AD7" i="2" s="1"/>
  <c r="AE7" i="2" s="1"/>
  <c r="AF7" i="2" s="1"/>
  <c r="AG7" i="2" s="1"/>
  <c r="AH7" i="2" s="1"/>
  <c r="T7" i="2"/>
  <c r="AQ50" i="3"/>
  <c r="AR50" i="3" s="1"/>
  <c r="AS50" i="3" s="1"/>
  <c r="AQ46" i="3"/>
  <c r="AR46" i="3" s="1"/>
  <c r="AS46" i="3" s="1"/>
  <c r="AQ32" i="3"/>
  <c r="AR32" i="3" s="1"/>
  <c r="AS32" i="3" s="1"/>
  <c r="AQ24" i="3"/>
  <c r="AR24" i="3" s="1"/>
  <c r="AS24" i="3" s="1"/>
  <c r="AT24" i="3" s="1"/>
  <c r="AQ19" i="3"/>
  <c r="AR19" i="3" s="1"/>
  <c r="AQ21" i="3"/>
  <c r="AR21" i="3" s="1"/>
  <c r="AQ18" i="3"/>
  <c r="AR18" i="3" s="1"/>
  <c r="AS18" i="3" s="1"/>
  <c r="AQ20" i="3"/>
  <c r="AR20" i="3" s="1"/>
  <c r="AQ23" i="3"/>
  <c r="AR23" i="3" s="1"/>
  <c r="S6" i="2"/>
  <c r="S9" i="2"/>
  <c r="S8" i="2"/>
  <c r="I9" i="2"/>
  <c r="J19" i="2"/>
  <c r="T6" i="2" l="1"/>
  <c r="U6" i="2"/>
  <c r="W6" i="2" s="1"/>
  <c r="X6" i="2" s="1"/>
  <c r="Z6" i="2" s="1"/>
  <c r="AA6" i="2" s="1"/>
  <c r="AB6" i="2" s="1"/>
  <c r="AD6" i="2" s="1"/>
  <c r="AE6" i="2" s="1"/>
  <c r="AF6" i="2" s="1"/>
  <c r="AG6" i="2" s="1"/>
  <c r="AH6" i="2" s="1"/>
  <c r="AT32" i="3"/>
  <c r="AU32" i="3"/>
  <c r="AT47" i="3"/>
  <c r="AU47" i="3"/>
  <c r="AT10" i="3"/>
  <c r="AS14" i="3"/>
  <c r="AU10" i="3"/>
  <c r="AU46" i="3"/>
  <c r="AT46" i="3"/>
  <c r="AU35" i="3"/>
  <c r="AT35" i="3"/>
  <c r="T8" i="2"/>
  <c r="U8" i="2" s="1"/>
  <c r="W8" i="2" s="1"/>
  <c r="X8" i="2" s="1"/>
  <c r="Z8" i="2" s="1"/>
  <c r="AA8" i="2" s="1"/>
  <c r="AB8" i="2" s="1"/>
  <c r="AD8" i="2" s="1"/>
  <c r="AE8" i="2" s="1"/>
  <c r="AF8" i="2" s="1"/>
  <c r="AG8" i="2" s="1"/>
  <c r="AH8" i="2" s="1"/>
  <c r="AP27" i="3"/>
  <c r="AS23" i="3"/>
  <c r="AO19" i="3"/>
  <c r="AS19" i="3"/>
  <c r="AU50" i="3"/>
  <c r="AT50" i="3"/>
  <c r="AT22" i="3"/>
  <c r="AU22" i="3"/>
  <c r="AU34" i="3"/>
  <c r="AT34" i="3"/>
  <c r="AU18" i="3"/>
  <c r="AT18" i="3"/>
  <c r="AU48" i="3"/>
  <c r="AT48" i="3"/>
  <c r="AT29" i="3"/>
  <c r="AU29" i="3"/>
  <c r="AO21" i="3"/>
  <c r="AS21" i="3"/>
  <c r="AT44" i="3"/>
  <c r="AU44" i="3"/>
  <c r="T9" i="2"/>
  <c r="U9" i="2" s="1"/>
  <c r="W9" i="2" s="1"/>
  <c r="X9" i="2" s="1"/>
  <c r="Z9" i="2" s="1"/>
  <c r="AA9" i="2" s="1"/>
  <c r="AB9" i="2" s="1"/>
  <c r="AD9" i="2" s="1"/>
  <c r="AE9" i="2" s="1"/>
  <c r="AF9" i="2" s="1"/>
  <c r="AG9" i="2" s="1"/>
  <c r="AH9" i="2" s="1"/>
  <c r="AS20" i="3"/>
  <c r="AO20" i="3"/>
  <c r="AT11" i="3"/>
  <c r="AU11" i="3"/>
  <c r="AU37" i="3"/>
  <c r="AT37" i="3"/>
  <c r="AU12" i="3"/>
  <c r="AT12" i="3"/>
  <c r="AR33" i="3"/>
  <c r="AS33" i="3" s="1"/>
  <c r="AT33" i="3" s="1"/>
  <c r="AQ52" i="3"/>
  <c r="AS52" i="3" l="1"/>
  <c r="AT52" i="3"/>
  <c r="AT4" i="3" s="1"/>
  <c r="AT21" i="3"/>
  <c r="AU21" i="3"/>
  <c r="AT19" i="3"/>
  <c r="AU19" i="3"/>
  <c r="AT14" i="3"/>
  <c r="AT2" i="3" s="1"/>
  <c r="AS26" i="3"/>
  <c r="AU26" i="3" s="1"/>
  <c r="AU23" i="3"/>
  <c r="AT23" i="3"/>
  <c r="AU20" i="3"/>
  <c r="AT20" i="3"/>
  <c r="AU14" i="3"/>
  <c r="AT26" i="3" l="1"/>
  <c r="AT3" i="3" s="1"/>
  <c r="AV7" i="3"/>
  <c r="AT5" i="3"/>
  <c r="AV5" i="3" s="1"/>
  <c r="AW2" i="3" l="1"/>
  <c r="AX7" i="3"/>
  <c r="AZ7" i="3" s="1"/>
  <c r="AI6" i="2" l="1"/>
  <c r="AJ6" i="2"/>
  <c r="AK6" i="2"/>
  <c r="J7" i="2"/>
  <c r="K7" i="2"/>
  <c r="L7" i="2"/>
  <c r="M7" i="2"/>
  <c r="AI7" i="2"/>
  <c r="AJ7" i="2"/>
  <c r="AK7" i="2"/>
  <c r="L8" i="2"/>
  <c r="M8" i="2"/>
  <c r="AI8" i="2"/>
  <c r="AJ8" i="2"/>
  <c r="AK8" i="2"/>
  <c r="K9" i="2"/>
  <c r="M9" i="2"/>
  <c r="AI9" i="2"/>
  <c r="AJ9" i="2"/>
  <c r="AK9" i="2"/>
  <c r="S11" i="2"/>
  <c r="T11" i="2"/>
  <c r="U11" i="2"/>
  <c r="W11" i="2"/>
  <c r="X11" i="2"/>
  <c r="Z11" i="2"/>
  <c r="AA11" i="2"/>
  <c r="AB11" i="2"/>
  <c r="AD11" i="2"/>
  <c r="AE11" i="2"/>
  <c r="AF11" i="2"/>
  <c r="AG11" i="2"/>
  <c r="AH11" i="2"/>
  <c r="AI11" i="2"/>
  <c r="AJ11" i="2"/>
  <c r="AK11" i="2"/>
  <c r="I12" i="2"/>
  <c r="J12" i="2"/>
  <c r="K12" i="2"/>
  <c r="M12" i="2"/>
  <c r="S12" i="2"/>
  <c r="T12" i="2"/>
  <c r="U12" i="2"/>
  <c r="W12" i="2"/>
  <c r="X12" i="2"/>
  <c r="Z12" i="2"/>
  <c r="AA12" i="2"/>
  <c r="AB12" i="2"/>
  <c r="AD12" i="2"/>
  <c r="AE12" i="2"/>
  <c r="AF12" i="2"/>
  <c r="AG12" i="2"/>
  <c r="AH12" i="2"/>
  <c r="AI12" i="2"/>
  <c r="AJ12" i="2"/>
  <c r="AK12" i="2"/>
  <c r="S13" i="2"/>
  <c r="T13" i="2"/>
  <c r="U13" i="2"/>
  <c r="W13" i="2"/>
  <c r="X13" i="2"/>
  <c r="Z13" i="2"/>
  <c r="AA13" i="2"/>
  <c r="AB13" i="2"/>
  <c r="AD13" i="2"/>
  <c r="AE13" i="2"/>
  <c r="AF13" i="2"/>
  <c r="AG13" i="2"/>
  <c r="AH13" i="2"/>
  <c r="AI13" i="2"/>
  <c r="AJ13" i="2"/>
  <c r="AK13" i="2"/>
  <c r="I14" i="2"/>
  <c r="K14" i="2"/>
  <c r="M14" i="2"/>
  <c r="S14" i="2"/>
  <c r="T14" i="2"/>
  <c r="U14" i="2"/>
  <c r="W14" i="2"/>
  <c r="X14" i="2"/>
  <c r="Z14" i="2"/>
  <c r="AA14" i="2"/>
  <c r="AB14" i="2"/>
  <c r="AD14" i="2"/>
  <c r="AE14" i="2"/>
  <c r="AF14" i="2"/>
  <c r="AG14" i="2"/>
  <c r="AH14" i="2"/>
  <c r="AI14" i="2"/>
  <c r="AJ14" i="2"/>
  <c r="AK14" i="2"/>
  <c r="K16" i="2"/>
  <c r="M16" i="2"/>
  <c r="S16" i="2"/>
  <c r="T16" i="2"/>
  <c r="U16" i="2"/>
  <c r="W16" i="2"/>
  <c r="X16" i="2"/>
  <c r="Z16" i="2"/>
  <c r="AA16" i="2"/>
  <c r="AB16" i="2"/>
  <c r="AD16" i="2"/>
  <c r="AE16" i="2"/>
  <c r="AF16" i="2"/>
  <c r="AG16" i="2"/>
  <c r="AH16" i="2"/>
  <c r="AI16" i="2"/>
  <c r="AJ16" i="2"/>
  <c r="AK16" i="2"/>
  <c r="S17" i="2"/>
  <c r="T17" i="2"/>
  <c r="U17" i="2"/>
  <c r="W17" i="2"/>
  <c r="X17" i="2"/>
  <c r="Z17" i="2"/>
  <c r="AA17" i="2"/>
  <c r="AB17" i="2"/>
  <c r="AD17" i="2"/>
  <c r="AE17" i="2"/>
  <c r="AF17" i="2"/>
  <c r="AG17" i="2"/>
  <c r="AH17" i="2"/>
  <c r="AI17" i="2"/>
  <c r="AJ17" i="2"/>
  <c r="AK17" i="2"/>
  <c r="S18" i="2"/>
  <c r="T18" i="2"/>
  <c r="U18" i="2"/>
  <c r="W18" i="2"/>
  <c r="X18" i="2"/>
  <c r="Z18" i="2"/>
  <c r="AA18" i="2"/>
  <c r="AB18" i="2"/>
  <c r="AD18" i="2"/>
  <c r="AE18" i="2"/>
  <c r="AF18" i="2"/>
  <c r="AG18" i="2"/>
  <c r="AH18" i="2"/>
  <c r="AI18" i="2"/>
  <c r="AJ18" i="2"/>
  <c r="AK18" i="2"/>
  <c r="M19" i="2"/>
  <c r="S19" i="2"/>
  <c r="T19" i="2"/>
  <c r="U19" i="2"/>
  <c r="W19" i="2"/>
  <c r="X19" i="2"/>
  <c r="Z19" i="2"/>
  <c r="AA19" i="2"/>
  <c r="AB19" i="2"/>
  <c r="AD19" i="2"/>
  <c r="AE19" i="2"/>
  <c r="AF19" i="2"/>
  <c r="AG19" i="2"/>
  <c r="AH19" i="2"/>
  <c r="AI19" i="2"/>
  <c r="AJ19" i="2"/>
  <c r="AK19" i="2"/>
  <c r="J20" i="2"/>
  <c r="M20" i="2"/>
  <c r="J21" i="2"/>
  <c r="M21" i="2"/>
  <c r="S21" i="2"/>
  <c r="T21" i="2"/>
  <c r="U21" i="2"/>
  <c r="W21" i="2"/>
  <c r="X21" i="2"/>
  <c r="Z21" i="2"/>
  <c r="AA21" i="2"/>
  <c r="AB21" i="2"/>
  <c r="AD21" i="2"/>
  <c r="AE21" i="2"/>
  <c r="AF21" i="2"/>
  <c r="AG21" i="2"/>
  <c r="AH21" i="2"/>
  <c r="AI21" i="2"/>
  <c r="AJ21" i="2"/>
  <c r="AK21" i="2"/>
  <c r="K22" i="2"/>
  <c r="S22" i="2"/>
  <c r="T22" i="2"/>
  <c r="U22" i="2"/>
  <c r="W22" i="2"/>
  <c r="X22" i="2"/>
  <c r="Z22" i="2"/>
  <c r="AA22" i="2"/>
  <c r="AB22" i="2"/>
  <c r="AD22" i="2"/>
  <c r="AE22" i="2"/>
  <c r="AF22" i="2"/>
  <c r="AG22" i="2"/>
  <c r="AH22" i="2"/>
  <c r="AI22" i="2"/>
  <c r="AJ22" i="2"/>
  <c r="AK22" i="2"/>
  <c r="S23" i="2"/>
  <c r="T23" i="2"/>
  <c r="U23" i="2"/>
  <c r="W23" i="2"/>
  <c r="X23" i="2"/>
  <c r="Z23" i="2"/>
  <c r="AA23" i="2"/>
  <c r="AB23" i="2"/>
  <c r="AD23" i="2"/>
  <c r="AE23" i="2"/>
  <c r="AF23" i="2"/>
  <c r="AG23" i="2"/>
  <c r="AH23" i="2"/>
  <c r="AI23" i="2"/>
  <c r="AJ23" i="2"/>
  <c r="AK23" i="2"/>
  <c r="S24" i="2"/>
  <c r="T24" i="2"/>
  <c r="U24" i="2"/>
  <c r="W24" i="2"/>
  <c r="X24" i="2"/>
  <c r="Z24" i="2"/>
  <c r="AA24" i="2"/>
  <c r="AB24" i="2"/>
  <c r="AD24" i="2"/>
  <c r="AE24" i="2"/>
  <c r="AF24" i="2"/>
  <c r="AG24" i="2"/>
  <c r="AH24" i="2"/>
  <c r="AI24" i="2"/>
  <c r="AJ24" i="2"/>
  <c r="AK24" i="2"/>
  <c r="K26" i="2"/>
  <c r="L26" i="2"/>
  <c r="M26" i="2"/>
  <c r="S26" i="2"/>
  <c r="T26" i="2"/>
  <c r="U26" i="2"/>
  <c r="W26" i="2"/>
  <c r="X26" i="2"/>
  <c r="Z26" i="2"/>
  <c r="AA26" i="2"/>
  <c r="AB26" i="2"/>
  <c r="AD26" i="2"/>
  <c r="AE26" i="2"/>
  <c r="AF26" i="2"/>
  <c r="AG26" i="2"/>
  <c r="AH26" i="2"/>
  <c r="AI26" i="2"/>
  <c r="AJ26" i="2"/>
  <c r="AK26" i="2"/>
  <c r="S27" i="2"/>
  <c r="T27" i="2"/>
  <c r="U27" i="2"/>
  <c r="W27" i="2"/>
  <c r="X27" i="2"/>
  <c r="Z27" i="2"/>
  <c r="AA27" i="2"/>
  <c r="AB27" i="2"/>
  <c r="AD27" i="2"/>
  <c r="AE27" i="2"/>
  <c r="AF27" i="2"/>
  <c r="AG27" i="2"/>
  <c r="AH27" i="2"/>
  <c r="AI27" i="2"/>
  <c r="AJ27" i="2"/>
  <c r="AK27" i="2"/>
  <c r="L28" i="2"/>
  <c r="M28" i="2"/>
  <c r="S28" i="2"/>
  <c r="T28" i="2"/>
  <c r="U28" i="2"/>
  <c r="W28" i="2"/>
  <c r="X28" i="2"/>
  <c r="Z28" i="2"/>
  <c r="AA28" i="2"/>
  <c r="AB28" i="2"/>
  <c r="AD28" i="2"/>
  <c r="AE28" i="2"/>
  <c r="AF28" i="2"/>
  <c r="AG28" i="2"/>
  <c r="AH28" i="2"/>
  <c r="AI28" i="2"/>
  <c r="AJ28" i="2"/>
  <c r="AK28" i="2"/>
  <c r="S29" i="2"/>
  <c r="T29" i="2"/>
  <c r="U29" i="2"/>
  <c r="W29" i="2"/>
  <c r="X29" i="2"/>
  <c r="Z29" i="2"/>
  <c r="AA29" i="2"/>
  <c r="AB29" i="2"/>
  <c r="AD29" i="2"/>
  <c r="AE29" i="2"/>
  <c r="AF29" i="2"/>
  <c r="AG29" i="2"/>
  <c r="AH29" i="2"/>
  <c r="AI29" i="2"/>
  <c r="AJ29" i="2"/>
  <c r="AK29" i="2"/>
  <c r="S31" i="2"/>
  <c r="T31" i="2"/>
  <c r="U31" i="2"/>
  <c r="W31" i="2"/>
  <c r="X31" i="2"/>
  <c r="Z31" i="2"/>
  <c r="AA31" i="2"/>
  <c r="AB31" i="2"/>
  <c r="AD31" i="2"/>
  <c r="AE31" i="2"/>
  <c r="AF31" i="2"/>
  <c r="AG31" i="2"/>
  <c r="AH31" i="2"/>
  <c r="AI31" i="2"/>
  <c r="AJ31" i="2"/>
  <c r="AK31" i="2"/>
  <c r="S32" i="2"/>
  <c r="T32" i="2"/>
  <c r="U32" i="2"/>
  <c r="W32" i="2"/>
  <c r="X32" i="2"/>
  <c r="Z32" i="2"/>
  <c r="AA32" i="2"/>
  <c r="AB32" i="2"/>
  <c r="AD32" i="2"/>
  <c r="AE32" i="2"/>
  <c r="AF32" i="2"/>
  <c r="AG32" i="2"/>
  <c r="AH32" i="2"/>
  <c r="AI32" i="2"/>
  <c r="AJ32" i="2"/>
  <c r="AK32" i="2"/>
  <c r="J33" i="2"/>
  <c r="K33" i="2"/>
  <c r="S33" i="2"/>
  <c r="T33" i="2"/>
  <c r="U33" i="2"/>
  <c r="W33" i="2"/>
  <c r="X33" i="2"/>
  <c r="Z33" i="2"/>
  <c r="AA33" i="2"/>
  <c r="AB33" i="2"/>
  <c r="AD33" i="2"/>
  <c r="AE33" i="2"/>
  <c r="AF33" i="2"/>
  <c r="AG33" i="2"/>
  <c r="AH33" i="2"/>
  <c r="AI33" i="2"/>
  <c r="AJ33" i="2"/>
  <c r="AK33" i="2"/>
  <c r="J34" i="2"/>
  <c r="K34" i="2"/>
  <c r="S34" i="2"/>
  <c r="T34" i="2"/>
  <c r="U34" i="2"/>
  <c r="W34" i="2"/>
  <c r="X34" i="2"/>
  <c r="Z34" i="2"/>
  <c r="AA34" i="2"/>
  <c r="AB34" i="2"/>
  <c r="AD34" i="2"/>
  <c r="AE34" i="2"/>
  <c r="AF34" i="2"/>
  <c r="AG34" i="2"/>
  <c r="AH34" i="2"/>
  <c r="AI34" i="2"/>
  <c r="AJ34" i="2"/>
  <c r="AK34" i="2"/>
  <c r="J35" i="2"/>
  <c r="K35" i="2"/>
  <c r="J36" i="2"/>
  <c r="K36" i="2"/>
  <c r="S36" i="2"/>
  <c r="T36" i="2"/>
  <c r="U36" i="2"/>
  <c r="W36" i="2"/>
  <c r="X36" i="2"/>
  <c r="Z36" i="2"/>
  <c r="AA36" i="2"/>
  <c r="AB36" i="2"/>
  <c r="AD36" i="2"/>
  <c r="AE36" i="2"/>
  <c r="AF36" i="2"/>
  <c r="AG36" i="2"/>
  <c r="AH36" i="2"/>
  <c r="AI36" i="2"/>
  <c r="AJ36" i="2"/>
  <c r="AK36" i="2"/>
  <c r="J37" i="2"/>
  <c r="K37" i="2"/>
  <c r="S37" i="2"/>
  <c r="T37" i="2"/>
  <c r="U37" i="2"/>
  <c r="W37" i="2"/>
  <c r="X37" i="2"/>
  <c r="Z37" i="2"/>
  <c r="AA37" i="2"/>
  <c r="AB37" i="2"/>
  <c r="AD37" i="2"/>
  <c r="AE37" i="2"/>
  <c r="AF37" i="2"/>
  <c r="AG37" i="2"/>
  <c r="AH37" i="2"/>
  <c r="AI37" i="2"/>
  <c r="AJ37" i="2"/>
  <c r="AK37" i="2"/>
  <c r="S38" i="2"/>
  <c r="T38" i="2"/>
  <c r="U38" i="2"/>
  <c r="W38" i="2"/>
  <c r="X38" i="2"/>
  <c r="Z38" i="2"/>
  <c r="AA38" i="2"/>
  <c r="AB38" i="2"/>
  <c r="AD38" i="2"/>
  <c r="AE38" i="2"/>
  <c r="AF38" i="2"/>
  <c r="AG38" i="2"/>
  <c r="AH38" i="2"/>
  <c r="AI38" i="2"/>
  <c r="AJ38" i="2"/>
  <c r="AK38" i="2"/>
  <c r="S39" i="2"/>
  <c r="T39" i="2"/>
  <c r="U39" i="2"/>
  <c r="W39" i="2"/>
  <c r="X39" i="2"/>
  <c r="Z39" i="2"/>
  <c r="AA39" i="2"/>
  <c r="AB39" i="2"/>
  <c r="AD39" i="2"/>
  <c r="AE39" i="2"/>
  <c r="AF39" i="2"/>
  <c r="AG39" i="2"/>
  <c r="AH39" i="2"/>
  <c r="AI39" i="2"/>
  <c r="AJ39" i="2"/>
  <c r="AK39" i="2"/>
  <c r="K43" i="2"/>
  <c r="V43" i="2"/>
  <c r="K44" i="2"/>
  <c r="V44" i="2"/>
  <c r="K45" i="2"/>
  <c r="V45" i="2"/>
  <c r="K46" i="2"/>
  <c r="K47" i="2"/>
  <c r="R47" i="2"/>
  <c r="R48" i="2"/>
  <c r="J49" i="2"/>
  <c r="R50" i="2"/>
  <c r="Y62" i="2"/>
  <c r="Z62" i="2"/>
  <c r="Y63" i="2"/>
  <c r="Z63" i="2"/>
  <c r="Y64" i="2"/>
  <c r="Z64" i="2"/>
  <c r="Y65" i="2"/>
  <c r="Z65" i="2"/>
  <c r="Y66" i="2"/>
  <c r="Z66" i="2"/>
  <c r="AJ3" i="3"/>
  <c r="AI10" i="3"/>
  <c r="AJ10" i="3"/>
  <c r="AI11" i="3"/>
  <c r="AJ11" i="3"/>
  <c r="AI12" i="3"/>
  <c r="AJ12" i="3"/>
  <c r="AI14" i="3"/>
  <c r="AJ14" i="3"/>
  <c r="AI18" i="3"/>
  <c r="AJ18" i="3"/>
  <c r="AI19" i="3"/>
  <c r="AJ19" i="3"/>
  <c r="AI20" i="3"/>
  <c r="AJ20" i="3"/>
  <c r="AI21" i="3"/>
  <c r="AJ21" i="3"/>
  <c r="AI22" i="3"/>
  <c r="AJ22" i="3"/>
  <c r="AI23" i="3"/>
  <c r="AJ23" i="3"/>
  <c r="AI26" i="3"/>
  <c r="AJ26" i="3"/>
  <c r="AI29" i="3"/>
  <c r="AJ29" i="3"/>
  <c r="AI32" i="3"/>
  <c r="AJ32" i="3"/>
  <c r="AI33" i="3"/>
  <c r="AJ33" i="3"/>
  <c r="AI34" i="3"/>
  <c r="AJ34" i="3"/>
  <c r="AI35" i="3"/>
  <c r="AJ35" i="3"/>
  <c r="AI36" i="3"/>
  <c r="AJ36" i="3"/>
  <c r="AI37" i="3"/>
  <c r="AJ37" i="3"/>
  <c r="AI44" i="3"/>
  <c r="AJ44" i="3"/>
  <c r="AI45" i="3"/>
  <c r="AJ45" i="3"/>
  <c r="AI52" i="3"/>
  <c r="AJ52" i="3"/>
  <c r="I4" i="4"/>
  <c r="D6" i="4"/>
  <c r="E6" i="4"/>
  <c r="D9" i="4"/>
  <c r="E9" i="4"/>
  <c r="D10" i="4"/>
  <c r="E10" i="4"/>
  <c r="D13" i="4"/>
  <c r="E13" i="4"/>
  <c r="D16" i="4"/>
  <c r="E16" i="4"/>
  <c r="D17" i="4"/>
  <c r="E17" i="4"/>
  <c r="D20" i="4"/>
  <c r="E20" i="4"/>
  <c r="D24" i="4"/>
  <c r="E24" i="4"/>
  <c r="D25" i="4"/>
  <c r="E25" i="4"/>
  <c r="D26" i="4"/>
  <c r="E26" i="4"/>
  <c r="D28" i="4"/>
  <c r="E28" i="4"/>
  <c r="D29" i="4"/>
  <c r="E29" i="4"/>
  <c r="D32" i="4"/>
  <c r="E32" i="4"/>
  <c r="D35" i="4"/>
  <c r="E35" i="4"/>
  <c r="D36" i="4"/>
  <c r="E36" i="4"/>
  <c r="D37" i="4"/>
  <c r="E37" i="4"/>
  <c r="D38" i="4"/>
  <c r="E38" i="4"/>
  <c r="D41" i="4"/>
  <c r="E41" i="4"/>
  <c r="D42" i="4"/>
  <c r="E42" i="4"/>
  <c r="D43" i="4"/>
  <c r="E43" i="4"/>
  <c r="D44" i="4"/>
  <c r="E44" i="4"/>
  <c r="D47" i="4"/>
  <c r="E47" i="4"/>
  <c r="D48" i="4"/>
  <c r="E48" i="4"/>
  <c r="D51" i="4"/>
  <c r="E51" i="4"/>
  <c r="D52" i="4"/>
  <c r="E52" i="4"/>
  <c r="D53" i="4"/>
  <c r="E53" i="4"/>
  <c r="D56" i="4"/>
  <c r="E56" i="4"/>
  <c r="D59" i="4"/>
  <c r="E59" i="4"/>
  <c r="D60" i="4"/>
  <c r="E60" i="4"/>
  <c r="D63" i="4"/>
  <c r="E63" i="4"/>
  <c r="D64" i="4"/>
  <c r="E64" i="4"/>
  <c r="D66" i="4"/>
  <c r="E66" i="4"/>
  <c r="D86" i="4"/>
  <c r="E86" i="4"/>
  <c r="D87" i="4"/>
  <c r="E87" i="4"/>
  <c r="D89" i="4"/>
  <c r="E89" i="4"/>
  <c r="D90" i="4"/>
  <c r="E90" i="4"/>
  <c r="D91" i="4"/>
  <c r="E91" i="4"/>
  <c r="D92" i="4"/>
  <c r="E92" i="4"/>
  <c r="D95" i="4"/>
  <c r="E95" i="4"/>
  <c r="D96" i="4"/>
  <c r="E96" i="4"/>
  <c r="D98" i="4"/>
  <c r="E98" i="4"/>
  <c r="D99" i="4"/>
  <c r="E99" i="4"/>
  <c r="D100" i="4"/>
  <c r="E100" i="4"/>
  <c r="D101" i="4"/>
  <c r="E101" i="4"/>
  <c r="D103" i="4"/>
  <c r="E103" i="4"/>
  <c r="D104" i="4"/>
  <c r="E104" i="4"/>
  <c r="D106" i="4"/>
  <c r="E106" i="4"/>
  <c r="D107" i="4"/>
  <c r="E107" i="4"/>
  <c r="D110" i="4"/>
  <c r="E110" i="4"/>
  <c r="D111" i="4"/>
  <c r="E111" i="4"/>
  <c r="D113" i="4"/>
  <c r="E113" i="4"/>
  <c r="D114" i="4"/>
  <c r="E114" i="4"/>
  <c r="D115" i="4"/>
  <c r="E115" i="4"/>
  <c r="D117" i="4"/>
  <c r="E117" i="4"/>
  <c r="D120" i="4"/>
  <c r="E120" i="4"/>
  <c r="D121" i="4"/>
  <c r="E121" i="4"/>
  <c r="D122" i="4"/>
  <c r="E122" i="4"/>
  <c r="D123" i="4"/>
  <c r="E123" i="4"/>
  <c r="D124" i="4"/>
  <c r="E124" i="4"/>
  <c r="D127" i="4"/>
  <c r="E127" i="4"/>
  <c r="D128" i="4"/>
  <c r="E128" i="4"/>
  <c r="D130" i="4"/>
  <c r="E130" i="4"/>
  <c r="D131" i="4"/>
  <c r="E131" i="4"/>
  <c r="D134" i="4"/>
  <c r="E134" i="4"/>
  <c r="D135" i="4"/>
  <c r="E135" i="4"/>
  <c r="D136" i="4"/>
  <c r="E13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Stark, Rachel (UTC)</author>
    <author>WCNX</author>
  </authors>
  <commentList>
    <comment ref="AR2" authorId="0" shapeId="0" xr:uid="{FE0EB80A-E424-4142-A6D2-B7E897A1B1B3}">
      <text>
        <r>
          <rPr>
            <b/>
            <sz val="9"/>
            <color indexed="81"/>
            <rFont val="Tahoma"/>
            <family val="2"/>
          </rPr>
          <t>Stark, Rachel (UTC):</t>
        </r>
        <r>
          <rPr>
            <sz val="9"/>
            <color indexed="81"/>
            <rFont val="Tahoma"/>
            <family val="2"/>
          </rPr>
          <t xml:space="preserve">
This was a hard code entered by the company with no support at 22.47%.</t>
        </r>
      </text>
    </comment>
    <comment ref="AV2" authorId="0" shapeId="0" xr:uid="{6595C928-7ACF-48DE-A10C-AAAB3966733E}">
      <text>
        <r>
          <rPr>
            <b/>
            <sz val="9"/>
            <color indexed="81"/>
            <rFont val="Tahoma"/>
            <family val="2"/>
          </rPr>
          <t>Stark, Rachel (UTC):</t>
        </r>
        <r>
          <rPr>
            <sz val="9"/>
            <color indexed="81"/>
            <rFont val="Tahoma"/>
            <family val="2"/>
          </rPr>
          <t xml:space="preserve">
This does not match with the revenue in the LG</t>
        </r>
      </text>
    </comment>
    <comment ref="AR3" authorId="0" shapeId="0" xr:uid="{B35E8BFA-EC24-4142-A6ED-D3FC2A1D3514}">
      <text>
        <r>
          <rPr>
            <b/>
            <sz val="9"/>
            <color indexed="81"/>
            <rFont val="Tahoma"/>
            <family val="2"/>
          </rPr>
          <t>Stark, Rachel (UTC):</t>
        </r>
        <r>
          <rPr>
            <sz val="9"/>
            <color indexed="81"/>
            <rFont val="Tahoma"/>
            <family val="2"/>
          </rPr>
          <t xml:space="preserve">
This was a hard code entered by the company with no support at 22.47%.</t>
        </r>
      </text>
    </comment>
    <comment ref="AR4" authorId="0" shapeId="0" xr:uid="{BD60183E-33FC-4642-95F5-8C3957CF9973}">
      <text>
        <r>
          <rPr>
            <b/>
            <sz val="9"/>
            <color indexed="81"/>
            <rFont val="Tahoma"/>
            <family val="2"/>
          </rPr>
          <t>Stark, Rachel (UTC):</t>
        </r>
        <r>
          <rPr>
            <sz val="9"/>
            <color indexed="81"/>
            <rFont val="Tahoma"/>
            <family val="2"/>
          </rPr>
          <t xml:space="preserve">
This was a hard code entered by the company with no support at 22.47%.</t>
        </r>
      </text>
    </comment>
    <comment ref="D6" authorId="1" shapeId="0" xr:uid="{D87D88C5-ACDD-4F47-B34F-73DB9D4B27E8}">
      <text>
        <r>
          <rPr>
            <b/>
            <sz val="8"/>
            <color indexed="81"/>
            <rFont val="Tahoma"/>
            <family val="2"/>
          </rPr>
          <t>WCNX:</t>
        </r>
        <r>
          <rPr>
            <sz val="8"/>
            <color indexed="81"/>
            <rFont val="Tahoma"/>
            <family val="2"/>
          </rPr>
          <t xml:space="preserve">
Billed at UTC Tariff Rates.</t>
        </r>
      </text>
    </comment>
    <comment ref="E6" authorId="1" shapeId="0" xr:uid="{0E2E9DDF-67FF-4864-9599-3F124A0D1006}">
      <text>
        <r>
          <rPr>
            <b/>
            <sz val="8"/>
            <color indexed="81"/>
            <rFont val="Tahoma"/>
            <family val="2"/>
          </rPr>
          <t>WCNX:</t>
        </r>
        <r>
          <rPr>
            <sz val="8"/>
            <color indexed="81"/>
            <rFont val="Tahoma"/>
            <family val="2"/>
          </rPr>
          <t xml:space="preserve">
Billed at UTC Tariff Rates.</t>
        </r>
      </text>
    </comment>
    <comment ref="AW7" authorId="0" shapeId="0" xr:uid="{9CDF937D-57A8-4F71-9342-1D032FCFED7E}">
      <text>
        <r>
          <rPr>
            <b/>
            <sz val="9"/>
            <color indexed="81"/>
            <rFont val="Tahoma"/>
            <family val="2"/>
          </rPr>
          <t>Stark, Rachel (UTC):</t>
        </r>
        <r>
          <rPr>
            <sz val="9"/>
            <color indexed="81"/>
            <rFont val="Tahoma"/>
            <family val="2"/>
          </rPr>
          <t xml:space="preserve">
Was the company charging the current disposal fees or the old disposal fees? If so, this number should include the new proforma of disposal charges.</t>
        </r>
      </text>
    </comment>
    <comment ref="AM19" authorId="0" shapeId="0" xr:uid="{650E3F45-1096-44FC-B9B3-937BE6010AE9}">
      <text>
        <r>
          <rPr>
            <b/>
            <sz val="9"/>
            <color indexed="81"/>
            <rFont val="Tahoma"/>
            <family val="2"/>
          </rPr>
          <t>Stark, Rachel (UTC):</t>
        </r>
        <r>
          <rPr>
            <sz val="9"/>
            <color indexed="81"/>
            <rFont val="Tahoma"/>
            <family val="2"/>
          </rPr>
          <t xml:space="preserve">
How many Acutal customers for these?</t>
        </r>
      </text>
    </comment>
    <comment ref="AO20" authorId="0" shapeId="0" xr:uid="{BD6AA257-B2EB-442B-88B0-2502ECAD40A1}">
      <text>
        <r>
          <rPr>
            <b/>
            <sz val="9"/>
            <color indexed="81"/>
            <rFont val="Tahoma"/>
            <family val="2"/>
          </rPr>
          <t>Stark, Rachel (UTC):</t>
        </r>
        <r>
          <rPr>
            <sz val="9"/>
            <color indexed="81"/>
            <rFont val="Tahoma"/>
            <family val="2"/>
          </rPr>
          <t xml:space="preserve">
Per pick up</t>
        </r>
      </text>
    </comment>
    <comment ref="AV30" authorId="0" shapeId="0" xr:uid="{EB7468E4-51A4-4A1D-9728-B76E91D1B1D8}">
      <text>
        <r>
          <rPr>
            <b/>
            <sz val="9"/>
            <color indexed="81"/>
            <rFont val="Tahoma"/>
            <family val="2"/>
          </rPr>
          <t>Stark, Rachel (UTC):</t>
        </r>
        <r>
          <rPr>
            <sz val="9"/>
            <color indexed="81"/>
            <rFont val="Tahoma"/>
            <family val="2"/>
          </rPr>
          <t xml:space="preserve">
Increase in disposal fee change</t>
        </r>
      </text>
    </comment>
  </commentList>
</comments>
</file>

<file path=xl/sharedStrings.xml><?xml version="1.0" encoding="utf-8"?>
<sst xmlns="http://schemas.openxmlformats.org/spreadsheetml/2006/main" count="430" uniqueCount="331">
  <si>
    <t>Mileage</t>
  </si>
  <si>
    <t>Monthly Rent</t>
  </si>
  <si>
    <t>Minimum</t>
  </si>
  <si>
    <t>RO</t>
  </si>
  <si>
    <t>Roll Out</t>
  </si>
  <si>
    <t>Grossed Up for MSW Operating Margin</t>
  </si>
  <si>
    <t>Gross Up B&amp;O Increase Percentage</t>
  </si>
  <si>
    <t>Gross Up Factor</t>
  </si>
  <si>
    <t>B&amp;O Increase Percentage</t>
  </si>
  <si>
    <t>Public Companies</t>
  </si>
  <si>
    <t>Public Co</t>
  </si>
  <si>
    <r>
      <t xml:space="preserve">LURITO - GALLAGHER FORMULA  MODEL 2018  </t>
    </r>
    <r>
      <rPr>
        <sz val="8"/>
        <color indexed="9"/>
        <rFont val="Calibri"/>
        <family val="2"/>
      </rPr>
      <t>V5.2c</t>
    </r>
  </si>
  <si>
    <t>CALCULATION TABLES</t>
  </si>
  <si>
    <t>Revenue Senstive Taxes (RevS)</t>
  </si>
  <si>
    <t>(b) + (c)</t>
  </si>
  <si>
    <t>(d) + (e)</t>
  </si>
  <si>
    <t>Regession</t>
  </si>
  <si>
    <t>Adjusted</t>
  </si>
  <si>
    <t>Hauler</t>
  </si>
  <si>
    <t>Revenue Req</t>
  </si>
  <si>
    <t>Revenue</t>
  </si>
  <si>
    <t xml:space="preserve">Revenue </t>
  </si>
  <si>
    <t>INPUTS - Test Year</t>
  </si>
  <si>
    <t>(a)</t>
  </si>
  <si>
    <t>(b)</t>
  </si>
  <si>
    <t>(c)</t>
  </si>
  <si>
    <t>(d)</t>
  </si>
  <si>
    <t>(e)</t>
  </si>
  <si>
    <t>(f)</t>
  </si>
  <si>
    <t>Before Tax</t>
  </si>
  <si>
    <t>Less</t>
  </si>
  <si>
    <t>After Tax</t>
  </si>
  <si>
    <t>Flotation Costs</t>
  </si>
  <si>
    <t>Weighted Cost</t>
  </si>
  <si>
    <t>Before RevS</t>
  </si>
  <si>
    <t xml:space="preserve"> Increase Before</t>
  </si>
  <si>
    <t>Increase After</t>
  </si>
  <si>
    <t xml:space="preserve">RevS </t>
  </si>
  <si>
    <t xml:space="preserve">Total </t>
  </si>
  <si>
    <t>Operating Revenue</t>
  </si>
  <si>
    <t>Line</t>
  </si>
  <si>
    <t>Historical</t>
  </si>
  <si>
    <t>Proforma</t>
  </si>
  <si>
    <t xml:space="preserve">Add: Revenue </t>
  </si>
  <si>
    <t>Profit Ratio</t>
  </si>
  <si>
    <t>BTROI</t>
  </si>
  <si>
    <t>WCDebt</t>
  </si>
  <si>
    <t>BTROE</t>
  </si>
  <si>
    <t>ROE</t>
  </si>
  <si>
    <t>Basis Points</t>
  </si>
  <si>
    <t>Equity</t>
  </si>
  <si>
    <t>Equity BFT</t>
  </si>
  <si>
    <t>Debt</t>
  </si>
  <si>
    <t>BTROR</t>
  </si>
  <si>
    <t>Operating Ratio</t>
  </si>
  <si>
    <t>Taxes</t>
  </si>
  <si>
    <t>RevS Taxes</t>
  </si>
  <si>
    <t>Operating Expenses</t>
  </si>
  <si>
    <t>No.</t>
  </si>
  <si>
    <t>Change</t>
  </si>
  <si>
    <t>Sensitive Taxes</t>
  </si>
  <si>
    <t>Requirement</t>
  </si>
  <si>
    <t>Investment</t>
  </si>
  <si>
    <t>Capital Structure-Debt %</t>
  </si>
  <si>
    <t>Capital Structure-Debt Rate</t>
  </si>
  <si>
    <t>Operating Income</t>
  </si>
  <si>
    <t>Federal Income Tax Rate</t>
  </si>
  <si>
    <t>2nd Iteration</t>
  </si>
  <si>
    <t>B&amp;O Tax Rate</t>
  </si>
  <si>
    <t>Interest Expense</t>
  </si>
  <si>
    <t>WUTC Fee</t>
  </si>
  <si>
    <t>Income Tax Expense</t>
  </si>
  <si>
    <t>City Tax</t>
  </si>
  <si>
    <t>Bad Debts</t>
  </si>
  <si>
    <t>Net Income</t>
  </si>
  <si>
    <t>Basis Points - Flotation</t>
  </si>
  <si>
    <t>3rd Iteration</t>
  </si>
  <si>
    <t>Yes</t>
  </si>
  <si>
    <t xml:space="preserve">Operating Ratio </t>
  </si>
  <si>
    <t>Check when input is complete</t>
  </si>
  <si>
    <t>No</t>
  </si>
  <si>
    <t>Revenue Requirement</t>
  </si>
  <si>
    <t>For Intial input: Uncheck Checkbox Until Completed</t>
  </si>
  <si>
    <t>Historical Revenue</t>
  </si>
  <si>
    <t>Revenue Increase before taxes</t>
  </si>
  <si>
    <t>Rate Increase</t>
  </si>
  <si>
    <t>Rev Sensitive Taxes</t>
  </si>
  <si>
    <t>4th Iteration</t>
  </si>
  <si>
    <t>Percent Increase</t>
  </si>
  <si>
    <t>2018 Version Update Changes</t>
  </si>
  <si>
    <t>● Allows Income Tax Rate Changes,</t>
  </si>
  <si>
    <t>Captial Structure Financing Investment</t>
  </si>
  <si>
    <t>Financing Cost</t>
  </si>
  <si>
    <t>● Minimizes impact of changes in test-year revenue from</t>
  </si>
  <si>
    <t>Type</t>
  </si>
  <si>
    <t>Percent</t>
  </si>
  <si>
    <t>Amount</t>
  </si>
  <si>
    <t>Cost of Capital</t>
  </si>
  <si>
    <t>Weighted</t>
  </si>
  <si>
    <t>5th Iteration</t>
  </si>
  <si>
    <t xml:space="preserve">   resulting revenue requirment,</t>
  </si>
  <si>
    <t>● Corrects interest rate transposition in LG.</t>
  </si>
  <si>
    <t>Total</t>
  </si>
  <si>
    <t>Before</t>
  </si>
  <si>
    <t>After</t>
  </si>
  <si>
    <t>6th Iteration</t>
  </si>
  <si>
    <t>Operating Statistics</t>
  </si>
  <si>
    <t>Income Tax</t>
  </si>
  <si>
    <t>Return on Investment</t>
  </si>
  <si>
    <t>Return on Equity</t>
  </si>
  <si>
    <t>7th Iteration</t>
  </si>
  <si>
    <t>Profit Margin</t>
  </si>
  <si>
    <t>Final turnover</t>
  </si>
  <si>
    <t>Tax Rate</t>
  </si>
  <si>
    <t>Revenue Sensitive Taxes Charges</t>
  </si>
  <si>
    <t>Curve</t>
  </si>
  <si>
    <t>Rate</t>
  </si>
  <si>
    <t>Lookup Table</t>
  </si>
  <si>
    <t xml:space="preserve"> B &amp; O Tax</t>
  </si>
  <si>
    <t xml:space="preserve"> WUTC Fee</t>
  </si>
  <si>
    <t xml:space="preserve"> City Tax</t>
  </si>
  <si>
    <t>Percent Chg</t>
  </si>
  <si>
    <t xml:space="preserve"> Bad Debts</t>
  </si>
  <si>
    <t>Revenue Sensitive</t>
  </si>
  <si>
    <t>Curve turnover</t>
  </si>
  <si>
    <t>@EXP(5.72260-(.68367*@LN(T)))</t>
  </si>
  <si>
    <t>Curve No. Used</t>
  </si>
  <si>
    <t>@EXP(5.70827-(.68367*@LN(T)))</t>
  </si>
  <si>
    <t>Conversion Factor</t>
  </si>
  <si>
    <t>@EXP(5.69850-(.68367*@LN(T)))</t>
  </si>
  <si>
    <t>@EXP(5.69220-(.68367*@LN(T)))</t>
  </si>
  <si>
    <t>Base Utility from LG Sample Study</t>
  </si>
  <si>
    <t>Regression Results</t>
  </si>
  <si>
    <t>Cost</t>
  </si>
  <si>
    <t>Y intercept (1)</t>
  </si>
  <si>
    <t>Y intercept (3)</t>
  </si>
  <si>
    <t>Y intercept (2)</t>
  </si>
  <si>
    <t>Y intercept (4)</t>
  </si>
  <si>
    <t>Pfd.</t>
  </si>
  <si>
    <t>Slope</t>
  </si>
  <si>
    <t>Pre-tax</t>
  </si>
  <si>
    <t>Increase per LG</t>
  </si>
  <si>
    <t>Manual Adjustment Factor</t>
  </si>
  <si>
    <t>Total PI</t>
  </si>
  <si>
    <t>Per Price Out</t>
  </si>
  <si>
    <t>Per LG</t>
  </si>
  <si>
    <t>Total Current Revenue</t>
  </si>
  <si>
    <t>Benton County (Reg) Price Out</t>
  </si>
  <si>
    <t>Resi</t>
  </si>
  <si>
    <t>10/01/2022-9/30/2023</t>
  </si>
  <si>
    <t>Comm</t>
  </si>
  <si>
    <t>BILL AREA Benton County</t>
  </si>
  <si>
    <t>Tariff Rate</t>
  </si>
  <si>
    <t>Tariff Page</t>
  </si>
  <si>
    <t>GL</t>
  </si>
  <si>
    <t>Average</t>
  </si>
  <si>
    <t xml:space="preserve">Current Tariff </t>
  </si>
  <si>
    <t>Tariff Increase (Decrease)</t>
  </si>
  <si>
    <t>Proposed Tariff Rate</t>
  </si>
  <si>
    <t>Proposed Annual Revenue</t>
  </si>
  <si>
    <t>Change in Annual Revenue</t>
  </si>
  <si>
    <t>Percentage Increase</t>
  </si>
  <si>
    <t>Proposed Annual Revenue Per Price Out</t>
  </si>
  <si>
    <t>DF Increase</t>
  </si>
  <si>
    <t>Revenue Req Per LG</t>
  </si>
  <si>
    <t>Difference</t>
  </si>
  <si>
    <t>Service Code</t>
  </si>
  <si>
    <t>Service Code Description</t>
  </si>
  <si>
    <t>Account</t>
  </si>
  <si>
    <t>Customers</t>
  </si>
  <si>
    <t>RESIDENTIAL GARBAGE</t>
  </si>
  <si>
    <t>EXTRABAG-RES</t>
  </si>
  <si>
    <t>EXTRA-RES</t>
  </si>
  <si>
    <t>EXTRA BAG - RES</t>
  </si>
  <si>
    <t>S35G1W1</t>
  </si>
  <si>
    <t>35 GL 1X WK 1</t>
  </si>
  <si>
    <t>S90G1W1</t>
  </si>
  <si>
    <t>95 GL 1X WK 1</t>
  </si>
  <si>
    <t>TOTAL RESIDENTIAL GARBAGE</t>
  </si>
  <si>
    <t>COMMERCIAL GARBAGE</t>
  </si>
  <si>
    <t>Actual Customer Count From Billing</t>
  </si>
  <si>
    <t>EXTRABAG-COM</t>
  </si>
  <si>
    <t>EXTRA BAG - COM</t>
  </si>
  <si>
    <t>R1.5Y1W1</t>
  </si>
  <si>
    <t>1.5 YD 1X WK 1</t>
  </si>
  <si>
    <t>R2Y1W1</t>
  </si>
  <si>
    <t>2 YD 1X WK 1</t>
  </si>
  <si>
    <t>R2Y2W1</t>
  </si>
  <si>
    <t>2 YD 2X WK 1</t>
  </si>
  <si>
    <t>S35G1W1COM</t>
  </si>
  <si>
    <t>35 GL 1X WK COM 1</t>
  </si>
  <si>
    <t>S90G1W1COM</t>
  </si>
  <si>
    <t>90 GL 1X WK COM 1</t>
  </si>
  <si>
    <t>TOTAL COMMERCIAL GARBAGE</t>
  </si>
  <si>
    <t xml:space="preserve"> </t>
  </si>
  <si>
    <t>DROP BOX HAULS</t>
  </si>
  <si>
    <t>COMMERCIAL RECYCLING</t>
  </si>
  <si>
    <t>DEL-RO</t>
  </si>
  <si>
    <t xml:space="preserve">Default </t>
  </si>
  <si>
    <t>DELIVERY FEE - RO</t>
  </si>
  <si>
    <t>DISPTON-RO</t>
  </si>
  <si>
    <t>DISPOSAL FEE BY TON - RO</t>
  </si>
  <si>
    <t>DISPYD-RO</t>
  </si>
  <si>
    <t>DISPOSAL FEE BY YARD - RO</t>
  </si>
  <si>
    <t>HAUL11OVER5Z1</t>
  </si>
  <si>
    <t>HAUL 11 YD OVER 5 - RO ZONE 1</t>
  </si>
  <si>
    <t>HAUL11UNDER5Z1</t>
  </si>
  <si>
    <t>HAUL 11 YD UNDER 5 - RO ZONE 1</t>
  </si>
  <si>
    <t>HAUL39UNDER5Z1</t>
  </si>
  <si>
    <t>HAUL 39 YD UNDER 5 - RO ZONE 1</t>
  </si>
  <si>
    <t>HAUL5.5-RO</t>
  </si>
  <si>
    <t>HAUL 5.5 YD -RO</t>
  </si>
  <si>
    <t>HAULPER</t>
  </si>
  <si>
    <t>HAUL FEE PER LOAD</t>
  </si>
  <si>
    <t>HAUL22UNDER5Z1</t>
  </si>
  <si>
    <t>MILEAGE FEE - RO</t>
  </si>
  <si>
    <t>WEIGHT-RO</t>
  </si>
  <si>
    <t>ADJ-RO</t>
  </si>
  <si>
    <t>DEMURRAGE</t>
  </si>
  <si>
    <t>DISP+5</t>
  </si>
  <si>
    <t>DISP-5</t>
  </si>
  <si>
    <t>DISPOCC-RO</t>
  </si>
  <si>
    <t>DRYRUN-RO</t>
  </si>
  <si>
    <t>HAUL22OVER5Z1</t>
  </si>
  <si>
    <t>HAUL39OVER5Z1</t>
  </si>
  <si>
    <t>HAUL-CP</t>
  </si>
  <si>
    <t>RELO-RO</t>
  </si>
  <si>
    <t>WAITFEE</t>
  </si>
  <si>
    <t>Haul-RO</t>
  </si>
  <si>
    <t>TOTAL DROP BOX HAULS</t>
  </si>
  <si>
    <t>*Removed Rec code</t>
  </si>
  <si>
    <t>TOTAL REVENUE</t>
  </si>
  <si>
    <t>ADD90GRES</t>
  </si>
  <si>
    <t>ADDITIONAL 90 GL RES</t>
  </si>
  <si>
    <t>PERCENT OF ANNUAL REVENUE</t>
  </si>
  <si>
    <t>COMPANY</t>
  </si>
  <si>
    <t>Item</t>
  </si>
  <si>
    <t>Current Rate</t>
  </si>
  <si>
    <t>Increase</t>
  </si>
  <si>
    <t>Return Check</t>
  </si>
  <si>
    <t>Restart Fee</t>
  </si>
  <si>
    <t>Change of Service</t>
  </si>
  <si>
    <t>Redelivery Fees</t>
  </si>
  <si>
    <t>Charge per hour</t>
  </si>
  <si>
    <t>Minimum charge</t>
  </si>
  <si>
    <t>Return Trips</t>
  </si>
  <si>
    <t>Carry Out Charge Resi</t>
  </si>
  <si>
    <t>Carry Out Charge Comm</t>
  </si>
  <si>
    <t>Additional Carryout</t>
  </si>
  <si>
    <t>Drive In</t>
  </si>
  <si>
    <t>Drive In Over 250 ft</t>
  </si>
  <si>
    <t>Each Additional Can</t>
  </si>
  <si>
    <t>35 Gal Cart</t>
  </si>
  <si>
    <t>90 Gal Cart</t>
  </si>
  <si>
    <t>Occasional Extra-35 gal</t>
  </si>
  <si>
    <t>Occasional Extra-Bag</t>
  </si>
  <si>
    <t>Passenger Tire</t>
  </si>
  <si>
    <t>New Cart</t>
  </si>
  <si>
    <t>Bulky Materials</t>
  </si>
  <si>
    <t>Loose Materials</t>
  </si>
  <si>
    <t>Truck and Driver</t>
  </si>
  <si>
    <t>Each Extra</t>
  </si>
  <si>
    <t>Roll Out Charge</t>
  </si>
  <si>
    <t>Overfilled-35/90</t>
  </si>
  <si>
    <t>1.5/2 Yd</t>
  </si>
  <si>
    <t>New page 28</t>
  </si>
  <si>
    <t>35/90 Washing</t>
  </si>
  <si>
    <t>1.5/2 Yd Washing</t>
  </si>
  <si>
    <t>Pickup &amp; Delivery</t>
  </si>
  <si>
    <t>Per Yard</t>
  </si>
  <si>
    <t>Up to Five Tons</t>
  </si>
  <si>
    <t>5-6 Tons</t>
  </si>
  <si>
    <t>6-7 Tons</t>
  </si>
  <si>
    <t>7-8 Tons</t>
  </si>
  <si>
    <t>8-9 Tons</t>
  </si>
  <si>
    <t>9-10 Tons</t>
  </si>
  <si>
    <t>10 Tons</t>
  </si>
  <si>
    <t>Appliances w/ Freon</t>
  </si>
  <si>
    <t>Car tire, with  no rim</t>
  </si>
  <si>
    <t>Car Ttire, with rim</t>
  </si>
  <si>
    <t>Truck tire, with no rim</t>
  </si>
  <si>
    <t>Truck tire, with rim</t>
  </si>
  <si>
    <t>Wood pallets</t>
  </si>
  <si>
    <t>Plymouth</t>
  </si>
  <si>
    <t>1.5 Yard Monthly Rent</t>
  </si>
  <si>
    <t>2 Yard Monthly Rent</t>
  </si>
  <si>
    <t>35 Gal-Weekly Pickup</t>
  </si>
  <si>
    <t>90 Gal-Weekly Pickup</t>
  </si>
  <si>
    <t>1.5 Yard Pickup</t>
  </si>
  <si>
    <t>2 Yard Pickup</t>
  </si>
  <si>
    <t>Excluding Plymouth</t>
  </si>
  <si>
    <t>Cart Replacement</t>
  </si>
  <si>
    <t>Container Replacement</t>
  </si>
  <si>
    <t>Unlocking/Unlatching</t>
  </si>
  <si>
    <t>Gate Opening</t>
  </si>
  <si>
    <t>32 Gal Pickup</t>
  </si>
  <si>
    <t>32-Gal Additional Pickup</t>
  </si>
  <si>
    <t>Occasional Extra-32 gal</t>
  </si>
  <si>
    <t>New page 32</t>
  </si>
  <si>
    <t>First Pickup</t>
  </si>
  <si>
    <t>Each Additional Pickup</t>
  </si>
  <si>
    <t>Accesserial Charge</t>
  </si>
  <si>
    <t>Delivery Fee First Box)</t>
  </si>
  <si>
    <t>Rent Charge</t>
  </si>
  <si>
    <t>Locking/Unlatching</t>
  </si>
  <si>
    <t>Disconnect/Reconnect</t>
  </si>
  <si>
    <t>Page 16 - Item 50</t>
  </si>
  <si>
    <t>Page 17, Item 51</t>
  </si>
  <si>
    <t>Page 17, Item 52</t>
  </si>
  <si>
    <t>Page 18, Item 60</t>
  </si>
  <si>
    <t>Page 19, Item 70</t>
  </si>
  <si>
    <t>Page 20, Item 80</t>
  </si>
  <si>
    <t>Page 20, Item 82</t>
  </si>
  <si>
    <t>Page 21, Item 100</t>
  </si>
  <si>
    <t>Page 22, Item 100</t>
  </si>
  <si>
    <t>Page 23, Item 150</t>
  </si>
  <si>
    <t>Page 24, Item 160</t>
  </si>
  <si>
    <t>Page 26, Item 205</t>
  </si>
  <si>
    <t>Page 27, Item 207</t>
  </si>
  <si>
    <t>Page 28, Item 210</t>
  </si>
  <si>
    <t>Page 29, Item 230</t>
  </si>
  <si>
    <t>Page 30, Item 240</t>
  </si>
  <si>
    <t>Page 31, Item 245</t>
  </si>
  <si>
    <t>Page 32, Item 250</t>
  </si>
  <si>
    <t>Page 33, Item 260</t>
  </si>
  <si>
    <t>Page 34, Item 275</t>
  </si>
  <si>
    <t>Sanitary Dispsoal - Rate Sheet</t>
  </si>
  <si>
    <t>Sanitary Disposal Inc</t>
  </si>
  <si>
    <t>New Rate 10.1.2025</t>
  </si>
  <si>
    <t>B&amp;O Increase with Gross Up</t>
  </si>
  <si>
    <t>Revenue 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</si>
</sst>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0.0000%"/>
    <numFmt numFmtId="166" formatCode="0.000%"/>
    <numFmt numFmtId="167" formatCode="#,##0.0000_);\(#,##0.0000\)"/>
    <numFmt numFmtId="168" formatCode="#,##0.000_);\(#,##0.000\)"/>
    <numFmt numFmtId="169" formatCode="_(* #,##0_);_(* \(#,##0\);_(* &quot;-&quot;??_);_(@_)"/>
    <numFmt numFmtId="170" formatCode="#,##0.00000_);\(#,##0.00000\)"/>
    <numFmt numFmtId="171" formatCode="0.00000"/>
    <numFmt numFmtId="172" formatCode="[$-10409]#,##0.00;\-#,##0.00"/>
    <numFmt numFmtId="173" formatCode="[$-10409]#,##0;\-#,##0"/>
    <numFmt numFmtId="174" formatCode="0.0%"/>
    <numFmt numFmtId="175" formatCode="_(&quot;$&quot;* #,##0.0000_);_(&quot;$&quot;* \(#,##0.0000\);_(&quot;$&quot;* &quot;-&quot;??_);_(@_)"/>
  </numFmts>
  <fonts count="6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2"/>
      <name val="Helv"/>
    </font>
    <font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2"/>
      <name val="SWISS"/>
    </font>
    <font>
      <sz val="12"/>
      <color indexed="12"/>
      <name val="SWISS"/>
    </font>
    <font>
      <b/>
      <sz val="12"/>
      <name val="SWISS"/>
    </font>
    <font>
      <sz val="8"/>
      <color indexed="9"/>
      <name val="Calibri"/>
      <family val="2"/>
    </font>
    <font>
      <sz val="14"/>
      <color indexed="9"/>
      <name val="Calibri"/>
      <family val="2"/>
    </font>
    <font>
      <sz val="9"/>
      <color indexed="9"/>
      <name val="Calibri"/>
      <family val="2"/>
    </font>
    <font>
      <b/>
      <sz val="14"/>
      <name val="SWISS"/>
    </font>
    <font>
      <sz val="12"/>
      <name val="Times New Roman"/>
      <family val="1"/>
    </font>
    <font>
      <b/>
      <sz val="12"/>
      <color indexed="12"/>
      <name val="Times New Roman"/>
      <family val="1"/>
    </font>
    <font>
      <i/>
      <sz val="8"/>
      <color indexed="12"/>
      <name val="Times New Roman"/>
      <family val="1"/>
    </font>
    <font>
      <sz val="12"/>
      <color indexed="39"/>
      <name val="SWISS"/>
    </font>
    <font>
      <sz val="12"/>
      <color indexed="39"/>
      <name val="Times New Roman"/>
      <family val="1"/>
    </font>
    <font>
      <sz val="10"/>
      <name val="Times New Roman"/>
      <family val="1"/>
    </font>
    <font>
      <b/>
      <sz val="12"/>
      <color indexed="39"/>
      <name val="Times New Roman"/>
      <family val="1"/>
    </font>
    <font>
      <sz val="12"/>
      <color indexed="10"/>
      <name val="SWISS"/>
    </font>
    <font>
      <sz val="12"/>
      <color indexed="8"/>
      <name val="SWISS"/>
    </font>
    <font>
      <sz val="9"/>
      <color indexed="39"/>
      <name val="Times New Roman"/>
      <family val="1"/>
    </font>
    <font>
      <b/>
      <sz val="12"/>
      <name val="Times New Roman"/>
      <family val="1"/>
    </font>
    <font>
      <u/>
      <sz val="12"/>
      <color indexed="12"/>
      <name val="Times New Roman"/>
      <family val="1"/>
    </font>
    <font>
      <b/>
      <u/>
      <sz val="12"/>
      <color indexed="39"/>
      <name val="Times New Roman"/>
      <family val="1"/>
    </font>
    <font>
      <sz val="12"/>
      <color indexed="18"/>
      <name val="Times New Roman"/>
      <family val="1"/>
    </font>
    <font>
      <u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2"/>
      <color indexed="32"/>
      <name val="SWISS"/>
    </font>
    <font>
      <sz val="12"/>
      <color indexed="18"/>
      <name val="SWISS"/>
    </font>
    <font>
      <sz val="10"/>
      <name val="SWISS"/>
    </font>
    <font>
      <sz val="12"/>
      <color indexed="56"/>
      <name val="SWISS"/>
    </font>
    <font>
      <i/>
      <sz val="12"/>
      <name val="SWISS"/>
    </font>
    <font>
      <sz val="11"/>
      <name val="Times New Roman"/>
      <family val="1"/>
    </font>
    <font>
      <u/>
      <sz val="12"/>
      <name val="SWISS"/>
    </font>
    <font>
      <sz val="10"/>
      <color indexed="39"/>
      <name val="Times New Roman"/>
      <family val="1"/>
    </font>
    <font>
      <b/>
      <sz val="10"/>
      <name val="Calibri"/>
      <family val="2"/>
      <scheme val="minor"/>
    </font>
    <font>
      <sz val="11"/>
      <color indexed="8"/>
      <name val="Arial"/>
      <family val="2"/>
    </font>
    <font>
      <sz val="9"/>
      <color indexed="8"/>
      <name val="Calibri"/>
      <family val="2"/>
    </font>
    <font>
      <b/>
      <sz val="10"/>
      <color rgb="FF1E0FB1"/>
      <name val="Calibri"/>
      <family val="2"/>
      <scheme val="minor"/>
    </font>
    <font>
      <sz val="10"/>
      <name val="MS Sans Serif"/>
      <family val="2"/>
    </font>
    <font>
      <i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name val="Calibri"/>
      <family val="2"/>
      <scheme val="minor"/>
    </font>
    <font>
      <b/>
      <u/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1"/>
      <color rgb="FF1E0FB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1E0FB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9"/>
      </patternFill>
    </fill>
    <fill>
      <patternFill patternType="solid">
        <fgColor indexed="15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theme="4" tint="-0.24994659260841701"/>
      </top>
      <bottom style="double">
        <color theme="4" tint="-0.2499465926084170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11" fillId="4" borderId="0"/>
    <xf numFmtId="164" fontId="5" fillId="0" borderId="0"/>
    <xf numFmtId="0" fontId="3" fillId="2" borderId="0" applyNumberFormat="0" applyBorder="0" applyAlignment="0" applyProtection="0"/>
    <xf numFmtId="41" fontId="23" fillId="8" borderId="0">
      <alignment horizontal="left"/>
    </xf>
    <xf numFmtId="9" fontId="5" fillId="0" borderId="0" applyFont="0" applyFill="0" applyBorder="0" applyAlignment="0" applyProtection="0"/>
    <xf numFmtId="10" fontId="23" fillId="8" borderId="0"/>
    <xf numFmtId="0" fontId="43" fillId="0" borderId="0"/>
    <xf numFmtId="9" fontId="4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51" fillId="0" borderId="0"/>
  </cellStyleXfs>
  <cellXfs count="325">
    <xf numFmtId="0" fontId="0" fillId="0" borderId="0" xfId="0"/>
    <xf numFmtId="0" fontId="4" fillId="3" borderId="0" xfId="4" applyFont="1" applyFill="1"/>
    <xf numFmtId="165" fontId="4" fillId="3" borderId="0" xfId="3" applyNumberFormat="1" applyFont="1" applyFill="1" applyBorder="1"/>
    <xf numFmtId="166" fontId="4" fillId="3" borderId="0" xfId="4" applyNumberFormat="1" applyFont="1" applyFill="1"/>
    <xf numFmtId="0" fontId="10" fillId="0" borderId="0" xfId="0" applyFont="1"/>
    <xf numFmtId="0" fontId="11" fillId="5" borderId="0" xfId="5" applyFill="1"/>
    <xf numFmtId="0" fontId="12" fillId="5" borderId="0" xfId="5" applyFont="1" applyFill="1"/>
    <xf numFmtId="0" fontId="12" fillId="5" borderId="1" xfId="5" applyFont="1" applyFill="1" applyBorder="1"/>
    <xf numFmtId="0" fontId="12" fillId="0" borderId="2" xfId="5" applyFont="1" applyFill="1" applyBorder="1"/>
    <xf numFmtId="0" fontId="12" fillId="0" borderId="0" xfId="5" applyFont="1" applyFill="1" applyAlignment="1">
      <alignment horizontal="center"/>
    </xf>
    <xf numFmtId="0" fontId="12" fillId="0" borderId="0" xfId="5" applyFont="1" applyFill="1"/>
    <xf numFmtId="0" fontId="14" fillId="2" borderId="3" xfId="7" applyNumberFormat="1" applyFont="1" applyBorder="1" applyAlignment="1">
      <alignment horizontal="centerContinuous"/>
    </xf>
    <xf numFmtId="0" fontId="15" fillId="2" borderId="4" xfId="7" applyNumberFormat="1" applyFont="1" applyBorder="1" applyAlignment="1">
      <alignment horizontal="centerContinuous"/>
    </xf>
    <xf numFmtId="0" fontId="15" fillId="2" borderId="4" xfId="7" applyNumberFormat="1" applyFont="1" applyBorder="1" applyAlignment="1">
      <alignment horizontal="left"/>
    </xf>
    <xf numFmtId="0" fontId="16" fillId="2" borderId="5" xfId="7" applyNumberFormat="1" applyFont="1" applyBorder="1" applyAlignment="1">
      <alignment horizontal="centerContinuous"/>
    </xf>
    <xf numFmtId="0" fontId="11" fillId="4" borderId="0" xfId="5"/>
    <xf numFmtId="0" fontId="11" fillId="4" borderId="2" xfId="5" applyBorder="1"/>
    <xf numFmtId="0" fontId="17" fillId="4" borderId="6" xfId="5" applyFont="1" applyBorder="1" applyAlignment="1">
      <alignment horizontal="centerContinuous"/>
    </xf>
    <xf numFmtId="0" fontId="17" fillId="4" borderId="7" xfId="5" applyFont="1" applyBorder="1" applyAlignment="1">
      <alignment horizontal="centerContinuous"/>
    </xf>
    <xf numFmtId="0" fontId="11" fillId="4" borderId="7" xfId="5" applyBorder="1" applyAlignment="1">
      <alignment horizontal="centerContinuous"/>
    </xf>
    <xf numFmtId="0" fontId="18" fillId="4" borderId="8" xfId="5" applyFont="1" applyBorder="1"/>
    <xf numFmtId="0" fontId="18" fillId="4" borderId="0" xfId="5" applyFont="1"/>
    <xf numFmtId="0" fontId="19" fillId="6" borderId="0" xfId="5" applyFont="1" applyFill="1" applyAlignment="1">
      <alignment horizontal="center"/>
    </xf>
    <xf numFmtId="0" fontId="20" fillId="6" borderId="0" xfId="5" applyFont="1" applyFill="1" applyAlignment="1">
      <alignment horizontal="center"/>
    </xf>
    <xf numFmtId="0" fontId="11" fillId="4" borderId="0" xfId="5" applyAlignment="1">
      <alignment horizontal="center"/>
    </xf>
    <xf numFmtId="0" fontId="15" fillId="2" borderId="9" xfId="7" applyNumberFormat="1" applyFont="1" applyBorder="1" applyAlignment="1">
      <alignment horizontal="left"/>
    </xf>
    <xf numFmtId="0" fontId="11" fillId="7" borderId="0" xfId="5" applyFill="1"/>
    <xf numFmtId="0" fontId="18" fillId="4" borderId="2" xfId="5" applyFont="1" applyBorder="1"/>
    <xf numFmtId="0" fontId="21" fillId="5" borderId="0" xfId="5" applyFont="1" applyFill="1"/>
    <xf numFmtId="0" fontId="22" fillId="4" borderId="10" xfId="5" applyFont="1" applyBorder="1" applyAlignment="1">
      <alignment horizontal="right"/>
    </xf>
    <xf numFmtId="41" fontId="18" fillId="9" borderId="11" xfId="8" applyFont="1" applyFill="1" applyBorder="1">
      <alignment horizontal="left"/>
    </xf>
    <xf numFmtId="0" fontId="22" fillId="4" borderId="2" xfId="5" applyFont="1" applyBorder="1"/>
    <xf numFmtId="0" fontId="22" fillId="4" borderId="0" xfId="5" applyFont="1"/>
    <xf numFmtId="0" fontId="24" fillId="6" borderId="0" xfId="5" applyFont="1" applyFill="1" applyAlignment="1">
      <alignment horizontal="center"/>
    </xf>
    <xf numFmtId="0" fontId="24" fillId="6" borderId="0" xfId="6" applyNumberFormat="1" applyFont="1" applyFill="1" applyAlignment="1">
      <alignment horizontal="center"/>
    </xf>
    <xf numFmtId="41" fontId="11" fillId="5" borderId="0" xfId="5" applyNumberFormat="1" applyFill="1"/>
    <xf numFmtId="0" fontId="23" fillId="4" borderId="0" xfId="5" applyFont="1"/>
    <xf numFmtId="0" fontId="22" fillId="4" borderId="12" xfId="5" applyFont="1" applyBorder="1"/>
    <xf numFmtId="0" fontId="19" fillId="6" borderId="13" xfId="5" applyFont="1" applyFill="1" applyBorder="1"/>
    <xf numFmtId="0" fontId="24" fillId="6" borderId="13" xfId="5" applyFont="1" applyFill="1" applyBorder="1" applyAlignment="1">
      <alignment horizontal="center"/>
    </xf>
    <xf numFmtId="0" fontId="24" fillId="6" borderId="13" xfId="5" applyFont="1" applyFill="1" applyBorder="1"/>
    <xf numFmtId="0" fontId="11" fillId="4" borderId="14" xfId="5" applyBorder="1" applyAlignment="1">
      <alignment horizontal="center"/>
    </xf>
    <xf numFmtId="2" fontId="11" fillId="4" borderId="14" xfId="5" applyNumberFormat="1" applyBorder="1" applyAlignment="1">
      <alignment horizontal="center"/>
    </xf>
    <xf numFmtId="167" fontId="11" fillId="4" borderId="15" xfId="5" applyNumberFormat="1" applyBorder="1"/>
    <xf numFmtId="10" fontId="25" fillId="4" borderId="15" xfId="5" applyNumberFormat="1" applyFont="1" applyBorder="1"/>
    <xf numFmtId="41" fontId="11" fillId="4" borderId="16" xfId="5" applyNumberFormat="1" applyBorder="1"/>
    <xf numFmtId="41" fontId="11" fillId="4" borderId="14" xfId="5" applyNumberFormat="1" applyBorder="1"/>
    <xf numFmtId="41" fontId="11" fillId="4" borderId="15" xfId="5" applyNumberFormat="1" applyBorder="1"/>
    <xf numFmtId="0" fontId="22" fillId="4" borderId="17" xfId="5" applyFont="1" applyBorder="1" applyAlignment="1">
      <alignment horizontal="center"/>
    </xf>
    <xf numFmtId="0" fontId="22" fillId="4" borderId="0" xfId="5" applyFont="1" applyAlignment="1">
      <alignment horizontal="right"/>
    </xf>
    <xf numFmtId="41" fontId="22" fillId="4" borderId="0" xfId="5" applyNumberFormat="1" applyFont="1"/>
    <xf numFmtId="0" fontId="26" fillId="4" borderId="2" xfId="5" applyFont="1" applyBorder="1" applyAlignment="1">
      <alignment horizontal="center"/>
    </xf>
    <xf numFmtId="2" fontId="11" fillId="4" borderId="2" xfId="5" applyNumberFormat="1" applyBorder="1" applyAlignment="1">
      <alignment horizontal="center"/>
    </xf>
    <xf numFmtId="167" fontId="11" fillId="4" borderId="0" xfId="5" applyNumberFormat="1"/>
    <xf numFmtId="10" fontId="25" fillId="4" borderId="0" xfId="5" applyNumberFormat="1" applyFont="1"/>
    <xf numFmtId="41" fontId="11" fillId="4" borderId="18" xfId="5" applyNumberFormat="1" applyBorder="1"/>
    <xf numFmtId="41" fontId="11" fillId="4" borderId="2" xfId="5" applyNumberFormat="1" applyBorder="1"/>
    <xf numFmtId="41" fontId="11" fillId="4" borderId="0" xfId="5" applyNumberFormat="1"/>
    <xf numFmtId="10" fontId="18" fillId="9" borderId="11" xfId="8" applyNumberFormat="1" applyFont="1" applyFill="1" applyBorder="1" applyAlignment="1">
      <alignment horizontal="right"/>
    </xf>
    <xf numFmtId="0" fontId="22" fillId="4" borderId="10" xfId="5" applyFont="1" applyBorder="1" applyAlignment="1">
      <alignment horizontal="center"/>
    </xf>
    <xf numFmtId="0" fontId="11" fillId="4" borderId="2" xfId="5" applyBorder="1" applyAlignment="1">
      <alignment horizontal="center"/>
    </xf>
    <xf numFmtId="41" fontId="22" fillId="4" borderId="19" xfId="5" applyNumberFormat="1" applyFont="1" applyBorder="1"/>
    <xf numFmtId="5" fontId="22" fillId="4" borderId="19" xfId="5" applyNumberFormat="1" applyFont="1" applyBorder="1"/>
    <xf numFmtId="0" fontId="11" fillId="4" borderId="12" xfId="5" applyBorder="1" applyAlignment="1">
      <alignment horizontal="center"/>
    </xf>
    <xf numFmtId="0" fontId="24" fillId="4" borderId="10" xfId="5" applyFont="1" applyBorder="1" applyAlignment="1">
      <alignment horizontal="right"/>
    </xf>
    <xf numFmtId="167" fontId="26" fillId="4" borderId="0" xfId="5" applyNumberFormat="1" applyFont="1"/>
    <xf numFmtId="0" fontId="22" fillId="4" borderId="20" xfId="5" applyFont="1" applyBorder="1" applyAlignment="1">
      <alignment horizontal="right"/>
    </xf>
    <xf numFmtId="41" fontId="22" fillId="4" borderId="21" xfId="5" applyNumberFormat="1" applyFont="1" applyBorder="1"/>
    <xf numFmtId="167" fontId="11" fillId="4" borderId="13" xfId="5" applyNumberFormat="1" applyBorder="1"/>
    <xf numFmtId="41" fontId="18" fillId="4" borderId="0" xfId="5" applyNumberFormat="1" applyFont="1"/>
    <xf numFmtId="10" fontId="22" fillId="4" borderId="0" xfId="5" applyNumberFormat="1" applyFont="1" applyAlignment="1">
      <alignment horizontal="right"/>
    </xf>
    <xf numFmtId="41" fontId="18" fillId="8" borderId="0" xfId="8" applyFont="1" applyAlignment="1">
      <alignment horizontal="right"/>
    </xf>
    <xf numFmtId="0" fontId="11" fillId="4" borderId="0" xfId="5" applyAlignment="1">
      <alignment horizontal="right"/>
    </xf>
    <xf numFmtId="43" fontId="11" fillId="5" borderId="0" xfId="5" applyNumberFormat="1" applyFill="1"/>
    <xf numFmtId="0" fontId="22" fillId="4" borderId="22" xfId="5" applyFont="1" applyBorder="1" applyAlignment="1">
      <alignment horizontal="right"/>
    </xf>
    <xf numFmtId="0" fontId="18" fillId="5" borderId="0" xfId="5" applyFont="1" applyFill="1"/>
    <xf numFmtId="0" fontId="19" fillId="6" borderId="14" xfId="5" applyFont="1" applyFill="1" applyBorder="1" applyAlignment="1">
      <alignment horizontal="left"/>
    </xf>
    <xf numFmtId="0" fontId="11" fillId="4" borderId="15" xfId="5" applyBorder="1"/>
    <xf numFmtId="0" fontId="11" fillId="4" borderId="16" xfId="5" applyBorder="1"/>
    <xf numFmtId="0" fontId="27" fillId="4" borderId="0" xfId="5" applyFont="1" applyAlignment="1">
      <alignment horizontal="left"/>
    </xf>
    <xf numFmtId="41" fontId="22" fillId="4" borderId="18" xfId="5" applyNumberFormat="1" applyFont="1" applyBorder="1"/>
    <xf numFmtId="10" fontId="27" fillId="4" borderId="0" xfId="9" applyNumberFormat="1" applyFont="1" applyFill="1" applyBorder="1" applyAlignment="1">
      <alignment horizontal="left"/>
    </xf>
    <xf numFmtId="0" fontId="24" fillId="4" borderId="0" xfId="5" applyFont="1" applyAlignment="1">
      <alignment horizontal="right"/>
    </xf>
    <xf numFmtId="41" fontId="24" fillId="4" borderId="23" xfId="5" applyNumberFormat="1" applyFont="1" applyBorder="1"/>
    <xf numFmtId="41" fontId="24" fillId="4" borderId="24" xfId="5" applyNumberFormat="1" applyFont="1" applyBorder="1"/>
    <xf numFmtId="0" fontId="11" fillId="4" borderId="12" xfId="5" applyBorder="1"/>
    <xf numFmtId="0" fontId="11" fillId="4" borderId="13" xfId="5" applyBorder="1"/>
    <xf numFmtId="0" fontId="22" fillId="4" borderId="13" xfId="5" applyFont="1" applyBorder="1" applyAlignment="1">
      <alignment horizontal="right" vertical="center"/>
    </xf>
    <xf numFmtId="10" fontId="24" fillId="0" borderId="13" xfId="5" applyNumberFormat="1" applyFont="1" applyFill="1" applyBorder="1" applyAlignment="1">
      <alignment horizontal="center" vertical="center"/>
    </xf>
    <xf numFmtId="0" fontId="11" fillId="4" borderId="11" xfId="5" applyBorder="1"/>
    <xf numFmtId="0" fontId="28" fillId="5" borderId="0" xfId="6" applyNumberFormat="1" applyFont="1" applyFill="1"/>
    <xf numFmtId="0" fontId="5" fillId="5" borderId="0" xfId="6" applyNumberFormat="1" applyFill="1"/>
    <xf numFmtId="0" fontId="18" fillId="5" borderId="0" xfId="6" applyNumberFormat="1" applyFont="1" applyFill="1"/>
    <xf numFmtId="0" fontId="19" fillId="6" borderId="0" xfId="5" applyFont="1" applyFill="1" applyAlignment="1">
      <alignment horizontal="left"/>
    </xf>
    <xf numFmtId="0" fontId="19" fillId="8" borderId="0" xfId="5" applyFont="1" applyFill="1" applyAlignment="1">
      <alignment horizontal="centerContinuous"/>
    </xf>
    <xf numFmtId="0" fontId="29" fillId="4" borderId="0" xfId="5" applyFont="1" applyAlignment="1">
      <alignment horizontal="right"/>
    </xf>
    <xf numFmtId="41" fontId="29" fillId="4" borderId="0" xfId="5" applyNumberFormat="1" applyFont="1" applyAlignment="1">
      <alignment horizontal="center"/>
    </xf>
    <xf numFmtId="0" fontId="29" fillId="4" borderId="0" xfId="5" applyFont="1" applyAlignment="1">
      <alignment horizontal="center"/>
    </xf>
    <xf numFmtId="37" fontId="11" fillId="4" borderId="0" xfId="5" applyNumberFormat="1"/>
    <xf numFmtId="39" fontId="11" fillId="4" borderId="0" xfId="5" applyNumberFormat="1"/>
    <xf numFmtId="10" fontId="22" fillId="4" borderId="0" xfId="5" applyNumberFormat="1" applyFont="1" applyAlignment="1">
      <alignment horizontal="center"/>
    </xf>
    <xf numFmtId="41" fontId="22" fillId="4" borderId="0" xfId="5" applyNumberFormat="1" applyFont="1" applyProtection="1">
      <protection locked="0"/>
    </xf>
    <xf numFmtId="41" fontId="22" fillId="4" borderId="13" xfId="5" applyNumberFormat="1" applyFont="1" applyBorder="1" applyProtection="1">
      <protection locked="0"/>
    </xf>
    <xf numFmtId="41" fontId="22" fillId="4" borderId="25" xfId="5" applyNumberFormat="1" applyFont="1" applyBorder="1"/>
    <xf numFmtId="0" fontId="18" fillId="4" borderId="0" xfId="5" applyFont="1" applyAlignment="1">
      <alignment horizontal="right"/>
    </xf>
    <xf numFmtId="10" fontId="22" fillId="4" borderId="25" xfId="5" applyNumberFormat="1" applyFont="1" applyBorder="1" applyAlignment="1">
      <alignment horizontal="center"/>
    </xf>
    <xf numFmtId="5" fontId="11" fillId="5" borderId="0" xfId="5" applyNumberFormat="1" applyFill="1"/>
    <xf numFmtId="0" fontId="24" fillId="4" borderId="0" xfId="5" applyFont="1" applyAlignment="1">
      <alignment horizontal="center"/>
    </xf>
    <xf numFmtId="0" fontId="30" fillId="4" borderId="0" xfId="5" applyFont="1"/>
    <xf numFmtId="0" fontId="24" fillId="4" borderId="0" xfId="5" applyFont="1"/>
    <xf numFmtId="0" fontId="30" fillId="4" borderId="0" xfId="5" applyFont="1" applyAlignment="1">
      <alignment horizontal="right"/>
    </xf>
    <xf numFmtId="10" fontId="22" fillId="4" borderId="0" xfId="5" applyNumberFormat="1" applyFont="1"/>
    <xf numFmtId="10" fontId="11" fillId="5" borderId="0" xfId="5" applyNumberFormat="1" applyFill="1"/>
    <xf numFmtId="0" fontId="22" fillId="4" borderId="0" xfId="5" quotePrefix="1" applyFont="1" applyAlignment="1">
      <alignment horizontal="left"/>
    </xf>
    <xf numFmtId="168" fontId="11" fillId="4" borderId="0" xfId="5" applyNumberFormat="1"/>
    <xf numFmtId="0" fontId="31" fillId="4" borderId="0" xfId="5" applyFont="1"/>
    <xf numFmtId="39" fontId="22" fillId="4" borderId="0" xfId="5" applyNumberFormat="1" applyFont="1"/>
    <xf numFmtId="0" fontId="11" fillId="4" borderId="10" xfId="5" applyBorder="1"/>
    <xf numFmtId="0" fontId="32" fillId="4" borderId="0" xfId="5" applyFont="1"/>
    <xf numFmtId="0" fontId="11" fillId="4" borderId="14" xfId="5" applyBorder="1" applyAlignment="1">
      <alignment horizontal="centerContinuous"/>
    </xf>
    <xf numFmtId="0" fontId="11" fillId="4" borderId="16" xfId="5" applyBorder="1" applyAlignment="1">
      <alignment horizontal="centerContinuous"/>
    </xf>
    <xf numFmtId="10" fontId="23" fillId="8" borderId="0" xfId="10"/>
    <xf numFmtId="0" fontId="24" fillId="4" borderId="13" xfId="5" applyFont="1" applyBorder="1" applyAlignment="1">
      <alignment horizontal="right"/>
    </xf>
    <xf numFmtId="0" fontId="24" fillId="4" borderId="13" xfId="5" applyFont="1" applyBorder="1" applyAlignment="1">
      <alignment horizontal="center"/>
    </xf>
    <xf numFmtId="0" fontId="11" fillId="4" borderId="2" xfId="5" applyBorder="1" applyAlignment="1">
      <alignment horizontal="centerContinuous"/>
    </xf>
    <xf numFmtId="0" fontId="11" fillId="4" borderId="18" xfId="5" applyBorder="1" applyAlignment="1">
      <alignment horizontal="centerContinuous"/>
    </xf>
    <xf numFmtId="0" fontId="11" fillId="4" borderId="18" xfId="5" applyBorder="1"/>
    <xf numFmtId="0" fontId="33" fillId="4" borderId="0" xfId="5" applyFont="1"/>
    <xf numFmtId="166" fontId="22" fillId="4" borderId="0" xfId="5" applyNumberFormat="1" applyFont="1"/>
    <xf numFmtId="169" fontId="22" fillId="4" borderId="0" xfId="5" applyNumberFormat="1" applyFont="1" applyProtection="1">
      <protection locked="0"/>
    </xf>
    <xf numFmtId="0" fontId="11" fillId="4" borderId="18" xfId="5" applyBorder="1" applyAlignment="1">
      <alignment horizontal="center"/>
    </xf>
    <xf numFmtId="0" fontId="11" fillId="4" borderId="0" xfId="5" quotePrefix="1" applyAlignment="1">
      <alignment horizontal="right"/>
    </xf>
    <xf numFmtId="10" fontId="11" fillId="4" borderId="18" xfId="5" applyNumberFormat="1" applyBorder="1"/>
    <xf numFmtId="10" fontId="11" fillId="4" borderId="0" xfId="5" applyNumberFormat="1" applyAlignment="1">
      <alignment horizontal="center"/>
    </xf>
    <xf numFmtId="10" fontId="11" fillId="4" borderId="18" xfId="9" applyNumberFormat="1" applyFont="1" applyFill="1" applyBorder="1"/>
    <xf numFmtId="0" fontId="11" fillId="4" borderId="11" xfId="5" applyBorder="1" applyAlignment="1">
      <alignment horizontal="center"/>
    </xf>
    <xf numFmtId="166" fontId="22" fillId="4" borderId="25" xfId="5" applyNumberFormat="1" applyFont="1" applyBorder="1"/>
    <xf numFmtId="0" fontId="11" fillId="4" borderId="15" xfId="5" quotePrefix="1" applyBorder="1" applyAlignment="1">
      <alignment horizontal="left"/>
    </xf>
    <xf numFmtId="166" fontId="18" fillId="4" borderId="0" xfId="5" applyNumberFormat="1" applyFont="1"/>
    <xf numFmtId="0" fontId="11" fillId="4" borderId="0" xfId="5" quotePrefix="1" applyAlignment="1">
      <alignment horizontal="left"/>
    </xf>
    <xf numFmtId="0" fontId="34" fillId="5" borderId="0" xfId="5" applyFont="1" applyFill="1"/>
    <xf numFmtId="2" fontId="34" fillId="5" borderId="0" xfId="5" applyNumberFormat="1" applyFont="1" applyFill="1"/>
    <xf numFmtId="10" fontId="11" fillId="4" borderId="12" xfId="5" applyNumberFormat="1" applyBorder="1" applyAlignment="1">
      <alignment horizontal="center"/>
    </xf>
    <xf numFmtId="0" fontId="11" fillId="4" borderId="13" xfId="5" quotePrefix="1" applyBorder="1" applyAlignment="1">
      <alignment horizontal="left"/>
    </xf>
    <xf numFmtId="0" fontId="35" fillId="4" borderId="11" xfId="5" applyFont="1" applyBorder="1"/>
    <xf numFmtId="0" fontId="35" fillId="5" borderId="0" xfId="5" applyFont="1" applyFill="1"/>
    <xf numFmtId="170" fontId="11" fillId="4" borderId="0" xfId="5" applyNumberFormat="1"/>
    <xf numFmtId="0" fontId="13" fillId="4" borderId="0" xfId="5" applyFont="1" applyAlignment="1">
      <alignment horizontal="centerContinuous"/>
    </xf>
    <xf numFmtId="0" fontId="11" fillId="4" borderId="0" xfId="5" applyAlignment="1">
      <alignment horizontal="centerContinuous"/>
    </xf>
    <xf numFmtId="0" fontId="11" fillId="5" borderId="0" xfId="5" applyFill="1" applyAlignment="1">
      <alignment horizontal="right"/>
    </xf>
    <xf numFmtId="0" fontId="11" fillId="4" borderId="14" xfId="5" applyBorder="1"/>
    <xf numFmtId="0" fontId="36" fillId="4" borderId="15" xfId="5" applyFont="1" applyBorder="1" applyAlignment="1">
      <alignment horizontal="center"/>
    </xf>
    <xf numFmtId="0" fontId="36" fillId="4" borderId="16" xfId="5" applyFont="1" applyBorder="1" applyAlignment="1">
      <alignment horizontal="center"/>
    </xf>
    <xf numFmtId="0" fontId="11" fillId="4" borderId="14" xfId="5" applyBorder="1" applyAlignment="1">
      <alignment horizontal="left"/>
    </xf>
    <xf numFmtId="171" fontId="37" fillId="4" borderId="15" xfId="5" applyNumberFormat="1" applyFont="1" applyBorder="1" applyAlignment="1">
      <alignment horizontal="center"/>
    </xf>
    <xf numFmtId="0" fontId="11" fillId="4" borderId="15" xfId="5" applyBorder="1" applyAlignment="1">
      <alignment horizontal="left"/>
    </xf>
    <xf numFmtId="171" fontId="37" fillId="4" borderId="16" xfId="5" applyNumberFormat="1" applyFont="1" applyBorder="1" applyAlignment="1">
      <alignment horizontal="center"/>
    </xf>
    <xf numFmtId="10" fontId="11" fillId="4" borderId="18" xfId="5" applyNumberFormat="1" applyBorder="1" applyAlignment="1">
      <alignment horizontal="center"/>
    </xf>
    <xf numFmtId="0" fontId="11" fillId="4" borderId="2" xfId="5" applyBorder="1" applyAlignment="1">
      <alignment horizontal="left"/>
    </xf>
    <xf numFmtId="171" fontId="37" fillId="4" borderId="0" xfId="5" applyNumberFormat="1" applyFont="1" applyAlignment="1">
      <alignment horizontal="center"/>
    </xf>
    <xf numFmtId="0" fontId="11" fillId="4" borderId="0" xfId="5" applyAlignment="1">
      <alignment horizontal="left"/>
    </xf>
    <xf numFmtId="171" fontId="37" fillId="4" borderId="18" xfId="5" applyNumberFormat="1" applyFont="1" applyBorder="1" applyAlignment="1">
      <alignment horizontal="center"/>
    </xf>
    <xf numFmtId="0" fontId="38" fillId="4" borderId="0" xfId="5" applyFont="1" applyAlignment="1">
      <alignment horizontal="centerContinuous"/>
    </xf>
    <xf numFmtId="171" fontId="11" fillId="4" borderId="18" xfId="5" applyNumberFormat="1" applyBorder="1" applyAlignment="1">
      <alignment horizontal="center"/>
    </xf>
    <xf numFmtId="0" fontId="35" fillId="5" borderId="0" xfId="5" applyFont="1" applyFill="1" applyAlignment="1">
      <alignment horizontal="fill"/>
    </xf>
    <xf numFmtId="10" fontId="11" fillId="4" borderId="13" xfId="5" applyNumberFormat="1" applyBorder="1" applyAlignment="1">
      <alignment horizontal="center"/>
    </xf>
    <xf numFmtId="10" fontId="39" fillId="8" borderId="0" xfId="10" applyFont="1"/>
    <xf numFmtId="166" fontId="39" fillId="8" borderId="18" xfId="10" applyNumberFormat="1" applyFont="1" applyBorder="1"/>
    <xf numFmtId="0" fontId="11" fillId="4" borderId="13" xfId="5" applyBorder="1" applyAlignment="1">
      <alignment horizontal="right"/>
    </xf>
    <xf numFmtId="171" fontId="37" fillId="4" borderId="13" xfId="5" applyNumberFormat="1" applyFont="1" applyBorder="1" applyAlignment="1">
      <alignment horizontal="left"/>
    </xf>
    <xf numFmtId="171" fontId="11" fillId="4" borderId="11" xfId="5" applyNumberFormat="1" applyBorder="1" applyAlignment="1">
      <alignment horizontal="center"/>
    </xf>
    <xf numFmtId="10" fontId="39" fillId="8" borderId="13" xfId="10" applyFont="1" applyBorder="1"/>
    <xf numFmtId="10" fontId="39" fillId="8" borderId="11" xfId="10" applyFont="1" applyBorder="1"/>
    <xf numFmtId="171" fontId="11" fillId="4" borderId="0" xfId="5" applyNumberFormat="1"/>
    <xf numFmtId="0" fontId="40" fillId="4" borderId="0" xfId="5" applyFont="1"/>
    <xf numFmtId="0" fontId="11" fillId="4" borderId="15" xfId="5" quotePrefix="1" applyBorder="1" applyAlignment="1">
      <alignment horizontal="right"/>
    </xf>
    <xf numFmtId="0" fontId="11" fillId="4" borderId="16" xfId="5" quotePrefix="1" applyBorder="1" applyAlignment="1">
      <alignment horizontal="right"/>
    </xf>
    <xf numFmtId="0" fontId="41" fillId="4" borderId="0" xfId="5" applyFont="1"/>
    <xf numFmtId="0" fontId="41" fillId="4" borderId="18" xfId="5" applyFont="1" applyBorder="1"/>
    <xf numFmtId="0" fontId="11" fillId="8" borderId="0" xfId="5" applyFill="1"/>
    <xf numFmtId="0" fontId="11" fillId="4" borderId="13" xfId="5" quotePrefix="1" applyBorder="1" applyAlignment="1">
      <alignment horizontal="right"/>
    </xf>
    <xf numFmtId="10" fontId="11" fillId="4" borderId="11" xfId="5" applyNumberFormat="1" applyBorder="1"/>
    <xf numFmtId="0" fontId="42" fillId="0" borderId="0" xfId="0" applyFont="1"/>
    <xf numFmtId="0" fontId="6" fillId="0" borderId="0" xfId="11" applyFont="1"/>
    <xf numFmtId="0" fontId="6" fillId="0" borderId="0" xfId="0" applyFont="1"/>
    <xf numFmtId="0" fontId="6" fillId="0" borderId="0" xfId="11" applyFont="1" applyAlignment="1">
      <alignment horizontal="center"/>
    </xf>
    <xf numFmtId="0" fontId="44" fillId="7" borderId="0" xfId="11" applyFont="1" applyFill="1"/>
    <xf numFmtId="0" fontId="42" fillId="7" borderId="0" xfId="0" applyFont="1" applyFill="1"/>
    <xf numFmtId="0" fontId="42" fillId="7" borderId="0" xfId="0" applyFont="1" applyFill="1" applyAlignment="1">
      <alignment horizontal="center" wrapText="1"/>
    </xf>
    <xf numFmtId="0" fontId="42" fillId="10" borderId="0" xfId="0" applyFont="1" applyFill="1" applyAlignment="1">
      <alignment horizontal="center"/>
    </xf>
    <xf numFmtId="0" fontId="45" fillId="7" borderId="0" xfId="0" applyFont="1" applyFill="1"/>
    <xf numFmtId="0" fontId="6" fillId="11" borderId="0" xfId="0" applyFont="1" applyFill="1"/>
    <xf numFmtId="0" fontId="45" fillId="0" borderId="0" xfId="0" applyFont="1"/>
    <xf numFmtId="0" fontId="42" fillId="0" borderId="0" xfId="0" applyFont="1" applyAlignment="1">
      <alignment horizontal="right"/>
    </xf>
    <xf numFmtId="10" fontId="6" fillId="0" borderId="0" xfId="12" applyNumberFormat="1" applyFont="1"/>
    <xf numFmtId="10" fontId="6" fillId="12" borderId="0" xfId="12" applyNumberFormat="1" applyFont="1" applyFill="1"/>
    <xf numFmtId="10" fontId="42" fillId="10" borderId="0" xfId="12" applyNumberFormat="1" applyFont="1" applyFill="1"/>
    <xf numFmtId="169" fontId="6" fillId="0" borderId="0" xfId="1" applyNumberFormat="1" applyFont="1"/>
    <xf numFmtId="44" fontId="47" fillId="11" borderId="0" xfId="0" applyNumberFormat="1" applyFont="1" applyFill="1"/>
    <xf numFmtId="44" fontId="45" fillId="0" borderId="0" xfId="0" applyNumberFormat="1" applyFont="1"/>
    <xf numFmtId="44" fontId="6" fillId="0" borderId="0" xfId="0" applyNumberFormat="1" applyFont="1"/>
    <xf numFmtId="0" fontId="42" fillId="0" borderId="0" xfId="11" applyFont="1"/>
    <xf numFmtId="44" fontId="6" fillId="0" borderId="0" xfId="11" applyNumberFormat="1" applyFont="1" applyAlignment="1">
      <alignment horizontal="center"/>
    </xf>
    <xf numFmtId="169" fontId="45" fillId="0" borderId="0" xfId="1" applyNumberFormat="1" applyFont="1"/>
    <xf numFmtId="2" fontId="6" fillId="0" borderId="0" xfId="11" applyNumberFormat="1" applyFont="1"/>
    <xf numFmtId="169" fontId="6" fillId="0" borderId="0" xfId="0" applyNumberFormat="1" applyFont="1"/>
    <xf numFmtId="0" fontId="42" fillId="0" borderId="0" xfId="11" applyFont="1" applyAlignment="1">
      <alignment horizontal="center" wrapText="1"/>
    </xf>
    <xf numFmtId="0" fontId="42" fillId="0" borderId="0" xfId="11" applyFont="1" applyAlignment="1">
      <alignment horizontal="center"/>
    </xf>
    <xf numFmtId="17" fontId="42" fillId="13" borderId="0" xfId="11" applyNumberFormat="1" applyFont="1" applyFill="1" applyAlignment="1">
      <alignment horizontal="center"/>
    </xf>
    <xf numFmtId="0" fontId="42" fillId="13" borderId="0" xfId="11" applyFont="1" applyFill="1" applyAlignment="1">
      <alignment horizontal="center" wrapText="1"/>
    </xf>
    <xf numFmtId="17" fontId="42" fillId="14" borderId="0" xfId="11" applyNumberFormat="1" applyFont="1" applyFill="1" applyAlignment="1">
      <alignment horizontal="center"/>
    </xf>
    <xf numFmtId="0" fontId="48" fillId="15" borderId="0" xfId="11" applyFont="1" applyFill="1" applyAlignment="1">
      <alignment horizontal="center" wrapText="1"/>
    </xf>
    <xf numFmtId="0" fontId="48" fillId="14" borderId="0" xfId="11" applyFont="1" applyFill="1" applyAlignment="1">
      <alignment horizontal="center" wrapText="1"/>
    </xf>
    <xf numFmtId="169" fontId="48" fillId="15" borderId="0" xfId="13" applyNumberFormat="1" applyFont="1" applyFill="1" applyAlignment="1">
      <alignment horizontal="center" wrapText="1"/>
    </xf>
    <xf numFmtId="0" fontId="42" fillId="14" borderId="0" xfId="0" applyFont="1" applyFill="1" applyAlignment="1">
      <alignment wrapText="1"/>
    </xf>
    <xf numFmtId="0" fontId="10" fillId="16" borderId="0" xfId="0" applyFont="1" applyFill="1" applyAlignment="1">
      <alignment wrapText="1"/>
    </xf>
    <xf numFmtId="0" fontId="10" fillId="16" borderId="0" xfId="0" applyFont="1" applyFill="1"/>
    <xf numFmtId="0" fontId="2" fillId="16" borderId="0" xfId="0" applyFont="1" applyFill="1"/>
    <xf numFmtId="0" fontId="42" fillId="16" borderId="0" xfId="11" applyFont="1" applyFill="1"/>
    <xf numFmtId="0" fontId="42" fillId="0" borderId="13" xfId="11" applyFont="1" applyBorder="1" applyAlignment="1">
      <alignment horizontal="center"/>
    </xf>
    <xf numFmtId="0" fontId="42" fillId="0" borderId="13" xfId="11" applyFont="1" applyBorder="1" applyAlignment="1">
      <alignment horizontal="center" wrapText="1"/>
    </xf>
    <xf numFmtId="14" fontId="42" fillId="0" borderId="13" xfId="11" applyNumberFormat="1" applyFont="1" applyBorder="1" applyAlignment="1">
      <alignment horizontal="center" wrapText="1"/>
    </xf>
    <xf numFmtId="0" fontId="42" fillId="13" borderId="13" xfId="11" applyFont="1" applyFill="1" applyBorder="1" applyAlignment="1">
      <alignment horizontal="center" wrapText="1"/>
    </xf>
    <xf numFmtId="0" fontId="42" fillId="14" borderId="0" xfId="11" applyFont="1" applyFill="1" applyAlignment="1">
      <alignment horizontal="center" wrapText="1"/>
    </xf>
    <xf numFmtId="44" fontId="6" fillId="17" borderId="0" xfId="0" applyNumberFormat="1" applyFont="1" applyFill="1"/>
    <xf numFmtId="0" fontId="6" fillId="18" borderId="0" xfId="0" applyFont="1" applyFill="1"/>
    <xf numFmtId="44" fontId="6" fillId="17" borderId="0" xfId="2" applyFont="1" applyFill="1"/>
    <xf numFmtId="43" fontId="6" fillId="0" borderId="0" xfId="0" applyNumberFormat="1" applyFont="1"/>
    <xf numFmtId="0" fontId="6" fillId="0" borderId="0" xfId="0" applyFont="1" applyAlignment="1">
      <alignment horizontal="center"/>
    </xf>
    <xf numFmtId="44" fontId="6" fillId="13" borderId="0" xfId="14" applyNumberFormat="1" applyFont="1" applyFill="1" applyAlignment="1">
      <alignment horizontal="center"/>
    </xf>
    <xf numFmtId="169" fontId="6" fillId="13" borderId="0" xfId="14" applyNumberFormat="1" applyFont="1" applyFill="1"/>
    <xf numFmtId="169" fontId="49" fillId="13" borderId="0" xfId="14" applyNumberFormat="1" applyFont="1" applyFill="1" applyBorder="1"/>
    <xf numFmtId="43" fontId="6" fillId="13" borderId="0" xfId="11" applyNumberFormat="1" applyFont="1" applyFill="1"/>
    <xf numFmtId="169" fontId="6" fillId="0" borderId="0" xfId="14" applyNumberFormat="1" applyFont="1" applyFill="1"/>
    <xf numFmtId="0" fontId="45" fillId="0" borderId="0" xfId="11" applyFont="1"/>
    <xf numFmtId="44" fontId="6" fillId="17" borderId="0" xfId="15" applyFont="1" applyFill="1" applyAlignment="1">
      <alignment horizontal="center"/>
    </xf>
    <xf numFmtId="169" fontId="6" fillId="0" borderId="0" xfId="1" applyNumberFormat="1" applyFont="1" applyFill="1" applyAlignment="1">
      <alignment horizontal="center"/>
    </xf>
    <xf numFmtId="169" fontId="6" fillId="0" borderId="0" xfId="14" applyNumberFormat="1" applyFont="1"/>
    <xf numFmtId="2" fontId="45" fillId="0" borderId="0" xfId="2" applyNumberFormat="1" applyFont="1"/>
    <xf numFmtId="169" fontId="6" fillId="0" borderId="0" xfId="11" applyNumberFormat="1" applyFont="1"/>
    <xf numFmtId="44" fontId="6" fillId="17" borderId="0" xfId="11" applyNumberFormat="1" applyFont="1" applyFill="1"/>
    <xf numFmtId="44" fontId="6" fillId="0" borderId="0" xfId="11" applyNumberFormat="1" applyFont="1"/>
    <xf numFmtId="44" fontId="45" fillId="0" borderId="0" xfId="11" applyNumberFormat="1" applyFont="1"/>
    <xf numFmtId="43" fontId="6" fillId="0" borderId="0" xfId="11" applyNumberFormat="1" applyFont="1"/>
    <xf numFmtId="9" fontId="45" fillId="0" borderId="0" xfId="3" applyFont="1"/>
    <xf numFmtId="44" fontId="45" fillId="0" borderId="0" xfId="2" applyFont="1"/>
    <xf numFmtId="169" fontId="6" fillId="19" borderId="0" xfId="14" applyNumberFormat="1" applyFont="1" applyFill="1"/>
    <xf numFmtId="169" fontId="6" fillId="20" borderId="0" xfId="14" applyNumberFormat="1" applyFont="1" applyFill="1"/>
    <xf numFmtId="44" fontId="6" fillId="0" borderId="0" xfId="15" applyFont="1" applyFill="1" applyAlignment="1">
      <alignment horizontal="center"/>
    </xf>
    <xf numFmtId="0" fontId="42" fillId="0" borderId="0" xfId="11" applyFont="1" applyAlignment="1">
      <alignment horizontal="right"/>
    </xf>
    <xf numFmtId="44" fontId="42" fillId="0" borderId="0" xfId="15" applyFont="1" applyFill="1" applyBorder="1" applyAlignment="1">
      <alignment horizontal="center"/>
    </xf>
    <xf numFmtId="44" fontId="42" fillId="0" borderId="26" xfId="15" applyFont="1" applyFill="1" applyBorder="1"/>
    <xf numFmtId="169" fontId="42" fillId="0" borderId="26" xfId="14" applyNumberFormat="1" applyFont="1" applyBorder="1"/>
    <xf numFmtId="0" fontId="42" fillId="0" borderId="26" xfId="11" applyFont="1" applyBorder="1"/>
    <xf numFmtId="44" fontId="42" fillId="0" borderId="0" xfId="15" applyFont="1" applyFill="1" applyBorder="1"/>
    <xf numFmtId="169" fontId="42" fillId="0" borderId="0" xfId="14" applyNumberFormat="1" applyFont="1" applyBorder="1"/>
    <xf numFmtId="0" fontId="50" fillId="0" borderId="0" xfId="11" applyFont="1" applyAlignment="1">
      <alignment horizontal="left"/>
    </xf>
    <xf numFmtId="0" fontId="50" fillId="0" borderId="0" xfId="11" applyFont="1" applyAlignment="1">
      <alignment horizontal="center"/>
    </xf>
    <xf numFmtId="44" fontId="6" fillId="0" borderId="0" xfId="15" applyFont="1" applyFill="1" applyBorder="1" applyAlignment="1">
      <alignment horizontal="center"/>
    </xf>
    <xf numFmtId="43" fontId="6" fillId="0" borderId="0" xfId="14" applyFont="1" applyFill="1"/>
    <xf numFmtId="43" fontId="6" fillId="0" borderId="0" xfId="14" applyFont="1"/>
    <xf numFmtId="44" fontId="6" fillId="13" borderId="0" xfId="15" applyFont="1" applyFill="1" applyAlignment="1">
      <alignment horizontal="center"/>
    </xf>
    <xf numFmtId="43" fontId="6" fillId="13" borderId="0" xfId="14" applyFont="1" applyFill="1"/>
    <xf numFmtId="0" fontId="6" fillId="13" borderId="0" xfId="11" applyFont="1" applyFill="1"/>
    <xf numFmtId="0" fontId="42" fillId="0" borderId="13" xfId="11" applyFont="1" applyBorder="1"/>
    <xf numFmtId="43" fontId="6" fillId="0" borderId="0" xfId="1" applyFont="1"/>
    <xf numFmtId="0" fontId="42" fillId="0" borderId="0" xfId="0" applyFont="1" applyAlignment="1">
      <alignment vertical="top"/>
    </xf>
    <xf numFmtId="169" fontId="42" fillId="0" borderId="26" xfId="11" applyNumberFormat="1" applyFont="1" applyBorder="1"/>
    <xf numFmtId="169" fontId="45" fillId="0" borderId="26" xfId="11" applyNumberFormat="1" applyFont="1" applyBorder="1"/>
    <xf numFmtId="169" fontId="6" fillId="19" borderId="26" xfId="14" applyNumberFormat="1" applyFont="1" applyFill="1" applyBorder="1"/>
    <xf numFmtId="0" fontId="6" fillId="0" borderId="0" xfId="0" applyFont="1" applyAlignment="1">
      <alignment vertical="top"/>
    </xf>
    <xf numFmtId="44" fontId="6" fillId="13" borderId="0" xfId="15" applyFont="1" applyFill="1"/>
    <xf numFmtId="0" fontId="6" fillId="13" borderId="0" xfId="0" applyFont="1" applyFill="1"/>
    <xf numFmtId="0" fontId="52" fillId="0" borderId="27" xfId="16" applyFont="1" applyBorder="1" applyAlignment="1">
      <alignment horizontal="left" vertical="top" wrapText="1" readingOrder="1"/>
    </xf>
    <xf numFmtId="172" fontId="52" fillId="17" borderId="27" xfId="16" applyNumberFormat="1" applyFont="1" applyFill="1" applyBorder="1" applyAlignment="1">
      <alignment horizontal="right" vertical="top" wrapText="1" readingOrder="1"/>
    </xf>
    <xf numFmtId="169" fontId="52" fillId="0" borderId="0" xfId="1" applyNumberFormat="1" applyFont="1" applyAlignment="1">
      <alignment horizontal="right" vertical="top" wrapText="1" readingOrder="1"/>
    </xf>
    <xf numFmtId="44" fontId="45" fillId="11" borderId="0" xfId="11" applyNumberFormat="1" applyFont="1" applyFill="1"/>
    <xf numFmtId="173" fontId="52" fillId="0" borderId="0" xfId="16" applyNumberFormat="1" applyFont="1" applyAlignment="1">
      <alignment horizontal="right" vertical="top" wrapText="1" readingOrder="1"/>
    </xf>
    <xf numFmtId="172" fontId="52" fillId="0" borderId="0" xfId="16" applyNumberFormat="1" applyFont="1" applyAlignment="1">
      <alignment horizontal="right" vertical="top" wrapText="1" readingOrder="1"/>
    </xf>
    <xf numFmtId="172" fontId="52" fillId="17" borderId="0" xfId="16" applyNumberFormat="1" applyFont="1" applyFill="1" applyAlignment="1">
      <alignment horizontal="right" vertical="top" wrapText="1" readingOrder="1"/>
    </xf>
    <xf numFmtId="169" fontId="52" fillId="0" borderId="0" xfId="1" applyNumberFormat="1" applyFont="1" applyFill="1" applyAlignment="1">
      <alignment horizontal="right" vertical="top" wrapText="1" readingOrder="1"/>
    </xf>
    <xf numFmtId="44" fontId="0" fillId="0" borderId="0" xfId="0" applyNumberFormat="1"/>
    <xf numFmtId="44" fontId="6" fillId="0" borderId="0" xfId="15" applyFont="1"/>
    <xf numFmtId="44" fontId="42" fillId="0" borderId="19" xfId="15" applyFont="1" applyFill="1" applyBorder="1"/>
    <xf numFmtId="169" fontId="45" fillId="0" borderId="26" xfId="14" applyNumberFormat="1" applyFont="1" applyBorder="1"/>
    <xf numFmtId="169" fontId="6" fillId="11" borderId="0" xfId="14" applyNumberFormat="1" applyFont="1" applyFill="1"/>
    <xf numFmtId="174" fontId="6" fillId="0" borderId="0" xfId="3" applyNumberFormat="1" applyFont="1"/>
    <xf numFmtId="44" fontId="0" fillId="0" borderId="0" xfId="2" applyFont="1"/>
    <xf numFmtId="0" fontId="57" fillId="0" borderId="0" xfId="0" applyFont="1"/>
    <xf numFmtId="44" fontId="0" fillId="0" borderId="0" xfId="2" applyFont="1" applyFill="1"/>
    <xf numFmtId="0" fontId="0" fillId="20" borderId="0" xfId="0" applyFill="1"/>
    <xf numFmtId="44" fontId="0" fillId="0" borderId="0" xfId="2" applyFont="1" applyFill="1" applyBorder="1"/>
    <xf numFmtId="175" fontId="0" fillId="0" borderId="0" xfId="2" applyNumberFormat="1" applyFont="1" applyFill="1"/>
    <xf numFmtId="0" fontId="2" fillId="0" borderId="13" xfId="0" applyFont="1" applyBorder="1"/>
    <xf numFmtId="44" fontId="2" fillId="0" borderId="13" xfId="2" applyFont="1" applyFill="1" applyBorder="1"/>
    <xf numFmtId="0" fontId="59" fillId="0" borderId="0" xfId="0" applyFont="1"/>
    <xf numFmtId="44" fontId="60" fillId="0" borderId="0" xfId="2" applyFont="1" applyFill="1"/>
    <xf numFmtId="44" fontId="57" fillId="0" borderId="0" xfId="2" applyFont="1" applyFill="1"/>
    <xf numFmtId="0" fontId="57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0" xfId="0" applyFont="1"/>
    <xf numFmtId="0" fontId="60" fillId="0" borderId="0" xfId="0" applyFont="1"/>
    <xf numFmtId="0" fontId="7" fillId="0" borderId="0" xfId="0" applyFont="1"/>
    <xf numFmtId="44" fontId="58" fillId="0" borderId="0" xfId="2" applyFont="1" applyAlignment="1">
      <alignment horizontal="center"/>
    </xf>
    <xf numFmtId="0" fontId="58" fillId="0" borderId="0" xfId="0" applyFont="1" applyAlignment="1">
      <alignment horizontal="center"/>
    </xf>
    <xf numFmtId="0" fontId="13" fillId="5" borderId="0" xfId="6" applyNumberFormat="1" applyFont="1" applyFill="1" applyAlignment="1">
      <alignment horizontal="center"/>
    </xf>
    <xf numFmtId="0" fontId="11" fillId="4" borderId="3" xfId="5" applyBorder="1" applyAlignment="1">
      <alignment horizontal="center"/>
    </xf>
    <xf numFmtId="0" fontId="11" fillId="4" borderId="4" xfId="5" applyBorder="1" applyAlignment="1">
      <alignment horizontal="center"/>
    </xf>
    <xf numFmtId="0" fontId="11" fillId="4" borderId="5" xfId="5" applyBorder="1" applyAlignment="1">
      <alignment horizontal="center"/>
    </xf>
    <xf numFmtId="0" fontId="18" fillId="5" borderId="0" xfId="6" applyNumberFormat="1" applyFont="1" applyFill="1" applyAlignment="1">
      <alignment horizontal="center"/>
    </xf>
    <xf numFmtId="0" fontId="18" fillId="5" borderId="19" xfId="6" applyNumberFormat="1" applyFont="1" applyFill="1" applyBorder="1" applyAlignment="1">
      <alignment horizontal="center"/>
    </xf>
    <xf numFmtId="0" fontId="30" fillId="4" borderId="0" xfId="5" applyFont="1" applyAlignment="1">
      <alignment horizontal="center"/>
    </xf>
    <xf numFmtId="0" fontId="42" fillId="13" borderId="0" xfId="11" applyFont="1" applyFill="1" applyAlignment="1">
      <alignment horizontal="center"/>
    </xf>
    <xf numFmtId="0" fontId="6" fillId="21" borderId="0" xfId="0" applyFont="1" applyFill="1"/>
    <xf numFmtId="17" fontId="42" fillId="21" borderId="0" xfId="11" applyNumberFormat="1" applyFont="1" applyFill="1" applyAlignment="1">
      <alignment horizontal="center"/>
    </xf>
    <xf numFmtId="0" fontId="42" fillId="21" borderId="0" xfId="11" applyFont="1" applyFill="1" applyAlignment="1">
      <alignment horizontal="center" wrapText="1"/>
    </xf>
    <xf numFmtId="2" fontId="45" fillId="21" borderId="0" xfId="2" applyNumberFormat="1" applyFont="1" applyFill="1"/>
    <xf numFmtId="169" fontId="6" fillId="21" borderId="0" xfId="0" applyNumberFormat="1" applyFont="1" applyFill="1"/>
    <xf numFmtId="169" fontId="42" fillId="21" borderId="0" xfId="14" applyNumberFormat="1" applyFont="1" applyFill="1" applyBorder="1"/>
    <xf numFmtId="169" fontId="6" fillId="21" borderId="0" xfId="14" applyNumberFormat="1" applyFont="1" applyFill="1"/>
    <xf numFmtId="0" fontId="42" fillId="21" borderId="0" xfId="0" applyFont="1" applyFill="1"/>
    <xf numFmtId="10" fontId="6" fillId="21" borderId="0" xfId="3" applyNumberFormat="1" applyFont="1" applyFill="1"/>
    <xf numFmtId="44" fontId="45" fillId="21" borderId="0" xfId="2" applyFont="1" applyFill="1"/>
    <xf numFmtId="44" fontId="42" fillId="21" borderId="19" xfId="15" applyFont="1" applyFill="1" applyBorder="1"/>
    <xf numFmtId="44" fontId="42" fillId="21" borderId="26" xfId="15" applyFont="1" applyFill="1" applyBorder="1"/>
  </cellXfs>
  <cellStyles count="17">
    <cellStyle name="Accent5 2 2" xfId="7" xr:uid="{4E57DF90-8F63-4E73-9620-C7AE084E5DE7}"/>
    <cellStyle name="Comma" xfId="1" builtinId="3"/>
    <cellStyle name="Comma 19" xfId="13" xr:uid="{259E9805-6A2D-4A40-80BD-3EBE0F66FF83}"/>
    <cellStyle name="Comma 2 3" xfId="14" xr:uid="{6B93BD2D-A24D-4D7A-B0C1-F31E09027D3D}"/>
    <cellStyle name="Comma 2 8" xfId="8" xr:uid="{99F6ADB1-B11D-4B46-BA99-5F52F25C8C6C}"/>
    <cellStyle name="Currency" xfId="2" builtinId="4"/>
    <cellStyle name="Currency 2 3" xfId="15" xr:uid="{299E1562-E80B-41DB-A532-69F20BB3AEDA}"/>
    <cellStyle name="Normal" xfId="0" builtinId="0"/>
    <cellStyle name="Normal 2" xfId="16" xr:uid="{7A68B433-17F4-4A17-90ED-DF2B60833CD7}"/>
    <cellStyle name="Normal 2 11 2" xfId="5" xr:uid="{07ACE384-F2B1-4A24-B475-13BD95AECCFD}"/>
    <cellStyle name="Normal 3 4" xfId="6" xr:uid="{05393B9F-1714-4D3C-AB2C-6B39619A163C}"/>
    <cellStyle name="Normal_M-A DF Calculation 3-1-2013-Final" xfId="4" xr:uid="{034E6A43-733A-47A2-9A5B-B1B47626D501}"/>
    <cellStyle name="Normal_Regulated Price Out 9-6-2011 Final HL" xfId="11" xr:uid="{B606A592-0C0E-4979-8D04-76A8F29A89E7}"/>
    <cellStyle name="Percent" xfId="3" builtinId="5"/>
    <cellStyle name="Percent 2" xfId="12" xr:uid="{81728A69-8321-4FD5-892E-BD7DA8CA5214}"/>
    <cellStyle name="Percent 2 3 7" xfId="10" xr:uid="{F358B984-4D3F-4B63-B174-B7C2D25CFB7F}"/>
    <cellStyle name="Percent 5 13" xfId="9" xr:uid="{E5FAF822-4EAF-4BE3-B7A4-3EBA8BC2B95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15</xdr:row>
      <xdr:rowOff>180975</xdr:rowOff>
    </xdr:from>
    <xdr:to>
      <xdr:col>2</xdr:col>
      <xdr:colOff>342900</xdr:colOff>
      <xdr:row>17</xdr:row>
      <xdr:rowOff>9525</xdr:rowOff>
    </xdr:to>
    <xdr:sp macro="" textlink="">
      <xdr:nvSpPr>
        <xdr:cNvPr id="2" name="DataCompleted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76D8C54-DAC7-49BA-AC25-C8C45E3012A9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1240B29-F687-4F45-9708-019B960494DF}">
            <a14:hiddenLine xmlns:a14="http://schemas.microsoft.com/office/drawing/2010/main" w="1">
              <a:noFill/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2</xdr:col>
      <xdr:colOff>114300</xdr:colOff>
      <xdr:row>15</xdr:row>
      <xdr:rowOff>180975</xdr:rowOff>
    </xdr:from>
    <xdr:to>
      <xdr:col>2</xdr:col>
      <xdr:colOff>342900</xdr:colOff>
      <xdr:row>17</xdr:row>
      <xdr:rowOff>9525</xdr:rowOff>
    </xdr:to>
    <xdr:pic>
      <xdr:nvPicPr>
        <xdr:cNvPr id="1025" name="DataCompleted">
          <a:extLst>
            <a:ext uri="{FF2B5EF4-FFF2-40B4-BE49-F238E27FC236}">
              <a16:creationId xmlns:a16="http://schemas.microsoft.com/office/drawing/2014/main" id="{0887586B-305C-C4F3-9370-04D5C342CF0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3305175"/>
          <a:ext cx="228600" cy="2286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1240B29-F687-4F45-9708-019B960494DF}">
            <a14:hiddenLine xmlns:a14="http://schemas.microsoft.com/office/drawing/2010/main" w="1">
              <a:noFill/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2EEC6-C080-4294-911B-538691F14018}">
  <sheetPr>
    <tabColor rgb="FF00B050"/>
  </sheetPr>
  <dimension ref="A1:U143"/>
  <sheetViews>
    <sheetView tabSelected="1" workbookViewId="0">
      <selection activeCell="AI14" sqref="AI14:AJ14"/>
    </sheetView>
  </sheetViews>
  <sheetFormatPr defaultRowHeight="14.4"/>
  <cols>
    <col min="1" max="1" width="15.6640625" bestFit="1" customWidth="1"/>
    <col min="2" max="2" width="21.44140625" bestFit="1" customWidth="1"/>
    <col min="3" max="3" width="12.109375" style="287" bestFit="1" customWidth="1"/>
    <col min="4" max="4" width="12.6640625" style="287" customWidth="1"/>
    <col min="5" max="5" width="9.109375" style="287"/>
    <col min="8" max="8" width="4" customWidth="1"/>
    <col min="9" max="9" width="14.44140625" bestFit="1" customWidth="1"/>
    <col min="10" max="10" width="33" style="288" customWidth="1"/>
  </cols>
  <sheetData>
    <row r="1" spans="1:10">
      <c r="A1" s="4" t="s">
        <v>327</v>
      </c>
      <c r="I1" s="3">
        <f>0.021-0.0175</f>
        <v>3.4999999999999996E-3</v>
      </c>
      <c r="J1" s="1" t="s">
        <v>8</v>
      </c>
    </row>
    <row r="2" spans="1:10">
      <c r="A2" s="4" t="s">
        <v>326</v>
      </c>
      <c r="I2" s="3">
        <f>1-I1</f>
        <v>0.99650000000000005</v>
      </c>
      <c r="J2" s="1" t="s">
        <v>7</v>
      </c>
    </row>
    <row r="3" spans="1:10">
      <c r="C3" s="303" t="s">
        <v>235</v>
      </c>
      <c r="D3" s="304"/>
      <c r="E3" s="304"/>
      <c r="I3" s="2">
        <f>+I1/I2</f>
        <v>3.5122930255895631E-3</v>
      </c>
      <c r="J3" s="1" t="s">
        <v>6</v>
      </c>
    </row>
    <row r="4" spans="1:10">
      <c r="B4" s="293" t="s">
        <v>236</v>
      </c>
      <c r="C4" s="294" t="s">
        <v>237</v>
      </c>
      <c r="D4" s="294" t="s">
        <v>238</v>
      </c>
      <c r="E4" s="294" t="s">
        <v>328</v>
      </c>
      <c r="I4" s="2">
        <f ca="1">+I3/'STAFF LG Public (2)'!M16</f>
        <v>3.8645448167772389E-3</v>
      </c>
      <c r="J4" s="1" t="s">
        <v>5</v>
      </c>
    </row>
    <row r="5" spans="1:10">
      <c r="A5" s="295" t="s">
        <v>306</v>
      </c>
      <c r="B5" s="295"/>
      <c r="C5" s="289"/>
      <c r="D5" s="289"/>
      <c r="E5" s="289"/>
      <c r="I5" s="296"/>
    </row>
    <row r="6" spans="1:10">
      <c r="B6" t="s">
        <v>239</v>
      </c>
      <c r="C6" s="289">
        <v>25</v>
      </c>
      <c r="D6" s="289">
        <f ca="1">+ROUND(C6*$I$4,2)</f>
        <v>0.1</v>
      </c>
      <c r="E6" s="289">
        <f ca="1">+C6+D6</f>
        <v>25.1</v>
      </c>
      <c r="I6" s="297"/>
    </row>
    <row r="7" spans="1:10">
      <c r="C7" s="289"/>
      <c r="D7" s="289"/>
      <c r="E7" s="289"/>
      <c r="I7" s="297"/>
    </row>
    <row r="8" spans="1:10">
      <c r="A8" s="295" t="s">
        <v>307</v>
      </c>
      <c r="C8" s="289"/>
      <c r="D8" s="289"/>
      <c r="E8" s="289"/>
      <c r="I8" s="297"/>
    </row>
    <row r="9" spans="1:10">
      <c r="B9" t="s">
        <v>240</v>
      </c>
      <c r="C9" s="289">
        <v>13.666058328638005</v>
      </c>
      <c r="D9" s="289">
        <f t="shared" ref="D9:D10" ca="1" si="0">+ROUND(C9*$I$4,2)</f>
        <v>0.05</v>
      </c>
      <c r="E9" s="289">
        <f ca="1">+C9+D9</f>
        <v>13.716058328638006</v>
      </c>
      <c r="I9" s="297"/>
    </row>
    <row r="10" spans="1:10">
      <c r="B10" t="s">
        <v>241</v>
      </c>
      <c r="C10" s="289">
        <v>3.6271568345933947</v>
      </c>
      <c r="D10" s="289">
        <f t="shared" ca="1" si="0"/>
        <v>0.01</v>
      </c>
      <c r="E10" s="289">
        <f ca="1">+C10+D10</f>
        <v>3.6371568345933944</v>
      </c>
      <c r="I10" s="297"/>
      <c r="J10" s="298"/>
    </row>
    <row r="11" spans="1:10">
      <c r="C11" s="289"/>
      <c r="D11" s="289"/>
      <c r="E11" s="289"/>
      <c r="I11" s="297"/>
    </row>
    <row r="12" spans="1:10">
      <c r="A12" s="295" t="s">
        <v>308</v>
      </c>
      <c r="C12" s="289"/>
      <c r="D12" s="289"/>
      <c r="E12" s="289"/>
      <c r="I12" s="297"/>
    </row>
    <row r="13" spans="1:10" ht="48.6" customHeight="1">
      <c r="B13" t="s">
        <v>242</v>
      </c>
      <c r="C13" s="289">
        <v>90.847010794673452</v>
      </c>
      <c r="D13" s="289">
        <f ca="1">+ROUND(C13*$I$4,2)</f>
        <v>0.35</v>
      </c>
      <c r="E13" s="289">
        <f ca="1">+C13+D13</f>
        <v>91.197010794673446</v>
      </c>
      <c r="I13" s="297"/>
      <c r="J13" s="298"/>
    </row>
    <row r="14" spans="1:10">
      <c r="C14" s="289"/>
      <c r="D14" s="289"/>
      <c r="E14" s="289"/>
      <c r="I14" s="297"/>
    </row>
    <row r="15" spans="1:10">
      <c r="A15" s="295" t="s">
        <v>309</v>
      </c>
      <c r="C15" s="289"/>
      <c r="D15" s="289"/>
      <c r="E15" s="289"/>
      <c r="I15" s="297"/>
    </row>
    <row r="16" spans="1:10">
      <c r="B16" t="s">
        <v>243</v>
      </c>
      <c r="C16" s="289">
        <v>174.93</v>
      </c>
      <c r="D16" s="289">
        <f t="shared" ref="D16:D17" ca="1" si="1">+ROUND(C16*$I$4,2)</f>
        <v>0.68</v>
      </c>
      <c r="E16" s="289">
        <f t="shared" ref="E16:E17" ca="1" si="2">+C16+D16</f>
        <v>175.61</v>
      </c>
      <c r="I16" s="297"/>
    </row>
    <row r="17" spans="1:9">
      <c r="A17" s="295"/>
      <c r="B17" t="s">
        <v>244</v>
      </c>
      <c r="C17" s="289">
        <v>174.93</v>
      </c>
      <c r="D17" s="289">
        <f t="shared" ca="1" si="1"/>
        <v>0.68</v>
      </c>
      <c r="E17" s="289">
        <f t="shared" ca="1" si="2"/>
        <v>175.61</v>
      </c>
      <c r="I17" s="297"/>
    </row>
    <row r="18" spans="1:9">
      <c r="C18" s="289"/>
      <c r="D18" s="289"/>
      <c r="E18" s="289"/>
      <c r="I18" s="297"/>
    </row>
    <row r="19" spans="1:9">
      <c r="A19" s="295" t="s">
        <v>310</v>
      </c>
      <c r="C19" s="289"/>
      <c r="D19" s="289"/>
      <c r="E19" s="289"/>
      <c r="I19" s="297"/>
    </row>
    <row r="20" spans="1:9">
      <c r="B20" t="s">
        <v>245</v>
      </c>
      <c r="C20" s="289">
        <v>116.61532639741478</v>
      </c>
      <c r="D20" s="289">
        <f ca="1">+ROUND(C20*$I$4,2)</f>
        <v>0.45</v>
      </c>
      <c r="E20" s="289">
        <f ca="1">+C20+D20</f>
        <v>117.06532639741478</v>
      </c>
      <c r="I20" s="297"/>
    </row>
    <row r="21" spans="1:9">
      <c r="C21" s="289"/>
      <c r="D21" s="289"/>
      <c r="E21" s="289"/>
      <c r="I21" s="297"/>
    </row>
    <row r="22" spans="1:9">
      <c r="C22" s="289"/>
      <c r="D22" s="289"/>
      <c r="E22" s="289"/>
      <c r="I22" s="297"/>
    </row>
    <row r="23" spans="1:9">
      <c r="A23" s="295" t="s">
        <v>311</v>
      </c>
      <c r="C23" s="289"/>
      <c r="D23" s="289"/>
      <c r="E23" s="289"/>
      <c r="I23" s="297"/>
    </row>
    <row r="24" spans="1:9">
      <c r="B24" t="s">
        <v>246</v>
      </c>
      <c r="C24" s="289">
        <v>1.0583488780824921</v>
      </c>
      <c r="D24" s="289">
        <f t="shared" ref="D24:D26" ca="1" si="3">+ROUND(C24*$I$4,2)</f>
        <v>0</v>
      </c>
      <c r="E24" s="289">
        <f t="shared" ref="E24:E26" ca="1" si="4">+C24+D24</f>
        <v>1.0583488780824921</v>
      </c>
      <c r="I24" s="297"/>
    </row>
    <row r="25" spans="1:9">
      <c r="B25" t="s">
        <v>247</v>
      </c>
      <c r="C25" s="289">
        <v>0.92477086434392508</v>
      </c>
      <c r="D25" s="289">
        <f t="shared" ca="1" si="3"/>
        <v>0</v>
      </c>
      <c r="E25" s="289">
        <f t="shared" ca="1" si="4"/>
        <v>0.92477086434392508</v>
      </c>
      <c r="I25" s="297"/>
    </row>
    <row r="26" spans="1:9">
      <c r="B26" t="s">
        <v>248</v>
      </c>
      <c r="C26" s="289">
        <v>0.64733960504074761</v>
      </c>
      <c r="D26" s="289">
        <f t="shared" ca="1" si="3"/>
        <v>0</v>
      </c>
      <c r="E26" s="289">
        <f t="shared" ca="1" si="4"/>
        <v>0.64733960504074761</v>
      </c>
      <c r="I26" s="297"/>
    </row>
    <row r="27" spans="1:9">
      <c r="C27" s="289"/>
      <c r="D27" s="289"/>
      <c r="E27" s="289"/>
      <c r="I27" s="297"/>
    </row>
    <row r="28" spans="1:9">
      <c r="B28" t="s">
        <v>249</v>
      </c>
      <c r="C28" s="289">
        <v>2.0447711333826786</v>
      </c>
      <c r="D28" s="289">
        <f t="shared" ref="D28:D29" ca="1" si="5">+ROUND(C28*$I$4,2)</f>
        <v>0.01</v>
      </c>
      <c r="E28" s="289">
        <f t="shared" ref="E28:E29" ca="1" si="6">+C28+D28</f>
        <v>2.0547711333826784</v>
      </c>
      <c r="I28" s="297"/>
    </row>
    <row r="29" spans="1:9">
      <c r="B29" t="s">
        <v>250</v>
      </c>
      <c r="C29" s="289">
        <v>1.3049544419075387</v>
      </c>
      <c r="D29" s="289">
        <f t="shared" ca="1" si="5"/>
        <v>0.01</v>
      </c>
      <c r="E29" s="289">
        <f t="shared" ca="1" si="6"/>
        <v>1.3149544419075387</v>
      </c>
      <c r="I29" s="297"/>
    </row>
    <row r="30" spans="1:9">
      <c r="C30" s="289"/>
      <c r="D30" s="289"/>
      <c r="E30" s="289"/>
      <c r="I30" s="297"/>
    </row>
    <row r="31" spans="1:9">
      <c r="A31" s="295" t="s">
        <v>312</v>
      </c>
      <c r="C31" s="289"/>
      <c r="D31" s="289"/>
      <c r="E31" s="289"/>
      <c r="I31" s="297"/>
    </row>
    <row r="32" spans="1:9">
      <c r="B32" t="s">
        <v>0</v>
      </c>
      <c r="C32" s="289">
        <v>2.0343466631443281</v>
      </c>
      <c r="D32" s="289">
        <f ca="1">+ROUND(C32*$I$4,2)</f>
        <v>0.01</v>
      </c>
      <c r="E32" s="289">
        <f ca="1">+C32+D32</f>
        <v>2.0443466631443279</v>
      </c>
      <c r="I32" s="297"/>
    </row>
    <row r="33" spans="1:21">
      <c r="C33" s="289"/>
      <c r="D33" s="289"/>
      <c r="E33" s="289"/>
      <c r="I33" s="297"/>
    </row>
    <row r="34" spans="1:21">
      <c r="A34" s="295" t="s">
        <v>313</v>
      </c>
      <c r="C34" s="289"/>
      <c r="D34" s="289"/>
      <c r="E34" s="289"/>
      <c r="I34" s="297"/>
    </row>
    <row r="35" spans="1:21">
      <c r="B35" t="s">
        <v>251</v>
      </c>
      <c r="C35" s="289">
        <v>10.769316547446099</v>
      </c>
      <c r="D35" s="289">
        <f t="shared" ref="D35:D38" ca="1" si="7">+ROUND(C35*$I$4,2)</f>
        <v>0.04</v>
      </c>
      <c r="E35" s="289">
        <f t="shared" ref="E35:E38" ca="1" si="8">+C35+D35</f>
        <v>10.809316547446098</v>
      </c>
      <c r="I35" s="297"/>
    </row>
    <row r="36" spans="1:21">
      <c r="B36" t="s">
        <v>252</v>
      </c>
      <c r="C36" s="289">
        <v>19.53629785742735</v>
      </c>
      <c r="D36" s="289">
        <f t="shared" ca="1" si="7"/>
        <v>0.08</v>
      </c>
      <c r="E36" s="289">
        <f t="shared" ca="1" si="8"/>
        <v>19.616297857427348</v>
      </c>
      <c r="I36" s="297"/>
    </row>
    <row r="37" spans="1:21">
      <c r="B37" t="s">
        <v>253</v>
      </c>
      <c r="C37" s="289">
        <v>31.099332877382036</v>
      </c>
      <c r="D37" s="289">
        <f t="shared" ca="1" si="7"/>
        <v>0.12</v>
      </c>
      <c r="E37" s="289">
        <f t="shared" ca="1" si="8"/>
        <v>31.219332877382037</v>
      </c>
      <c r="I37" s="297"/>
    </row>
    <row r="38" spans="1:21">
      <c r="B38" t="s">
        <v>4</v>
      </c>
      <c r="C38" s="289">
        <v>3.69</v>
      </c>
      <c r="D38" s="289">
        <f t="shared" ca="1" si="7"/>
        <v>0.01</v>
      </c>
      <c r="E38" s="289">
        <f t="shared" ca="1" si="8"/>
        <v>3.6999999999999997</v>
      </c>
      <c r="I38" s="297"/>
    </row>
    <row r="39" spans="1:21">
      <c r="C39" s="289"/>
      <c r="D39" s="289"/>
      <c r="E39" s="289"/>
      <c r="I39" s="297"/>
    </row>
    <row r="40" spans="1:21">
      <c r="A40" s="295" t="s">
        <v>314</v>
      </c>
      <c r="C40" s="289"/>
      <c r="D40" s="289"/>
      <c r="E40" s="289"/>
      <c r="I40" s="297"/>
    </row>
    <row r="41" spans="1:21">
      <c r="B41" t="s">
        <v>254</v>
      </c>
      <c r="C41" s="289">
        <v>3.6980065196422953</v>
      </c>
      <c r="D41" s="289">
        <f t="shared" ref="D41:D43" ca="1" si="9">+ROUND(C41*$I$4,2)</f>
        <v>0.01</v>
      </c>
      <c r="E41" s="289">
        <f t="shared" ref="E41:E43" ca="1" si="10">+C41+D41</f>
        <v>3.7080065196422951</v>
      </c>
      <c r="I41" s="297"/>
    </row>
    <row r="42" spans="1:21">
      <c r="B42" t="s">
        <v>255</v>
      </c>
      <c r="C42" s="289">
        <v>3.6980065196422953</v>
      </c>
      <c r="D42" s="289">
        <f t="shared" ca="1" si="9"/>
        <v>0.01</v>
      </c>
      <c r="E42" s="289">
        <f t="shared" ca="1" si="10"/>
        <v>3.7080065196422951</v>
      </c>
      <c r="I42" s="297"/>
    </row>
    <row r="43" spans="1:21">
      <c r="B43" t="s">
        <v>256</v>
      </c>
      <c r="C43" s="289">
        <v>3.9685923625429518</v>
      </c>
      <c r="D43" s="289">
        <f t="shared" ca="1" si="9"/>
        <v>0.02</v>
      </c>
      <c r="E43" s="289">
        <f t="shared" ca="1" si="10"/>
        <v>3.9885923625429518</v>
      </c>
      <c r="I43" s="297"/>
    </row>
    <row r="44" spans="1:21">
      <c r="B44" t="s">
        <v>257</v>
      </c>
      <c r="C44" s="289">
        <v>56</v>
      </c>
      <c r="D44" s="289">
        <f ca="1">+ROUND(C44*$I$4,2)</f>
        <v>0.22</v>
      </c>
      <c r="E44" s="289">
        <f ca="1">+C44+D44</f>
        <v>56.22</v>
      </c>
      <c r="I44" s="297"/>
      <c r="J44" s="298"/>
      <c r="K44" s="288"/>
    </row>
    <row r="45" spans="1:21">
      <c r="C45" s="289"/>
      <c r="D45" s="289"/>
      <c r="E45" s="289"/>
      <c r="I45" s="297"/>
    </row>
    <row r="46" spans="1:21">
      <c r="A46" s="295" t="s">
        <v>315</v>
      </c>
      <c r="C46" s="289"/>
      <c r="D46" s="289"/>
      <c r="E46" s="289"/>
      <c r="I46" s="297"/>
    </row>
    <row r="47" spans="1:21">
      <c r="B47" t="s">
        <v>258</v>
      </c>
      <c r="C47" s="289">
        <v>26.32</v>
      </c>
      <c r="D47" s="289">
        <f t="shared" ref="D47:D48" ca="1" si="11">+ROUND(C47*$I$4,2)</f>
        <v>0.1</v>
      </c>
      <c r="E47" s="289">
        <f t="shared" ref="E47:E48" ca="1" si="12">+C47+D47</f>
        <v>26.42</v>
      </c>
      <c r="I47" s="297"/>
      <c r="J47" s="298"/>
      <c r="K47" s="299"/>
      <c r="T47" s="290"/>
      <c r="U47" s="290"/>
    </row>
    <row r="48" spans="1:21">
      <c r="B48" t="s">
        <v>259</v>
      </c>
      <c r="C48" s="289">
        <v>26.32</v>
      </c>
      <c r="D48" s="289">
        <f t="shared" ca="1" si="11"/>
        <v>0.1</v>
      </c>
      <c r="E48" s="289">
        <f t="shared" ca="1" si="12"/>
        <v>26.42</v>
      </c>
      <c r="I48" s="297"/>
      <c r="J48"/>
    </row>
    <row r="49" spans="1:9">
      <c r="C49" s="289"/>
      <c r="D49" s="289"/>
      <c r="E49" s="289"/>
      <c r="I49" s="297"/>
    </row>
    <row r="50" spans="1:9">
      <c r="A50" s="295" t="s">
        <v>316</v>
      </c>
      <c r="C50" s="289"/>
      <c r="D50" s="289"/>
      <c r="E50" s="289"/>
      <c r="I50" s="297"/>
    </row>
    <row r="51" spans="1:9">
      <c r="B51" t="s">
        <v>260</v>
      </c>
      <c r="C51" s="289">
        <v>116.61532639741478</v>
      </c>
      <c r="D51" s="289">
        <f t="shared" ref="D51:D53" ca="1" si="13">+ROUND(C51*$I$4,2)</f>
        <v>0.45</v>
      </c>
      <c r="E51" s="289">
        <f t="shared" ref="E51:E53" ca="1" si="14">+C51+D51</f>
        <v>117.06532639741478</v>
      </c>
      <c r="I51" s="297"/>
    </row>
    <row r="52" spans="1:9">
      <c r="B52" t="s">
        <v>261</v>
      </c>
      <c r="C52" s="289">
        <v>38.919723030256137</v>
      </c>
      <c r="D52" s="289">
        <f t="shared" ca="1" si="13"/>
        <v>0.15</v>
      </c>
      <c r="E52" s="289">
        <f t="shared" ca="1" si="14"/>
        <v>39.069723030256135</v>
      </c>
      <c r="I52" s="297"/>
    </row>
    <row r="53" spans="1:9">
      <c r="B53" t="s">
        <v>2</v>
      </c>
      <c r="C53" s="289">
        <v>116.61532639741478</v>
      </c>
      <c r="D53" s="289">
        <f t="shared" ca="1" si="13"/>
        <v>0.45</v>
      </c>
      <c r="E53" s="289">
        <f t="shared" ca="1" si="14"/>
        <v>117.06532639741478</v>
      </c>
      <c r="I53" s="297"/>
    </row>
    <row r="54" spans="1:9">
      <c r="C54" s="289"/>
      <c r="D54" s="289"/>
      <c r="E54" s="289"/>
      <c r="I54" s="297"/>
    </row>
    <row r="55" spans="1:9">
      <c r="A55" s="295" t="s">
        <v>317</v>
      </c>
      <c r="C55" s="289"/>
      <c r="D55" s="289"/>
      <c r="E55" s="289"/>
      <c r="I55" s="297"/>
    </row>
    <row r="56" spans="1:9">
      <c r="B56" t="s">
        <v>262</v>
      </c>
      <c r="C56" s="289">
        <v>3.6888082255496562</v>
      </c>
      <c r="D56" s="289">
        <f ca="1">+ROUND(C56*$I$4,2)</f>
        <v>0.01</v>
      </c>
      <c r="E56" s="289">
        <f ca="1">+C56+D56</f>
        <v>3.6988082255496559</v>
      </c>
      <c r="I56" s="297"/>
    </row>
    <row r="57" spans="1:9">
      <c r="C57" s="289"/>
      <c r="D57" s="289"/>
      <c r="E57" s="289"/>
      <c r="I57" s="297"/>
    </row>
    <row r="58" spans="1:9">
      <c r="A58" s="295" t="s">
        <v>318</v>
      </c>
      <c r="C58" s="289"/>
      <c r="D58" s="289"/>
      <c r="E58" s="289"/>
      <c r="I58" s="297"/>
    </row>
    <row r="59" spans="1:9">
      <c r="B59" t="s">
        <v>263</v>
      </c>
      <c r="C59" s="289">
        <v>3.6980065196422953</v>
      </c>
      <c r="D59" s="289">
        <f t="shared" ref="D59:D60" ca="1" si="15">+ROUND(C59*$I$4,2)</f>
        <v>0.01</v>
      </c>
      <c r="E59" s="289">
        <f t="shared" ref="E59:E60" ca="1" si="16">+C59+D59</f>
        <v>3.7080065196422951</v>
      </c>
      <c r="I59" s="297"/>
    </row>
    <row r="60" spans="1:9">
      <c r="B60" t="s">
        <v>264</v>
      </c>
      <c r="C60" s="289">
        <v>3.9373440196422953</v>
      </c>
      <c r="D60" s="289">
        <f t="shared" ca="1" si="15"/>
        <v>0.02</v>
      </c>
      <c r="E60" s="289">
        <f t="shared" ca="1" si="16"/>
        <v>3.9573440196422953</v>
      </c>
      <c r="I60" s="297"/>
    </row>
    <row r="61" spans="1:9">
      <c r="C61" s="289"/>
      <c r="D61" s="289"/>
      <c r="E61" s="289"/>
      <c r="I61" s="297"/>
    </row>
    <row r="62" spans="1:9">
      <c r="A62" s="295" t="s">
        <v>319</v>
      </c>
      <c r="C62" s="289"/>
      <c r="D62" s="289"/>
      <c r="E62" s="289"/>
      <c r="I62" s="297"/>
    </row>
    <row r="63" spans="1:9">
      <c r="A63" t="s">
        <v>265</v>
      </c>
      <c r="B63" t="s">
        <v>266</v>
      </c>
      <c r="C63" s="289">
        <v>19.842961812714755</v>
      </c>
      <c r="D63" s="289">
        <f t="shared" ref="D63:D64" ca="1" si="17">+ROUND(C63*$I$4,2)</f>
        <v>0.08</v>
      </c>
      <c r="E63" s="289">
        <f t="shared" ref="E63:E64" ca="1" si="18">+C63+D63</f>
        <v>19.922961812714753</v>
      </c>
      <c r="I63" s="297"/>
    </row>
    <row r="64" spans="1:9">
      <c r="B64" t="s">
        <v>267</v>
      </c>
      <c r="C64" s="289">
        <v>31.690817719072136</v>
      </c>
      <c r="D64" s="289">
        <f t="shared" ca="1" si="17"/>
        <v>0.12</v>
      </c>
      <c r="E64" s="289">
        <f t="shared" ca="1" si="18"/>
        <v>31.810817719072137</v>
      </c>
      <c r="I64" s="297"/>
    </row>
    <row r="65" spans="1:9">
      <c r="C65" s="289"/>
      <c r="D65" s="289"/>
      <c r="E65" s="289"/>
      <c r="I65" s="297"/>
    </row>
    <row r="66" spans="1:9">
      <c r="B66" t="s">
        <v>268</v>
      </c>
      <c r="C66" s="289">
        <v>90.847010794673452</v>
      </c>
      <c r="D66" s="289">
        <f ca="1">+ROUND(C66*$I$4,2)</f>
        <v>0.35</v>
      </c>
      <c r="E66" s="289">
        <f ca="1">+C66+D66</f>
        <v>91.197010794673446</v>
      </c>
      <c r="I66" s="297"/>
    </row>
    <row r="67" spans="1:9">
      <c r="C67" s="289"/>
      <c r="D67" s="289"/>
      <c r="E67" s="289"/>
      <c r="I67" s="297"/>
    </row>
    <row r="68" spans="1:9">
      <c r="A68" s="295" t="s">
        <v>320</v>
      </c>
      <c r="C68" s="289"/>
      <c r="D68" s="289"/>
      <c r="E68" s="289"/>
      <c r="I68" s="297"/>
    </row>
    <row r="69" spans="1:9">
      <c r="B69" t="s">
        <v>269</v>
      </c>
      <c r="C69" s="291">
        <v>6.35</v>
      </c>
      <c r="D69" s="289">
        <f>+E69-C69</f>
        <v>0</v>
      </c>
      <c r="E69" s="291">
        <v>6.35</v>
      </c>
      <c r="F69" s="281"/>
      <c r="I69" s="297"/>
    </row>
    <row r="70" spans="1:9">
      <c r="B70" t="s">
        <v>270</v>
      </c>
      <c r="C70" s="291">
        <v>70.97</v>
      </c>
      <c r="D70" s="289">
        <f t="shared" ref="D70:D76" si="19">+E70-C70</f>
        <v>0</v>
      </c>
      <c r="E70" s="291">
        <v>70.97</v>
      </c>
      <c r="F70" s="281"/>
      <c r="I70" s="297"/>
    </row>
    <row r="71" spans="1:9">
      <c r="B71" t="s">
        <v>271</v>
      </c>
      <c r="C71" s="291">
        <v>61.4</v>
      </c>
      <c r="D71" s="289">
        <f t="shared" si="19"/>
        <v>0</v>
      </c>
      <c r="E71" s="291">
        <v>61.4</v>
      </c>
      <c r="F71" s="281"/>
      <c r="I71" s="297"/>
    </row>
    <row r="72" spans="1:9">
      <c r="B72" t="s">
        <v>272</v>
      </c>
      <c r="C72" s="291">
        <v>57.42</v>
      </c>
      <c r="D72" s="289">
        <f t="shared" si="19"/>
        <v>0</v>
      </c>
      <c r="E72" s="291">
        <v>57.42</v>
      </c>
      <c r="F72" s="281"/>
      <c r="I72" s="297"/>
    </row>
    <row r="73" spans="1:9">
      <c r="B73" t="s">
        <v>273</v>
      </c>
      <c r="C73" s="291">
        <v>54.6</v>
      </c>
      <c r="D73" s="289">
        <f t="shared" si="19"/>
        <v>0</v>
      </c>
      <c r="E73" s="291">
        <v>54.6</v>
      </c>
      <c r="F73" s="281"/>
      <c r="I73" s="297"/>
    </row>
    <row r="74" spans="1:9">
      <c r="B74" t="s">
        <v>274</v>
      </c>
      <c r="C74" s="291">
        <v>52.46</v>
      </c>
      <c r="D74" s="289">
        <f t="shared" si="19"/>
        <v>0</v>
      </c>
      <c r="E74" s="291">
        <v>52.46</v>
      </c>
      <c r="F74" s="281"/>
      <c r="I74" s="297"/>
    </row>
    <row r="75" spans="1:9">
      <c r="B75" t="s">
        <v>275</v>
      </c>
      <c r="C75" s="291">
        <v>50.8</v>
      </c>
      <c r="D75" s="289">
        <f t="shared" si="19"/>
        <v>0</v>
      </c>
      <c r="E75" s="291">
        <v>50.8</v>
      </c>
      <c r="F75" s="281"/>
      <c r="I75" s="297"/>
    </row>
    <row r="76" spans="1:9">
      <c r="B76" t="s">
        <v>276</v>
      </c>
      <c r="C76" s="291">
        <v>49.42</v>
      </c>
      <c r="D76" s="289">
        <f t="shared" si="19"/>
        <v>0</v>
      </c>
      <c r="E76" s="291">
        <v>49.42</v>
      </c>
      <c r="F76" s="281"/>
      <c r="I76" s="297"/>
    </row>
    <row r="77" spans="1:9">
      <c r="B77" t="s">
        <v>277</v>
      </c>
      <c r="C77" s="291">
        <v>11.86</v>
      </c>
      <c r="D77" s="289">
        <v>11.86</v>
      </c>
      <c r="E77" s="291">
        <f>D77</f>
        <v>11.86</v>
      </c>
      <c r="I77" s="297"/>
    </row>
    <row r="78" spans="1:9">
      <c r="B78" t="s">
        <v>278</v>
      </c>
      <c r="C78" s="291">
        <v>1.78</v>
      </c>
      <c r="D78" s="289">
        <v>1.78</v>
      </c>
      <c r="E78" s="291">
        <f t="shared" ref="E78:E82" si="20">D78</f>
        <v>1.78</v>
      </c>
      <c r="I78" s="297"/>
    </row>
    <row r="79" spans="1:9">
      <c r="B79" t="s">
        <v>279</v>
      </c>
      <c r="C79" s="291">
        <v>5.94</v>
      </c>
      <c r="D79" s="289">
        <v>5.94</v>
      </c>
      <c r="E79" s="291">
        <f t="shared" si="20"/>
        <v>5.94</v>
      </c>
      <c r="I79" s="297"/>
    </row>
    <row r="80" spans="1:9">
      <c r="B80" t="s">
        <v>280</v>
      </c>
      <c r="C80" s="291">
        <v>8.31</v>
      </c>
      <c r="D80" s="289">
        <v>8.31</v>
      </c>
      <c r="E80" s="291">
        <f t="shared" si="20"/>
        <v>8.31</v>
      </c>
      <c r="I80" s="297"/>
    </row>
    <row r="81" spans="1:11">
      <c r="B81" t="s">
        <v>281</v>
      </c>
      <c r="C81" s="291">
        <v>14.23</v>
      </c>
      <c r="D81" s="289">
        <v>14.23</v>
      </c>
      <c r="E81" s="291">
        <f t="shared" si="20"/>
        <v>14.23</v>
      </c>
      <c r="I81" s="297"/>
    </row>
    <row r="82" spans="1:11">
      <c r="B82" t="s">
        <v>282</v>
      </c>
      <c r="C82" s="291">
        <v>6.64</v>
      </c>
      <c r="D82" s="289">
        <v>6.64</v>
      </c>
      <c r="E82" s="291">
        <f t="shared" si="20"/>
        <v>6.64</v>
      </c>
      <c r="I82" s="297"/>
    </row>
    <row r="83" spans="1:11">
      <c r="C83" s="289"/>
      <c r="D83" s="289"/>
      <c r="E83" s="289"/>
      <c r="I83" s="297"/>
    </row>
    <row r="84" spans="1:11">
      <c r="A84" s="295" t="s">
        <v>321</v>
      </c>
      <c r="C84" s="289"/>
      <c r="D84" s="289"/>
      <c r="E84" s="289"/>
      <c r="I84" s="297"/>
    </row>
    <row r="85" spans="1:11">
      <c r="B85" s="300" t="s">
        <v>283</v>
      </c>
      <c r="C85" s="289"/>
      <c r="D85" s="289"/>
      <c r="E85" s="289"/>
      <c r="I85" s="297"/>
    </row>
    <row r="86" spans="1:11">
      <c r="B86" t="s">
        <v>284</v>
      </c>
      <c r="C86" s="289">
        <v>13.943959796391738</v>
      </c>
      <c r="D86" s="289">
        <f t="shared" ref="D86:D87" ca="1" si="21">+ROUND(C86*$I$4,2)</f>
        <v>0.05</v>
      </c>
      <c r="E86" s="289">
        <f t="shared" ref="E86:E87" ca="1" si="22">+C86+D86</f>
        <v>13.993959796391739</v>
      </c>
      <c r="I86" s="297"/>
    </row>
    <row r="87" spans="1:11">
      <c r="B87" t="s">
        <v>285</v>
      </c>
      <c r="C87" s="289">
        <v>16.479225213917509</v>
      </c>
      <c r="D87" s="289">
        <f t="shared" ca="1" si="21"/>
        <v>0.06</v>
      </c>
      <c r="E87" s="289">
        <f t="shared" ca="1" si="22"/>
        <v>16.539225213917508</v>
      </c>
      <c r="I87" s="297"/>
    </row>
    <row r="88" spans="1:11">
      <c r="C88" s="289"/>
      <c r="D88" s="289"/>
      <c r="E88" s="289"/>
      <c r="I88" s="297"/>
    </row>
    <row r="89" spans="1:11">
      <c r="B89" t="s">
        <v>286</v>
      </c>
      <c r="C89" s="289">
        <v>4.8039438350874679</v>
      </c>
      <c r="D89" s="289">
        <f t="shared" ref="D89:D92" ca="1" si="23">+ROUND(C89*$I$4,2)</f>
        <v>0.02</v>
      </c>
      <c r="E89" s="289">
        <f t="shared" ref="E89:E92" ca="1" si="24">+C89+D89</f>
        <v>4.8239438350874675</v>
      </c>
      <c r="I89" s="297"/>
      <c r="K89" s="281"/>
    </row>
    <row r="90" spans="1:11">
      <c r="B90" t="s">
        <v>287</v>
      </c>
      <c r="C90" s="289">
        <v>9.2218358906880589</v>
      </c>
      <c r="D90" s="289">
        <f t="shared" ca="1" si="23"/>
        <v>0.04</v>
      </c>
      <c r="E90" s="289">
        <f t="shared" ca="1" si="24"/>
        <v>9.261835890688058</v>
      </c>
      <c r="I90" s="297"/>
    </row>
    <row r="91" spans="1:11">
      <c r="B91" t="s">
        <v>288</v>
      </c>
      <c r="C91" s="289">
        <v>26.281483232769425</v>
      </c>
      <c r="D91" s="289">
        <f t="shared" ca="1" si="23"/>
        <v>0.1</v>
      </c>
      <c r="E91" s="289">
        <f t="shared" ca="1" si="24"/>
        <v>26.381483232769426</v>
      </c>
      <c r="I91" s="297"/>
    </row>
    <row r="92" spans="1:11">
      <c r="B92" t="s">
        <v>289</v>
      </c>
      <c r="C92" s="289">
        <v>34.243561102733878</v>
      </c>
      <c r="D92" s="289">
        <f t="shared" ca="1" si="23"/>
        <v>0.13</v>
      </c>
      <c r="E92" s="289">
        <f t="shared" ca="1" si="24"/>
        <v>34.373561102733881</v>
      </c>
      <c r="I92" s="297"/>
    </row>
    <row r="93" spans="1:11">
      <c r="C93" s="289"/>
      <c r="D93" s="289"/>
      <c r="E93" s="289"/>
      <c r="I93" s="297"/>
    </row>
    <row r="94" spans="1:11">
      <c r="B94" s="300" t="s">
        <v>290</v>
      </c>
      <c r="C94" s="289"/>
      <c r="D94" s="289"/>
      <c r="E94" s="289"/>
      <c r="I94" s="297"/>
    </row>
    <row r="95" spans="1:11">
      <c r="B95" t="s">
        <v>284</v>
      </c>
      <c r="C95" s="289">
        <v>13.943959796391738</v>
      </c>
      <c r="D95" s="289">
        <f t="shared" ref="D95:D96" ca="1" si="25">+ROUND(C95*$I$4,2)</f>
        <v>0.05</v>
      </c>
      <c r="E95" s="289">
        <f t="shared" ref="E95:E96" ca="1" si="26">+C95+D95</f>
        <v>13.993959796391739</v>
      </c>
      <c r="I95" s="297"/>
    </row>
    <row r="96" spans="1:11">
      <c r="B96" t="s">
        <v>285</v>
      </c>
      <c r="C96" s="289">
        <v>16.479225213917509</v>
      </c>
      <c r="D96" s="289">
        <f t="shared" ca="1" si="25"/>
        <v>0.06</v>
      </c>
      <c r="E96" s="289">
        <f t="shared" ca="1" si="26"/>
        <v>16.539225213917508</v>
      </c>
      <c r="I96" s="297"/>
    </row>
    <row r="97" spans="1:12">
      <c r="C97" s="289"/>
      <c r="D97" s="289"/>
      <c r="E97" s="289"/>
      <c r="I97" s="297"/>
    </row>
    <row r="98" spans="1:12">
      <c r="B98" t="s">
        <v>286</v>
      </c>
      <c r="C98" s="289">
        <v>4.8039438350874679</v>
      </c>
      <c r="D98" s="289">
        <f t="shared" ref="D98:D101" ca="1" si="27">+ROUND(C98*$I$4,2)</f>
        <v>0.02</v>
      </c>
      <c r="E98" s="289">
        <f t="shared" ref="E98:E101" ca="1" si="28">+C98+D98</f>
        <v>4.8239438350874675</v>
      </c>
      <c r="I98" s="297"/>
    </row>
    <row r="99" spans="1:12">
      <c r="B99" t="s">
        <v>287</v>
      </c>
      <c r="C99" s="289">
        <v>9.2218358906880589</v>
      </c>
      <c r="D99" s="289">
        <f t="shared" ca="1" si="27"/>
        <v>0.04</v>
      </c>
      <c r="E99" s="289">
        <f t="shared" ca="1" si="28"/>
        <v>9.261835890688058</v>
      </c>
      <c r="I99" s="297"/>
    </row>
    <row r="100" spans="1:12">
      <c r="B100" t="s">
        <v>288</v>
      </c>
      <c r="C100" s="289">
        <v>26.281483232769425</v>
      </c>
      <c r="D100" s="289">
        <f t="shared" ca="1" si="27"/>
        <v>0.1</v>
      </c>
      <c r="E100" s="289">
        <f t="shared" ca="1" si="28"/>
        <v>26.381483232769426</v>
      </c>
      <c r="I100" s="297"/>
    </row>
    <row r="101" spans="1:12">
      <c r="B101" t="s">
        <v>289</v>
      </c>
      <c r="C101" s="289">
        <v>34.243561102733878</v>
      </c>
      <c r="D101" s="289">
        <f t="shared" ca="1" si="27"/>
        <v>0.13</v>
      </c>
      <c r="E101" s="289">
        <f t="shared" ca="1" si="28"/>
        <v>34.373561102733881</v>
      </c>
      <c r="I101" s="297"/>
    </row>
    <row r="102" spans="1:12">
      <c r="C102" s="289"/>
      <c r="D102" s="289"/>
      <c r="E102" s="289"/>
      <c r="I102" s="297"/>
    </row>
    <row r="103" spans="1:12">
      <c r="B103" t="s">
        <v>291</v>
      </c>
      <c r="C103" s="289">
        <v>56</v>
      </c>
      <c r="D103" s="289">
        <f t="shared" ref="D103:D104" ca="1" si="29">+ROUND(C103*$I$4,2)</f>
        <v>0.22</v>
      </c>
      <c r="E103" s="289">
        <f t="shared" ref="E103:E104" ca="1" si="30">+C103+D103</f>
        <v>56.22</v>
      </c>
      <c r="I103" s="297"/>
      <c r="K103" s="288"/>
      <c r="L103" s="288"/>
    </row>
    <row r="104" spans="1:12">
      <c r="B104" t="s">
        <v>292</v>
      </c>
      <c r="C104" s="289">
        <v>640</v>
      </c>
      <c r="D104" s="289">
        <f t="shared" ca="1" si="29"/>
        <v>2.4700000000000002</v>
      </c>
      <c r="E104" s="289">
        <f t="shared" ca="1" si="30"/>
        <v>642.47</v>
      </c>
      <c r="I104" s="297"/>
      <c r="K104" s="288"/>
      <c r="L104" s="288"/>
    </row>
    <row r="105" spans="1:12">
      <c r="C105" s="289"/>
      <c r="D105" s="289"/>
      <c r="E105" s="289"/>
      <c r="I105" s="297"/>
    </row>
    <row r="106" spans="1:12">
      <c r="B106" t="s">
        <v>293</v>
      </c>
      <c r="C106" s="289">
        <v>1.1499999999999999</v>
      </c>
      <c r="D106" s="289">
        <f t="shared" ref="D106:D107" ca="1" si="31">+ROUND(C106*$I$4,2)</f>
        <v>0</v>
      </c>
      <c r="E106" s="289">
        <f t="shared" ref="E106:E107" ca="1" si="32">+C106+D106</f>
        <v>1.1499999999999999</v>
      </c>
      <c r="I106" s="297"/>
      <c r="K106" s="301"/>
    </row>
    <row r="107" spans="1:12">
      <c r="B107" t="s">
        <v>294</v>
      </c>
      <c r="C107" s="289">
        <v>1.1499999999999999</v>
      </c>
      <c r="D107" s="289">
        <f t="shared" ca="1" si="31"/>
        <v>0</v>
      </c>
      <c r="E107" s="289">
        <f t="shared" ca="1" si="32"/>
        <v>1.1499999999999999</v>
      </c>
      <c r="I107" s="297"/>
      <c r="K107" s="301"/>
    </row>
    <row r="108" spans="1:12">
      <c r="C108" s="289"/>
      <c r="D108" s="289"/>
      <c r="E108" s="289"/>
      <c r="I108" s="297"/>
    </row>
    <row r="109" spans="1:12">
      <c r="A109" s="295" t="s">
        <v>322</v>
      </c>
      <c r="C109" s="289"/>
      <c r="D109" s="289"/>
      <c r="E109" s="289"/>
      <c r="I109" s="297"/>
    </row>
    <row r="110" spans="1:12">
      <c r="B110" t="s">
        <v>295</v>
      </c>
      <c r="C110" s="289">
        <v>4.111931615440092</v>
      </c>
      <c r="D110" s="289">
        <f t="shared" ref="D110:D111" ca="1" si="33">+ROUND(C110*$I$4,2)</f>
        <v>0.02</v>
      </c>
      <c r="E110" s="289">
        <f t="shared" ref="E110:E111" ca="1" si="34">+C110+D110</f>
        <v>4.1319316154400916</v>
      </c>
      <c r="I110" s="297"/>
    </row>
    <row r="111" spans="1:12">
      <c r="B111" t="s">
        <v>296</v>
      </c>
      <c r="C111" s="289">
        <v>2.6481999679428281</v>
      </c>
      <c r="D111" s="289">
        <f t="shared" ca="1" si="33"/>
        <v>0.01</v>
      </c>
      <c r="E111" s="289">
        <f t="shared" ca="1" si="34"/>
        <v>2.6581999679428279</v>
      </c>
      <c r="I111" s="297"/>
    </row>
    <row r="112" spans="1:12">
      <c r="C112" s="289"/>
      <c r="D112" s="289"/>
      <c r="E112" s="289"/>
      <c r="I112" s="297"/>
    </row>
    <row r="113" spans="1:11">
      <c r="B113" t="s">
        <v>297</v>
      </c>
      <c r="C113" s="289">
        <v>3.9373440196422953</v>
      </c>
      <c r="D113" s="289">
        <f t="shared" ref="D113:D115" ca="1" si="35">+ROUND(C113*$I$4,2)</f>
        <v>0.02</v>
      </c>
      <c r="E113" s="289">
        <f t="shared" ref="E113:E115" ca="1" si="36">+C113+D113</f>
        <v>3.9573440196422953</v>
      </c>
      <c r="I113" s="297"/>
    </row>
    <row r="114" spans="1:11">
      <c r="B114" t="s">
        <v>255</v>
      </c>
      <c r="C114" s="289">
        <v>3.9373440196422953</v>
      </c>
      <c r="D114" s="289">
        <f t="shared" ca="1" si="35"/>
        <v>0.02</v>
      </c>
      <c r="E114" s="289">
        <f t="shared" ca="1" si="36"/>
        <v>3.9573440196422953</v>
      </c>
      <c r="I114" s="297"/>
    </row>
    <row r="115" spans="1:11">
      <c r="B115" t="s">
        <v>256</v>
      </c>
      <c r="C115" s="289">
        <v>4.0333768006091812</v>
      </c>
      <c r="D115" s="289">
        <f t="shared" ca="1" si="35"/>
        <v>0.02</v>
      </c>
      <c r="E115" s="289">
        <f t="shared" ca="1" si="36"/>
        <v>4.0533768006091808</v>
      </c>
      <c r="I115" s="297"/>
    </row>
    <row r="116" spans="1:11">
      <c r="C116"/>
      <c r="D116"/>
      <c r="E116"/>
      <c r="I116" s="297"/>
    </row>
    <row r="117" spans="1:11">
      <c r="B117" t="s">
        <v>293</v>
      </c>
      <c r="C117" s="289">
        <v>1.1508259645168846</v>
      </c>
      <c r="D117" s="289">
        <f ca="1">+ROUND(C117*$I$4,2)</f>
        <v>0</v>
      </c>
      <c r="E117" s="289">
        <f ca="1">+C117+D117</f>
        <v>1.1508259645168846</v>
      </c>
      <c r="I117" s="297"/>
    </row>
    <row r="118" spans="1:11">
      <c r="C118" s="289"/>
      <c r="D118" s="289"/>
      <c r="E118" s="289"/>
      <c r="I118" s="297"/>
    </row>
    <row r="119" spans="1:11">
      <c r="A119" s="295" t="s">
        <v>323</v>
      </c>
      <c r="C119" s="289"/>
      <c r="D119" s="289"/>
      <c r="E119" s="289"/>
      <c r="I119" s="297"/>
    </row>
    <row r="120" spans="1:11">
      <c r="A120" t="s">
        <v>298</v>
      </c>
      <c r="B120" t="s">
        <v>1</v>
      </c>
      <c r="C120" s="289">
        <v>13.94</v>
      </c>
      <c r="D120" s="289">
        <f t="shared" ref="D120:D124" ca="1" si="37">+ROUND(C120*$I$4,2)</f>
        <v>0.05</v>
      </c>
      <c r="E120" s="289">
        <f t="shared" ref="E120:E124" ca="1" si="38">+C120+D120</f>
        <v>13.99</v>
      </c>
      <c r="I120" s="297"/>
    </row>
    <row r="121" spans="1:11">
      <c r="B121" t="s">
        <v>299</v>
      </c>
      <c r="C121" s="289">
        <v>39.42</v>
      </c>
      <c r="D121" s="289">
        <f t="shared" ca="1" si="37"/>
        <v>0.15</v>
      </c>
      <c r="E121" s="289">
        <f t="shared" ca="1" si="38"/>
        <v>39.57</v>
      </c>
      <c r="I121" s="297"/>
    </row>
    <row r="122" spans="1:11">
      <c r="B122" t="s">
        <v>300</v>
      </c>
      <c r="C122" s="289">
        <v>39.42</v>
      </c>
      <c r="D122" s="289">
        <f t="shared" ca="1" si="37"/>
        <v>0.15</v>
      </c>
      <c r="E122" s="289">
        <f t="shared" ca="1" si="38"/>
        <v>39.57</v>
      </c>
      <c r="I122" s="297"/>
    </row>
    <row r="123" spans="1:11">
      <c r="B123" t="s">
        <v>301</v>
      </c>
      <c r="C123" s="289">
        <v>1.1508259645168846</v>
      </c>
      <c r="D123" s="289">
        <f t="shared" ca="1" si="37"/>
        <v>0</v>
      </c>
      <c r="E123" s="289">
        <f t="shared" ca="1" si="38"/>
        <v>1.1508259645168846</v>
      </c>
      <c r="I123" s="297"/>
      <c r="K123" s="301"/>
    </row>
    <row r="124" spans="1:11">
      <c r="B124" t="s">
        <v>0</v>
      </c>
      <c r="C124" s="289">
        <v>2.0344959015566353</v>
      </c>
      <c r="D124" s="289">
        <f t="shared" ca="1" si="37"/>
        <v>0.01</v>
      </c>
      <c r="E124" s="289">
        <f t="shared" ca="1" si="38"/>
        <v>2.0444959015566351</v>
      </c>
      <c r="I124" s="297"/>
      <c r="K124" s="301"/>
    </row>
    <row r="125" spans="1:11">
      <c r="C125" s="289"/>
      <c r="D125" s="289"/>
      <c r="E125" s="289"/>
      <c r="I125" s="297"/>
    </row>
    <row r="126" spans="1:11">
      <c r="A126" s="295" t="s">
        <v>324</v>
      </c>
      <c r="C126" s="289"/>
      <c r="D126" s="289"/>
      <c r="E126" s="289"/>
      <c r="I126" s="297"/>
    </row>
    <row r="127" spans="1:11">
      <c r="B127" t="s">
        <v>302</v>
      </c>
      <c r="C127" s="289">
        <v>116.61532639741478</v>
      </c>
      <c r="D127" s="289">
        <f t="shared" ref="D127:D128" ca="1" si="39">+ROUND(C127*$I$4,2)</f>
        <v>0.45</v>
      </c>
      <c r="E127" s="289">
        <f t="shared" ref="E127:E128" ca="1" si="40">+C127+D127</f>
        <v>117.06532639741478</v>
      </c>
      <c r="I127" s="297"/>
    </row>
    <row r="128" spans="1:11">
      <c r="B128" t="s">
        <v>303</v>
      </c>
      <c r="C128" s="289">
        <v>8.1168376963839357</v>
      </c>
      <c r="D128" s="289">
        <f t="shared" ca="1" si="39"/>
        <v>0.03</v>
      </c>
      <c r="E128" s="289">
        <f t="shared" ca="1" si="40"/>
        <v>8.1468376963839351</v>
      </c>
      <c r="I128" s="297"/>
    </row>
    <row r="129" spans="1:9">
      <c r="C129" s="289"/>
      <c r="D129" s="289"/>
      <c r="E129" s="289"/>
      <c r="I129" s="297"/>
    </row>
    <row r="130" spans="1:9">
      <c r="B130" t="s">
        <v>0</v>
      </c>
      <c r="C130" s="289">
        <v>2.0344959015566353</v>
      </c>
      <c r="D130" s="289">
        <f t="shared" ref="D130:D131" ca="1" si="41">+ROUND(C130*$I$4,2)</f>
        <v>0.01</v>
      </c>
      <c r="E130" s="289">
        <f t="shared" ref="E130:E131" ca="1" si="42">+C130+D130</f>
        <v>2.0444959015566351</v>
      </c>
      <c r="I130" s="297"/>
    </row>
    <row r="131" spans="1:9">
      <c r="B131" t="s">
        <v>293</v>
      </c>
      <c r="C131" s="289">
        <v>1.1508259645168846</v>
      </c>
      <c r="D131" s="289">
        <f t="shared" ca="1" si="41"/>
        <v>0</v>
      </c>
      <c r="E131" s="289">
        <f t="shared" ca="1" si="42"/>
        <v>1.1508259645168846</v>
      </c>
      <c r="I131" s="297"/>
    </row>
    <row r="132" spans="1:9">
      <c r="C132" s="289"/>
      <c r="D132" s="289"/>
      <c r="E132" s="289"/>
      <c r="I132" s="297"/>
    </row>
    <row r="133" spans="1:9">
      <c r="A133" s="295" t="s">
        <v>325</v>
      </c>
      <c r="C133" s="289"/>
      <c r="D133" s="289"/>
      <c r="E133" s="289"/>
      <c r="I133" s="297"/>
    </row>
    <row r="134" spans="1:9">
      <c r="B134" t="s">
        <v>0</v>
      </c>
      <c r="C134" s="289">
        <v>2.0344959015566353</v>
      </c>
      <c r="D134" s="289">
        <f t="shared" ref="D134:D136" ca="1" si="43">+ROUND(C134*$I$4,2)</f>
        <v>0.01</v>
      </c>
      <c r="E134" s="289">
        <f t="shared" ref="E134:E136" ca="1" si="44">+C134+D134</f>
        <v>2.0444959015566351</v>
      </c>
      <c r="I134" s="297"/>
    </row>
    <row r="135" spans="1:9">
      <c r="B135" t="s">
        <v>304</v>
      </c>
      <c r="C135" s="289">
        <v>1.1508259645168846</v>
      </c>
      <c r="D135" s="289">
        <f t="shared" ca="1" si="43"/>
        <v>0</v>
      </c>
      <c r="E135" s="289">
        <f t="shared" ca="1" si="44"/>
        <v>1.1508259645168846</v>
      </c>
      <c r="I135" s="297"/>
    </row>
    <row r="136" spans="1:9">
      <c r="B136" t="s">
        <v>305</v>
      </c>
      <c r="C136" s="289">
        <v>6.5144969777116497</v>
      </c>
      <c r="D136" s="289">
        <f t="shared" ca="1" si="43"/>
        <v>0.03</v>
      </c>
      <c r="E136" s="289">
        <f t="shared" ca="1" si="44"/>
        <v>6.54449697771165</v>
      </c>
      <c r="I136" s="297"/>
    </row>
    <row r="137" spans="1:9">
      <c r="B137" s="302"/>
      <c r="C137" s="289"/>
      <c r="D137" s="289"/>
      <c r="E137" s="289"/>
    </row>
    <row r="138" spans="1:9">
      <c r="C138" s="289"/>
      <c r="D138" s="289"/>
      <c r="E138" s="289"/>
    </row>
    <row r="139" spans="1:9">
      <c r="C139" s="292"/>
      <c r="D139" s="289"/>
      <c r="E139" s="289"/>
    </row>
    <row r="140" spans="1:9">
      <c r="C140" s="289"/>
      <c r="D140" s="289"/>
      <c r="E140" s="289"/>
    </row>
    <row r="141" spans="1:9">
      <c r="C141" s="289"/>
      <c r="D141" s="289"/>
      <c r="E141" s="289"/>
    </row>
    <row r="142" spans="1:9">
      <c r="C142" s="289"/>
      <c r="D142" s="289"/>
      <c r="E142" s="289"/>
    </row>
    <row r="143" spans="1:9">
      <c r="C143" s="289"/>
      <c r="D143" s="289"/>
      <c r="E143" s="289"/>
    </row>
  </sheetData>
  <mergeCells count="1">
    <mergeCell ref="C3:E3"/>
  </mergeCells>
  <pageMargins left="0.25" right="0.25" top="0.27" bottom="0.4" header="0.18" footer="0.25"/>
  <pageSetup scale="70" pageOrder="overThenDown" orientation="portrait" errors="blank" r:id="rId1"/>
  <headerFooter alignWithMargins="0">
    <oddHeader>&amp;C&amp;KFF0000TEXT IN RED BOX CONFIDENTIAL PER WAC 480-07-160</oddHeader>
    <oddFooter>&amp;L&amp;F - &amp;A&amp;CPrinted &amp;D - &amp;T&amp;RPage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5DDA0-26A6-47E6-BA42-7556DC3A5DD7}">
  <sheetPr>
    <tabColor rgb="FF00B050"/>
  </sheetPr>
  <dimension ref="A1:AV112"/>
  <sheetViews>
    <sheetView tabSelected="1" workbookViewId="0">
      <selection activeCell="AI14" sqref="AI14:AJ14"/>
    </sheetView>
  </sheetViews>
  <sheetFormatPr defaultColWidth="16.6640625" defaultRowHeight="15"/>
  <cols>
    <col min="1" max="1" width="4.88671875" style="15" customWidth="1"/>
    <col min="2" max="2" width="33.5546875" style="179" bestFit="1" customWidth="1"/>
    <col min="3" max="3" width="21.33203125" style="179" customWidth="1"/>
    <col min="4" max="4" width="21.33203125" style="179" hidden="1" customWidth="1"/>
    <col min="5" max="5" width="7.33203125" style="179" customWidth="1"/>
    <col min="6" max="6" width="5.6640625" style="15" customWidth="1"/>
    <col min="7" max="7" width="8.5546875" style="15" customWidth="1"/>
    <col min="8" max="8" width="15" style="15" customWidth="1"/>
    <col min="9" max="9" width="17.6640625" style="15" customWidth="1"/>
    <col min="10" max="10" width="17.33203125" style="15" bestFit="1" customWidth="1"/>
    <col min="11" max="11" width="15.109375" style="15" bestFit="1" customWidth="1"/>
    <col min="12" max="13" width="20.33203125" style="15" customWidth="1"/>
    <col min="14" max="14" width="2.44140625" style="15" customWidth="1"/>
    <col min="15" max="15" width="6.33203125" style="179" customWidth="1"/>
    <col min="16" max="16" width="40.44140625" style="179" customWidth="1"/>
    <col min="17" max="17" width="16.6640625" style="16"/>
    <col min="18" max="18" width="13.88671875" style="24" customWidth="1"/>
    <col min="19" max="19" width="16.6640625" style="15"/>
    <col min="20" max="20" width="13.44140625" style="15" customWidth="1"/>
    <col min="21" max="21" width="15.6640625" style="15" customWidth="1"/>
    <col min="22" max="22" width="16.6640625" style="15"/>
    <col min="23" max="26" width="17.6640625" style="15" customWidth="1"/>
    <col min="27" max="27" width="16" style="15" customWidth="1"/>
    <col min="28" max="28" width="16.6640625" style="15"/>
    <col min="29" max="29" width="15.88671875" style="15" customWidth="1"/>
    <col min="30" max="31" width="16.6640625" style="15"/>
    <col min="32" max="32" width="16.44140625" style="15" customWidth="1"/>
    <col min="33" max="33" width="17.33203125" style="15" customWidth="1"/>
    <col min="34" max="34" width="20.6640625" style="15" customWidth="1"/>
    <col min="35" max="35" width="18.109375" style="15" customWidth="1"/>
    <col min="36" max="36" width="16.44140625" style="15" customWidth="1"/>
    <col min="37" max="37" width="16.6640625" style="15"/>
    <col min="38" max="38" width="13.88671875" style="15" customWidth="1"/>
    <col min="39" max="39" width="16.44140625" style="15" customWidth="1"/>
    <col min="40" max="51" width="15.109375" style="15" customWidth="1"/>
    <col min="52" max="16384" width="16.6640625" style="15"/>
  </cols>
  <sheetData>
    <row r="1" spans="1:37" s="10" customFormat="1" ht="15.6" thickBot="1">
      <c r="A1" s="5"/>
      <c r="B1" s="6"/>
      <c r="C1" s="6"/>
      <c r="D1" s="6"/>
      <c r="E1" s="6"/>
      <c r="F1" s="6"/>
      <c r="G1" s="6"/>
      <c r="H1" s="6"/>
      <c r="I1" s="7"/>
      <c r="J1" s="7"/>
      <c r="K1" s="7"/>
      <c r="L1" s="7"/>
      <c r="M1" s="7"/>
      <c r="N1" s="7"/>
      <c r="O1" s="6"/>
      <c r="P1" s="6"/>
      <c r="Q1" s="8"/>
      <c r="R1" s="9"/>
    </row>
    <row r="2" spans="1:37" ht="18.600000000000001" thickBot="1">
      <c r="A2" s="5"/>
      <c r="B2" s="305" t="s">
        <v>9</v>
      </c>
      <c r="C2" s="305"/>
      <c r="D2" s="5"/>
      <c r="E2" s="5"/>
      <c r="F2" s="11" t="s">
        <v>10</v>
      </c>
      <c r="G2" s="12"/>
      <c r="H2" s="12"/>
      <c r="I2" s="13" t="s">
        <v>11</v>
      </c>
      <c r="J2" s="12"/>
      <c r="K2" s="12"/>
      <c r="L2" s="12"/>
      <c r="M2" s="14" t="s">
        <v>10</v>
      </c>
      <c r="O2" s="5"/>
      <c r="P2" s="6"/>
      <c r="R2" s="17" t="s">
        <v>12</v>
      </c>
      <c r="S2" s="18"/>
      <c r="T2" s="19"/>
      <c r="AH2" s="306" t="s">
        <v>13</v>
      </c>
      <c r="AI2" s="307"/>
      <c r="AJ2" s="307"/>
      <c r="AK2" s="308"/>
    </row>
    <row r="3" spans="1:37" ht="16.2" thickBot="1">
      <c r="A3" s="5"/>
      <c r="B3" s="5"/>
      <c r="C3" s="5"/>
      <c r="D3" s="5"/>
      <c r="E3" s="5"/>
      <c r="F3" s="20"/>
      <c r="G3" s="21"/>
      <c r="H3" s="22"/>
      <c r="I3" s="22"/>
      <c r="J3" s="22"/>
      <c r="K3" s="23" t="s">
        <v>14</v>
      </c>
      <c r="L3" s="22"/>
      <c r="M3" s="23" t="s">
        <v>15</v>
      </c>
      <c r="O3" s="5"/>
      <c r="P3" s="6"/>
      <c r="R3" s="15"/>
      <c r="T3" s="15" t="s">
        <v>16</v>
      </c>
      <c r="V3" s="24" t="s">
        <v>16</v>
      </c>
      <c r="W3" s="24" t="s">
        <v>16</v>
      </c>
      <c r="X3" s="24" t="s">
        <v>16</v>
      </c>
      <c r="Y3" s="24"/>
      <c r="Z3" s="24" t="s">
        <v>17</v>
      </c>
      <c r="AA3" s="24" t="s">
        <v>18</v>
      </c>
      <c r="AB3" s="24" t="s">
        <v>18</v>
      </c>
      <c r="AC3" s="24" t="s">
        <v>18</v>
      </c>
      <c r="AD3" s="24" t="s">
        <v>18</v>
      </c>
      <c r="AE3" s="24" t="s">
        <v>18</v>
      </c>
      <c r="AF3" s="24" t="s">
        <v>18</v>
      </c>
      <c r="AG3" s="24" t="s">
        <v>19</v>
      </c>
      <c r="AH3" s="24" t="s">
        <v>20</v>
      </c>
      <c r="AI3" s="24" t="s">
        <v>21</v>
      </c>
      <c r="AJ3" s="24"/>
    </row>
    <row r="4" spans="1:37" ht="18.600000000000001" thickBot="1">
      <c r="A4" s="5"/>
      <c r="B4" s="25" t="s">
        <v>22</v>
      </c>
      <c r="C4" s="13"/>
      <c r="D4" s="26"/>
      <c r="E4" s="5"/>
      <c r="F4" s="27"/>
      <c r="G4" s="21"/>
      <c r="H4" s="22" t="s">
        <v>23</v>
      </c>
      <c r="I4" s="22" t="s">
        <v>24</v>
      </c>
      <c r="J4" s="22" t="s">
        <v>25</v>
      </c>
      <c r="K4" s="22" t="s">
        <v>26</v>
      </c>
      <c r="L4" s="22" t="s">
        <v>27</v>
      </c>
      <c r="M4" s="22" t="s">
        <v>28</v>
      </c>
      <c r="O4" s="28"/>
      <c r="P4" s="6"/>
      <c r="R4" s="15"/>
      <c r="T4" s="24" t="s">
        <v>29</v>
      </c>
      <c r="V4" s="24" t="s">
        <v>30</v>
      </c>
      <c r="W4" s="24" t="s">
        <v>17</v>
      </c>
      <c r="X4" s="24" t="s">
        <v>31</v>
      </c>
      <c r="Y4" s="24" t="s">
        <v>32</v>
      </c>
      <c r="Z4" s="24" t="s">
        <v>31</v>
      </c>
      <c r="AA4" s="24" t="s">
        <v>33</v>
      </c>
      <c r="AB4" s="24" t="s">
        <v>33</v>
      </c>
      <c r="AC4" s="24" t="s">
        <v>33</v>
      </c>
      <c r="AD4" s="24" t="s">
        <v>17</v>
      </c>
      <c r="AE4" s="24" t="s">
        <v>29</v>
      </c>
      <c r="AF4" s="24" t="s">
        <v>29</v>
      </c>
      <c r="AG4" s="24" t="s">
        <v>34</v>
      </c>
      <c r="AH4" s="24" t="s">
        <v>35</v>
      </c>
      <c r="AI4" s="24" t="s">
        <v>36</v>
      </c>
      <c r="AJ4" s="24" t="s">
        <v>37</v>
      </c>
      <c r="AK4" s="24" t="s">
        <v>38</v>
      </c>
    </row>
    <row r="5" spans="1:37" ht="15.6">
      <c r="A5" s="5"/>
      <c r="B5" s="29" t="s">
        <v>39</v>
      </c>
      <c r="C5" s="30">
        <v>317464.7848558285</v>
      </c>
      <c r="D5" s="26"/>
      <c r="E5" s="5"/>
      <c r="F5" s="31" t="s">
        <v>40</v>
      </c>
      <c r="G5" s="32"/>
      <c r="H5" s="32"/>
      <c r="I5" s="22" t="s">
        <v>41</v>
      </c>
      <c r="J5" s="22" t="s">
        <v>20</v>
      </c>
      <c r="K5" s="33" t="s">
        <v>42</v>
      </c>
      <c r="L5" s="34" t="s">
        <v>43</v>
      </c>
      <c r="M5" s="33" t="s">
        <v>20</v>
      </c>
      <c r="O5" s="35"/>
      <c r="P5" s="6"/>
      <c r="R5" s="36"/>
      <c r="T5" s="24" t="s">
        <v>44</v>
      </c>
      <c r="U5" s="24" t="s">
        <v>45</v>
      </c>
      <c r="V5" s="24" t="s">
        <v>46</v>
      </c>
      <c r="W5" s="24" t="s">
        <v>47</v>
      </c>
      <c r="X5" s="24" t="s">
        <v>48</v>
      </c>
      <c r="Y5" s="24" t="s">
        <v>49</v>
      </c>
      <c r="Z5" s="24" t="s">
        <v>48</v>
      </c>
      <c r="AA5" s="24" t="s">
        <v>50</v>
      </c>
      <c r="AB5" s="24" t="s">
        <v>51</v>
      </c>
      <c r="AC5" s="24" t="s">
        <v>52</v>
      </c>
      <c r="AD5" s="24" t="s">
        <v>53</v>
      </c>
      <c r="AE5" s="24" t="s">
        <v>44</v>
      </c>
      <c r="AF5" s="24" t="s">
        <v>54</v>
      </c>
      <c r="AG5" s="24" t="s">
        <v>55</v>
      </c>
      <c r="AH5" s="24" t="s">
        <v>56</v>
      </c>
      <c r="AI5" s="24" t="s">
        <v>56</v>
      </c>
      <c r="AJ5" s="24" t="s">
        <v>55</v>
      </c>
      <c r="AK5" s="24" t="s">
        <v>19</v>
      </c>
    </row>
    <row r="6" spans="1:37" ht="15.6">
      <c r="A6" s="5"/>
      <c r="B6" s="29" t="s">
        <v>57</v>
      </c>
      <c r="C6" s="30">
        <v>499606.05714658508</v>
      </c>
      <c r="D6" s="26"/>
      <c r="E6" s="5"/>
      <c r="F6" s="37" t="s">
        <v>58</v>
      </c>
      <c r="G6" s="32"/>
      <c r="H6" s="32"/>
      <c r="I6" s="38"/>
      <c r="J6" s="39" t="s">
        <v>59</v>
      </c>
      <c r="K6" s="40"/>
      <c r="L6" s="39" t="s">
        <v>60</v>
      </c>
      <c r="M6" s="39" t="s">
        <v>61</v>
      </c>
      <c r="O6" s="35"/>
      <c r="P6" s="6"/>
      <c r="R6" s="41">
        <v>1</v>
      </c>
      <c r="S6" s="42">
        <f>Revenue/Investment*100</f>
        <v>72.440027115049872</v>
      </c>
      <c r="T6" s="43">
        <f>EXP(y_inter1-(slope*LN(+S6)))</f>
        <v>11.373376291101042</v>
      </c>
      <c r="U6" s="44">
        <f>(+S6*T6/100)/100</f>
        <v>8.2388768691702474E-2</v>
      </c>
      <c r="V6" s="44">
        <f>regDebt_weighted</f>
        <v>3.5860000000000003E-2</v>
      </c>
      <c r="W6" s="44">
        <f>+U6-V6</f>
        <v>4.6528768691702471E-2</v>
      </c>
      <c r="X6" s="44">
        <f>+((W6*(1-0.34))-Pfd_weighted)/Equity_percent</f>
        <v>7.1276125978266366E-2</v>
      </c>
      <c r="Y6" s="44">
        <f>+C15</f>
        <v>2.5000000000000001E-3</v>
      </c>
      <c r="Z6" s="44">
        <f>+X6+Y6</f>
        <v>7.3776125978266369E-2</v>
      </c>
      <c r="AA6" s="44">
        <f>Z6*equityP</f>
        <v>3.745870226301852E-2</v>
      </c>
      <c r="AB6" s="44">
        <f>+AA6/(1-taxrate)</f>
        <v>4.7416078813947493E-2</v>
      </c>
      <c r="AC6" s="44">
        <f>debtP*Debt_Rate</f>
        <v>2.0923576465567847E-2</v>
      </c>
      <c r="AD6" s="44">
        <f>AC6+AB6</f>
        <v>6.8339655279515341E-2</v>
      </c>
      <c r="AE6" s="44">
        <f>AD6/(S6/100)</f>
        <v>9.4339632384424305E-2</v>
      </c>
      <c r="AF6" s="44">
        <f>1-AE6</f>
        <v>0.90566036761557567</v>
      </c>
      <c r="AG6" s="45">
        <f>expenses/(AF6)</f>
        <v>551648.36070054478</v>
      </c>
      <c r="AH6" s="46">
        <f>+AG6-Revenue</f>
        <v>234183.57584471628</v>
      </c>
      <c r="AI6" s="47">
        <f ca="1">+AH6/$J$49</f>
        <v>264800.54651975445</v>
      </c>
      <c r="AJ6" s="47">
        <f ca="1">+AI6*$J$47</f>
        <v>6480.5015068930215</v>
      </c>
      <c r="AK6" s="45">
        <f ca="1">ROUND(+AJ6+AG6,5)</f>
        <v>558128.86221000005</v>
      </c>
    </row>
    <row r="7" spans="1:37" ht="15.6">
      <c r="A7" s="5"/>
      <c r="B7" s="29" t="s">
        <v>62</v>
      </c>
      <c r="C7" s="30">
        <v>438244.98346974421</v>
      </c>
      <c r="D7" s="26"/>
      <c r="E7" s="5"/>
      <c r="F7" s="48">
        <v>1</v>
      </c>
      <c r="G7" s="32"/>
      <c r="H7" s="49" t="s">
        <v>39</v>
      </c>
      <c r="I7" s="50">
        <f>IF(A64=TRUE,C5,0)</f>
        <v>317464.7848558285</v>
      </c>
      <c r="J7" s="50">
        <f ca="1">(+$I8/($R50))-I7</f>
        <v>232893.67872697162</v>
      </c>
      <c r="K7" s="50">
        <f ca="1">+I7+J7</f>
        <v>550358.46358280012</v>
      </c>
      <c r="L7" s="50">
        <f ca="1">((+J7/J49*K35)-J7)</f>
        <v>6444.8065176730161</v>
      </c>
      <c r="M7" s="50">
        <f ca="1">IFERROR(+K7+L7,0.00001)</f>
        <v>556803.27010047319</v>
      </c>
      <c r="O7" s="35"/>
      <c r="P7" s="6"/>
      <c r="R7" s="51">
        <v>2</v>
      </c>
      <c r="S7" s="52">
        <f>Revenue/Investment*100</f>
        <v>72.440027115049872</v>
      </c>
      <c r="T7" s="53">
        <f>EXP(y_inter1-(slope*LN(+S7)))</f>
        <v>11.373376291101042</v>
      </c>
      <c r="U7" s="54">
        <f>(+S7*T7/100)/100</f>
        <v>8.2388768691702474E-2</v>
      </c>
      <c r="V7" s="54">
        <f>regDebt_weighted</f>
        <v>3.5860000000000003E-2</v>
      </c>
      <c r="W7" s="54">
        <f>+U7-V7</f>
        <v>4.6528768691702471E-2</v>
      </c>
      <c r="X7" s="54">
        <f>+((W7*(1-0.34))-Pfd_weighted)/Equity_percent</f>
        <v>7.1276125978266366E-2</v>
      </c>
      <c r="Y7" s="54">
        <f>+Y6</f>
        <v>2.5000000000000001E-3</v>
      </c>
      <c r="Z7" s="54">
        <f>+X7+Y7</f>
        <v>7.3776125978266369E-2</v>
      </c>
      <c r="AA7" s="54">
        <f>Z7*equityP</f>
        <v>3.745870226301852E-2</v>
      </c>
      <c r="AB7" s="54">
        <f>+AA7/(1-taxrate)</f>
        <v>4.7416078813947493E-2</v>
      </c>
      <c r="AC7" s="54">
        <f>debtP*Debt_Rate</f>
        <v>2.0923576465567847E-2</v>
      </c>
      <c r="AD7" s="54">
        <f>AC7+AB7</f>
        <v>6.8339655279515341E-2</v>
      </c>
      <c r="AE7" s="54">
        <f>AD7/(S7/100)</f>
        <v>9.4339632384424305E-2</v>
      </c>
      <c r="AF7" s="54">
        <f>1-AE7</f>
        <v>0.90566036761557567</v>
      </c>
      <c r="AG7" s="55">
        <f>expenses/(AF7)</f>
        <v>551648.36070054478</v>
      </c>
      <c r="AH7" s="56">
        <f>+AG7-Revenue</f>
        <v>234183.57584471628</v>
      </c>
      <c r="AI7" s="57">
        <f ca="1">+AH7/$J$49</f>
        <v>264800.54651975445</v>
      </c>
      <c r="AJ7" s="57">
        <f ca="1">+AI7*$J$47</f>
        <v>6480.5015068930215</v>
      </c>
      <c r="AK7" s="55">
        <f ca="1">ROUND(+AJ7+AG7,5)</f>
        <v>558128.86221000005</v>
      </c>
    </row>
    <row r="8" spans="1:37" ht="15.6">
      <c r="A8" s="5"/>
      <c r="B8" s="29" t="s">
        <v>63</v>
      </c>
      <c r="C8" s="58">
        <v>0.49226525835670143</v>
      </c>
      <c r="D8" s="26"/>
      <c r="E8" s="5"/>
      <c r="F8" s="59">
        <f>+F7+1</f>
        <v>2</v>
      </c>
      <c r="G8" s="32"/>
      <c r="H8" s="49" t="s">
        <v>57</v>
      </c>
      <c r="I8" s="50">
        <f>IF(A64=TRUE,C6,0)</f>
        <v>499606.05714658508</v>
      </c>
      <c r="J8" s="21"/>
      <c r="K8" s="50">
        <f>+I8</f>
        <v>499606.05714658508</v>
      </c>
      <c r="L8" s="50">
        <f ca="1">+L7</f>
        <v>6444.8065176730161</v>
      </c>
      <c r="M8" s="50">
        <f ca="1">IFERROR(+K8+L8,0.00001)</f>
        <v>506050.8636642581</v>
      </c>
      <c r="O8" s="35"/>
      <c r="P8" s="6"/>
      <c r="R8" s="60">
        <v>3</v>
      </c>
      <c r="S8" s="52">
        <f>Revenue/Investment*100</f>
        <v>72.440027115049872</v>
      </c>
      <c r="T8" s="53">
        <f>EXP(y_inter1-(slope*LN(+S8)))</f>
        <v>11.373376291101042</v>
      </c>
      <c r="U8" s="54">
        <f>(+S8*T8/100)/100</f>
        <v>8.2388768691702474E-2</v>
      </c>
      <c r="V8" s="54">
        <f>regDebt_weighted</f>
        <v>3.5860000000000003E-2</v>
      </c>
      <c r="W8" s="54">
        <f>+U8-V8</f>
        <v>4.6528768691702471E-2</v>
      </c>
      <c r="X8" s="54">
        <f>+((W8*(1-0.34))-Pfd_weighted)/Equity_percent</f>
        <v>7.1276125978266366E-2</v>
      </c>
      <c r="Y8" s="54">
        <f>+Y7</f>
        <v>2.5000000000000001E-3</v>
      </c>
      <c r="Z8" s="54">
        <f>+X8+Y8</f>
        <v>7.3776125978266369E-2</v>
      </c>
      <c r="AA8" s="54">
        <f>Z8*equityP</f>
        <v>3.745870226301852E-2</v>
      </c>
      <c r="AB8" s="54">
        <f>+AA8/(1-taxrate)</f>
        <v>4.7416078813947493E-2</v>
      </c>
      <c r="AC8" s="54">
        <f>debtP*Debt_Rate</f>
        <v>2.0923576465567847E-2</v>
      </c>
      <c r="AD8" s="54">
        <f>AC8+AB8</f>
        <v>6.8339655279515341E-2</v>
      </c>
      <c r="AE8" s="54">
        <f>AD8/(S8/100)</f>
        <v>9.4339632384424305E-2</v>
      </c>
      <c r="AF8" s="54">
        <f>1-AE8</f>
        <v>0.90566036761557567</v>
      </c>
      <c r="AG8" s="55">
        <f>expenses/(AF8)</f>
        <v>551648.36070054478</v>
      </c>
      <c r="AH8" s="56">
        <f>+AG8-Revenue</f>
        <v>234183.57584471628</v>
      </c>
      <c r="AI8" s="57">
        <f ca="1">+AH8/$J$49</f>
        <v>264800.54651975445</v>
      </c>
      <c r="AJ8" s="57">
        <f ca="1">+AI8*$J$47</f>
        <v>6480.5015068930215</v>
      </c>
      <c r="AK8" s="55">
        <f ca="1">ROUND(+AJ8+AG8,5)</f>
        <v>558128.86221000005</v>
      </c>
    </row>
    <row r="9" spans="1:37" ht="15.6">
      <c r="A9" s="5"/>
      <c r="B9" s="29" t="s">
        <v>64</v>
      </c>
      <c r="C9" s="58">
        <v>4.250467834235494E-2</v>
      </c>
      <c r="D9" s="26"/>
      <c r="E9" s="5"/>
      <c r="F9" s="59">
        <f t="shared" ref="F9:F49" si="0">+F8+1</f>
        <v>3</v>
      </c>
      <c r="G9" s="32"/>
      <c r="H9" s="49" t="s">
        <v>65</v>
      </c>
      <c r="I9" s="61">
        <f>+I7-I8</f>
        <v>-182141.27229075658</v>
      </c>
      <c r="J9" s="21"/>
      <c r="K9" s="61">
        <f ca="1">+K7-K8</f>
        <v>50752.406436215038</v>
      </c>
      <c r="L9" s="32"/>
      <c r="M9" s="62">
        <f ca="1">+M7-M8</f>
        <v>50752.406436215097</v>
      </c>
      <c r="O9" s="35"/>
      <c r="P9" s="6"/>
      <c r="R9" s="63">
        <v>4</v>
      </c>
      <c r="S9" s="52">
        <f>Revenue/Investment*100</f>
        <v>72.440027115049872</v>
      </c>
      <c r="T9" s="53">
        <f>EXP(y_inter1-(slope*LN(+S9)))</f>
        <v>11.373376291101042</v>
      </c>
      <c r="U9" s="54">
        <f>(+S9*T9/100)/100</f>
        <v>8.2388768691702474E-2</v>
      </c>
      <c r="V9" s="54">
        <f>regDebt_weighted</f>
        <v>3.5860000000000003E-2</v>
      </c>
      <c r="W9" s="54">
        <f>+U9-V9</f>
        <v>4.6528768691702471E-2</v>
      </c>
      <c r="X9" s="54">
        <f>+((W9*(1-0.34))-Pfd_weighted)/Equity_percent</f>
        <v>7.1276125978266366E-2</v>
      </c>
      <c r="Y9" s="54">
        <f>+Y8</f>
        <v>2.5000000000000001E-3</v>
      </c>
      <c r="Z9" s="54">
        <f>+X9+Y9</f>
        <v>7.3776125978266369E-2</v>
      </c>
      <c r="AA9" s="54">
        <f>Z9*equityP</f>
        <v>3.745870226301852E-2</v>
      </c>
      <c r="AB9" s="54">
        <f>+AA9/(1-taxrate)</f>
        <v>4.7416078813947493E-2</v>
      </c>
      <c r="AC9" s="54">
        <f>debtP*Debt_Rate</f>
        <v>2.0923576465567847E-2</v>
      </c>
      <c r="AD9" s="54">
        <f>AC9+AB9</f>
        <v>6.8339655279515341E-2</v>
      </c>
      <c r="AE9" s="54">
        <f>AD9/(S9/100)</f>
        <v>9.4339632384424305E-2</v>
      </c>
      <c r="AF9" s="54">
        <f>1-AE9</f>
        <v>0.90566036761557567</v>
      </c>
      <c r="AG9" s="55">
        <f>expenses/(AF9)</f>
        <v>551648.36070054478</v>
      </c>
      <c r="AH9" s="56">
        <f>+AG9-Revenue</f>
        <v>234183.57584471628</v>
      </c>
      <c r="AI9" s="57">
        <f ca="1">+AH9/$J$49</f>
        <v>264800.54651975445</v>
      </c>
      <c r="AJ9" s="57">
        <f ca="1">+AI9*$J$47</f>
        <v>6480.5015068930215</v>
      </c>
      <c r="AK9" s="55">
        <f ca="1">ROUND(+AJ9+AG9,5)</f>
        <v>558128.86221000005</v>
      </c>
    </row>
    <row r="10" spans="1:37" ht="15.6">
      <c r="A10" s="5"/>
      <c r="B10" s="64" t="s">
        <v>66</v>
      </c>
      <c r="C10" s="58">
        <v>0.21</v>
      </c>
      <c r="D10" s="26"/>
      <c r="E10" s="5"/>
      <c r="F10" s="59">
        <f t="shared" si="0"/>
        <v>4</v>
      </c>
      <c r="G10" s="32"/>
      <c r="H10" s="32"/>
      <c r="I10" s="21"/>
      <c r="J10" s="21"/>
      <c r="K10" s="50"/>
      <c r="L10" s="32"/>
      <c r="M10" s="32"/>
      <c r="O10" s="35"/>
      <c r="P10" s="5"/>
      <c r="R10" s="24" t="s">
        <v>67</v>
      </c>
    </row>
    <row r="11" spans="1:37" ht="15.6">
      <c r="A11" s="5"/>
      <c r="B11" s="29" t="s">
        <v>68</v>
      </c>
      <c r="C11" s="58">
        <v>1.4999999999999999E-2</v>
      </c>
      <c r="D11" s="26"/>
      <c r="E11" s="5"/>
      <c r="F11" s="59">
        <f t="shared" si="0"/>
        <v>5</v>
      </c>
      <c r="G11" s="32"/>
      <c r="H11" s="49" t="s">
        <v>69</v>
      </c>
      <c r="I11" s="50">
        <f>+K11</f>
        <v>9169.6524222807093</v>
      </c>
      <c r="J11" s="21"/>
      <c r="K11" s="50">
        <f>+M27</f>
        <v>9169.6524222807093</v>
      </c>
      <c r="L11" s="32"/>
      <c r="M11" s="50">
        <f>+K11</f>
        <v>9169.6524222807093</v>
      </c>
      <c r="O11" s="35"/>
      <c r="P11" s="5"/>
      <c r="R11" s="41">
        <v>1</v>
      </c>
      <c r="S11" s="42">
        <f ca="1">IF((AK6/Investment*100)&gt;0,(AK6/Investment*100),0)</f>
        <v>127.35544803983647</v>
      </c>
      <c r="T11" s="43">
        <f ca="1">EXP(y_inter1-(slope*LN(S11)))</f>
        <v>9.5941363086384754</v>
      </c>
      <c r="U11" s="44">
        <f ca="1">(+S11*T11/100)/100</f>
        <v>0.12218655281419158</v>
      </c>
      <c r="V11" s="44">
        <f>regDebt_weighted</f>
        <v>3.5860000000000003E-2</v>
      </c>
      <c r="W11" s="44">
        <f ca="1">+U11-V11</f>
        <v>8.6326552814191576E-2</v>
      </c>
      <c r="X11" s="44">
        <f ca="1">+((W11*(1-0.34))-Pfd_weighted)/Equity_percent</f>
        <v>0.14763233970164663</v>
      </c>
      <c r="Y11" s="44">
        <f>+Y9</f>
        <v>2.5000000000000001E-3</v>
      </c>
      <c r="Z11" s="44">
        <f ca="1">+X11+Y11</f>
        <v>0.15013233970164663</v>
      </c>
      <c r="AA11" s="44">
        <f ca="1">Z11*equityP</f>
        <v>7.6227404710719496E-2</v>
      </c>
      <c r="AB11" s="44">
        <f ca="1">+AA11/(1-taxrate)</f>
        <v>9.6490385709771503E-2</v>
      </c>
      <c r="AC11" s="44">
        <f>debtP*Debt_Rate</f>
        <v>2.0923576465567847E-2</v>
      </c>
      <c r="AD11" s="44">
        <f ca="1">+AC11+AB11</f>
        <v>0.11741396217533935</v>
      </c>
      <c r="AE11" s="44">
        <f ca="1">+AD11/(S11/100)</f>
        <v>9.2193906097061948E-2</v>
      </c>
      <c r="AF11" s="44">
        <f ca="1">1-AE11</f>
        <v>0.90780609390293809</v>
      </c>
      <c r="AG11" s="45">
        <f ca="1">expenses/(AF11)</f>
        <v>550344.46287821745</v>
      </c>
      <c r="AH11" s="46">
        <f ca="1">+AG11-Revenue</f>
        <v>232879.67802238895</v>
      </c>
      <c r="AI11" s="47">
        <f ca="1">+AH11/$J$49</f>
        <v>263326.17815419863</v>
      </c>
      <c r="AJ11" s="47">
        <f ca="1">+AI11*$J$47</f>
        <v>6444.4190797973233</v>
      </c>
      <c r="AK11" s="45">
        <f ca="1">ROUND(+AJ11+AG11,5)</f>
        <v>556788.88196000003</v>
      </c>
    </row>
    <row r="12" spans="1:37" ht="15.6">
      <c r="A12" s="5"/>
      <c r="B12" s="29" t="s">
        <v>70</v>
      </c>
      <c r="C12" s="58">
        <v>5.1000000000000004E-3</v>
      </c>
      <c r="D12" s="26"/>
      <c r="E12" s="5"/>
      <c r="F12" s="59">
        <f t="shared" si="0"/>
        <v>6</v>
      </c>
      <c r="G12" s="32"/>
      <c r="H12" s="49" t="s">
        <v>71</v>
      </c>
      <c r="I12" s="50">
        <f ca="1">IF(I14&lt;0,0,+J38*I14)</f>
        <v>0</v>
      </c>
      <c r="J12" s="50">
        <f ca="1">+K12-I12</f>
        <v>8732.3783429262094</v>
      </c>
      <c r="K12" s="50">
        <f ca="1">+(K9-K11)*taxrate</f>
        <v>8732.3783429262094</v>
      </c>
      <c r="L12" s="32"/>
      <c r="M12" s="50">
        <f ca="1">+K12</f>
        <v>8732.3783429262094</v>
      </c>
      <c r="O12" s="35"/>
      <c r="P12" s="5"/>
      <c r="R12" s="51">
        <v>2</v>
      </c>
      <c r="S12" s="52">
        <f ca="1">IF((AK7/Investment*100)&gt;0,(AK7/Investment*100),0)</f>
        <v>127.35544803983647</v>
      </c>
      <c r="T12" s="65">
        <f ca="1">EXP(y_inter2-(slope*LN(+S12)))</f>
        <v>9.5941363086384754</v>
      </c>
      <c r="U12" s="54">
        <f ca="1">(+S12*T12/100)/100</f>
        <v>0.12218655281419158</v>
      </c>
      <c r="V12" s="54">
        <f>regDebt_weighted</f>
        <v>3.5860000000000003E-2</v>
      </c>
      <c r="W12" s="54">
        <f ca="1">+U12-V12</f>
        <v>8.6326552814191576E-2</v>
      </c>
      <c r="X12" s="54">
        <f ca="1">+((W12*(1-0.34))-Pfd_weighted)/Equity_percent</f>
        <v>0.14763233970164663</v>
      </c>
      <c r="Y12" s="54">
        <f>+Y11</f>
        <v>2.5000000000000001E-3</v>
      </c>
      <c r="Z12" s="54">
        <f ca="1">+X12+Y12</f>
        <v>0.15013233970164663</v>
      </c>
      <c r="AA12" s="54">
        <f ca="1">Z12*equityP</f>
        <v>7.6227404710719496E-2</v>
      </c>
      <c r="AB12" s="54">
        <f ca="1">+AA12/(1-taxrate)</f>
        <v>9.6490385709771503E-2</v>
      </c>
      <c r="AC12" s="54">
        <f>debtP*Debt_Rate</f>
        <v>2.0923576465567847E-2</v>
      </c>
      <c r="AD12" s="54">
        <f ca="1">+AC12+AB12</f>
        <v>0.11741396217533935</v>
      </c>
      <c r="AE12" s="54">
        <f ca="1">+AD12/(S12/100)</f>
        <v>9.2193906097061948E-2</v>
      </c>
      <c r="AF12" s="54">
        <f ca="1">1-AE12</f>
        <v>0.90780609390293809</v>
      </c>
      <c r="AG12" s="55">
        <f ca="1">expenses/(AF12)</f>
        <v>550344.46287821745</v>
      </c>
      <c r="AH12" s="56">
        <f ca="1">+AG12-Revenue</f>
        <v>232879.67802238895</v>
      </c>
      <c r="AI12" s="57">
        <f ca="1">+AH12/$J$49</f>
        <v>263326.17815419863</v>
      </c>
      <c r="AJ12" s="57">
        <f ca="1">+AI12*$J$47</f>
        <v>6444.4190797973233</v>
      </c>
      <c r="AK12" s="55">
        <f ca="1">ROUND(+AJ12+AG12,5)</f>
        <v>556788.88196000003</v>
      </c>
    </row>
    <row r="13" spans="1:37" ht="15.6">
      <c r="A13" s="5"/>
      <c r="B13" s="29" t="s">
        <v>72</v>
      </c>
      <c r="C13" s="58">
        <v>0</v>
      </c>
      <c r="D13" s="26"/>
      <c r="E13" s="5"/>
      <c r="F13" s="59">
        <f t="shared" si="0"/>
        <v>7</v>
      </c>
      <c r="G13" s="32"/>
      <c r="H13" s="32"/>
      <c r="I13" s="21"/>
      <c r="J13" s="21"/>
      <c r="K13" s="50"/>
      <c r="L13" s="32"/>
      <c r="M13" s="32"/>
      <c r="O13" s="35"/>
      <c r="P13" s="5"/>
      <c r="R13" s="60">
        <v>3</v>
      </c>
      <c r="S13" s="52">
        <f ca="1">IF((AK8/Investment*100)&gt;0,(AK8/Investment*100),0)</f>
        <v>127.35544803983647</v>
      </c>
      <c r="T13" s="53">
        <f ca="1">EXP(y_inter3-(slope*LN(S13)))</f>
        <v>9.5941363086384754</v>
      </c>
      <c r="U13" s="54">
        <f ca="1">(+S13*T13/100)/100</f>
        <v>0.12218655281419158</v>
      </c>
      <c r="V13" s="54">
        <f>regDebt_weighted</f>
        <v>3.5860000000000003E-2</v>
      </c>
      <c r="W13" s="54">
        <f ca="1">+U13-V13</f>
        <v>8.6326552814191576E-2</v>
      </c>
      <c r="X13" s="54">
        <f ca="1">+((W13*(1-0.34))-Pfd_weighted)/Equity_percent</f>
        <v>0.14763233970164663</v>
      </c>
      <c r="Y13" s="54">
        <f>+Y12</f>
        <v>2.5000000000000001E-3</v>
      </c>
      <c r="Z13" s="54">
        <f ca="1">+X13+Y13</f>
        <v>0.15013233970164663</v>
      </c>
      <c r="AA13" s="54">
        <f ca="1">Z13*equityP</f>
        <v>7.6227404710719496E-2</v>
      </c>
      <c r="AB13" s="54">
        <f ca="1">+AA13/(1-taxrate)</f>
        <v>9.6490385709771503E-2</v>
      </c>
      <c r="AC13" s="54">
        <f>debtP*Debt_Rate</f>
        <v>2.0923576465567847E-2</v>
      </c>
      <c r="AD13" s="54">
        <f ca="1">+AC13+AB13</f>
        <v>0.11741396217533935</v>
      </c>
      <c r="AE13" s="54">
        <f ca="1">+AD13/(S13/100)</f>
        <v>9.2193906097061948E-2</v>
      </c>
      <c r="AF13" s="54">
        <f ca="1">1-AE13</f>
        <v>0.90780609390293809</v>
      </c>
      <c r="AG13" s="55">
        <f ca="1">expenses/(AF13)</f>
        <v>550344.46287821745</v>
      </c>
      <c r="AH13" s="56">
        <f ca="1">+AG13-Revenue</f>
        <v>232879.67802238895</v>
      </c>
      <c r="AI13" s="57">
        <f ca="1">+AH13/$J$49</f>
        <v>263326.17815419863</v>
      </c>
      <c r="AJ13" s="57">
        <f ca="1">+AI13*$J$47</f>
        <v>6444.4190797973233</v>
      </c>
      <c r="AK13" s="55">
        <f ca="1">ROUND(+AJ13+AG13,5)</f>
        <v>556788.88196000003</v>
      </c>
    </row>
    <row r="14" spans="1:37" ht="16.2" thickBot="1">
      <c r="A14" s="5"/>
      <c r="B14" s="66" t="s">
        <v>73</v>
      </c>
      <c r="C14" s="58">
        <v>4.3731424918323119E-3</v>
      </c>
      <c r="D14" s="26"/>
      <c r="E14" s="5"/>
      <c r="F14" s="59">
        <f t="shared" si="0"/>
        <v>8</v>
      </c>
      <c r="G14" s="32"/>
      <c r="H14" s="32" t="s">
        <v>74</v>
      </c>
      <c r="I14" s="67">
        <f ca="1">+I9-SUM(I11:I13)</f>
        <v>-191310.9247130373</v>
      </c>
      <c r="J14" s="21"/>
      <c r="K14" s="67">
        <f ca="1">+K9-SUM(K11:K13)</f>
        <v>32850.375671008122</v>
      </c>
      <c r="L14" s="32"/>
      <c r="M14" s="67">
        <f ca="1">+M9-SUM(M11:M13)</f>
        <v>32850.37567100818</v>
      </c>
      <c r="O14" s="35"/>
      <c r="P14" s="5"/>
      <c r="R14" s="63">
        <v>4</v>
      </c>
      <c r="S14" s="52">
        <f ca="1">IF((AK9/Investment*100)&gt;0,(AK9/Investment*100),0)</f>
        <v>127.35544803983647</v>
      </c>
      <c r="T14" s="68">
        <f ca="1">EXP(y_inter4-(slope*LN(S14)))</f>
        <v>9.5941363086384754</v>
      </c>
      <c r="U14" s="54">
        <f ca="1">(+S14*T14/100)/100</f>
        <v>0.12218655281419158</v>
      </c>
      <c r="V14" s="54">
        <f>regDebt_weighted</f>
        <v>3.5860000000000003E-2</v>
      </c>
      <c r="W14" s="54">
        <f ca="1">+U14-V14</f>
        <v>8.6326552814191576E-2</v>
      </c>
      <c r="X14" s="54">
        <f ca="1">+((W14*(1-0.34))-Pfd_weighted)/Equity_percent</f>
        <v>0.14763233970164663</v>
      </c>
      <c r="Y14" s="54">
        <f>+Y13</f>
        <v>2.5000000000000001E-3</v>
      </c>
      <c r="Z14" s="54">
        <f ca="1">+X14+Y14</f>
        <v>0.15013233970164663</v>
      </c>
      <c r="AA14" s="54">
        <f ca="1">Z14*equityP</f>
        <v>7.6227404710719496E-2</v>
      </c>
      <c r="AB14" s="54">
        <f ca="1">+AA14/(1-taxrate)</f>
        <v>9.6490385709771503E-2</v>
      </c>
      <c r="AC14" s="54">
        <f>debtP*Debt_Rate</f>
        <v>2.0923576465567847E-2</v>
      </c>
      <c r="AD14" s="54">
        <f ca="1">+AC14+AB14</f>
        <v>0.11741396217533935</v>
      </c>
      <c r="AE14" s="54">
        <f ca="1">+AD14/(S14/100)</f>
        <v>9.2193906097061948E-2</v>
      </c>
      <c r="AF14" s="54">
        <f ca="1">1-AE14</f>
        <v>0.90780609390293809</v>
      </c>
      <c r="AG14" s="55">
        <f ca="1">expenses/(AF14)</f>
        <v>550344.46287821745</v>
      </c>
      <c r="AH14" s="56">
        <f ca="1">+AG14-Revenue</f>
        <v>232879.67802238895</v>
      </c>
      <c r="AI14" s="57">
        <f ca="1">+AH14/$J$49</f>
        <v>263326.17815419863</v>
      </c>
      <c r="AJ14" s="57">
        <f ca="1">+AI14*$J$47</f>
        <v>6444.4190797973233</v>
      </c>
      <c r="AK14" s="55">
        <f ca="1">ROUND(+AJ14+AG14,5)</f>
        <v>556788.88196000003</v>
      </c>
    </row>
    <row r="15" spans="1:37" ht="16.2" thickTop="1">
      <c r="A15" s="5"/>
      <c r="B15" s="66" t="s">
        <v>75</v>
      </c>
      <c r="C15" s="58">
        <v>2.5000000000000001E-3</v>
      </c>
      <c r="D15" s="5"/>
      <c r="E15" s="5"/>
      <c r="F15" s="59">
        <f t="shared" si="0"/>
        <v>9</v>
      </c>
      <c r="G15" s="21"/>
      <c r="H15" s="21"/>
      <c r="I15" s="21"/>
      <c r="J15" s="21"/>
      <c r="K15" s="69"/>
      <c r="L15" s="21"/>
      <c r="M15" s="21"/>
      <c r="O15" s="35"/>
      <c r="P15" s="5"/>
      <c r="R15" s="24" t="s">
        <v>76</v>
      </c>
    </row>
    <row r="16" spans="1:37" ht="15.6">
      <c r="A16" s="5"/>
      <c r="B16" s="5"/>
      <c r="C16" s="5"/>
      <c r="D16" s="26" t="s">
        <v>77</v>
      </c>
      <c r="E16" s="5"/>
      <c r="F16" s="59">
        <f t="shared" si="0"/>
        <v>10</v>
      </c>
      <c r="G16" s="21"/>
      <c r="H16" s="49" t="s">
        <v>78</v>
      </c>
      <c r="I16" s="70">
        <f>+I8/I7</f>
        <v>1.5737369339200034</v>
      </c>
      <c r="J16" s="71"/>
      <c r="K16" s="70">
        <f ca="1">+K8/K7</f>
        <v>0.90778300000000012</v>
      </c>
      <c r="L16" s="72"/>
      <c r="M16" s="70">
        <f ca="1">+M8/M7</f>
        <v>0.90885038008656627</v>
      </c>
      <c r="O16" s="35"/>
      <c r="P16" s="73"/>
      <c r="R16" s="41">
        <v>1</v>
      </c>
      <c r="S16" s="42">
        <f ca="1">AK11/Investment*100</f>
        <v>127.04968749481189</v>
      </c>
      <c r="T16" s="43">
        <f ca="1">EXP(y_inter1-(slope*LN(+S16)))</f>
        <v>9.6010923406712738</v>
      </c>
      <c r="U16" s="44">
        <f ca="1">(+S16*T16/100)/100</f>
        <v>0.12198157814911173</v>
      </c>
      <c r="V16" s="44">
        <f>regDebt_weighted</f>
        <v>3.5860000000000003E-2</v>
      </c>
      <c r="W16" s="44">
        <f ca="1">+U16-V16</f>
        <v>8.6121578149111727E-2</v>
      </c>
      <c r="X16" s="44">
        <f ca="1">+((W16*(1-0.34))-Pfd_weighted)/Equity_percent</f>
        <v>0.14723907435585387</v>
      </c>
      <c r="Y16" s="44">
        <f>+Y14</f>
        <v>2.5000000000000001E-3</v>
      </c>
      <c r="Z16" s="44">
        <f ca="1">+X16+Y16</f>
        <v>0.14973907435585387</v>
      </c>
      <c r="AA16" s="44">
        <f ca="1">Z16*equityP</f>
        <v>7.6027730231976134E-2</v>
      </c>
      <c r="AB16" s="44">
        <f ca="1">+AA16/(1-taxrate)</f>
        <v>9.6237633205033077E-2</v>
      </c>
      <c r="AC16" s="44">
        <f>debtP*Debt_Rate</f>
        <v>2.0923576465567847E-2</v>
      </c>
      <c r="AD16" s="44">
        <f ca="1">+AC16+AB16</f>
        <v>0.11716120967060092</v>
      </c>
      <c r="AE16" s="44">
        <f ca="1">+AD16/(S16/100)</f>
        <v>9.2216842072425587E-2</v>
      </c>
      <c r="AF16" s="44">
        <f ca="1">1-AE16</f>
        <v>0.90778315792757436</v>
      </c>
      <c r="AG16" s="45">
        <f ca="1">expenses/(AF16)</f>
        <v>550358.36783661181</v>
      </c>
      <c r="AH16" s="46">
        <f ca="1">+AG16-Revenue</f>
        <v>232893.58298078331</v>
      </c>
      <c r="AI16" s="47">
        <f ca="1">+AH16/$J$49</f>
        <v>263341.90103557013</v>
      </c>
      <c r="AJ16" s="47">
        <f ca="1">+AI16*$J$47</f>
        <v>6444.8038681135104</v>
      </c>
      <c r="AK16" s="45">
        <f ca="1">ROUND(+AJ16+AG16,5)</f>
        <v>556803.17169999995</v>
      </c>
    </row>
    <row r="17" spans="1:37" ht="15.6">
      <c r="A17" s="5"/>
      <c r="B17" s="74" t="s">
        <v>79</v>
      </c>
      <c r="C17" s="75"/>
      <c r="D17" s="5" t="s">
        <v>80</v>
      </c>
      <c r="E17" s="5"/>
      <c r="F17" s="59">
        <f t="shared" si="0"/>
        <v>11</v>
      </c>
      <c r="G17" s="21"/>
      <c r="H17" s="21"/>
      <c r="I17" s="21"/>
      <c r="K17" s="21"/>
      <c r="L17" s="49"/>
      <c r="M17" s="49"/>
      <c r="N17" s="70"/>
      <c r="O17" s="5"/>
      <c r="P17" s="5"/>
      <c r="R17" s="51">
        <v>2</v>
      </c>
      <c r="S17" s="52">
        <f ca="1">AK12/Investment*100</f>
        <v>127.04968749481189</v>
      </c>
      <c r="T17" s="65">
        <f ca="1">EXP(y_inter2-(slope*LN(+S17)))</f>
        <v>9.6010923406712738</v>
      </c>
      <c r="U17" s="54">
        <f ca="1">(+S17*T17/100)/100</f>
        <v>0.12198157814911173</v>
      </c>
      <c r="V17" s="54">
        <f>regDebt_weighted</f>
        <v>3.5860000000000003E-2</v>
      </c>
      <c r="W17" s="54">
        <f ca="1">+U17-V17</f>
        <v>8.6121578149111727E-2</v>
      </c>
      <c r="X17" s="54">
        <f ca="1">+((W17*(1-0.34))-Pfd_weighted)/Equity_percent</f>
        <v>0.14723907435585387</v>
      </c>
      <c r="Y17" s="54">
        <f>+Y16</f>
        <v>2.5000000000000001E-3</v>
      </c>
      <c r="Z17" s="54">
        <f ca="1">+X17+Y17</f>
        <v>0.14973907435585387</v>
      </c>
      <c r="AA17" s="54">
        <f ca="1">Z17*equityP</f>
        <v>7.6027730231976134E-2</v>
      </c>
      <c r="AB17" s="54">
        <f ca="1">+AA17/(1-taxrate)</f>
        <v>9.6237633205033077E-2</v>
      </c>
      <c r="AC17" s="54">
        <f>debtP*Debt_Rate</f>
        <v>2.0923576465567847E-2</v>
      </c>
      <c r="AD17" s="54">
        <f ca="1">+AC17+AB17</f>
        <v>0.11716120967060092</v>
      </c>
      <c r="AE17" s="54">
        <f ca="1">+AD17/(S17/100)</f>
        <v>9.2216842072425587E-2</v>
      </c>
      <c r="AF17" s="54">
        <f ca="1">1-AE17</f>
        <v>0.90778315792757436</v>
      </c>
      <c r="AG17" s="55">
        <f ca="1">expenses/(AF17)</f>
        <v>550358.36783661181</v>
      </c>
      <c r="AH17" s="56">
        <f ca="1">+AG17-Revenue</f>
        <v>232893.58298078331</v>
      </c>
      <c r="AI17" s="57">
        <f ca="1">+AH17/$J$49</f>
        <v>263341.90103557013</v>
      </c>
      <c r="AJ17" s="57">
        <f ca="1">+AI17*$J$47</f>
        <v>6444.8038681135104</v>
      </c>
      <c r="AK17" s="55">
        <f ca="1">ROUND(+AJ17+AG17,5)</f>
        <v>556803.17169999995</v>
      </c>
    </row>
    <row r="18" spans="1:37" ht="15.6">
      <c r="A18" s="5"/>
      <c r="B18" s="309"/>
      <c r="C18" s="309"/>
      <c r="D18" s="5"/>
      <c r="E18" s="5"/>
      <c r="F18" s="59">
        <f t="shared" si="0"/>
        <v>12</v>
      </c>
      <c r="G18" s="21"/>
      <c r="H18" s="76" t="s">
        <v>81</v>
      </c>
      <c r="I18" s="77"/>
      <c r="J18" s="77"/>
      <c r="K18" s="77"/>
      <c r="L18" s="77"/>
      <c r="M18" s="78"/>
      <c r="O18" s="5"/>
      <c r="P18" s="5"/>
      <c r="R18" s="60">
        <v>3</v>
      </c>
      <c r="S18" s="52">
        <f ca="1">AK13/Investment*100</f>
        <v>127.04968749481189</v>
      </c>
      <c r="T18" s="53">
        <f ca="1">EXP(y_inter3-(slope*LN(S18)))</f>
        <v>9.6010923406712738</v>
      </c>
      <c r="U18" s="54">
        <f ca="1">(+S18*T18/100)/100</f>
        <v>0.12198157814911173</v>
      </c>
      <c r="V18" s="54">
        <f>regDebt_weighted</f>
        <v>3.5860000000000003E-2</v>
      </c>
      <c r="W18" s="54">
        <f ca="1">+U18-V18</f>
        <v>8.6121578149111727E-2</v>
      </c>
      <c r="X18" s="54">
        <f ca="1">+((W18*(1-0.34))-Pfd_weighted)/Equity_percent</f>
        <v>0.14723907435585387</v>
      </c>
      <c r="Y18" s="54">
        <f>+Y17</f>
        <v>2.5000000000000001E-3</v>
      </c>
      <c r="Z18" s="54">
        <f ca="1">+X18+Y18</f>
        <v>0.14973907435585387</v>
      </c>
      <c r="AA18" s="54">
        <f ca="1">Z18*equityP</f>
        <v>7.6027730231976134E-2</v>
      </c>
      <c r="AB18" s="54">
        <f ca="1">+AA18/(1-taxrate)</f>
        <v>9.6237633205033077E-2</v>
      </c>
      <c r="AC18" s="54">
        <f>debtP*Debt_Rate</f>
        <v>2.0923576465567847E-2</v>
      </c>
      <c r="AD18" s="54">
        <f ca="1">+AC18+AB18</f>
        <v>0.11716120967060092</v>
      </c>
      <c r="AE18" s="54">
        <f ca="1">+AD18/(S18/100)</f>
        <v>9.2216842072425587E-2</v>
      </c>
      <c r="AF18" s="54">
        <f ca="1">1-AE18</f>
        <v>0.90778315792757436</v>
      </c>
      <c r="AG18" s="55">
        <f ca="1">expenses/(AF18)</f>
        <v>550358.36783661181</v>
      </c>
      <c r="AH18" s="56">
        <f ca="1">+AG18-Revenue</f>
        <v>232893.58298078331</v>
      </c>
      <c r="AI18" s="57">
        <f ca="1">+AH18/$J$49</f>
        <v>263341.90103557013</v>
      </c>
      <c r="AJ18" s="57">
        <f ca="1">+AI18*$J$47</f>
        <v>6444.8038681135104</v>
      </c>
      <c r="AK18" s="55">
        <f ca="1">ROUND(+AJ18+AG18,5)</f>
        <v>556803.17169999995</v>
      </c>
    </row>
    <row r="19" spans="1:37" ht="15.6">
      <c r="A19" s="5"/>
      <c r="B19" s="310" t="s">
        <v>82</v>
      </c>
      <c r="C19" s="310"/>
      <c r="D19" s="5"/>
      <c r="E19" s="5"/>
      <c r="F19" s="59">
        <f t="shared" si="0"/>
        <v>13</v>
      </c>
      <c r="G19" s="21"/>
      <c r="H19" s="27"/>
      <c r="I19" s="49" t="s">
        <v>83</v>
      </c>
      <c r="J19" s="50">
        <f>+Revenue</f>
        <v>317464.7848558285</v>
      </c>
      <c r="K19" s="79"/>
      <c r="L19" s="49" t="s">
        <v>84</v>
      </c>
      <c r="M19" s="80">
        <f ca="1">+J7</f>
        <v>232893.67872697162</v>
      </c>
      <c r="O19" s="5"/>
      <c r="P19" s="5"/>
      <c r="R19" s="63">
        <v>4</v>
      </c>
      <c r="S19" s="52">
        <f ca="1">AK14/Investment*100</f>
        <v>127.04968749481189</v>
      </c>
      <c r="T19" s="68">
        <f ca="1">EXP(y_inter4-(slope*LN(S19)))</f>
        <v>9.6010923406712738</v>
      </c>
      <c r="U19" s="54">
        <f ca="1">(+S19*T19/100)/100</f>
        <v>0.12198157814911173</v>
      </c>
      <c r="V19" s="54">
        <f>regDebt_weighted</f>
        <v>3.5860000000000003E-2</v>
      </c>
      <c r="W19" s="54">
        <f ca="1">+U19-V19</f>
        <v>8.6121578149111727E-2</v>
      </c>
      <c r="X19" s="54">
        <f ca="1">+((W19*(1-0.34))-Pfd_weighted)/Equity_percent</f>
        <v>0.14723907435585387</v>
      </c>
      <c r="Y19" s="54">
        <f>+Y18</f>
        <v>2.5000000000000001E-3</v>
      </c>
      <c r="Z19" s="54">
        <f ca="1">+X19+Y19</f>
        <v>0.14973907435585387</v>
      </c>
      <c r="AA19" s="54">
        <f ca="1">Z19*equityP</f>
        <v>7.6027730231976134E-2</v>
      </c>
      <c r="AB19" s="54">
        <f ca="1">+AA19/(1-taxrate)</f>
        <v>9.6237633205033077E-2</v>
      </c>
      <c r="AC19" s="54">
        <f>debtP*Debt_Rate</f>
        <v>2.0923576465567847E-2</v>
      </c>
      <c r="AD19" s="54">
        <f ca="1">+AC19+AB19</f>
        <v>0.11716120967060092</v>
      </c>
      <c r="AE19" s="54">
        <f ca="1">+AD19/(S19/100)</f>
        <v>9.2216842072425587E-2</v>
      </c>
      <c r="AF19" s="54">
        <f ca="1">1-AE19</f>
        <v>0.90778315792757436</v>
      </c>
      <c r="AG19" s="55">
        <f ca="1">expenses/(AF19)</f>
        <v>550358.36783661181</v>
      </c>
      <c r="AH19" s="56">
        <f ca="1">+AG19-Revenue</f>
        <v>232893.58298078331</v>
      </c>
      <c r="AI19" s="57">
        <f ca="1">+AH19/$J$49</f>
        <v>263341.90103557013</v>
      </c>
      <c r="AJ19" s="57">
        <f ca="1">+AI19*$J$47</f>
        <v>6444.8038681135104</v>
      </c>
      <c r="AK19" s="55">
        <f ca="1">ROUND(+AJ19+AG19,5)</f>
        <v>556803.17169999995</v>
      </c>
    </row>
    <row r="20" spans="1:37" ht="15.6">
      <c r="A20" s="5"/>
      <c r="B20" s="75"/>
      <c r="C20" s="5"/>
      <c r="D20" s="5"/>
      <c r="E20" s="5"/>
      <c r="F20" s="59">
        <f t="shared" si="0"/>
        <v>14</v>
      </c>
      <c r="G20" s="21"/>
      <c r="H20" s="27"/>
      <c r="I20" s="49" t="s">
        <v>85</v>
      </c>
      <c r="J20" s="50">
        <f ca="1">+J21-J19</f>
        <v>239338.48524464469</v>
      </c>
      <c r="K20" s="81"/>
      <c r="L20" s="49" t="s">
        <v>86</v>
      </c>
      <c r="M20" s="80">
        <f ca="1">+L8</f>
        <v>6444.8065176730161</v>
      </c>
      <c r="O20" s="5"/>
      <c r="P20" s="5"/>
      <c r="R20" s="24" t="s">
        <v>87</v>
      </c>
    </row>
    <row r="21" spans="1:37" ht="16.2" thickBot="1">
      <c r="A21" s="5"/>
      <c r="B21" s="75"/>
      <c r="C21" s="75"/>
      <c r="D21" s="5"/>
      <c r="E21" s="5"/>
      <c r="F21" s="59">
        <f t="shared" si="0"/>
        <v>15</v>
      </c>
      <c r="G21" s="21"/>
      <c r="H21" s="27"/>
      <c r="I21" s="82" t="s">
        <v>81</v>
      </c>
      <c r="J21" s="83">
        <f ca="1">+M7</f>
        <v>556803.27010047319</v>
      </c>
      <c r="L21" s="82" t="s">
        <v>85</v>
      </c>
      <c r="M21" s="84">
        <f ca="1">+M19+M20</f>
        <v>239338.48524464463</v>
      </c>
      <c r="O21" s="5"/>
      <c r="P21" s="5"/>
      <c r="R21" s="41">
        <v>1</v>
      </c>
      <c r="S21" s="42">
        <f ca="1">AK16/Investment*100</f>
        <v>127.05294816875885</v>
      </c>
      <c r="T21" s="43">
        <f ca="1">EXP(y_inter1-(slope*LN(+S21)))</f>
        <v>9.6010180456537952</v>
      </c>
      <c r="U21" s="44">
        <f ca="1">(+S21*T21/100)/100</f>
        <v>0.121983764812177</v>
      </c>
      <c r="V21" s="44">
        <f>regDebt_weighted</f>
        <v>3.5860000000000003E-2</v>
      </c>
      <c r="W21" s="44">
        <f ca="1">+U21-V21</f>
        <v>8.6123764812176998E-2</v>
      </c>
      <c r="X21" s="44">
        <f ca="1">+((W21*(1-0.34))-Pfd_weighted)/Equity_percent</f>
        <v>0.14724326969778145</v>
      </c>
      <c r="Y21" s="44">
        <f>+Y19</f>
        <v>2.5000000000000001E-3</v>
      </c>
      <c r="Z21" s="44">
        <f ca="1">+X21+Y21</f>
        <v>0.14974326969778146</v>
      </c>
      <c r="AA21" s="44">
        <f ca="1">Z21*equityP</f>
        <v>7.6029860352825843E-2</v>
      </c>
      <c r="AB21" s="44">
        <f ca="1">+AA21/(1-taxrate)</f>
        <v>9.6240329560539031E-2</v>
      </c>
      <c r="AC21" s="44">
        <f>debtP*Debt_Rate</f>
        <v>2.0923576465567847E-2</v>
      </c>
      <c r="AD21" s="44">
        <f ca="1">+AC21+AB21</f>
        <v>0.11716390602610688</v>
      </c>
      <c r="AE21" s="44">
        <f ca="1">+AD21/(S21/100)</f>
        <v>9.2216597658547214E-2</v>
      </c>
      <c r="AF21" s="44">
        <f ca="1">1-AE21</f>
        <v>0.90778340234145283</v>
      </c>
      <c r="AG21" s="45">
        <f ca="1">expenses/(AF21)</f>
        <v>550358.21965674555</v>
      </c>
      <c r="AH21" s="46">
        <f ca="1">+AG21-Revenue</f>
        <v>232893.43480091705</v>
      </c>
      <c r="AI21" s="47">
        <f ca="1">+AH21/$J$49</f>
        <v>263341.73348278838</v>
      </c>
      <c r="AJ21" s="47">
        <f ca="1">+AI21*$J$47</f>
        <v>6444.7997675704082</v>
      </c>
      <c r="AK21" s="45">
        <f ca="1">ROUND(+AJ21+AG21,5)</f>
        <v>556803.01942000003</v>
      </c>
    </row>
    <row r="22" spans="1:37" ht="21" customHeight="1" thickTop="1">
      <c r="A22" s="5"/>
      <c r="B22" s="75"/>
      <c r="C22" s="5"/>
      <c r="D22" s="5"/>
      <c r="E22" s="5"/>
      <c r="F22" s="59">
        <f t="shared" si="0"/>
        <v>16</v>
      </c>
      <c r="G22" s="21"/>
      <c r="H22" s="85"/>
      <c r="I22" s="86"/>
      <c r="J22" s="87" t="s">
        <v>88</v>
      </c>
      <c r="K22" s="88">
        <f ca="1">+(J21/J19)-1</f>
        <v>0.75390561933770517</v>
      </c>
      <c r="L22" s="86"/>
      <c r="M22" s="89"/>
      <c r="O22" s="5"/>
      <c r="P22" s="5"/>
      <c r="R22" s="51">
        <v>2</v>
      </c>
      <c r="S22" s="52">
        <f ca="1">AK17/Investment*100</f>
        <v>127.05294816875885</v>
      </c>
      <c r="T22" s="65">
        <f ca="1">EXP(y_inter2-(slope*LN(+S22)))</f>
        <v>9.6010180456537952</v>
      </c>
      <c r="U22" s="54">
        <f ca="1">(+S22*T22/100)/100</f>
        <v>0.121983764812177</v>
      </c>
      <c r="V22" s="54">
        <f>regDebt_weighted</f>
        <v>3.5860000000000003E-2</v>
      </c>
      <c r="W22" s="54">
        <f ca="1">+U22-V22</f>
        <v>8.6123764812176998E-2</v>
      </c>
      <c r="X22" s="54">
        <f ca="1">+((W22*(1-0.34))-Pfd_weighted)/Equity_percent</f>
        <v>0.14724326969778145</v>
      </c>
      <c r="Y22" s="54">
        <f>+Y21</f>
        <v>2.5000000000000001E-3</v>
      </c>
      <c r="Z22" s="54">
        <f ca="1">+X22+Y22</f>
        <v>0.14974326969778146</v>
      </c>
      <c r="AA22" s="54">
        <f ca="1">Z22*equityP</f>
        <v>7.6029860352825843E-2</v>
      </c>
      <c r="AB22" s="54">
        <f ca="1">+AA22/(1-taxrate)</f>
        <v>9.6240329560539031E-2</v>
      </c>
      <c r="AC22" s="54">
        <f>debtP*Debt_Rate</f>
        <v>2.0923576465567847E-2</v>
      </c>
      <c r="AD22" s="54">
        <f ca="1">+AC22+AB22</f>
        <v>0.11716390602610688</v>
      </c>
      <c r="AE22" s="54">
        <f ca="1">+AD22/(S22/100)</f>
        <v>9.2216597658547214E-2</v>
      </c>
      <c r="AF22" s="54">
        <f ca="1">1-AE22</f>
        <v>0.90778340234145283</v>
      </c>
      <c r="AG22" s="55">
        <f ca="1">expenses/(AF22)</f>
        <v>550358.21965674555</v>
      </c>
      <c r="AH22" s="56">
        <f ca="1">+AG22-Revenue</f>
        <v>232893.43480091705</v>
      </c>
      <c r="AI22" s="57">
        <f ca="1">+AH22/$J$49</f>
        <v>263341.73348278838</v>
      </c>
      <c r="AJ22" s="57">
        <f ca="1">+AI22*$J$47</f>
        <v>6444.7997675704082</v>
      </c>
      <c r="AK22" s="55">
        <f ca="1">ROUND(+AJ22+AG22,5)</f>
        <v>556803.01942000003</v>
      </c>
    </row>
    <row r="23" spans="1:37" ht="15.6">
      <c r="A23" s="5"/>
      <c r="B23" s="90" t="s">
        <v>89</v>
      </c>
      <c r="C23" s="91"/>
      <c r="D23" s="91"/>
      <c r="E23" s="91"/>
      <c r="F23" s="59">
        <f t="shared" si="0"/>
        <v>17</v>
      </c>
      <c r="H23" s="21"/>
      <c r="I23" s="21"/>
      <c r="J23" s="21"/>
      <c r="K23" s="21"/>
      <c r="L23" s="21"/>
      <c r="M23" s="21"/>
      <c r="N23" s="21"/>
      <c r="O23" s="5"/>
      <c r="P23" s="5"/>
      <c r="R23" s="60">
        <v>3</v>
      </c>
      <c r="S23" s="52">
        <f ca="1">AK18/Investment*100</f>
        <v>127.05294816875885</v>
      </c>
      <c r="T23" s="53">
        <f ca="1">EXP(y_inter3-(slope*LN(S23)))</f>
        <v>9.6010180456537952</v>
      </c>
      <c r="U23" s="54">
        <f ca="1">(+S23*T23/100)/100</f>
        <v>0.121983764812177</v>
      </c>
      <c r="V23" s="54">
        <f>regDebt_weighted</f>
        <v>3.5860000000000003E-2</v>
      </c>
      <c r="W23" s="54">
        <f ca="1">+U23-V23</f>
        <v>8.6123764812176998E-2</v>
      </c>
      <c r="X23" s="54">
        <f ca="1">+((W23*(1-0.34))-Pfd_weighted)/Equity_percent</f>
        <v>0.14724326969778145</v>
      </c>
      <c r="Y23" s="54">
        <f>+Y22</f>
        <v>2.5000000000000001E-3</v>
      </c>
      <c r="Z23" s="54">
        <f ca="1">+X23+Y23</f>
        <v>0.14974326969778146</v>
      </c>
      <c r="AA23" s="54">
        <f ca="1">Z23*equityP</f>
        <v>7.6029860352825843E-2</v>
      </c>
      <c r="AB23" s="54">
        <f ca="1">+AA23/(1-taxrate)</f>
        <v>9.6240329560539031E-2</v>
      </c>
      <c r="AC23" s="54">
        <f>debtP*Debt_Rate</f>
        <v>2.0923576465567847E-2</v>
      </c>
      <c r="AD23" s="54">
        <f ca="1">+AC23+AB23</f>
        <v>0.11716390602610688</v>
      </c>
      <c r="AE23" s="54">
        <f ca="1">+AD23/(S23/100)</f>
        <v>9.2216597658547214E-2</v>
      </c>
      <c r="AF23" s="54">
        <f ca="1">1-AE23</f>
        <v>0.90778340234145283</v>
      </c>
      <c r="AG23" s="55">
        <f ca="1">expenses/(AF23)</f>
        <v>550358.21965674555</v>
      </c>
      <c r="AH23" s="56">
        <f ca="1">+AG23-Revenue</f>
        <v>232893.43480091705</v>
      </c>
      <c r="AI23" s="57">
        <f ca="1">+AH23/$J$49</f>
        <v>263341.73348278838</v>
      </c>
      <c r="AJ23" s="57">
        <f ca="1">+AI23*$J$47</f>
        <v>6444.7997675704082</v>
      </c>
      <c r="AK23" s="55">
        <f ca="1">ROUND(+AJ23+AG23,5)</f>
        <v>556803.01942000003</v>
      </c>
    </row>
    <row r="24" spans="1:37" ht="15.6">
      <c r="A24" s="5"/>
      <c r="B24" s="92" t="s">
        <v>90</v>
      </c>
      <c r="C24" s="91"/>
      <c r="D24" s="91"/>
      <c r="E24" s="91"/>
      <c r="F24" s="59">
        <f t="shared" si="0"/>
        <v>18</v>
      </c>
      <c r="H24" s="93" t="s">
        <v>91</v>
      </c>
      <c r="K24" s="94" t="s">
        <v>92</v>
      </c>
      <c r="L24" s="94"/>
      <c r="M24" s="94"/>
      <c r="N24" s="94"/>
      <c r="O24" s="5"/>
      <c r="P24" s="5"/>
      <c r="R24" s="63">
        <v>4</v>
      </c>
      <c r="S24" s="52">
        <f ca="1">AK19/Investment*100</f>
        <v>127.05294816875885</v>
      </c>
      <c r="T24" s="68">
        <f ca="1">EXP(y_inter4-(slope*LN(S24)))</f>
        <v>9.6010180456537952</v>
      </c>
      <c r="U24" s="54">
        <f ca="1">(+S24*T24/100)/100</f>
        <v>0.121983764812177</v>
      </c>
      <c r="V24" s="54">
        <f>regDebt_weighted</f>
        <v>3.5860000000000003E-2</v>
      </c>
      <c r="W24" s="54">
        <f ca="1">+U24-V24</f>
        <v>8.6123764812176998E-2</v>
      </c>
      <c r="X24" s="54">
        <f ca="1">+((W24*(1-0.34))-Pfd_weighted)/Equity_percent</f>
        <v>0.14724326969778145</v>
      </c>
      <c r="Y24" s="54">
        <f>+Y23</f>
        <v>2.5000000000000001E-3</v>
      </c>
      <c r="Z24" s="54">
        <f ca="1">+X24+Y24</f>
        <v>0.14974326969778146</v>
      </c>
      <c r="AA24" s="54">
        <f ca="1">Z24*equityP</f>
        <v>7.6029860352825843E-2</v>
      </c>
      <c r="AB24" s="54">
        <f ca="1">+AA24/(1-taxrate)</f>
        <v>9.6240329560539031E-2</v>
      </c>
      <c r="AC24" s="54">
        <f>debtP*Debt_Rate</f>
        <v>2.0923576465567847E-2</v>
      </c>
      <c r="AD24" s="54">
        <f ca="1">+AC24+AB24</f>
        <v>0.11716390602610688</v>
      </c>
      <c r="AE24" s="54">
        <f ca="1">+AD24/(S24/100)</f>
        <v>9.2216597658547214E-2</v>
      </c>
      <c r="AF24" s="54">
        <f ca="1">1-AE24</f>
        <v>0.90778340234145283</v>
      </c>
      <c r="AG24" s="55">
        <f ca="1">expenses/(AF24)</f>
        <v>550358.21965674555</v>
      </c>
      <c r="AH24" s="56">
        <f ca="1">+AG24-Revenue</f>
        <v>232893.43480091705</v>
      </c>
      <c r="AI24" s="57">
        <f ca="1">+AH24/$J$49</f>
        <v>263341.73348278838</v>
      </c>
      <c r="AJ24" s="57">
        <f ca="1">+AI24*$J$47</f>
        <v>6444.7997675704082</v>
      </c>
      <c r="AK24" s="55">
        <f ca="1">ROUND(+AJ24+AG24,5)</f>
        <v>556803.01942000003</v>
      </c>
    </row>
    <row r="25" spans="1:37" ht="15.6">
      <c r="A25" s="5"/>
      <c r="B25" s="92" t="s">
        <v>93</v>
      </c>
      <c r="C25" s="91"/>
      <c r="D25" s="91"/>
      <c r="E25" s="91"/>
      <c r="F25" s="59">
        <f t="shared" si="0"/>
        <v>19</v>
      </c>
      <c r="H25" s="95" t="s">
        <v>94</v>
      </c>
      <c r="I25" s="96" t="s">
        <v>95</v>
      </c>
      <c r="J25" s="97" t="s">
        <v>96</v>
      </c>
      <c r="K25" s="95" t="s">
        <v>97</v>
      </c>
      <c r="L25" s="97" t="s">
        <v>98</v>
      </c>
      <c r="M25" s="97" t="s">
        <v>96</v>
      </c>
      <c r="O25" s="5"/>
      <c r="P25" s="5"/>
      <c r="R25" s="24" t="s">
        <v>99</v>
      </c>
      <c r="W25" s="98"/>
      <c r="X25" s="99"/>
      <c r="Y25" s="99"/>
      <c r="Z25" s="99"/>
      <c r="AA25" s="53"/>
      <c r="AB25" s="53"/>
      <c r="AC25" s="99"/>
      <c r="AE25" s="99"/>
      <c r="AF25" s="99"/>
      <c r="AG25" s="53"/>
      <c r="AH25" s="98"/>
    </row>
    <row r="26" spans="1:37" ht="15.6">
      <c r="A26" s="5"/>
      <c r="B26" s="92" t="s">
        <v>100</v>
      </c>
      <c r="C26" s="91"/>
      <c r="D26" s="91"/>
      <c r="E26" s="91"/>
      <c r="F26" s="59">
        <f t="shared" si="0"/>
        <v>20</v>
      </c>
      <c r="H26" s="49" t="s">
        <v>50</v>
      </c>
      <c r="I26" s="100">
        <f>1-I27</f>
        <v>0.50773474164329857</v>
      </c>
      <c r="J26" s="101">
        <f>+I26*J28</f>
        <v>222512.20345848222</v>
      </c>
      <c r="K26" s="70">
        <f ca="1">+K34</f>
        <v>0.14763404056235332</v>
      </c>
      <c r="L26" s="100">
        <f ca="1">+K26*I26</f>
        <v>7.495893144268273E-2</v>
      </c>
      <c r="M26" s="50">
        <f ca="1">+J26*K26</f>
        <v>32850.37567100818</v>
      </c>
      <c r="O26" s="5"/>
      <c r="P26" s="5"/>
      <c r="R26" s="41">
        <v>1</v>
      </c>
      <c r="S26" s="42">
        <f ca="1">AK21/Investment*100</f>
        <v>127.05291342107077</v>
      </c>
      <c r="T26" s="43">
        <f ca="1">EXP(y_inter1-(slope*LN(+S26)))</f>
        <v>9.6010188373727736</v>
      </c>
      <c r="U26" s="44">
        <f ca="1">(+S26*T26/100)/100</f>
        <v>0.12198374150987924</v>
      </c>
      <c r="V26" s="44">
        <f>regDebt_weighted</f>
        <v>3.5860000000000003E-2</v>
      </c>
      <c r="W26" s="44">
        <f ca="1">+U26-V26</f>
        <v>8.612374150987924E-2</v>
      </c>
      <c r="X26" s="44">
        <f ca="1">+((W26*(1-0.34))-Pfd_weighted)/Equity_percent</f>
        <v>0.14724322498988457</v>
      </c>
      <c r="Y26" s="44">
        <f>+Y24</f>
        <v>2.5000000000000001E-3</v>
      </c>
      <c r="Z26" s="44">
        <f ca="1">+X26+Y26</f>
        <v>0.14974322498988457</v>
      </c>
      <c r="AA26" s="44">
        <f ca="1">Z26*equityP</f>
        <v>7.6029837653073376E-2</v>
      </c>
      <c r="AB26" s="44">
        <f ca="1">+AA26/(1-taxrate)</f>
        <v>9.624030082667516E-2</v>
      </c>
      <c r="AC26" s="44">
        <f>debtP*Debt_Rate</f>
        <v>2.0923576465567847E-2</v>
      </c>
      <c r="AD26" s="44">
        <f ca="1">+AC26+AB26</f>
        <v>0.11716387729224301</v>
      </c>
      <c r="AE26" s="44">
        <f ca="1">+AD26/(S26/100)</f>
        <v>9.221660026318787E-2</v>
      </c>
      <c r="AF26" s="44">
        <f ca="1">1-AE26</f>
        <v>0.9077833997368121</v>
      </c>
      <c r="AG26" s="45">
        <f ca="1">expenses/(AF26)</f>
        <v>550358.22123585059</v>
      </c>
      <c r="AH26" s="46">
        <f ca="1">+AG26-Revenue</f>
        <v>232893.43638002209</v>
      </c>
      <c r="AI26" s="47">
        <f ca="1">+AH26/$J$49</f>
        <v>263341.73526834435</v>
      </c>
      <c r="AJ26" s="47">
        <f ca="1">+AI26*$J$47</f>
        <v>6444.7998112685736</v>
      </c>
      <c r="AK26" s="45">
        <f ca="1">ROUND(+AJ26+AG26,5)</f>
        <v>556803.02104999998</v>
      </c>
    </row>
    <row r="27" spans="1:37" ht="15.6">
      <c r="A27" s="5"/>
      <c r="B27" s="92" t="s">
        <v>101</v>
      </c>
      <c r="C27" s="91"/>
      <c r="D27" s="91"/>
      <c r="E27" s="91"/>
      <c r="F27" s="59">
        <f t="shared" si="0"/>
        <v>21</v>
      </c>
      <c r="H27" s="49" t="s">
        <v>52</v>
      </c>
      <c r="I27" s="100">
        <f>IF(A64=TRUE,C8,0)</f>
        <v>0.49226525835670143</v>
      </c>
      <c r="J27" s="102">
        <f>+I27*J28</f>
        <v>215732.78001126199</v>
      </c>
      <c r="K27" s="70">
        <f>IF(A64=TRUE,C9,0)</f>
        <v>4.250467834235494E-2</v>
      </c>
      <c r="L27" s="100">
        <f>+K27*I27</f>
        <v>2.0923576465567847E-2</v>
      </c>
      <c r="M27" s="50">
        <f>+K27*J27</f>
        <v>9169.6524222807093</v>
      </c>
      <c r="O27" s="5"/>
      <c r="P27" s="5"/>
      <c r="R27" s="51">
        <v>2</v>
      </c>
      <c r="S27" s="52">
        <f ca="1">AK22/Investment*100</f>
        <v>127.05291342107077</v>
      </c>
      <c r="T27" s="65">
        <f ca="1">EXP(y_inter2-(slope*LN(+S27)))</f>
        <v>9.6010188373727736</v>
      </c>
      <c r="U27" s="54">
        <f ca="1">(+S27*T27/100)/100</f>
        <v>0.12198374150987924</v>
      </c>
      <c r="V27" s="54">
        <f>regDebt_weighted</f>
        <v>3.5860000000000003E-2</v>
      </c>
      <c r="W27" s="54">
        <f ca="1">+U27-V27</f>
        <v>8.612374150987924E-2</v>
      </c>
      <c r="X27" s="54">
        <f ca="1">+((W27*(1-0.34))-Pfd_weighted)/Equity_percent</f>
        <v>0.14724322498988457</v>
      </c>
      <c r="Y27" s="54">
        <f>+Y26</f>
        <v>2.5000000000000001E-3</v>
      </c>
      <c r="Z27" s="54">
        <f ca="1">+X27+Y27</f>
        <v>0.14974322498988457</v>
      </c>
      <c r="AA27" s="54">
        <f ca="1">Z27*equityP</f>
        <v>7.6029837653073376E-2</v>
      </c>
      <c r="AB27" s="54">
        <f ca="1">+AA27/(1-taxrate)</f>
        <v>9.624030082667516E-2</v>
      </c>
      <c r="AC27" s="54">
        <f>debtP*Debt_Rate</f>
        <v>2.0923576465567847E-2</v>
      </c>
      <c r="AD27" s="54">
        <f ca="1">+AC27+AB27</f>
        <v>0.11716387729224301</v>
      </c>
      <c r="AE27" s="54">
        <f ca="1">+AD27/(S27/100)</f>
        <v>9.221660026318787E-2</v>
      </c>
      <c r="AF27" s="54">
        <f ca="1">1-AE27</f>
        <v>0.9077833997368121</v>
      </c>
      <c r="AG27" s="55">
        <f ca="1">expenses/(AF27)</f>
        <v>550358.22123585059</v>
      </c>
      <c r="AH27" s="56">
        <f ca="1">+AG27-Revenue</f>
        <v>232893.43638002209</v>
      </c>
      <c r="AI27" s="57">
        <f ca="1">+AH27/$J$49</f>
        <v>263341.73526834435</v>
      </c>
      <c r="AJ27" s="57">
        <f ca="1">+AI27*$J$47</f>
        <v>6444.7998112685736</v>
      </c>
      <c r="AK27" s="55">
        <f ca="1">ROUND(+AJ27+AG27,5)</f>
        <v>556803.02104999998</v>
      </c>
    </row>
    <row r="28" spans="1:37" ht="16.2" thickBot="1">
      <c r="A28" s="5"/>
      <c r="B28" s="5"/>
      <c r="C28" s="5"/>
      <c r="D28" s="5"/>
      <c r="E28" s="5"/>
      <c r="F28" s="59">
        <f t="shared" si="0"/>
        <v>22</v>
      </c>
      <c r="H28" s="49" t="s">
        <v>102</v>
      </c>
      <c r="I28" s="100">
        <f>SUM(I26:I27)</f>
        <v>1</v>
      </c>
      <c r="J28" s="103">
        <f>IF(A64=TRUE,C7,0)</f>
        <v>438244.98346974421</v>
      </c>
      <c r="K28" s="104"/>
      <c r="L28" s="105">
        <f ca="1">SUM(L26:L27)</f>
        <v>9.5882507908250578E-2</v>
      </c>
      <c r="M28" s="103">
        <f ca="1">SUM(M26:M27)</f>
        <v>42020.028093288885</v>
      </c>
      <c r="O28" s="5"/>
      <c r="P28" s="5"/>
      <c r="R28" s="60">
        <v>3</v>
      </c>
      <c r="S28" s="52">
        <f ca="1">AK23/Investment*100</f>
        <v>127.05291342107077</v>
      </c>
      <c r="T28" s="53">
        <f ca="1">EXP(y_inter3-(slope*LN(S28)))</f>
        <v>9.6010188373727736</v>
      </c>
      <c r="U28" s="54">
        <f ca="1">(+S28*T28/100)/100</f>
        <v>0.12198374150987924</v>
      </c>
      <c r="V28" s="54">
        <f>regDebt_weighted</f>
        <v>3.5860000000000003E-2</v>
      </c>
      <c r="W28" s="54">
        <f ca="1">+U28-V28</f>
        <v>8.612374150987924E-2</v>
      </c>
      <c r="X28" s="54">
        <f ca="1">+((W28*(1-0.34))-Pfd_weighted)/Equity_percent</f>
        <v>0.14724322498988457</v>
      </c>
      <c r="Y28" s="54">
        <f>+Y27</f>
        <v>2.5000000000000001E-3</v>
      </c>
      <c r="Z28" s="54">
        <f ca="1">+X28+Y28</f>
        <v>0.14974322498988457</v>
      </c>
      <c r="AA28" s="54">
        <f ca="1">Z28*equityP</f>
        <v>7.6029837653073376E-2</v>
      </c>
      <c r="AB28" s="54">
        <f ca="1">+AA28/(1-taxrate)</f>
        <v>9.624030082667516E-2</v>
      </c>
      <c r="AC28" s="54">
        <f>debtP*Debt_Rate</f>
        <v>2.0923576465567847E-2</v>
      </c>
      <c r="AD28" s="54">
        <f ca="1">+AC28+AB28</f>
        <v>0.11716387729224301</v>
      </c>
      <c r="AE28" s="54">
        <f ca="1">+AD28/(S28/100)</f>
        <v>9.221660026318787E-2</v>
      </c>
      <c r="AF28" s="54">
        <f ca="1">1-AE28</f>
        <v>0.9077833997368121</v>
      </c>
      <c r="AG28" s="55">
        <f ca="1">expenses/(AF28)</f>
        <v>550358.22123585059</v>
      </c>
      <c r="AH28" s="56">
        <f ca="1">+AG28-Revenue</f>
        <v>232893.43638002209</v>
      </c>
      <c r="AI28" s="57">
        <f ca="1">+AH28/$J$49</f>
        <v>263341.73526834435</v>
      </c>
      <c r="AJ28" s="57">
        <f ca="1">+AI28*$J$47</f>
        <v>6444.7998112685736</v>
      </c>
      <c r="AK28" s="55">
        <f ca="1">ROUND(+AJ28+AG28,5)</f>
        <v>556803.02104999998</v>
      </c>
    </row>
    <row r="29" spans="1:37" ht="16.2" thickTop="1">
      <c r="A29" s="5"/>
      <c r="B29" s="5"/>
      <c r="C29" s="5"/>
      <c r="D29" s="5"/>
      <c r="E29" s="5"/>
      <c r="F29" s="59">
        <f t="shared" si="0"/>
        <v>23</v>
      </c>
      <c r="G29" s="21"/>
      <c r="H29" s="21"/>
      <c r="I29" s="21"/>
      <c r="J29" s="21"/>
      <c r="K29" s="21"/>
      <c r="L29" s="21"/>
      <c r="M29" s="21"/>
      <c r="N29" s="21"/>
      <c r="O29" s="5"/>
      <c r="P29" s="5"/>
      <c r="R29" s="63">
        <v>4</v>
      </c>
      <c r="S29" s="52">
        <f ca="1">AK24/Investment*100</f>
        <v>127.05291342107077</v>
      </c>
      <c r="T29" s="68">
        <f ca="1">EXP(y_inter4-(slope*LN(S29)))</f>
        <v>9.6010188373727736</v>
      </c>
      <c r="U29" s="54">
        <f ca="1">(+S29*T29/100)/100</f>
        <v>0.12198374150987924</v>
      </c>
      <c r="V29" s="54">
        <f>regDebt_weighted</f>
        <v>3.5860000000000003E-2</v>
      </c>
      <c r="W29" s="54">
        <f ca="1">+U29-V29</f>
        <v>8.612374150987924E-2</v>
      </c>
      <c r="X29" s="54">
        <f ca="1">+((W29*(1-0.34))-Pfd_weighted)/Equity_percent</f>
        <v>0.14724322498988457</v>
      </c>
      <c r="Y29" s="54">
        <f>+Y28</f>
        <v>2.5000000000000001E-3</v>
      </c>
      <c r="Z29" s="54">
        <f ca="1">+X29+Y29</f>
        <v>0.14974322498988457</v>
      </c>
      <c r="AA29" s="54">
        <f ca="1">Z29*equityP</f>
        <v>7.6029837653073376E-2</v>
      </c>
      <c r="AB29" s="54">
        <f ca="1">+AA29/(1-taxrate)</f>
        <v>9.624030082667516E-2</v>
      </c>
      <c r="AC29" s="54">
        <f>debtP*Debt_Rate</f>
        <v>2.0923576465567847E-2</v>
      </c>
      <c r="AD29" s="54">
        <f ca="1">+AC29+AB29</f>
        <v>0.11716387729224301</v>
      </c>
      <c r="AE29" s="54">
        <f ca="1">+AD29/(S29/100)</f>
        <v>9.221660026318787E-2</v>
      </c>
      <c r="AF29" s="54">
        <f ca="1">1-AE29</f>
        <v>0.9077833997368121</v>
      </c>
      <c r="AG29" s="55">
        <f ca="1">expenses/(AF29)</f>
        <v>550358.22123585059</v>
      </c>
      <c r="AH29" s="56">
        <f ca="1">+AG29-Revenue</f>
        <v>232893.43638002209</v>
      </c>
      <c r="AI29" s="57">
        <f ca="1">+AH29/$J$49</f>
        <v>263341.73526834435</v>
      </c>
      <c r="AJ29" s="57">
        <f ca="1">+AI29*$J$47</f>
        <v>6444.7998112685736</v>
      </c>
      <c r="AK29" s="55">
        <f ca="1">ROUND(+AJ29+AG29,5)</f>
        <v>556803.02104999998</v>
      </c>
    </row>
    <row r="30" spans="1:37" ht="15.6">
      <c r="A30" s="5"/>
      <c r="B30" s="5"/>
      <c r="C30" s="5"/>
      <c r="D30" s="106"/>
      <c r="E30" s="5"/>
      <c r="F30" s="59">
        <f t="shared" si="0"/>
        <v>24</v>
      </c>
      <c r="G30" s="21"/>
      <c r="H30" s="21"/>
      <c r="I30" s="21"/>
      <c r="J30" s="107" t="s">
        <v>103</v>
      </c>
      <c r="K30" s="107" t="s">
        <v>104</v>
      </c>
      <c r="L30" s="21"/>
      <c r="M30" s="21"/>
      <c r="N30" s="21"/>
      <c r="O30" s="5"/>
      <c r="P30" s="5"/>
      <c r="R30" s="24" t="s">
        <v>105</v>
      </c>
      <c r="W30" s="98"/>
      <c r="X30" s="99"/>
      <c r="Z30" s="99"/>
      <c r="AA30" s="53"/>
      <c r="AB30" s="53"/>
      <c r="AC30" s="99"/>
      <c r="AE30" s="99"/>
      <c r="AF30" s="99"/>
      <c r="AG30" s="53"/>
      <c r="AH30" s="98"/>
      <c r="AJ30" s="53"/>
    </row>
    <row r="31" spans="1:37" ht="15.6">
      <c r="A31" s="5"/>
      <c r="B31" s="5"/>
      <c r="C31" s="5"/>
      <c r="D31" s="106"/>
      <c r="E31" s="5"/>
      <c r="F31" s="59">
        <f t="shared" si="0"/>
        <v>25</v>
      </c>
      <c r="G31" s="21"/>
      <c r="H31" s="108" t="s">
        <v>106</v>
      </c>
      <c r="I31" s="109"/>
      <c r="J31" s="110" t="s">
        <v>107</v>
      </c>
      <c r="K31" s="110" t="s">
        <v>107</v>
      </c>
      <c r="L31" s="311"/>
      <c r="M31" s="311"/>
      <c r="N31" s="311"/>
      <c r="O31" s="5"/>
      <c r="P31" s="5"/>
      <c r="R31" s="41">
        <v>1</v>
      </c>
      <c r="S31" s="42">
        <f ca="1">AK26/Investment*100</f>
        <v>127.05291379300886</v>
      </c>
      <c r="T31" s="43">
        <f ca="1">EXP(y_inter1-(slope*LN(+S31)))</f>
        <v>9.6010188288982388</v>
      </c>
      <c r="U31" s="44">
        <f ca="1">(+S31*T31/100)/100</f>
        <v>0.12198374175930628</v>
      </c>
      <c r="V31" s="44">
        <f>regDebt_weighted</f>
        <v>3.5860000000000003E-2</v>
      </c>
      <c r="W31" s="44">
        <f ca="1">+U31-V31</f>
        <v>8.6123741759306274E-2</v>
      </c>
      <c r="X31" s="44">
        <f ca="1">+((W31*(1-0.34))-Pfd_weighted)/Equity_percent</f>
        <v>0.14724322546843646</v>
      </c>
      <c r="Y31" s="44">
        <f>+Y29</f>
        <v>2.5000000000000001E-3</v>
      </c>
      <c r="Z31" s="44">
        <f ca="1">+X31+Y31</f>
        <v>0.14974322546843646</v>
      </c>
      <c r="AA31" s="44">
        <f ca="1">Z31*equityP</f>
        <v>7.6029837896050792E-2</v>
      </c>
      <c r="AB31" s="44">
        <f ca="1">+AA31/(1-taxrate)</f>
        <v>9.6240301134241507E-2</v>
      </c>
      <c r="AC31" s="44">
        <f>debtP*Debt_Rate</f>
        <v>2.0923576465567847E-2</v>
      </c>
      <c r="AD31" s="44">
        <f ca="1">+AC31+AB31</f>
        <v>0.11716387759980935</v>
      </c>
      <c r="AE31" s="44">
        <f ca="1">+AD31/(S31/100)</f>
        <v>9.2216600235307908E-2</v>
      </c>
      <c r="AF31" s="44">
        <f ca="1">1-AE31</f>
        <v>0.90778339976469213</v>
      </c>
      <c r="AG31" s="45">
        <f ca="1">expenses/(AF31)</f>
        <v>550358.2212189479</v>
      </c>
      <c r="AH31" s="46">
        <f ca="1">+AG31-Revenue</f>
        <v>232893.4363631194</v>
      </c>
      <c r="AI31" s="47">
        <f ca="1">+AH31/$J$49</f>
        <v>263341.7352492318</v>
      </c>
      <c r="AJ31" s="47">
        <f ca="1">+AI31*$J$47</f>
        <v>6444.7998108008296</v>
      </c>
      <c r="AK31" s="45">
        <f ca="1">ROUND(+AJ31+AG31,5)</f>
        <v>556803.02102999995</v>
      </c>
    </row>
    <row r="32" spans="1:37" ht="15.6">
      <c r="A32" s="5"/>
      <c r="B32" s="5"/>
      <c r="C32" s="5"/>
      <c r="D32" s="106"/>
      <c r="E32" s="5"/>
      <c r="F32" s="59">
        <f t="shared" si="0"/>
        <v>26</v>
      </c>
      <c r="G32" s="21"/>
      <c r="H32" s="32"/>
      <c r="I32" s="32"/>
      <c r="J32" s="32"/>
      <c r="K32" s="32"/>
      <c r="L32" s="21"/>
      <c r="M32" s="21"/>
      <c r="N32" s="21"/>
      <c r="O32" s="5"/>
      <c r="P32" s="73"/>
      <c r="R32" s="51">
        <v>2</v>
      </c>
      <c r="S32" s="52">
        <f ca="1">AK27/Investment*100</f>
        <v>127.05291379300886</v>
      </c>
      <c r="T32" s="65">
        <f ca="1">EXP(y_inter2-(slope*LN(+S32)))</f>
        <v>9.6010188288982388</v>
      </c>
      <c r="U32" s="54">
        <f ca="1">(+S32*T32/100)/100</f>
        <v>0.12198374175930628</v>
      </c>
      <c r="V32" s="54">
        <f>regDebt_weighted</f>
        <v>3.5860000000000003E-2</v>
      </c>
      <c r="W32" s="54">
        <f ca="1">+U32-V32</f>
        <v>8.6123741759306274E-2</v>
      </c>
      <c r="X32" s="54">
        <f ca="1">+((W32*(1-0.34))-Pfd_weighted)/Equity_percent</f>
        <v>0.14724322546843646</v>
      </c>
      <c r="Y32" s="54">
        <f>+Y31</f>
        <v>2.5000000000000001E-3</v>
      </c>
      <c r="Z32" s="54">
        <f ca="1">+X32+Y32</f>
        <v>0.14974322546843646</v>
      </c>
      <c r="AA32" s="54">
        <f ca="1">Z32*equityP</f>
        <v>7.6029837896050792E-2</v>
      </c>
      <c r="AB32" s="54">
        <f ca="1">+AA32/(1-taxrate)</f>
        <v>9.6240301134241507E-2</v>
      </c>
      <c r="AC32" s="54">
        <f>debtP*Debt_Rate</f>
        <v>2.0923576465567847E-2</v>
      </c>
      <c r="AD32" s="54">
        <f ca="1">+AC32+AB32</f>
        <v>0.11716387759980935</v>
      </c>
      <c r="AE32" s="54">
        <f ca="1">+AD32/(S32/100)</f>
        <v>9.2216600235307908E-2</v>
      </c>
      <c r="AF32" s="54">
        <f ca="1">1-AE32</f>
        <v>0.90778339976469213</v>
      </c>
      <c r="AG32" s="55">
        <f ca="1">expenses/(AF32)</f>
        <v>550358.2212189479</v>
      </c>
      <c r="AH32" s="56">
        <f ca="1">+AG32-Revenue</f>
        <v>232893.4363631194</v>
      </c>
      <c r="AI32" s="57">
        <f ca="1">+AH32/$J$49</f>
        <v>263341.7352492318</v>
      </c>
      <c r="AJ32" s="57">
        <f ca="1">+AI32*$J$47</f>
        <v>6444.7998108008296</v>
      </c>
      <c r="AK32" s="55">
        <f ca="1">ROUND(+AJ32+AG32,5)</f>
        <v>556803.02102999995</v>
      </c>
    </row>
    <row r="33" spans="1:48" ht="15.6">
      <c r="A33" s="5"/>
      <c r="B33" s="5"/>
      <c r="C33" s="5"/>
      <c r="D33" s="5"/>
      <c r="E33" s="5"/>
      <c r="F33" s="59">
        <f t="shared" si="0"/>
        <v>27</v>
      </c>
      <c r="G33" s="21"/>
      <c r="H33" s="32" t="s">
        <v>108</v>
      </c>
      <c r="I33" s="32"/>
      <c r="J33" s="111">
        <f ca="1">+K9/J28</f>
        <v>0.11580829981073568</v>
      </c>
      <c r="K33" s="111">
        <f ca="1">+(M14+M11)/J28</f>
        <v>9.5882507908250564E-2</v>
      </c>
      <c r="L33" s="49"/>
      <c r="M33" s="49"/>
      <c r="N33" s="50"/>
      <c r="O33" s="5"/>
      <c r="P33" s="5"/>
      <c r="R33" s="60">
        <v>3</v>
      </c>
      <c r="S33" s="52">
        <f ca="1">AK28/Investment*100</f>
        <v>127.05291379300886</v>
      </c>
      <c r="T33" s="53">
        <f ca="1">EXP(y_inter3-(slope*LN(S33)))</f>
        <v>9.6010188288982388</v>
      </c>
      <c r="U33" s="54">
        <f ca="1">(+S33*T33/100)/100</f>
        <v>0.12198374175930628</v>
      </c>
      <c r="V33" s="54">
        <f>regDebt_weighted</f>
        <v>3.5860000000000003E-2</v>
      </c>
      <c r="W33" s="54">
        <f ca="1">+U33-V33</f>
        <v>8.6123741759306274E-2</v>
      </c>
      <c r="X33" s="54">
        <f ca="1">+((W33*(1-0.34))-Pfd_weighted)/Equity_percent</f>
        <v>0.14724322546843646</v>
      </c>
      <c r="Y33" s="54">
        <f>+Y32</f>
        <v>2.5000000000000001E-3</v>
      </c>
      <c r="Z33" s="54">
        <f ca="1">+X33+Y33</f>
        <v>0.14974322546843646</v>
      </c>
      <c r="AA33" s="54">
        <f ca="1">Z33*equityP</f>
        <v>7.6029837896050792E-2</v>
      </c>
      <c r="AB33" s="54">
        <f ca="1">+AA33/(1-taxrate)</f>
        <v>9.6240301134241507E-2</v>
      </c>
      <c r="AC33" s="54">
        <f>debtP*Debt_Rate</f>
        <v>2.0923576465567847E-2</v>
      </c>
      <c r="AD33" s="54">
        <f ca="1">+AC33+AB33</f>
        <v>0.11716387759980935</v>
      </c>
      <c r="AE33" s="54">
        <f ca="1">+AD33/(S33/100)</f>
        <v>9.2216600235307908E-2</v>
      </c>
      <c r="AF33" s="54">
        <f ca="1">1-AE33</f>
        <v>0.90778339976469213</v>
      </c>
      <c r="AG33" s="55">
        <f ca="1">expenses/(AF33)</f>
        <v>550358.2212189479</v>
      </c>
      <c r="AH33" s="56">
        <f ca="1">+AG33-Revenue</f>
        <v>232893.4363631194</v>
      </c>
      <c r="AI33" s="57">
        <f ca="1">+AH33/$J$49</f>
        <v>263341.7352492318</v>
      </c>
      <c r="AJ33" s="57">
        <f ca="1">+AI33*$J$47</f>
        <v>6444.7998108008296</v>
      </c>
      <c r="AK33" s="55">
        <f ca="1">ROUND(+AJ33+AG33,5)</f>
        <v>556803.02102999995</v>
      </c>
    </row>
    <row r="34" spans="1:48" ht="15.6">
      <c r="A34" s="5"/>
      <c r="B34" s="5"/>
      <c r="C34" s="5"/>
      <c r="D34" s="5"/>
      <c r="E34" s="5"/>
      <c r="F34" s="59">
        <f t="shared" si="0"/>
        <v>28</v>
      </c>
      <c r="G34" s="21"/>
      <c r="H34" s="32" t="s">
        <v>109</v>
      </c>
      <c r="I34" s="32"/>
      <c r="J34" s="111">
        <f ca="1">+(M9-M11)/J26</f>
        <v>0.1868785323574092</v>
      </c>
      <c r="K34" s="111">
        <f ca="1">+M14/J26</f>
        <v>0.14763404056235332</v>
      </c>
      <c r="L34" s="49"/>
      <c r="M34" s="49"/>
      <c r="N34" s="50"/>
      <c r="O34" s="112"/>
      <c r="P34" s="5"/>
      <c r="R34" s="63">
        <v>4</v>
      </c>
      <c r="S34" s="52">
        <f ca="1">AK29/Investment*100</f>
        <v>127.05291379300886</v>
      </c>
      <c r="T34" s="68">
        <f ca="1">EXP(y_inter4-(slope*LN(S34)))</f>
        <v>9.6010188288982388</v>
      </c>
      <c r="U34" s="54">
        <f ca="1">(+S34*T34/100)/100</f>
        <v>0.12198374175930628</v>
      </c>
      <c r="V34" s="54">
        <f>regDebt_weighted</f>
        <v>3.5860000000000003E-2</v>
      </c>
      <c r="W34" s="54">
        <f ca="1">+U34-V34</f>
        <v>8.6123741759306274E-2</v>
      </c>
      <c r="X34" s="54">
        <f ca="1">+((W34*(1-0.34))-Pfd_weighted)/Equity_percent</f>
        <v>0.14724322546843646</v>
      </c>
      <c r="Y34" s="54">
        <f>+Y33</f>
        <v>2.5000000000000001E-3</v>
      </c>
      <c r="Z34" s="54">
        <f ca="1">+X34+Y34</f>
        <v>0.14974322546843646</v>
      </c>
      <c r="AA34" s="54">
        <f ca="1">Z34*equityP</f>
        <v>7.6029837896050792E-2</v>
      </c>
      <c r="AB34" s="54">
        <f ca="1">+AA34/(1-taxrate)</f>
        <v>9.6240301134241507E-2</v>
      </c>
      <c r="AC34" s="54">
        <f>debtP*Debt_Rate</f>
        <v>2.0923576465567847E-2</v>
      </c>
      <c r="AD34" s="54">
        <f ca="1">+AC34+AB34</f>
        <v>0.11716387759980935</v>
      </c>
      <c r="AE34" s="54">
        <f ca="1">+AD34/(S34/100)</f>
        <v>9.2216600235307908E-2</v>
      </c>
      <c r="AF34" s="54">
        <f ca="1">1-AE34</f>
        <v>0.90778339976469213</v>
      </c>
      <c r="AG34" s="55">
        <f ca="1">expenses/(AF34)</f>
        <v>550358.2212189479</v>
      </c>
      <c r="AH34" s="56">
        <f ca="1">+AG34-Revenue</f>
        <v>232893.4363631194</v>
      </c>
      <c r="AI34" s="57">
        <f ca="1">+AH34/$J$49</f>
        <v>263341.7352492318</v>
      </c>
      <c r="AJ34" s="57">
        <f ca="1">+AI34*$J$47</f>
        <v>6444.7998108008296</v>
      </c>
      <c r="AK34" s="55">
        <f ca="1">ROUND(+AJ34+AG34,5)</f>
        <v>556803.02102999995</v>
      </c>
    </row>
    <row r="35" spans="1:48" ht="15.6">
      <c r="A35" s="5"/>
      <c r="B35" s="5"/>
      <c r="C35" s="5"/>
      <c r="D35" s="5"/>
      <c r="E35" s="5"/>
      <c r="F35" s="59">
        <f t="shared" si="0"/>
        <v>29</v>
      </c>
      <c r="G35" s="21"/>
      <c r="H35" s="113" t="s">
        <v>54</v>
      </c>
      <c r="I35" s="32"/>
      <c r="J35" s="111">
        <f ca="1">+K8/K7</f>
        <v>0.90778300000000012</v>
      </c>
      <c r="K35" s="111">
        <f ca="1">+M8/M7</f>
        <v>0.90885038008656627</v>
      </c>
      <c r="L35" s="49"/>
      <c r="M35" s="49"/>
      <c r="N35" s="50"/>
      <c r="O35" s="5"/>
      <c r="P35" s="5"/>
      <c r="R35" s="24" t="s">
        <v>110</v>
      </c>
      <c r="X35" s="99"/>
      <c r="Y35" s="99"/>
      <c r="Z35" s="99"/>
      <c r="AA35" s="114"/>
      <c r="AB35" s="53"/>
      <c r="AC35" s="99"/>
      <c r="AE35" s="99"/>
      <c r="AF35" s="99"/>
      <c r="AG35" s="53"/>
      <c r="AH35" s="98"/>
      <c r="AJ35" s="53"/>
    </row>
    <row r="36" spans="1:48" ht="15.6">
      <c r="A36" s="5"/>
      <c r="B36" s="5"/>
      <c r="C36" s="5"/>
      <c r="D36" s="5"/>
      <c r="E36" s="5"/>
      <c r="F36" s="59">
        <f t="shared" si="0"/>
        <v>30</v>
      </c>
      <c r="G36" s="21"/>
      <c r="H36" s="32" t="s">
        <v>111</v>
      </c>
      <c r="I36" s="32"/>
      <c r="J36" s="111">
        <f ca="1">+K9/K7</f>
        <v>9.2216999999999924E-2</v>
      </c>
      <c r="K36" s="111">
        <f ca="1">+J36</f>
        <v>9.2216999999999924E-2</v>
      </c>
      <c r="L36" s="21"/>
      <c r="M36" s="21"/>
      <c r="N36" s="50"/>
      <c r="O36" s="5"/>
      <c r="P36" s="5"/>
      <c r="R36" s="41">
        <v>1</v>
      </c>
      <c r="S36" s="42">
        <f ca="1">AK31/Investment*100</f>
        <v>127.05291378844518</v>
      </c>
      <c r="T36" s="43">
        <f ca="1">EXP(y_inter1-(slope*LN(+S36)))</f>
        <v>9.6010188290022214</v>
      </c>
      <c r="U36" s="44">
        <f ca="1">(+S36*T36/100)/100</f>
        <v>0.12198374175624581</v>
      </c>
      <c r="V36" s="44">
        <f>regDebt_weighted</f>
        <v>3.5860000000000003E-2</v>
      </c>
      <c r="W36" s="44">
        <f ca="1">+U36-V36</f>
        <v>8.6123741756245806E-2</v>
      </c>
      <c r="X36" s="44">
        <f ca="1">+((W36*(1-0.34))-Pfd_weighted)/Equity_percent</f>
        <v>0.1472432254625646</v>
      </c>
      <c r="Y36" s="44">
        <f>+Y34</f>
        <v>2.5000000000000001E-3</v>
      </c>
      <c r="Z36" s="44">
        <f ca="1">+X36+Y36</f>
        <v>0.14974322546256461</v>
      </c>
      <c r="AA36" s="44">
        <f ca="1">Z36*equityP</f>
        <v>7.6029837893069455E-2</v>
      </c>
      <c r="AB36" s="44">
        <f ca="1">+AA36/(1-taxrate)</f>
        <v>9.6240301130467665E-2</v>
      </c>
      <c r="AC36" s="44">
        <f>debtP*Debt_Rate</f>
        <v>2.0923576465567847E-2</v>
      </c>
      <c r="AD36" s="44">
        <f ca="1">+AC36+AB36</f>
        <v>0.11716387759603551</v>
      </c>
      <c r="AE36" s="44">
        <f ca="1">+AD36/(S36/100)</f>
        <v>9.2216600235649981E-2</v>
      </c>
      <c r="AF36" s="44">
        <f ca="1">1-AE36</f>
        <v>0.90778339976435007</v>
      </c>
      <c r="AG36" s="45">
        <f ca="1">expenses/(AF36)</f>
        <v>550358.22121915536</v>
      </c>
      <c r="AH36" s="46">
        <f ca="1">+AG36-Revenue</f>
        <v>232893.43636332685</v>
      </c>
      <c r="AI36" s="47">
        <f ca="1">+AH36/$J$49</f>
        <v>263341.73524946638</v>
      </c>
      <c r="AJ36" s="47">
        <f ca="1">+AI36*$J$47</f>
        <v>6444.7998108065703</v>
      </c>
      <c r="AK36" s="45">
        <f ca="1">ROUND(+AJ36+AG36,5)</f>
        <v>556803.02102999995</v>
      </c>
    </row>
    <row r="37" spans="1:48" ht="15.6">
      <c r="A37" s="5"/>
      <c r="B37" s="5"/>
      <c r="C37" s="5"/>
      <c r="D37" s="35"/>
      <c r="E37" s="5"/>
      <c r="F37" s="59">
        <f t="shared" si="0"/>
        <v>31</v>
      </c>
      <c r="G37" s="21"/>
      <c r="H37" s="32" t="s">
        <v>112</v>
      </c>
      <c r="I37" s="115"/>
      <c r="J37" s="116">
        <f ca="1">+S39/100</f>
        <v>1.2705291378844519</v>
      </c>
      <c r="K37" s="116">
        <f ca="1">+J37</f>
        <v>1.2705291378844519</v>
      </c>
      <c r="L37" s="21"/>
      <c r="M37" s="21"/>
      <c r="N37" s="21"/>
      <c r="O37" s="5"/>
      <c r="P37" s="5"/>
      <c r="R37" s="51">
        <v>2</v>
      </c>
      <c r="S37" s="52">
        <f ca="1">AK32/Investment*100</f>
        <v>127.05291378844518</v>
      </c>
      <c r="T37" s="65">
        <f ca="1">EXP(y_inter2-(slope*LN(+S37)))</f>
        <v>9.6010188290022214</v>
      </c>
      <c r="U37" s="54">
        <f ca="1">(+S37*T37/100)/100</f>
        <v>0.12198374175624581</v>
      </c>
      <c r="V37" s="54">
        <f>regDebt_weighted</f>
        <v>3.5860000000000003E-2</v>
      </c>
      <c r="W37" s="54">
        <f ca="1">+U37-V37</f>
        <v>8.6123741756245806E-2</v>
      </c>
      <c r="X37" s="54">
        <f ca="1">+((W37*(1-0.34))-Pfd_weighted)/Equity_percent</f>
        <v>0.1472432254625646</v>
      </c>
      <c r="Y37" s="54">
        <f>+Y36</f>
        <v>2.5000000000000001E-3</v>
      </c>
      <c r="Z37" s="54">
        <f ca="1">+X37+Y37</f>
        <v>0.14974322546256461</v>
      </c>
      <c r="AA37" s="54">
        <f ca="1">Z37*equityP</f>
        <v>7.6029837893069455E-2</v>
      </c>
      <c r="AB37" s="54">
        <f ca="1">+AA37/(1-taxrate)</f>
        <v>9.6240301130467665E-2</v>
      </c>
      <c r="AC37" s="54">
        <f>debtP*Debt_Rate</f>
        <v>2.0923576465567847E-2</v>
      </c>
      <c r="AD37" s="54">
        <f ca="1">+AC37+AB37</f>
        <v>0.11716387759603551</v>
      </c>
      <c r="AE37" s="54">
        <f ca="1">+AD37/(S37/100)</f>
        <v>9.2216600235649981E-2</v>
      </c>
      <c r="AF37" s="54">
        <f ca="1">1-AE37</f>
        <v>0.90778339976435007</v>
      </c>
      <c r="AG37" s="55">
        <f ca="1">expenses/(AF37)</f>
        <v>550358.22121915536</v>
      </c>
      <c r="AH37" s="56">
        <f ca="1">+AG37-Revenue</f>
        <v>232893.43636332685</v>
      </c>
      <c r="AI37" s="57">
        <f ca="1">+AH37/$J$49</f>
        <v>263341.73524946638</v>
      </c>
      <c r="AJ37" s="57">
        <f ca="1">+AI37*$J$47</f>
        <v>6444.7998108065703</v>
      </c>
      <c r="AK37" s="55">
        <f ca="1">ROUND(+AJ37+AG37,5)</f>
        <v>556803.02102999995</v>
      </c>
    </row>
    <row r="38" spans="1:48" ht="15.6">
      <c r="A38" s="5"/>
      <c r="B38" s="5"/>
      <c r="C38" s="5"/>
      <c r="D38" s="35"/>
      <c r="E38" s="5"/>
      <c r="F38" s="59">
        <f t="shared" si="0"/>
        <v>32</v>
      </c>
      <c r="G38" s="21"/>
      <c r="H38" s="32" t="s">
        <v>113</v>
      </c>
      <c r="I38" s="21"/>
      <c r="J38" s="111">
        <f>+C10</f>
        <v>0.21</v>
      </c>
      <c r="K38" s="111">
        <f>+J38</f>
        <v>0.21</v>
      </c>
      <c r="L38" s="21"/>
      <c r="M38" s="21"/>
      <c r="N38" s="21"/>
      <c r="O38" s="5"/>
      <c r="P38" s="5"/>
      <c r="Q38" s="117"/>
      <c r="R38" s="60">
        <v>3</v>
      </c>
      <c r="S38" s="52">
        <f ca="1">AK33/Investment*100</f>
        <v>127.05291378844518</v>
      </c>
      <c r="T38" s="53">
        <f ca="1">EXP(y_inter3-(slope*LN(S38)))</f>
        <v>9.6010188290022214</v>
      </c>
      <c r="U38" s="54">
        <f ca="1">(+S38*T38/100)/100</f>
        <v>0.12198374175624581</v>
      </c>
      <c r="V38" s="54">
        <f>regDebt_weighted</f>
        <v>3.5860000000000003E-2</v>
      </c>
      <c r="W38" s="54">
        <f ca="1">+U38-V38</f>
        <v>8.6123741756245806E-2</v>
      </c>
      <c r="X38" s="54">
        <f ca="1">+((W38*(1-0.34))-Pfd_weighted)/Equity_percent</f>
        <v>0.1472432254625646</v>
      </c>
      <c r="Y38" s="54">
        <f>+Y37</f>
        <v>2.5000000000000001E-3</v>
      </c>
      <c r="Z38" s="54">
        <f ca="1">+X38+Y38</f>
        <v>0.14974322546256461</v>
      </c>
      <c r="AA38" s="54">
        <f ca="1">Z38*equityP</f>
        <v>7.6029837893069455E-2</v>
      </c>
      <c r="AB38" s="54">
        <f ca="1">+AA38/(1-taxrate)</f>
        <v>9.6240301130467665E-2</v>
      </c>
      <c r="AC38" s="54">
        <f>debtP*Debt_Rate</f>
        <v>2.0923576465567847E-2</v>
      </c>
      <c r="AD38" s="54">
        <f ca="1">+AC38+AB38</f>
        <v>0.11716387759603551</v>
      </c>
      <c r="AE38" s="54">
        <f ca="1">+AD38/(S38/100)</f>
        <v>9.2216600235649981E-2</v>
      </c>
      <c r="AF38" s="54">
        <f ca="1">1-AE38</f>
        <v>0.90778339976435007</v>
      </c>
      <c r="AG38" s="55">
        <f ca="1">expenses/(AF38)</f>
        <v>550358.22121915536</v>
      </c>
      <c r="AH38" s="56">
        <f ca="1">+AG38-Revenue</f>
        <v>232893.43636332685</v>
      </c>
      <c r="AI38" s="57">
        <f ca="1">+AH38/$J$49</f>
        <v>263341.73524946638</v>
      </c>
      <c r="AJ38" s="57">
        <f ca="1">+AI38*$J$47</f>
        <v>6444.7998108065703</v>
      </c>
      <c r="AK38" s="55">
        <f ca="1">ROUND(+AJ38+AG38,5)</f>
        <v>556803.02102999995</v>
      </c>
    </row>
    <row r="39" spans="1:48" ht="15.6">
      <c r="A39" s="5"/>
      <c r="B39" s="5"/>
      <c r="C39" s="5"/>
      <c r="D39" s="106"/>
      <c r="E39" s="5"/>
      <c r="F39" s="59">
        <f t="shared" si="0"/>
        <v>33</v>
      </c>
      <c r="G39" s="21"/>
      <c r="H39" s="21"/>
      <c r="I39" s="21"/>
      <c r="J39" s="21"/>
      <c r="K39" s="21"/>
      <c r="L39" s="21"/>
      <c r="M39" s="21"/>
      <c r="N39" s="21"/>
      <c r="O39" s="5"/>
      <c r="P39" s="5"/>
      <c r="R39" s="63">
        <v>4</v>
      </c>
      <c r="S39" s="52">
        <f ca="1">AK34/Investment*100</f>
        <v>127.05291378844518</v>
      </c>
      <c r="T39" s="68">
        <f ca="1">EXP(y_inter4-(slope*LN(S39)))</f>
        <v>9.6010188290022214</v>
      </c>
      <c r="U39" s="54">
        <f ca="1">(+S39*T39/100)/100</f>
        <v>0.12198374175624581</v>
      </c>
      <c r="V39" s="54">
        <f>regDebt_weighted</f>
        <v>3.5860000000000003E-2</v>
      </c>
      <c r="W39" s="54">
        <f ca="1">+U39-V39</f>
        <v>8.6123741756245806E-2</v>
      </c>
      <c r="X39" s="54">
        <f ca="1">+((W39*(1-0.34))-Pfd_weighted)/Equity_percent</f>
        <v>0.1472432254625646</v>
      </c>
      <c r="Y39" s="54">
        <f>+Y38</f>
        <v>2.5000000000000001E-3</v>
      </c>
      <c r="Z39" s="54">
        <f ca="1">+X39+Y39</f>
        <v>0.14974322546256461</v>
      </c>
      <c r="AA39" s="54">
        <f ca="1">Z39*equityP</f>
        <v>7.6029837893069455E-2</v>
      </c>
      <c r="AB39" s="54">
        <f ca="1">+AA39/(1-taxrate)</f>
        <v>9.6240301130467665E-2</v>
      </c>
      <c r="AC39" s="54">
        <f>debtP*Debt_Rate</f>
        <v>2.0923576465567847E-2</v>
      </c>
      <c r="AD39" s="54">
        <f ca="1">+AC39+AB39</f>
        <v>0.11716387759603551</v>
      </c>
      <c r="AE39" s="54">
        <f ca="1">+AD39/(S39/100)</f>
        <v>9.2216600235649981E-2</v>
      </c>
      <c r="AF39" s="54">
        <f ca="1">1-AE39</f>
        <v>0.90778339976435007</v>
      </c>
      <c r="AG39" s="55">
        <f ca="1">expenses/(AF39)</f>
        <v>550358.22121915536</v>
      </c>
      <c r="AH39" s="56">
        <f ca="1">+AG39-Revenue</f>
        <v>232893.43636332685</v>
      </c>
      <c r="AI39" s="57">
        <f ca="1">+AH39/$J$49</f>
        <v>263341.73524946638</v>
      </c>
      <c r="AJ39" s="57">
        <f ca="1">+AI39*$J$47</f>
        <v>6444.7998108065703</v>
      </c>
      <c r="AK39" s="55">
        <f ca="1">ROUND(+AJ39+AG39,5)</f>
        <v>556803.02102999995</v>
      </c>
    </row>
    <row r="40" spans="1:48" ht="15.6">
      <c r="A40" s="5"/>
      <c r="B40" s="5"/>
      <c r="C40" s="5"/>
      <c r="D40" s="5"/>
      <c r="E40" s="5"/>
      <c r="F40" s="59">
        <f t="shared" si="0"/>
        <v>34</v>
      </c>
      <c r="G40" s="115"/>
      <c r="H40" s="21"/>
      <c r="I40" s="21"/>
      <c r="J40" s="21"/>
      <c r="K40" s="21"/>
      <c r="L40" s="21"/>
      <c r="M40" s="21"/>
      <c r="N40" s="21"/>
      <c r="O40" s="5"/>
      <c r="P40" s="5"/>
      <c r="X40" s="99"/>
      <c r="Y40" s="99"/>
      <c r="Z40" s="99"/>
      <c r="AA40" s="114"/>
      <c r="AB40" s="53"/>
      <c r="AC40" s="99"/>
      <c r="AE40" s="99"/>
      <c r="AF40" s="99"/>
      <c r="AG40" s="53"/>
      <c r="AH40" s="98"/>
      <c r="AJ40" s="53"/>
    </row>
    <row r="41" spans="1:48" ht="15.6">
      <c r="A41" s="5"/>
      <c r="B41" s="5"/>
      <c r="C41" s="5"/>
      <c r="D41" s="5"/>
      <c r="E41" s="5"/>
      <c r="F41" s="59">
        <f t="shared" si="0"/>
        <v>35</v>
      </c>
      <c r="G41" s="21"/>
      <c r="H41" s="108" t="s">
        <v>114</v>
      </c>
      <c r="I41" s="118"/>
      <c r="J41" s="21"/>
      <c r="K41" s="21"/>
      <c r="L41" s="21"/>
      <c r="M41" s="21"/>
      <c r="N41" s="21"/>
      <c r="O41" s="5"/>
      <c r="P41" s="5"/>
      <c r="R41" s="119" t="s">
        <v>115</v>
      </c>
      <c r="S41" s="120"/>
      <c r="T41" s="77"/>
      <c r="U41" s="77"/>
      <c r="V41" s="78"/>
      <c r="X41" s="121"/>
      <c r="Y41" s="121"/>
      <c r="Z41" s="121"/>
      <c r="AA41" s="114"/>
      <c r="AB41" s="53"/>
      <c r="AC41" s="99"/>
      <c r="AE41" s="99"/>
      <c r="AF41" s="99"/>
      <c r="AG41" s="53"/>
      <c r="AH41" s="98"/>
      <c r="AJ41" s="53"/>
    </row>
    <row r="42" spans="1:48" ht="15.6">
      <c r="A42" s="5"/>
      <c r="B42" s="5"/>
      <c r="C42" s="5"/>
      <c r="D42" s="5"/>
      <c r="E42" s="5"/>
      <c r="F42" s="59">
        <f t="shared" si="0"/>
        <v>36</v>
      </c>
      <c r="G42" s="21"/>
      <c r="H42" s="21"/>
      <c r="I42" s="21"/>
      <c r="J42" s="122" t="s">
        <v>116</v>
      </c>
      <c r="K42" s="123" t="s">
        <v>55</v>
      </c>
      <c r="L42" s="21"/>
      <c r="M42" s="21"/>
      <c r="N42" s="21"/>
      <c r="O42" s="5"/>
      <c r="P42" s="5"/>
      <c r="R42" s="124" t="s">
        <v>117</v>
      </c>
      <c r="S42" s="125"/>
      <c r="V42" s="126"/>
      <c r="X42" s="99"/>
      <c r="Y42" s="99"/>
      <c r="Z42" s="99"/>
      <c r="AA42" s="114"/>
      <c r="AB42" s="53"/>
      <c r="AC42" s="99"/>
      <c r="AE42" s="99"/>
      <c r="AF42" s="99"/>
      <c r="AG42" s="53"/>
      <c r="AJ42" s="53"/>
    </row>
    <row r="43" spans="1:48" ht="15.6">
      <c r="A43" s="5"/>
      <c r="B43" s="5"/>
      <c r="C43" s="5"/>
      <c r="D43" s="5"/>
      <c r="E43" s="5"/>
      <c r="F43" s="59">
        <f t="shared" si="0"/>
        <v>37</v>
      </c>
      <c r="G43" s="21"/>
      <c r="H43" s="32" t="s">
        <v>118</v>
      </c>
      <c r="I43" s="127"/>
      <c r="J43" s="128">
        <f>IF(A64=TRUE,C11,0)</f>
        <v>1.4999999999999999E-2</v>
      </c>
      <c r="K43" s="129">
        <f ca="1">+J43*($J$7/$J$49)</f>
        <v>3950.1301394930611</v>
      </c>
      <c r="L43" s="21"/>
      <c r="M43" s="21"/>
      <c r="N43" s="21"/>
      <c r="O43" s="5"/>
      <c r="P43" s="5"/>
      <c r="R43" s="60">
        <v>0</v>
      </c>
      <c r="S43" s="130">
        <v>1</v>
      </c>
      <c r="U43" s="131" t="s">
        <v>111</v>
      </c>
      <c r="V43" s="132">
        <f ca="1">VLOOKUP(R48,R36:AG39,14)</f>
        <v>9.2216600235649981E-2</v>
      </c>
      <c r="AC43" s="99"/>
      <c r="AE43" s="99"/>
      <c r="AJ43" s="53"/>
      <c r="AN43" s="99"/>
      <c r="AO43" s="99"/>
      <c r="AP43" s="99"/>
      <c r="AQ43" s="99"/>
      <c r="AR43" s="99"/>
      <c r="AS43" s="99"/>
      <c r="AT43" s="99"/>
      <c r="AU43" s="99"/>
      <c r="AV43" s="99"/>
    </row>
    <row r="44" spans="1:48" ht="15.6">
      <c r="A44" s="5"/>
      <c r="B44" s="5"/>
      <c r="C44" s="5"/>
      <c r="D44" s="5"/>
      <c r="E44" s="5"/>
      <c r="F44" s="59">
        <f t="shared" si="0"/>
        <v>38</v>
      </c>
      <c r="G44" s="21"/>
      <c r="H44" s="32" t="s">
        <v>119</v>
      </c>
      <c r="I44" s="127"/>
      <c r="J44" s="128">
        <f>IF(A64=TRUE,C12,0)</f>
        <v>5.1000000000000004E-3</v>
      </c>
      <c r="K44" s="129">
        <f ca="1">+J44*($J$7/$J$49)</f>
        <v>1343.0442474276408</v>
      </c>
      <c r="L44" s="21"/>
      <c r="M44" s="21"/>
      <c r="N44" s="21"/>
      <c r="O44" s="5"/>
      <c r="P44" s="5"/>
      <c r="R44" s="60">
        <v>50</v>
      </c>
      <c r="S44" s="130">
        <v>2</v>
      </c>
      <c r="U44" s="131" t="s">
        <v>54</v>
      </c>
      <c r="V44" s="132">
        <f ca="1">ROUND(1-V43,6)</f>
        <v>0.90778300000000001</v>
      </c>
      <c r="AA44" s="133"/>
      <c r="AB44" s="24"/>
      <c r="AC44" s="24"/>
      <c r="AE44" s="99"/>
      <c r="AH44" s="98"/>
      <c r="AJ44" s="53"/>
      <c r="AN44" s="99"/>
      <c r="AO44" s="99"/>
      <c r="AP44" s="99"/>
      <c r="AQ44" s="99"/>
      <c r="AR44" s="99"/>
      <c r="AS44" s="99"/>
      <c r="AT44" s="99"/>
      <c r="AU44" s="99"/>
      <c r="AV44" s="99"/>
    </row>
    <row r="45" spans="1:48" ht="15.6">
      <c r="A45" s="5"/>
      <c r="B45" s="5"/>
      <c r="C45" s="5"/>
      <c r="D45" s="5"/>
      <c r="E45" s="5"/>
      <c r="F45" s="59">
        <f t="shared" si="0"/>
        <v>39</v>
      </c>
      <c r="G45" s="21"/>
      <c r="H45" s="32" t="s">
        <v>120</v>
      </c>
      <c r="I45" s="127"/>
      <c r="J45" s="128">
        <f>IF(A64=TRUE,C13,0)</f>
        <v>0</v>
      </c>
      <c r="K45" s="129">
        <f ca="1">+J45*($J$7/$J$49)</f>
        <v>0</v>
      </c>
      <c r="L45" s="21"/>
      <c r="M45" s="21"/>
      <c r="N45" s="21"/>
      <c r="O45" s="5"/>
      <c r="P45" s="5"/>
      <c r="R45" s="60">
        <v>125</v>
      </c>
      <c r="S45" s="130">
        <v>3</v>
      </c>
      <c r="U45" s="15" t="s">
        <v>121</v>
      </c>
      <c r="V45" s="134">
        <f ca="1">+M7/Revenue-1</f>
        <v>0.75390561933770517</v>
      </c>
      <c r="W45" s="57"/>
      <c r="X45" s="99"/>
      <c r="Y45" s="99"/>
      <c r="Z45" s="99"/>
      <c r="AA45" s="133"/>
      <c r="AB45" s="53"/>
      <c r="AC45" s="99"/>
      <c r="AE45" s="99"/>
      <c r="AF45" s="99"/>
      <c r="AG45" s="53"/>
      <c r="AH45" s="98"/>
      <c r="AJ45" s="53"/>
      <c r="AN45" s="99"/>
      <c r="AO45" s="99"/>
      <c r="AP45" s="99"/>
      <c r="AQ45" s="99"/>
      <c r="AR45" s="99"/>
      <c r="AS45" s="99"/>
      <c r="AT45" s="99"/>
      <c r="AU45" s="99"/>
      <c r="AV45" s="99"/>
    </row>
    <row r="46" spans="1:48" ht="15.6">
      <c r="A46" s="5"/>
      <c r="B46" s="5"/>
      <c r="C46" s="5"/>
      <c r="D46" s="5"/>
      <c r="E46" s="5"/>
      <c r="F46" s="59">
        <f t="shared" si="0"/>
        <v>40</v>
      </c>
      <c r="G46" s="21"/>
      <c r="H46" s="32" t="s">
        <v>122</v>
      </c>
      <c r="I46" s="127"/>
      <c r="J46" s="128">
        <f>IF(A64=TRUE,C14,0)</f>
        <v>4.3731424918323119E-3</v>
      </c>
      <c r="K46" s="129">
        <f ca="1">+J46*($J$7/$J$49)</f>
        <v>1151.6321307523069</v>
      </c>
      <c r="L46" s="21"/>
      <c r="M46" s="21"/>
      <c r="N46" s="21"/>
      <c r="O46" s="5"/>
      <c r="P46" s="5"/>
      <c r="R46" s="63">
        <v>401</v>
      </c>
      <c r="S46" s="135">
        <v>4</v>
      </c>
      <c r="T46" s="86"/>
      <c r="U46" s="86"/>
      <c r="V46" s="89"/>
      <c r="X46" s="99"/>
      <c r="Y46" s="99"/>
      <c r="Z46" s="99"/>
      <c r="AA46" s="114"/>
      <c r="AB46" s="53"/>
      <c r="AC46" s="99"/>
      <c r="AE46" s="99"/>
      <c r="AF46" s="99"/>
      <c r="AG46" s="53"/>
      <c r="AH46" s="98"/>
      <c r="AJ46" s="53"/>
      <c r="AN46" s="99"/>
      <c r="AO46" s="99"/>
      <c r="AP46" s="99"/>
      <c r="AQ46" s="99"/>
      <c r="AR46" s="99"/>
      <c r="AS46" s="99"/>
      <c r="AT46" s="99"/>
      <c r="AU46" s="99"/>
      <c r="AV46" s="99"/>
    </row>
    <row r="47" spans="1:48" ht="16.2" thickBot="1">
      <c r="A47" s="5"/>
      <c r="B47" s="5"/>
      <c r="C47" s="5"/>
      <c r="D47" s="5"/>
      <c r="E47" s="5"/>
      <c r="F47" s="59">
        <f t="shared" si="0"/>
        <v>41</v>
      </c>
      <c r="G47" s="21"/>
      <c r="H47" s="32" t="s">
        <v>123</v>
      </c>
      <c r="I47" s="115"/>
      <c r="J47" s="136">
        <f>SUM(J43:J46)</f>
        <v>2.4473142491832311E-2</v>
      </c>
      <c r="K47" s="103">
        <f ca="1">+K43+K44+K45+K46</f>
        <v>6444.8065176730088</v>
      </c>
      <c r="L47" s="21"/>
      <c r="M47" s="21"/>
      <c r="N47" s="21"/>
      <c r="O47" s="5"/>
      <c r="P47" s="5"/>
      <c r="R47" s="42">
        <f ca="1">VLOOKUP(R48,R36:S39,2)</f>
        <v>127.05291378844518</v>
      </c>
      <c r="S47" s="137" t="s">
        <v>124</v>
      </c>
      <c r="T47" s="78"/>
      <c r="X47" s="15" t="s">
        <v>125</v>
      </c>
      <c r="AE47" s="99"/>
      <c r="AH47" s="98"/>
      <c r="AJ47" s="53"/>
    </row>
    <row r="48" spans="1:48" ht="16.2" thickTop="1">
      <c r="A48" s="5"/>
      <c r="B48" s="5"/>
      <c r="C48" s="5"/>
      <c r="D48" s="5"/>
      <c r="E48" s="5"/>
      <c r="F48" s="59">
        <f t="shared" si="0"/>
        <v>42</v>
      </c>
      <c r="G48" s="21"/>
      <c r="H48" s="21"/>
      <c r="I48" s="21"/>
      <c r="J48" s="138"/>
      <c r="K48" s="21"/>
      <c r="L48" s="21"/>
      <c r="M48" s="21"/>
      <c r="N48" s="21"/>
      <c r="O48" s="5"/>
      <c r="P48" s="5"/>
      <c r="R48" s="60">
        <f ca="1">VLOOKUP(S36,R43:S46,2)</f>
        <v>3</v>
      </c>
      <c r="S48" s="139" t="s">
        <v>126</v>
      </c>
      <c r="T48" s="126"/>
      <c r="X48" s="15" t="s">
        <v>127</v>
      </c>
      <c r="AC48" s="24"/>
      <c r="AE48" s="99"/>
      <c r="AJ48" s="53"/>
    </row>
    <row r="49" spans="1:48" ht="15.6">
      <c r="A49" s="5"/>
      <c r="B49" s="5"/>
      <c r="C49" s="5"/>
      <c r="D49" s="5"/>
      <c r="E49" s="5"/>
      <c r="F49" s="59">
        <f t="shared" si="0"/>
        <v>43</v>
      </c>
      <c r="G49" s="27"/>
      <c r="H49" s="32" t="s">
        <v>128</v>
      </c>
      <c r="I49" s="21"/>
      <c r="J49" s="111">
        <f ca="1">((K35)-J47)</f>
        <v>0.88437723759473397</v>
      </c>
      <c r="K49" s="21"/>
      <c r="L49" s="21"/>
      <c r="M49" s="21"/>
      <c r="N49" s="21"/>
      <c r="O49" s="5"/>
      <c r="P49" s="5"/>
      <c r="R49" s="60"/>
      <c r="S49" s="139"/>
      <c r="T49" s="126"/>
      <c r="X49" s="15" t="s">
        <v>129</v>
      </c>
      <c r="AC49" s="99"/>
      <c r="AE49" s="99"/>
      <c r="AF49" s="99"/>
      <c r="AG49" s="53"/>
      <c r="AJ49" s="53"/>
    </row>
    <row r="50" spans="1:48">
      <c r="A50" s="5"/>
      <c r="B50" s="5"/>
      <c r="C50" s="5"/>
      <c r="D50" s="5"/>
      <c r="E50" s="5"/>
      <c r="F50" s="5"/>
      <c r="G50" s="5"/>
      <c r="H50" s="5"/>
      <c r="I50" s="5"/>
      <c r="J50" s="5"/>
      <c r="K50" s="140"/>
      <c r="L50" s="5"/>
      <c r="M50" s="5"/>
      <c r="N50" s="141"/>
      <c r="O50" s="5"/>
      <c r="P50" s="5"/>
      <c r="R50" s="142">
        <f ca="1">+V44</f>
        <v>0.90778300000000001</v>
      </c>
      <c r="S50" s="143" t="s">
        <v>54</v>
      </c>
      <c r="T50" s="144"/>
      <c r="X50" s="15" t="s">
        <v>130</v>
      </c>
      <c r="AC50" s="99"/>
      <c r="AE50" s="99"/>
      <c r="AF50" s="99"/>
      <c r="AG50" s="53"/>
      <c r="AH50" s="99"/>
      <c r="AJ50" s="53"/>
      <c r="AN50" s="99"/>
      <c r="AO50" s="99"/>
      <c r="AP50" s="99"/>
      <c r="AQ50" s="99"/>
      <c r="AR50" s="99"/>
      <c r="AS50" s="99"/>
      <c r="AT50" s="99"/>
      <c r="AU50" s="99"/>
      <c r="AV50" s="99"/>
    </row>
    <row r="51" spans="1:48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R51" s="15"/>
      <c r="AB51" s="53"/>
      <c r="AC51" s="99"/>
      <c r="AE51" s="99"/>
      <c r="AF51" s="99"/>
      <c r="AG51" s="53"/>
      <c r="AH51" s="98"/>
      <c r="AJ51" s="53"/>
      <c r="AN51" s="99"/>
      <c r="AO51" s="99"/>
      <c r="AP51" s="99"/>
      <c r="AQ51" s="99"/>
      <c r="AR51" s="99"/>
      <c r="AS51" s="99"/>
      <c r="AT51" s="99"/>
      <c r="AU51" s="99"/>
      <c r="AV51" s="99"/>
    </row>
    <row r="52" spans="1:48">
      <c r="A52" s="5"/>
      <c r="B52" s="5"/>
      <c r="C52" s="5"/>
      <c r="D52" s="5"/>
      <c r="E52" s="5"/>
      <c r="F52" s="5"/>
      <c r="G52" s="5"/>
      <c r="H52" s="5"/>
      <c r="I52" s="5"/>
      <c r="J52" s="145"/>
      <c r="K52" s="145"/>
      <c r="L52" s="145"/>
      <c r="M52" s="145"/>
      <c r="N52" s="5"/>
      <c r="O52" s="5"/>
      <c r="P52" s="5"/>
      <c r="R52" s="15"/>
      <c r="AB52" s="53"/>
      <c r="AC52" s="99"/>
      <c r="AE52" s="99"/>
      <c r="AF52" s="99"/>
      <c r="AG52" s="53"/>
      <c r="AH52" s="98"/>
      <c r="AJ52" s="53"/>
      <c r="AN52" s="99"/>
      <c r="AO52" s="99"/>
      <c r="AP52" s="99"/>
      <c r="AQ52" s="99"/>
      <c r="AR52" s="99"/>
      <c r="AS52" s="99"/>
      <c r="AT52" s="99"/>
      <c r="AU52" s="99"/>
      <c r="AV52" s="99"/>
    </row>
    <row r="53" spans="1:48" ht="15.6">
      <c r="A53" s="5"/>
      <c r="B53" s="5"/>
      <c r="C53" s="5"/>
      <c r="D53" s="5"/>
      <c r="E53" s="5"/>
      <c r="F53" s="5"/>
      <c r="G53" s="5"/>
      <c r="H53" s="5"/>
      <c r="I53" s="5"/>
      <c r="J53" s="5"/>
      <c r="K53" s="145"/>
      <c r="L53" s="145"/>
      <c r="M53" s="145"/>
      <c r="N53" s="5"/>
      <c r="O53" s="5"/>
      <c r="P53" s="5"/>
      <c r="R53" s="15"/>
      <c r="S53" s="15" t="s">
        <v>131</v>
      </c>
      <c r="T53" s="99"/>
      <c r="U53" s="146"/>
      <c r="W53" s="147" t="s">
        <v>132</v>
      </c>
      <c r="X53" s="148"/>
      <c r="Y53" s="148"/>
      <c r="Z53" s="148"/>
      <c r="AA53" s="148"/>
      <c r="AB53" s="148"/>
      <c r="AE53" s="99"/>
      <c r="AH53" s="98"/>
      <c r="AJ53" s="53"/>
      <c r="AN53" s="99"/>
      <c r="AO53" s="99"/>
      <c r="AP53" s="99"/>
      <c r="AQ53" s="99"/>
      <c r="AR53" s="99"/>
      <c r="AS53" s="99"/>
      <c r="AT53" s="99"/>
      <c r="AU53" s="99"/>
      <c r="AV53" s="99"/>
    </row>
    <row r="54" spans="1:48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149"/>
      <c r="M54" s="149"/>
      <c r="N54" s="5"/>
      <c r="O54" s="5"/>
      <c r="P54" s="5"/>
      <c r="R54" s="150"/>
      <c r="S54" s="151" t="s">
        <v>95</v>
      </c>
      <c r="T54" s="151" t="s">
        <v>133</v>
      </c>
      <c r="U54" s="152" t="s">
        <v>98</v>
      </c>
      <c r="W54" s="153" t="s">
        <v>134</v>
      </c>
      <c r="X54" s="154">
        <v>3.7226020000000002</v>
      </c>
      <c r="Y54" s="155" t="s">
        <v>135</v>
      </c>
      <c r="Z54" s="156">
        <v>3.7226020000000002</v>
      </c>
      <c r="AC54" s="24"/>
      <c r="AE54" s="99"/>
      <c r="AJ54" s="53"/>
    </row>
    <row r="55" spans="1:48">
      <c r="A55" s="5"/>
      <c r="B55" s="5"/>
      <c r="C55" s="5"/>
      <c r="D55" s="5"/>
      <c r="E55" s="5"/>
      <c r="F55" s="5"/>
      <c r="G55" s="5"/>
      <c r="H55" s="5"/>
      <c r="I55" s="5"/>
      <c r="J55" s="149"/>
      <c r="K55" s="5"/>
      <c r="L55" s="149"/>
      <c r="M55" s="149"/>
      <c r="N55" s="5"/>
      <c r="O55" s="5"/>
      <c r="P55" s="5"/>
      <c r="R55" s="16" t="s">
        <v>52</v>
      </c>
      <c r="S55" s="133">
        <v>0.56200000000000006</v>
      </c>
      <c r="T55" s="133">
        <v>6.3799999999999996E-2</v>
      </c>
      <c r="U55" s="157">
        <f>ROUND(+S55*T55,5)</f>
        <v>3.5860000000000003E-2</v>
      </c>
      <c r="W55" s="158" t="s">
        <v>136</v>
      </c>
      <c r="X55" s="159">
        <v>3.7226020000000002</v>
      </c>
      <c r="Y55" s="160" t="s">
        <v>137</v>
      </c>
      <c r="Z55" s="161">
        <v>3.7226020000000002</v>
      </c>
      <c r="AC55" s="99"/>
      <c r="AE55" s="99"/>
      <c r="AF55" s="99"/>
      <c r="AG55" s="53"/>
      <c r="AJ55" s="53"/>
    </row>
    <row r="56" spans="1:48" ht="15.6">
      <c r="A56" s="5"/>
      <c r="B56" s="5"/>
      <c r="C56" s="5"/>
      <c r="D56" s="5"/>
      <c r="E56" s="145"/>
      <c r="F56" s="5"/>
      <c r="G56" s="5"/>
      <c r="H56" s="5"/>
      <c r="I56" s="5"/>
      <c r="J56" s="149"/>
      <c r="K56" s="5"/>
      <c r="L56" s="149"/>
      <c r="M56" s="149"/>
      <c r="N56" s="5"/>
      <c r="O56" s="5"/>
      <c r="P56" s="5"/>
      <c r="R56" s="16" t="s">
        <v>138</v>
      </c>
      <c r="S56" s="133">
        <v>9.4E-2</v>
      </c>
      <c r="T56" s="133">
        <v>6.59E-2</v>
      </c>
      <c r="U56" s="157">
        <f>ROUND(+S56*T56,5)</f>
        <v>6.1900000000000002E-3</v>
      </c>
      <c r="W56" s="16"/>
      <c r="Y56" s="162"/>
      <c r="Z56" s="163"/>
      <c r="AC56" s="99"/>
      <c r="AE56" s="99"/>
      <c r="AF56" s="99"/>
      <c r="AG56" s="53"/>
      <c r="AH56" s="98"/>
      <c r="AJ56" s="53"/>
      <c r="AN56" s="99"/>
    </row>
    <row r="57" spans="1:48">
      <c r="A57" s="5"/>
      <c r="B57" s="5"/>
      <c r="C57" s="5"/>
      <c r="D57" s="5"/>
      <c r="E57" s="145"/>
      <c r="F57" s="145"/>
      <c r="G57" s="145"/>
      <c r="H57" s="164"/>
      <c r="I57" s="145"/>
      <c r="J57" s="149"/>
      <c r="K57" s="5"/>
      <c r="L57" s="5"/>
      <c r="M57" s="5"/>
      <c r="N57" s="5"/>
      <c r="O57" s="5"/>
      <c r="P57" s="5"/>
      <c r="R57" s="16" t="s">
        <v>50</v>
      </c>
      <c r="S57" s="165">
        <v>0.34399999999999997</v>
      </c>
      <c r="T57" s="166"/>
      <c r="U57" s="167"/>
      <c r="W57" s="85"/>
      <c r="X57" s="168" t="s">
        <v>139</v>
      </c>
      <c r="Y57" s="169">
        <v>0.30151749999999999</v>
      </c>
      <c r="Z57" s="170"/>
      <c r="AC57" s="99"/>
      <c r="AE57" s="99"/>
      <c r="AF57" s="99"/>
      <c r="AG57" s="53"/>
      <c r="AH57" s="98"/>
      <c r="AJ57" s="53"/>
    </row>
    <row r="58" spans="1:48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R58" s="85"/>
      <c r="S58" s="165">
        <f>SUM(S55:S57)</f>
        <v>1</v>
      </c>
      <c r="T58" s="171"/>
      <c r="U58" s="172"/>
      <c r="X58" s="99"/>
      <c r="Y58" s="99"/>
      <c r="Z58" s="99"/>
      <c r="AA58" s="114"/>
      <c r="AB58" s="53"/>
      <c r="AC58" s="99"/>
      <c r="AE58" s="99"/>
      <c r="AF58" s="99"/>
      <c r="AG58" s="53"/>
      <c r="AH58" s="98"/>
      <c r="AJ58" s="53"/>
    </row>
    <row r="59" spans="1:48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X59" s="173"/>
      <c r="Y59" s="173"/>
      <c r="Z59" s="173"/>
      <c r="AE59" s="99"/>
      <c r="AH59" s="98"/>
      <c r="AJ59" s="53"/>
      <c r="AN59" s="98"/>
      <c r="AO59" s="98"/>
      <c r="AP59" s="98"/>
      <c r="AQ59" s="98"/>
      <c r="AR59" s="98"/>
      <c r="AS59" s="98"/>
      <c r="AT59" s="98"/>
      <c r="AU59" s="98"/>
      <c r="AV59" s="98"/>
    </row>
    <row r="60" spans="1:48">
      <c r="A60" s="5"/>
      <c r="B60" s="5"/>
      <c r="C60" s="5"/>
      <c r="D60" s="5"/>
      <c r="E60" s="14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R60" s="15"/>
      <c r="S60" s="174"/>
      <c r="W60" s="150"/>
      <c r="X60" s="175" t="s">
        <v>106</v>
      </c>
      <c r="Y60" s="175" t="s">
        <v>140</v>
      </c>
      <c r="Z60" s="176" t="s">
        <v>31</v>
      </c>
      <c r="AE60" s="99"/>
      <c r="AJ60" s="53"/>
      <c r="AN60" s="98"/>
      <c r="AO60" s="98"/>
      <c r="AP60" s="98"/>
      <c r="AQ60" s="98"/>
      <c r="AR60" s="98"/>
      <c r="AS60" s="98"/>
      <c r="AT60" s="98"/>
      <c r="AU60" s="98"/>
      <c r="AV60" s="98"/>
    </row>
    <row r="61" spans="1:48">
      <c r="A61" s="5"/>
      <c r="B61" s="5"/>
      <c r="C61" s="5"/>
      <c r="D61" s="5"/>
      <c r="E61" s="5"/>
      <c r="F61" s="145"/>
      <c r="G61" s="145"/>
      <c r="H61" s="145"/>
      <c r="I61" s="145"/>
      <c r="J61" s="145"/>
      <c r="K61" s="145"/>
      <c r="L61" s="145"/>
      <c r="M61" s="145"/>
      <c r="N61" s="145"/>
      <c r="O61" s="5"/>
      <c r="P61" s="5"/>
      <c r="R61" s="15"/>
      <c r="W61" s="16"/>
      <c r="X61" s="177"/>
      <c r="Y61" s="177"/>
      <c r="Z61" s="178"/>
      <c r="AE61" s="99"/>
      <c r="AF61" s="99"/>
      <c r="AG61" s="53"/>
      <c r="AJ61" s="53"/>
      <c r="AN61" s="98"/>
      <c r="AO61" s="98"/>
      <c r="AP61" s="98"/>
      <c r="AQ61" s="98"/>
      <c r="AR61" s="98"/>
      <c r="AS61" s="98"/>
      <c r="AT61" s="98"/>
      <c r="AU61" s="98"/>
      <c r="AV61" s="98"/>
    </row>
    <row r="62" spans="1:48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R62" s="15"/>
      <c r="S62" s="174"/>
      <c r="W62" s="16"/>
      <c r="X62" s="131" t="s">
        <v>108</v>
      </c>
      <c r="Y62" s="132">
        <f t="shared" ref="Y62:Z67" ca="1" si="1">+J33</f>
        <v>0.11580829981073568</v>
      </c>
      <c r="Z62" s="132">
        <f t="shared" ca="1" si="1"/>
        <v>9.5882507908250564E-2</v>
      </c>
      <c r="AE62" s="99"/>
      <c r="AF62" s="99"/>
      <c r="AG62" s="53"/>
      <c r="AH62" s="98"/>
      <c r="AJ62" s="53"/>
      <c r="AN62" s="98"/>
      <c r="AO62" s="98"/>
      <c r="AP62" s="98"/>
      <c r="AQ62" s="98"/>
      <c r="AR62" s="98"/>
      <c r="AS62" s="98"/>
      <c r="AT62" s="98"/>
      <c r="AU62" s="98"/>
      <c r="AV62" s="98"/>
    </row>
    <row r="63" spans="1:48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R63" s="15"/>
      <c r="W63" s="16"/>
      <c r="X63" s="131" t="s">
        <v>109</v>
      </c>
      <c r="Y63" s="132">
        <f t="shared" ca="1" si="1"/>
        <v>0.1868785323574092</v>
      </c>
      <c r="Z63" s="132">
        <f t="shared" ca="1" si="1"/>
        <v>0.14763404056235332</v>
      </c>
      <c r="AE63" s="99"/>
      <c r="AF63" s="99"/>
      <c r="AG63" s="53"/>
      <c r="AH63" s="98"/>
      <c r="AJ63" s="53"/>
    </row>
    <row r="64" spans="1:48">
      <c r="A64" s="15" t="b">
        <v>1</v>
      </c>
      <c r="B64" s="5"/>
      <c r="C64" s="5"/>
      <c r="F64" s="5"/>
      <c r="G64" s="5"/>
      <c r="H64" s="5"/>
      <c r="I64" s="5"/>
      <c r="J64" s="5"/>
      <c r="K64" s="5"/>
      <c r="L64" s="5"/>
      <c r="M64" s="5"/>
      <c r="N64" s="5"/>
      <c r="R64" s="15"/>
      <c r="S64" s="174"/>
      <c r="W64" s="16"/>
      <c r="X64" s="131" t="s">
        <v>54</v>
      </c>
      <c r="Y64" s="132">
        <f t="shared" ca="1" si="1"/>
        <v>0.90778300000000012</v>
      </c>
      <c r="Z64" s="132">
        <f t="shared" ca="1" si="1"/>
        <v>0.90885038008656627</v>
      </c>
      <c r="AE64" s="99"/>
      <c r="AF64" s="99"/>
      <c r="AG64" s="53"/>
      <c r="AH64" s="98"/>
      <c r="AJ64" s="53"/>
    </row>
    <row r="65" spans="8:40">
      <c r="H65" s="98"/>
      <c r="I65" s="98"/>
      <c r="J65" s="98"/>
      <c r="K65" s="98"/>
      <c r="L65" s="98"/>
      <c r="M65" s="98"/>
      <c r="N65" s="98"/>
      <c r="O65" s="98"/>
      <c r="R65" s="15"/>
      <c r="W65" s="16"/>
      <c r="X65" s="131" t="s">
        <v>111</v>
      </c>
      <c r="Y65" s="132">
        <f t="shared" ca="1" si="1"/>
        <v>9.2216999999999924E-2</v>
      </c>
      <c r="Z65" s="132">
        <f t="shared" ca="1" si="1"/>
        <v>9.2216999999999924E-2</v>
      </c>
      <c r="AE65" s="99"/>
      <c r="AH65" s="98"/>
      <c r="AJ65" s="53"/>
      <c r="AN65" s="98"/>
    </row>
    <row r="66" spans="8:40">
      <c r="H66" s="98"/>
      <c r="I66" s="98"/>
      <c r="J66" s="98"/>
      <c r="K66" s="98"/>
      <c r="L66" s="98"/>
      <c r="M66" s="98"/>
      <c r="N66" s="98"/>
      <c r="O66" s="98"/>
      <c r="R66" s="15"/>
      <c r="S66" s="174"/>
      <c r="W66" s="16"/>
      <c r="X66" s="131" t="s">
        <v>112</v>
      </c>
      <c r="Y66" s="132">
        <f t="shared" ca="1" si="1"/>
        <v>1.2705291378844519</v>
      </c>
      <c r="Z66" s="132">
        <f t="shared" ca="1" si="1"/>
        <v>1.2705291378844519</v>
      </c>
      <c r="AE66" s="99"/>
      <c r="AJ66" s="53"/>
    </row>
    <row r="67" spans="8:40">
      <c r="O67" s="98"/>
      <c r="W67" s="85"/>
      <c r="X67" s="180" t="s">
        <v>113</v>
      </c>
      <c r="Y67" s="181">
        <f t="shared" si="1"/>
        <v>0.21</v>
      </c>
      <c r="Z67" s="181">
        <f t="shared" si="1"/>
        <v>0.21</v>
      </c>
      <c r="AE67" s="99"/>
      <c r="AF67" s="99"/>
      <c r="AG67" s="53"/>
      <c r="AJ67" s="53"/>
    </row>
    <row r="68" spans="8:40">
      <c r="O68" s="98"/>
      <c r="W68" s="131"/>
      <c r="AE68" s="99"/>
      <c r="AF68" s="99"/>
      <c r="AG68" s="53"/>
      <c r="AH68" s="98"/>
      <c r="AJ68" s="53"/>
    </row>
    <row r="69" spans="8:40">
      <c r="O69" s="98"/>
      <c r="X69" s="99"/>
      <c r="Y69" s="99"/>
      <c r="Z69" s="99"/>
      <c r="AA69" s="114"/>
      <c r="AB69" s="53"/>
      <c r="AC69" s="99"/>
      <c r="AE69" s="99"/>
      <c r="AF69" s="99"/>
      <c r="AG69" s="53"/>
      <c r="AH69" s="98"/>
      <c r="AJ69" s="53"/>
    </row>
    <row r="70" spans="8:40">
      <c r="X70" s="99"/>
      <c r="Y70" s="99"/>
      <c r="Z70" s="99"/>
      <c r="AA70" s="114"/>
      <c r="AB70" s="53"/>
      <c r="AC70" s="99"/>
      <c r="AE70" s="99"/>
      <c r="AF70" s="99"/>
      <c r="AG70" s="53"/>
      <c r="AH70" s="98"/>
      <c r="AJ70" s="53"/>
    </row>
    <row r="71" spans="8:40">
      <c r="AE71" s="99"/>
      <c r="AH71" s="98"/>
      <c r="AJ71" s="53"/>
    </row>
    <row r="72" spans="8:40">
      <c r="AA72" s="24"/>
      <c r="AB72" s="24"/>
      <c r="AC72" s="24"/>
      <c r="AE72" s="99"/>
      <c r="AJ72" s="53"/>
    </row>
    <row r="73" spans="8:40">
      <c r="X73" s="99"/>
      <c r="Y73" s="99"/>
      <c r="Z73" s="99"/>
      <c r="AA73" s="114"/>
      <c r="AB73" s="53"/>
      <c r="AC73" s="99"/>
      <c r="AE73" s="99"/>
      <c r="AF73" s="99"/>
      <c r="AG73" s="53"/>
      <c r="AJ73" s="53"/>
    </row>
    <row r="74" spans="8:40">
      <c r="X74" s="99"/>
      <c r="Y74" s="99"/>
      <c r="Z74" s="99"/>
      <c r="AA74" s="114"/>
      <c r="AB74" s="53"/>
      <c r="AC74" s="99"/>
      <c r="AE74" s="99"/>
      <c r="AF74" s="99"/>
      <c r="AG74" s="53"/>
      <c r="AH74" s="98"/>
      <c r="AJ74" s="53"/>
    </row>
    <row r="75" spans="8:40">
      <c r="X75" s="99"/>
      <c r="Y75" s="99"/>
      <c r="Z75" s="99"/>
      <c r="AA75" s="114"/>
      <c r="AB75" s="53"/>
      <c r="AC75" s="99"/>
      <c r="AE75" s="99"/>
      <c r="AF75" s="99"/>
      <c r="AG75" s="53"/>
      <c r="AH75" s="98"/>
      <c r="AJ75" s="53"/>
    </row>
    <row r="76" spans="8:40">
      <c r="X76" s="99"/>
      <c r="Y76" s="99"/>
      <c r="Z76" s="99"/>
      <c r="AA76" s="114"/>
      <c r="AB76" s="53"/>
      <c r="AC76" s="99"/>
      <c r="AE76" s="99"/>
      <c r="AF76" s="99"/>
      <c r="AG76" s="53"/>
      <c r="AH76" s="98"/>
      <c r="AJ76" s="53"/>
    </row>
    <row r="77" spans="8:40">
      <c r="AE77" s="99"/>
      <c r="AH77" s="98"/>
      <c r="AJ77" s="53"/>
    </row>
    <row r="79" spans="8:40">
      <c r="X79" s="99"/>
      <c r="Y79" s="99"/>
      <c r="Z79" s="99"/>
      <c r="AA79" s="114"/>
      <c r="AB79" s="53"/>
      <c r="AC79" s="99"/>
      <c r="AF79" s="99"/>
      <c r="AG79" s="53"/>
    </row>
    <row r="80" spans="8:40">
      <c r="X80" s="99"/>
      <c r="Y80" s="99"/>
      <c r="Z80" s="99"/>
      <c r="AA80" s="114"/>
      <c r="AB80" s="53"/>
      <c r="AC80" s="99"/>
      <c r="AF80" s="99"/>
      <c r="AG80" s="53"/>
      <c r="AH80" s="98"/>
    </row>
    <row r="81" spans="24:34">
      <c r="X81" s="99"/>
      <c r="Y81" s="99"/>
      <c r="Z81" s="99"/>
      <c r="AA81" s="114"/>
      <c r="AB81" s="53"/>
      <c r="AC81" s="99"/>
      <c r="AF81" s="99"/>
      <c r="AG81" s="53"/>
      <c r="AH81" s="98"/>
    </row>
    <row r="82" spans="24:34">
      <c r="X82" s="99"/>
      <c r="Y82" s="99"/>
      <c r="Z82" s="99"/>
      <c r="AA82" s="114"/>
      <c r="AB82" s="53"/>
      <c r="AC82" s="99"/>
      <c r="AF82" s="99"/>
      <c r="AG82" s="53"/>
      <c r="AH82" s="98"/>
    </row>
    <row r="83" spans="24:34">
      <c r="AH83" s="98"/>
    </row>
    <row r="85" spans="24:34">
      <c r="X85" s="99"/>
      <c r="Y85" s="99"/>
      <c r="Z85" s="99"/>
      <c r="AA85" s="114"/>
      <c r="AB85" s="53"/>
      <c r="AC85" s="99"/>
      <c r="AF85" s="99"/>
      <c r="AG85" s="53"/>
    </row>
    <row r="86" spans="24:34">
      <c r="X86" s="99"/>
      <c r="Y86" s="99"/>
      <c r="Z86" s="99"/>
      <c r="AA86" s="114"/>
      <c r="AB86" s="53"/>
      <c r="AC86" s="99"/>
      <c r="AF86" s="99"/>
      <c r="AG86" s="53"/>
      <c r="AH86" s="98"/>
    </row>
    <row r="87" spans="24:34">
      <c r="X87" s="99"/>
      <c r="Y87" s="99"/>
      <c r="Z87" s="99"/>
      <c r="AA87" s="114"/>
      <c r="AB87" s="53"/>
      <c r="AC87" s="99"/>
      <c r="AF87" s="99"/>
      <c r="AG87" s="53"/>
      <c r="AH87" s="98"/>
    </row>
    <row r="88" spans="24:34">
      <c r="X88" s="99"/>
      <c r="Y88" s="99"/>
      <c r="Z88" s="99"/>
      <c r="AA88" s="114"/>
      <c r="AB88" s="53"/>
      <c r="AC88" s="99"/>
      <c r="AF88" s="99"/>
      <c r="AG88" s="53"/>
      <c r="AH88" s="98"/>
    </row>
    <row r="89" spans="24:34">
      <c r="AH89" s="98"/>
    </row>
    <row r="91" spans="24:34">
      <c r="X91" s="99"/>
      <c r="Y91" s="99"/>
      <c r="Z91" s="99"/>
      <c r="AA91" s="114"/>
      <c r="AB91" s="53"/>
      <c r="AC91" s="99"/>
      <c r="AF91" s="99"/>
      <c r="AG91" s="53"/>
    </row>
    <row r="92" spans="24:34">
      <c r="X92" s="99"/>
      <c r="Y92" s="99"/>
      <c r="Z92" s="99"/>
      <c r="AA92" s="114"/>
      <c r="AB92" s="53"/>
      <c r="AC92" s="99"/>
      <c r="AF92" s="99"/>
      <c r="AG92" s="53"/>
      <c r="AH92" s="98"/>
    </row>
    <row r="93" spans="24:34">
      <c r="X93" s="99"/>
      <c r="Y93" s="99"/>
      <c r="Z93" s="99"/>
      <c r="AA93" s="114"/>
      <c r="AB93" s="53"/>
      <c r="AC93" s="99"/>
      <c r="AF93" s="99"/>
      <c r="AG93" s="53"/>
      <c r="AH93" s="98"/>
    </row>
    <row r="94" spans="24:34">
      <c r="X94" s="99"/>
      <c r="Y94" s="99"/>
      <c r="Z94" s="99"/>
      <c r="AA94" s="114"/>
      <c r="AB94" s="53"/>
      <c r="AC94" s="99"/>
      <c r="AF94" s="99"/>
      <c r="AG94" s="53"/>
      <c r="AH94" s="98"/>
    </row>
    <row r="95" spans="24:34">
      <c r="AH95" s="98"/>
    </row>
    <row r="97" spans="24:34">
      <c r="X97" s="99"/>
      <c r="Y97" s="99"/>
      <c r="Z97" s="99"/>
      <c r="AA97" s="114"/>
      <c r="AB97" s="53"/>
      <c r="AC97" s="99"/>
      <c r="AF97" s="99"/>
      <c r="AG97" s="53"/>
    </row>
    <row r="98" spans="24:34">
      <c r="X98" s="99"/>
      <c r="Y98" s="99"/>
      <c r="Z98" s="99"/>
      <c r="AA98" s="114"/>
      <c r="AB98" s="53"/>
      <c r="AC98" s="99"/>
      <c r="AF98" s="99"/>
      <c r="AG98" s="53"/>
      <c r="AH98" s="98"/>
    </row>
    <row r="99" spans="24:34">
      <c r="X99" s="99"/>
      <c r="Y99" s="99"/>
      <c r="Z99" s="99"/>
      <c r="AA99" s="114"/>
      <c r="AB99" s="53"/>
      <c r="AC99" s="99"/>
      <c r="AF99" s="99"/>
      <c r="AG99" s="53"/>
      <c r="AH99" s="98"/>
    </row>
    <row r="100" spans="24:34">
      <c r="X100" s="99"/>
      <c r="Y100" s="99"/>
      <c r="Z100" s="99"/>
      <c r="AA100" s="114"/>
      <c r="AB100" s="53"/>
      <c r="AC100" s="99"/>
      <c r="AF100" s="99"/>
      <c r="AG100" s="53"/>
      <c r="AH100" s="98"/>
    </row>
    <row r="101" spans="24:34">
      <c r="AH101" s="98"/>
    </row>
    <row r="103" spans="24:34">
      <c r="X103" s="99"/>
      <c r="Y103" s="99"/>
      <c r="Z103" s="99"/>
      <c r="AA103" s="114"/>
      <c r="AB103" s="53"/>
      <c r="AC103" s="99"/>
      <c r="AF103" s="99"/>
      <c r="AG103" s="53"/>
    </row>
    <row r="104" spans="24:34">
      <c r="X104" s="99"/>
      <c r="Y104" s="99"/>
      <c r="Z104" s="99"/>
      <c r="AA104" s="114"/>
      <c r="AB104" s="53"/>
      <c r="AC104" s="99"/>
      <c r="AF104" s="99"/>
      <c r="AG104" s="53"/>
      <c r="AH104" s="98"/>
    </row>
    <row r="105" spans="24:34">
      <c r="X105" s="99"/>
      <c r="Y105" s="99"/>
      <c r="Z105" s="99"/>
      <c r="AA105" s="114"/>
      <c r="AB105" s="53"/>
      <c r="AC105" s="99"/>
      <c r="AF105" s="99"/>
      <c r="AG105" s="53"/>
      <c r="AH105" s="98"/>
    </row>
    <row r="106" spans="24:34">
      <c r="X106" s="99"/>
      <c r="Y106" s="99"/>
      <c r="Z106" s="99"/>
      <c r="AA106" s="114"/>
      <c r="AB106" s="53"/>
      <c r="AC106" s="99"/>
      <c r="AF106" s="99"/>
      <c r="AG106" s="53"/>
      <c r="AH106" s="98"/>
    </row>
    <row r="107" spans="24:34">
      <c r="AH107" s="98"/>
    </row>
    <row r="109" spans="24:34">
      <c r="X109" s="99"/>
      <c r="Y109" s="99"/>
      <c r="Z109" s="99"/>
      <c r="AA109" s="114"/>
      <c r="AB109" s="53"/>
      <c r="AC109" s="99"/>
      <c r="AF109" s="99"/>
      <c r="AG109" s="53"/>
    </row>
    <row r="110" spans="24:34">
      <c r="X110" s="99"/>
      <c r="Y110" s="99"/>
      <c r="Z110" s="99"/>
      <c r="AA110" s="114"/>
      <c r="AB110" s="53"/>
      <c r="AC110" s="99"/>
      <c r="AF110" s="99"/>
      <c r="AG110" s="53"/>
    </row>
    <row r="111" spans="24:34">
      <c r="X111" s="99"/>
      <c r="Y111" s="99"/>
      <c r="Z111" s="99"/>
      <c r="AA111" s="114"/>
      <c r="AB111" s="53"/>
      <c r="AC111" s="99"/>
      <c r="AF111" s="99"/>
      <c r="AG111" s="53"/>
    </row>
    <row r="112" spans="24:34">
      <c r="X112" s="99"/>
      <c r="Y112" s="99"/>
      <c r="Z112" s="99"/>
      <c r="AA112" s="114"/>
      <c r="AB112" s="53"/>
      <c r="AC112" s="99"/>
      <c r="AF112" s="99"/>
      <c r="AG112" s="53"/>
    </row>
  </sheetData>
  <mergeCells count="5">
    <mergeCell ref="B2:C2"/>
    <mergeCell ref="AH2:AK2"/>
    <mergeCell ref="B18:C18"/>
    <mergeCell ref="B19:C19"/>
    <mergeCell ref="L31:N31"/>
  </mergeCells>
  <pageMargins left="0.25" right="0.25" top="0.27" bottom="0.4" header="0.18" footer="0.25"/>
  <pageSetup scale="70" pageOrder="overThenDown" orientation="portrait" errors="blank" r:id="rId1"/>
  <headerFooter alignWithMargins="0">
    <oddHeader>&amp;C&amp;KFF0000TEXT IN RED BOX CONFIDENTIAL PER WAC 480-07-160</oddHeader>
    <oddFooter>&amp;L&amp;F - &amp;A&amp;CPrinted &amp;D - &amp;T&amp;RPage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8C1F0-1511-4ADB-9F4E-DA5E7100C63B}">
  <sheetPr>
    <tabColor rgb="FF00B050"/>
  </sheetPr>
  <dimension ref="A1:GJ60"/>
  <sheetViews>
    <sheetView tabSelected="1" topLeftCell="A16" zoomScaleNormal="100" workbookViewId="0">
      <selection activeCell="AI14" sqref="AI14:AJ14"/>
    </sheetView>
  </sheetViews>
  <sheetFormatPr defaultColWidth="9.109375" defaultRowHeight="13.8" outlineLevelCol="1"/>
  <cols>
    <col min="1" max="2" width="22.6640625" style="184" customWidth="1"/>
    <col min="3" max="3" width="29.109375" style="184" bestFit="1" customWidth="1"/>
    <col min="4" max="4" width="12.33203125" style="282" customWidth="1"/>
    <col min="5" max="5" width="8.88671875" style="282" bestFit="1" customWidth="1"/>
    <col min="6" max="17" width="10.109375" style="184" hidden="1" customWidth="1" outlineLevel="1"/>
    <col min="18" max="18" width="12" style="184" bestFit="1" customWidth="1" collapsed="1"/>
    <col min="19" max="19" width="7" style="228" bestFit="1" customWidth="1"/>
    <col min="20" max="31" width="8.88671875" style="184" hidden="1" customWidth="1" outlineLevel="1"/>
    <col min="32" max="32" width="8.88671875" style="184" bestFit="1" customWidth="1" collapsed="1"/>
    <col min="33" max="34" width="8.88671875" style="184" customWidth="1"/>
    <col min="35" max="35" width="8.88671875" style="313" customWidth="1"/>
    <col min="36" max="36" width="14" style="313" bestFit="1" customWidth="1"/>
    <col min="37" max="38" width="8.88671875" style="184" customWidth="1"/>
    <col min="39" max="39" width="9.109375" style="184"/>
    <col min="40" max="41" width="11.109375" style="184" customWidth="1"/>
    <col min="42" max="42" width="9.109375" style="184"/>
    <col min="43" max="43" width="13.44140625" style="184" customWidth="1"/>
    <col min="44" max="44" width="18.5546875" style="184" customWidth="1"/>
    <col min="45" max="46" width="12" style="184" bestFit="1" customWidth="1"/>
    <col min="47" max="47" width="9.109375" style="192"/>
    <col min="48" max="48" width="19.44140625" style="184" customWidth="1"/>
    <col min="49" max="49" width="12.5546875" style="184" customWidth="1"/>
    <col min="50" max="50" width="12" style="184" bestFit="1" customWidth="1"/>
    <col min="51" max="51" width="17" style="184" bestFit="1" customWidth="1"/>
    <col min="52" max="52" width="11.5546875" style="184" bestFit="1" customWidth="1"/>
    <col min="53" max="53" width="11" style="192" bestFit="1" customWidth="1"/>
    <col min="54" max="54" width="9.109375" style="192"/>
    <col min="55" max="16384" width="9.109375" style="184"/>
  </cols>
  <sheetData>
    <row r="1" spans="1:177" ht="24" customHeight="1">
      <c r="A1" s="182"/>
      <c r="B1" s="182"/>
      <c r="C1" s="183"/>
      <c r="D1" s="184"/>
      <c r="E1" s="184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5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183"/>
      <c r="AP1" s="186"/>
      <c r="AQ1" s="187" t="s">
        <v>141</v>
      </c>
      <c r="AR1" s="188" t="s">
        <v>142</v>
      </c>
      <c r="AS1" s="189" t="s">
        <v>143</v>
      </c>
      <c r="AT1" s="187" t="s">
        <v>144</v>
      </c>
      <c r="AU1" s="190" t="s">
        <v>145</v>
      </c>
      <c r="AV1" s="191" t="s">
        <v>146</v>
      </c>
    </row>
    <row r="2" spans="1:177" ht="12" customHeight="1">
      <c r="A2" s="182" t="s">
        <v>147</v>
      </c>
      <c r="B2" s="182"/>
      <c r="C2" s="183"/>
      <c r="D2" s="184"/>
      <c r="E2" s="184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/>
      <c r="T2"/>
      <c r="U2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I2" s="320" t="s">
        <v>329</v>
      </c>
      <c r="AP2" s="193" t="s">
        <v>148</v>
      </c>
      <c r="AQ2" s="194">
        <v>0.75390561933770517</v>
      </c>
      <c r="AR2" s="195">
        <v>0.05</v>
      </c>
      <c r="AS2" s="196">
        <f>AQ2+AR2</f>
        <v>0.80390561933770521</v>
      </c>
      <c r="AT2" s="197">
        <f>+AT14</f>
        <v>26711.92670861122</v>
      </c>
      <c r="AV2" s="198">
        <f>R55</f>
        <v>321782.74999999994</v>
      </c>
      <c r="AW2" s="199">
        <f>AV7-AV2</f>
        <v>235016.67941572919</v>
      </c>
      <c r="AX2" s="200"/>
    </row>
    <row r="3" spans="1:177" ht="12" customHeight="1">
      <c r="A3" s="201" t="s">
        <v>149</v>
      </c>
      <c r="B3" s="201"/>
      <c r="C3" s="183"/>
      <c r="D3" s="202"/>
      <c r="E3" s="202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/>
      <c r="T3"/>
      <c r="U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J3" s="321">
        <f ca="1">+'STAFF Rate Sheet'!I4</f>
        <v>3.8645448167772389E-3</v>
      </c>
      <c r="AP3" s="193" t="s">
        <v>150</v>
      </c>
      <c r="AQ3" s="194">
        <v>0.75390561933770517</v>
      </c>
      <c r="AR3" s="195">
        <v>0.16675000000000001</v>
      </c>
      <c r="AS3" s="196">
        <f>AQ3+AR3</f>
        <v>0.92065561933770512</v>
      </c>
      <c r="AT3" s="197">
        <f>+AT26</f>
        <v>107033.31400283329</v>
      </c>
      <c r="AU3" s="203">
        <v>556803.27010047319</v>
      </c>
      <c r="AV3" s="199">
        <v>4317.9651441714377</v>
      </c>
    </row>
    <row r="4" spans="1:177" ht="12" customHeight="1">
      <c r="C4" s="183"/>
      <c r="D4" s="202"/>
      <c r="E4" s="202"/>
      <c r="F4" s="183"/>
      <c r="G4" s="183"/>
      <c r="H4" s="183"/>
      <c r="I4" s="204"/>
      <c r="J4" s="183"/>
      <c r="K4" s="183"/>
      <c r="L4" s="183"/>
      <c r="M4" s="183"/>
      <c r="N4" s="183"/>
      <c r="O4" s="183"/>
      <c r="P4" s="183"/>
      <c r="Q4" s="183"/>
      <c r="R4" s="183"/>
      <c r="S4"/>
      <c r="T4"/>
      <c r="U4"/>
      <c r="V4" s="183"/>
      <c r="W4" s="183"/>
      <c r="X4" s="183"/>
      <c r="Y4" s="183"/>
      <c r="Z4" s="183"/>
      <c r="AA4" s="183"/>
      <c r="AB4" s="183"/>
      <c r="AC4" s="183"/>
      <c r="AD4" s="183"/>
      <c r="AE4" s="183"/>
      <c r="AP4" s="193" t="s">
        <v>3</v>
      </c>
      <c r="AQ4" s="194">
        <v>0.75390561933770517</v>
      </c>
      <c r="AR4" s="195">
        <v>0.30098999999999998</v>
      </c>
      <c r="AS4" s="196">
        <f>AQ4+AR4</f>
        <v>1.0548956193377053</v>
      </c>
      <c r="AT4" s="197">
        <f>+AT52</f>
        <v>101271.43870428482</v>
      </c>
      <c r="AU4" s="203" t="s">
        <v>88</v>
      </c>
    </row>
    <row r="5" spans="1:177" ht="12" customHeight="1">
      <c r="A5" s="183" t="s">
        <v>151</v>
      </c>
      <c r="B5" s="183"/>
      <c r="C5" s="183"/>
      <c r="D5" s="202"/>
      <c r="E5" s="202"/>
      <c r="F5" s="183"/>
      <c r="G5" s="183"/>
      <c r="H5" s="183"/>
      <c r="I5" s="204"/>
      <c r="J5" s="183"/>
      <c r="K5" s="183"/>
      <c r="L5" s="183"/>
      <c r="M5" s="183"/>
      <c r="N5" s="183"/>
      <c r="O5" s="183"/>
      <c r="P5" s="183"/>
      <c r="Q5" s="183"/>
      <c r="R5" s="183"/>
      <c r="S5" s="185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T5" s="205">
        <f>SUM(AT2:AT4)</f>
        <v>235016.6794157293</v>
      </c>
      <c r="AU5" s="203">
        <v>239338.48524464469</v>
      </c>
      <c r="AV5" s="205">
        <f>+AU5-AT5</f>
        <v>4321.8058289153851</v>
      </c>
    </row>
    <row r="6" spans="1:177" ht="41.4">
      <c r="A6" s="183"/>
      <c r="B6" s="183"/>
      <c r="C6" s="206"/>
      <c r="D6" s="207" t="s">
        <v>152</v>
      </c>
      <c r="E6" s="207" t="s">
        <v>153</v>
      </c>
      <c r="F6" s="208">
        <v>44835</v>
      </c>
      <c r="G6" s="208">
        <v>44866</v>
      </c>
      <c r="H6" s="208">
        <v>44896</v>
      </c>
      <c r="I6" s="208">
        <v>44927</v>
      </c>
      <c r="J6" s="208">
        <v>44958</v>
      </c>
      <c r="K6" s="208">
        <v>44986</v>
      </c>
      <c r="L6" s="208">
        <v>45017</v>
      </c>
      <c r="M6" s="208">
        <v>45047</v>
      </c>
      <c r="N6" s="208">
        <v>45078</v>
      </c>
      <c r="O6" s="208">
        <v>45108</v>
      </c>
      <c r="P6" s="208">
        <v>45139</v>
      </c>
      <c r="Q6" s="208">
        <v>45170</v>
      </c>
      <c r="R6" s="209" t="s">
        <v>102</v>
      </c>
      <c r="S6" s="207" t="s">
        <v>154</v>
      </c>
      <c r="T6" s="208">
        <f t="shared" ref="T6:AE6" si="0">+F6</f>
        <v>44835</v>
      </c>
      <c r="U6" s="208">
        <f t="shared" si="0"/>
        <v>44866</v>
      </c>
      <c r="V6" s="208">
        <f t="shared" si="0"/>
        <v>44896</v>
      </c>
      <c r="W6" s="208">
        <f t="shared" si="0"/>
        <v>44927</v>
      </c>
      <c r="X6" s="208">
        <f t="shared" si="0"/>
        <v>44958</v>
      </c>
      <c r="Y6" s="208">
        <f t="shared" si="0"/>
        <v>44986</v>
      </c>
      <c r="Z6" s="208">
        <f t="shared" si="0"/>
        <v>45017</v>
      </c>
      <c r="AA6" s="208">
        <f t="shared" si="0"/>
        <v>45047</v>
      </c>
      <c r="AB6" s="208">
        <f t="shared" si="0"/>
        <v>45078</v>
      </c>
      <c r="AC6" s="208">
        <f t="shared" si="0"/>
        <v>45108</v>
      </c>
      <c r="AD6" s="208">
        <f t="shared" si="0"/>
        <v>45139</v>
      </c>
      <c r="AE6" s="208">
        <f t="shared" si="0"/>
        <v>45170</v>
      </c>
      <c r="AF6" s="208" t="s">
        <v>155</v>
      </c>
      <c r="AG6" s="210"/>
      <c r="AH6" s="210"/>
      <c r="AI6" s="314"/>
      <c r="AJ6" s="314"/>
      <c r="AK6" s="210"/>
      <c r="AL6" s="210"/>
      <c r="AP6" s="211" t="s">
        <v>156</v>
      </c>
      <c r="AQ6" s="211" t="s">
        <v>157</v>
      </c>
      <c r="AR6" s="212" t="s">
        <v>158</v>
      </c>
      <c r="AS6" s="213" t="s">
        <v>159</v>
      </c>
      <c r="AT6" s="213" t="s">
        <v>160</v>
      </c>
      <c r="AU6" s="214" t="s">
        <v>161</v>
      </c>
      <c r="AV6" s="215" t="s">
        <v>162</v>
      </c>
      <c r="AW6" s="216" t="s">
        <v>163</v>
      </c>
      <c r="AX6" s="217" t="s">
        <v>102</v>
      </c>
      <c r="AY6" s="216" t="s">
        <v>164</v>
      </c>
      <c r="AZ6" s="218" t="s">
        <v>165</v>
      </c>
    </row>
    <row r="7" spans="1:177" ht="29.4" customHeight="1">
      <c r="A7" s="219" t="s">
        <v>166</v>
      </c>
      <c r="B7" s="219"/>
      <c r="C7" s="220" t="s">
        <v>167</v>
      </c>
      <c r="D7" s="221"/>
      <c r="E7" s="221"/>
      <c r="F7" s="222" t="s">
        <v>20</v>
      </c>
      <c r="G7" s="222" t="s">
        <v>20</v>
      </c>
      <c r="H7" s="222" t="s">
        <v>20</v>
      </c>
      <c r="I7" s="222" t="s">
        <v>20</v>
      </c>
      <c r="J7" s="222" t="s">
        <v>20</v>
      </c>
      <c r="K7" s="222" t="s">
        <v>20</v>
      </c>
      <c r="L7" s="222" t="s">
        <v>20</v>
      </c>
      <c r="M7" s="222" t="s">
        <v>20</v>
      </c>
      <c r="N7" s="222" t="s">
        <v>20</v>
      </c>
      <c r="O7" s="222" t="s">
        <v>20</v>
      </c>
      <c r="P7" s="222" t="s">
        <v>20</v>
      </c>
      <c r="Q7" s="222" t="s">
        <v>20</v>
      </c>
      <c r="R7" s="222" t="s">
        <v>20</v>
      </c>
      <c r="S7" s="207" t="s">
        <v>168</v>
      </c>
      <c r="T7" s="222" t="s">
        <v>169</v>
      </c>
      <c r="U7" s="222" t="s">
        <v>169</v>
      </c>
      <c r="V7" s="222" t="s">
        <v>169</v>
      </c>
      <c r="W7" s="222" t="s">
        <v>169</v>
      </c>
      <c r="X7" s="222" t="s">
        <v>169</v>
      </c>
      <c r="Y7" s="222" t="s">
        <v>169</v>
      </c>
      <c r="Z7" s="222" t="s">
        <v>169</v>
      </c>
      <c r="AA7" s="222" t="s">
        <v>169</v>
      </c>
      <c r="AB7" s="222" t="s">
        <v>169</v>
      </c>
      <c r="AC7" s="222" t="s">
        <v>169</v>
      </c>
      <c r="AD7" s="222" t="s">
        <v>169</v>
      </c>
      <c r="AE7" s="222" t="s">
        <v>169</v>
      </c>
      <c r="AF7" s="222" t="s">
        <v>169</v>
      </c>
      <c r="AG7" s="223"/>
      <c r="AH7" s="223"/>
      <c r="AI7" s="315" t="s">
        <v>330</v>
      </c>
      <c r="AJ7" s="315" t="s">
        <v>159</v>
      </c>
      <c r="AK7" s="223"/>
      <c r="AL7" s="223"/>
      <c r="AV7" s="224">
        <f>+AS14+AS26+AS52</f>
        <v>556799.42941572913</v>
      </c>
      <c r="AW7" s="225">
        <v>0</v>
      </c>
      <c r="AX7" s="200">
        <f>+AV7+AW7</f>
        <v>556799.42941572913</v>
      </c>
      <c r="AY7" s="226">
        <v>556803.27010047319</v>
      </c>
      <c r="AZ7" s="227">
        <f>+AX7-AY7</f>
        <v>-3.8406847440637648</v>
      </c>
    </row>
    <row r="8" spans="1:177" ht="12" customHeight="1">
      <c r="D8" s="184"/>
      <c r="E8" s="184"/>
      <c r="AO8" s="183"/>
    </row>
    <row r="9" spans="1:177" s="183" customFormat="1" ht="12" customHeight="1">
      <c r="A9" s="312" t="s">
        <v>170</v>
      </c>
      <c r="B9" s="312"/>
      <c r="C9" s="312" t="s">
        <v>170</v>
      </c>
      <c r="D9" s="229"/>
      <c r="E9" s="229"/>
      <c r="F9" s="230"/>
      <c r="G9" s="230"/>
      <c r="H9" s="231"/>
      <c r="I9" s="230"/>
      <c r="J9" s="230"/>
      <c r="K9" s="230"/>
      <c r="L9" s="230"/>
      <c r="M9" s="230"/>
      <c r="N9" s="230"/>
      <c r="O9" s="230"/>
      <c r="P9" s="230"/>
      <c r="Q9" s="230"/>
      <c r="R9" s="232"/>
      <c r="S9" s="185"/>
      <c r="T9" s="233"/>
      <c r="U9" s="233"/>
      <c r="V9" s="233"/>
      <c r="W9" s="233"/>
      <c r="X9" s="233"/>
      <c r="Y9" s="233"/>
      <c r="Z9" s="233"/>
      <c r="AA9" s="233"/>
      <c r="AB9" s="233"/>
      <c r="AC9" s="233"/>
      <c r="AD9" s="233"/>
      <c r="AE9" s="233"/>
      <c r="AF9" s="184"/>
      <c r="AG9" s="184"/>
      <c r="AH9" s="184"/>
      <c r="AI9" s="313"/>
      <c r="AJ9" s="313"/>
      <c r="AK9" s="184"/>
      <c r="AL9" s="184"/>
      <c r="AP9" s="184"/>
      <c r="AU9" s="234"/>
      <c r="BA9" s="234"/>
      <c r="BB9" s="234"/>
    </row>
    <row r="10" spans="1:177" s="183" customFormat="1" ht="12" customHeight="1">
      <c r="A10" s="184" t="s">
        <v>171</v>
      </c>
      <c r="B10" s="184" t="s">
        <v>172</v>
      </c>
      <c r="C10" s="184" t="s">
        <v>173</v>
      </c>
      <c r="D10" s="235">
        <v>2.0499999999999998</v>
      </c>
      <c r="E10" s="236">
        <v>17</v>
      </c>
      <c r="F10" s="233">
        <v>13.3</v>
      </c>
      <c r="G10" s="233">
        <v>0</v>
      </c>
      <c r="H10" s="233">
        <v>0</v>
      </c>
      <c r="I10" s="233">
        <v>81.999999999999972</v>
      </c>
      <c r="J10" s="233">
        <v>94.299999999999969</v>
      </c>
      <c r="K10" s="233">
        <v>30.75</v>
      </c>
      <c r="L10" s="233">
        <v>61.499999999999993</v>
      </c>
      <c r="M10" s="233">
        <v>26.65</v>
      </c>
      <c r="N10" s="233">
        <v>108.39999999999993</v>
      </c>
      <c r="O10" s="233">
        <v>68.55</v>
      </c>
      <c r="P10" s="233">
        <v>114.39999999999996</v>
      </c>
      <c r="Q10" s="233">
        <v>133.25000000000003</v>
      </c>
      <c r="R10" s="237">
        <f>SUM(F10:Q10)</f>
        <v>733.0999999999998</v>
      </c>
      <c r="S10" s="185">
        <v>32001</v>
      </c>
      <c r="T10" s="233">
        <f>IFERROR(F10/($D10),0)</f>
        <v>6.4878048780487818</v>
      </c>
      <c r="U10" s="233">
        <f t="shared" ref="U10:AE12" si="1">IFERROR(G10/($D10),0)</f>
        <v>0</v>
      </c>
      <c r="V10" s="233">
        <f t="shared" si="1"/>
        <v>0</v>
      </c>
      <c r="W10" s="233">
        <f t="shared" si="1"/>
        <v>39.999999999999993</v>
      </c>
      <c r="X10" s="233">
        <f t="shared" si="1"/>
        <v>45.999999999999986</v>
      </c>
      <c r="Y10" s="233">
        <f t="shared" si="1"/>
        <v>15.000000000000002</v>
      </c>
      <c r="Z10" s="233">
        <f t="shared" si="1"/>
        <v>30</v>
      </c>
      <c r="AA10" s="233">
        <f t="shared" si="1"/>
        <v>13</v>
      </c>
      <c r="AB10" s="233">
        <f t="shared" si="1"/>
        <v>52.878048780487781</v>
      </c>
      <c r="AC10" s="233">
        <f t="shared" si="1"/>
        <v>33.439024390243901</v>
      </c>
      <c r="AD10" s="233">
        <f t="shared" si="1"/>
        <v>55.804878048780473</v>
      </c>
      <c r="AE10" s="233">
        <f t="shared" si="1"/>
        <v>65.000000000000014</v>
      </c>
      <c r="AF10" s="233">
        <f>IFERROR(AVERAGEIF(T10:AE10,"&lt;&gt;0"),0)</f>
        <v>35.760975609756095</v>
      </c>
      <c r="AG10" s="238">
        <f>R10/AP10</f>
        <v>357.60975609756093</v>
      </c>
      <c r="AH10" s="238"/>
      <c r="AI10" s="322">
        <f ca="1">+$AJ$3*R10</f>
        <v>2.8330978051793929</v>
      </c>
      <c r="AJ10" s="322">
        <f ca="1">+R10+AI10</f>
        <v>735.93309780517916</v>
      </c>
      <c r="AK10" s="238"/>
      <c r="AL10" s="238"/>
      <c r="AN10" s="239"/>
      <c r="AP10" s="240">
        <f>+D10</f>
        <v>2.0499999999999998</v>
      </c>
      <c r="AQ10" s="241">
        <f>+$AS$2*AP10</f>
        <v>1.6480065196422955</v>
      </c>
      <c r="AR10" s="242">
        <f>+AP10+AQ10</f>
        <v>3.6980065196422953</v>
      </c>
      <c r="AS10" s="243">
        <f>+AR10*AG10</f>
        <v>1322.4432095364714</v>
      </c>
      <c r="AT10" s="243">
        <f>+AS10-R10</f>
        <v>589.34320953647159</v>
      </c>
      <c r="AU10" s="244">
        <f>AS10/R10-1</f>
        <v>0.80390561933770521</v>
      </c>
      <c r="BA10" s="245">
        <f>AP10*AF10*12</f>
        <v>879.7199999999998</v>
      </c>
      <c r="BB10" s="242">
        <f>BA10-R10</f>
        <v>146.62</v>
      </c>
    </row>
    <row r="11" spans="1:177" s="183" customFormat="1" ht="12" customHeight="1">
      <c r="A11" s="184" t="s">
        <v>174</v>
      </c>
      <c r="B11" s="184"/>
      <c r="C11" s="184" t="s">
        <v>175</v>
      </c>
      <c r="D11" s="235">
        <v>10.83</v>
      </c>
      <c r="E11" s="236">
        <v>16</v>
      </c>
      <c r="F11" s="233">
        <v>119.13</v>
      </c>
      <c r="G11" s="233">
        <v>119.13</v>
      </c>
      <c r="H11" s="233">
        <v>119.13</v>
      </c>
      <c r="I11" s="233">
        <v>119.13</v>
      </c>
      <c r="J11" s="233">
        <v>119.13</v>
      </c>
      <c r="K11" s="233">
        <v>119.13</v>
      </c>
      <c r="L11" s="233">
        <v>119.13</v>
      </c>
      <c r="M11" s="233">
        <v>119.13</v>
      </c>
      <c r="N11" s="233">
        <v>119.13</v>
      </c>
      <c r="O11" s="233">
        <v>108.3</v>
      </c>
      <c r="P11" s="233">
        <v>108.3</v>
      </c>
      <c r="Q11" s="233">
        <v>108.3</v>
      </c>
      <c r="R11" s="237">
        <f>SUM(F11:Q11)</f>
        <v>1397.07</v>
      </c>
      <c r="S11" s="185">
        <v>32000</v>
      </c>
      <c r="T11" s="246">
        <f>IFERROR(F11/($D11),0)</f>
        <v>11</v>
      </c>
      <c r="U11" s="246">
        <f t="shared" si="1"/>
        <v>11</v>
      </c>
      <c r="V11" s="246">
        <f t="shared" si="1"/>
        <v>11</v>
      </c>
      <c r="W11" s="246">
        <f t="shared" si="1"/>
        <v>11</v>
      </c>
      <c r="X11" s="246">
        <f t="shared" si="1"/>
        <v>11</v>
      </c>
      <c r="Y11" s="246">
        <f t="shared" si="1"/>
        <v>11</v>
      </c>
      <c r="Z11" s="246">
        <f t="shared" si="1"/>
        <v>11</v>
      </c>
      <c r="AA11" s="246">
        <f t="shared" si="1"/>
        <v>11</v>
      </c>
      <c r="AB11" s="246">
        <f t="shared" si="1"/>
        <v>11</v>
      </c>
      <c r="AC11" s="246">
        <f t="shared" si="1"/>
        <v>10</v>
      </c>
      <c r="AD11" s="246">
        <f t="shared" si="1"/>
        <v>10</v>
      </c>
      <c r="AE11" s="246">
        <f t="shared" si="1"/>
        <v>10</v>
      </c>
      <c r="AF11" s="247">
        <f>IFERROR(AVERAGEIF(T11:AE11,"&lt;&gt;0"),0)</f>
        <v>10.75</v>
      </c>
      <c r="AG11" s="238">
        <f>R11/12/AP11</f>
        <v>10.75</v>
      </c>
      <c r="AH11" s="238"/>
      <c r="AI11" s="322">
        <f t="shared" ref="AI11:AI12" ca="1" si="2">+$AJ$3*R11</f>
        <v>5.399039627174977</v>
      </c>
      <c r="AJ11" s="322">
        <f t="shared" ref="AJ11:AJ12" ca="1" si="3">+R11+AI11</f>
        <v>1402.4690396271749</v>
      </c>
      <c r="AK11" s="238"/>
      <c r="AL11" s="238"/>
      <c r="AN11" s="239"/>
      <c r="AO11" s="241"/>
      <c r="AP11" s="240">
        <f>+D11</f>
        <v>10.83</v>
      </c>
      <c r="AQ11" s="241">
        <f>+$AS$2*AP11</f>
        <v>8.706297857427348</v>
      </c>
      <c r="AR11" s="242">
        <f t="shared" ref="AR11:AR12" si="4">+AP11+AQ11</f>
        <v>19.53629785742735</v>
      </c>
      <c r="AS11" s="243">
        <f>+AR11*AG11*12</f>
        <v>2520.1824236081284</v>
      </c>
      <c r="AT11" s="243">
        <f t="shared" ref="AT11:AT12" si="5">+AS11-R11</f>
        <v>1123.1124236081284</v>
      </c>
      <c r="AU11" s="244">
        <f>AS11/R11-1</f>
        <v>0.80390561933770566</v>
      </c>
      <c r="BA11" s="245">
        <f t="shared" ref="BA11:BA12" si="6">AP11*AF11*12</f>
        <v>1397.07</v>
      </c>
      <c r="BB11" s="242">
        <f t="shared" ref="BB11:BB12" si="7">BA11-R11</f>
        <v>0</v>
      </c>
    </row>
    <row r="12" spans="1:177" s="183" customFormat="1" ht="12" customHeight="1">
      <c r="A12" s="184" t="s">
        <v>176</v>
      </c>
      <c r="B12" s="184"/>
      <c r="C12" s="184" t="s">
        <v>177</v>
      </c>
      <c r="D12" s="235">
        <v>17.239999999999998</v>
      </c>
      <c r="E12" s="236">
        <v>16</v>
      </c>
      <c r="F12" s="233">
        <v>2577.1099999999947</v>
      </c>
      <c r="G12" s="233">
        <v>2534.4299999999953</v>
      </c>
      <c r="H12" s="233">
        <v>2568.6299999999942</v>
      </c>
      <c r="I12" s="233">
        <v>2568.6299999999942</v>
      </c>
      <c r="J12" s="233">
        <v>2538.4599999999946</v>
      </c>
      <c r="K12" s="233">
        <v>2568.6299999999942</v>
      </c>
      <c r="L12" s="233">
        <v>2585.869999999994</v>
      </c>
      <c r="M12" s="233">
        <v>2601.5899999999938</v>
      </c>
      <c r="N12" s="233">
        <v>2600.8299999999936</v>
      </c>
      <c r="O12" s="233">
        <v>2618.0699999999933</v>
      </c>
      <c r="P12" s="233">
        <v>2665.4799999999932</v>
      </c>
      <c r="Q12" s="233">
        <v>2669.7899999999936</v>
      </c>
      <c r="R12" s="237">
        <f>SUM(F12:Q12)</f>
        <v>31097.519999999928</v>
      </c>
      <c r="S12" s="185">
        <v>32000</v>
      </c>
      <c r="T12" s="246">
        <f>IFERROR(F12/($D12),0)</f>
        <v>149.48433874709949</v>
      </c>
      <c r="U12" s="246">
        <f t="shared" si="1"/>
        <v>147.00870069605543</v>
      </c>
      <c r="V12" s="246">
        <f t="shared" si="1"/>
        <v>148.99245939675143</v>
      </c>
      <c r="W12" s="246">
        <f t="shared" si="1"/>
        <v>148.99245939675143</v>
      </c>
      <c r="X12" s="246">
        <f t="shared" si="1"/>
        <v>147.24245939675143</v>
      </c>
      <c r="Y12" s="246">
        <f t="shared" si="1"/>
        <v>148.99245939675143</v>
      </c>
      <c r="Z12" s="246">
        <f t="shared" si="1"/>
        <v>149.9924593967514</v>
      </c>
      <c r="AA12" s="246">
        <f t="shared" si="1"/>
        <v>150.90429234338711</v>
      </c>
      <c r="AB12" s="246">
        <f t="shared" si="1"/>
        <v>150.86020881670498</v>
      </c>
      <c r="AC12" s="246">
        <f t="shared" si="1"/>
        <v>151.86020881670495</v>
      </c>
      <c r="AD12" s="246">
        <f t="shared" si="1"/>
        <v>154.61020881670495</v>
      </c>
      <c r="AE12" s="246">
        <f t="shared" si="1"/>
        <v>154.86020881670498</v>
      </c>
      <c r="AF12" s="247">
        <f>IFERROR(AVERAGEIF(T12:AE12,"&lt;&gt;0"),0)</f>
        <v>150.31670533642657</v>
      </c>
      <c r="AG12" s="238">
        <f>R12/12/AP12</f>
        <v>150.31670533642659</v>
      </c>
      <c r="AH12" s="238"/>
      <c r="AI12" s="322">
        <f t="shared" ca="1" si="2"/>
        <v>120.17775973062624</v>
      </c>
      <c r="AJ12" s="322">
        <f t="shared" ca="1" si="3"/>
        <v>31217.697759730552</v>
      </c>
      <c r="AK12" s="238"/>
      <c r="AL12" s="238"/>
      <c r="AN12" s="239"/>
      <c r="AP12" s="240">
        <f>+D12</f>
        <v>17.239999999999998</v>
      </c>
      <c r="AQ12" s="241">
        <f>+$AS$2*AP12</f>
        <v>13.859332877382037</v>
      </c>
      <c r="AR12" s="242">
        <f t="shared" si="4"/>
        <v>31.099332877382036</v>
      </c>
      <c r="AS12" s="243">
        <f>+AR12*AG12*12</f>
        <v>56096.991075466547</v>
      </c>
      <c r="AT12" s="243">
        <f t="shared" si="5"/>
        <v>24999.471075466619</v>
      </c>
      <c r="AU12" s="244">
        <f>AS12/R12-1</f>
        <v>0.80390561933770521</v>
      </c>
      <c r="BA12" s="245">
        <f t="shared" si="6"/>
        <v>31097.519999999924</v>
      </c>
      <c r="BB12" s="242">
        <f t="shared" si="7"/>
        <v>0</v>
      </c>
    </row>
    <row r="13" spans="1:177" s="183" customFormat="1" ht="12" customHeight="1">
      <c r="A13" s="184"/>
      <c r="B13" s="184"/>
      <c r="C13" s="184"/>
      <c r="D13" s="248"/>
      <c r="E13" s="248"/>
      <c r="F13" s="233"/>
      <c r="G13" s="233"/>
      <c r="H13" s="233"/>
      <c r="I13" s="237"/>
      <c r="J13" s="237"/>
      <c r="K13" s="237"/>
      <c r="L13" s="237"/>
      <c r="M13" s="237"/>
      <c r="N13" s="237"/>
      <c r="O13" s="237"/>
      <c r="P13" s="237"/>
      <c r="Q13" s="237"/>
      <c r="R13" s="237"/>
      <c r="S13" s="185"/>
      <c r="AF13" s="233">
        <f>IFERROR(AVERAGEIF(T13:AE13,"&lt;&gt;0"),0)</f>
        <v>0</v>
      </c>
      <c r="AG13" s="238"/>
      <c r="AH13" s="238"/>
      <c r="AI13" s="316"/>
      <c r="AJ13" s="316"/>
      <c r="AK13" s="238"/>
      <c r="AL13" s="238"/>
      <c r="AO13" s="243"/>
      <c r="AP13" s="184"/>
      <c r="AQ13" s="184"/>
      <c r="AR13" s="184"/>
      <c r="AS13" s="184"/>
      <c r="AT13" s="184"/>
      <c r="AU13" s="244"/>
      <c r="AV13" s="184"/>
      <c r="AW13" s="184"/>
      <c r="AX13" s="184"/>
      <c r="AY13" s="184"/>
      <c r="AZ13" s="184"/>
      <c r="BA13" s="192"/>
      <c r="BB13" s="192"/>
      <c r="BC13" s="184"/>
      <c r="BD13" s="184"/>
      <c r="BE13" s="184"/>
      <c r="BF13" s="184"/>
      <c r="BG13" s="184"/>
      <c r="BH13" s="184"/>
      <c r="BI13" s="184"/>
      <c r="BJ13" s="184"/>
      <c r="BK13" s="184"/>
      <c r="BL13" s="184"/>
      <c r="BM13" s="184"/>
      <c r="BN13" s="184"/>
      <c r="BO13" s="184"/>
      <c r="BP13" s="184"/>
      <c r="BQ13" s="184"/>
      <c r="BR13" s="184"/>
      <c r="BS13" s="184"/>
      <c r="BT13" s="184"/>
      <c r="BU13" s="184"/>
      <c r="BV13" s="184"/>
      <c r="BW13" s="184"/>
      <c r="BX13" s="184"/>
      <c r="BY13" s="184"/>
      <c r="BZ13" s="184"/>
      <c r="CA13" s="184"/>
      <c r="CB13" s="184"/>
      <c r="CC13" s="184"/>
      <c r="CD13" s="184"/>
      <c r="CE13" s="184"/>
      <c r="CF13" s="184"/>
      <c r="CG13" s="184"/>
      <c r="CH13" s="184"/>
      <c r="CI13" s="184"/>
      <c r="CJ13" s="184"/>
      <c r="CK13" s="184"/>
      <c r="CL13" s="184"/>
      <c r="CM13" s="184"/>
      <c r="CN13" s="184"/>
      <c r="CO13" s="184"/>
      <c r="CP13" s="184"/>
      <c r="CQ13" s="184"/>
      <c r="CR13" s="184"/>
      <c r="CS13" s="184"/>
      <c r="CT13" s="184"/>
      <c r="CU13" s="184"/>
      <c r="CV13" s="184"/>
      <c r="CW13" s="184"/>
      <c r="CX13" s="184"/>
      <c r="CY13" s="184"/>
      <c r="CZ13" s="184"/>
      <c r="DA13" s="184"/>
      <c r="DB13" s="184"/>
      <c r="DC13" s="184"/>
      <c r="DD13" s="184"/>
      <c r="DE13" s="184"/>
      <c r="DF13" s="184"/>
      <c r="DG13" s="184"/>
      <c r="DH13" s="184"/>
      <c r="DI13" s="184"/>
      <c r="DJ13" s="184"/>
      <c r="DK13" s="184"/>
      <c r="DL13" s="184"/>
      <c r="DM13" s="184"/>
      <c r="DN13" s="184"/>
      <c r="DO13" s="184"/>
      <c r="DP13" s="184"/>
      <c r="DQ13" s="184"/>
      <c r="DR13" s="184"/>
      <c r="DS13" s="184"/>
      <c r="DT13" s="184"/>
      <c r="DU13" s="184"/>
      <c r="DV13" s="184"/>
      <c r="DW13" s="184"/>
      <c r="DX13" s="184"/>
      <c r="DY13" s="184"/>
      <c r="DZ13" s="184"/>
      <c r="EA13" s="184"/>
      <c r="EB13" s="184"/>
      <c r="EC13" s="184"/>
      <c r="ED13" s="184"/>
      <c r="EE13" s="184"/>
      <c r="EF13" s="184"/>
      <c r="EG13" s="184"/>
      <c r="EH13" s="184"/>
      <c r="EI13" s="184"/>
      <c r="EJ13" s="184"/>
      <c r="EK13" s="184"/>
      <c r="EL13" s="184"/>
      <c r="EM13" s="184"/>
      <c r="EN13" s="184"/>
      <c r="EO13" s="184"/>
      <c r="EP13" s="184"/>
      <c r="EQ13" s="184"/>
      <c r="ER13" s="184"/>
      <c r="ES13" s="184"/>
      <c r="ET13" s="184"/>
      <c r="EU13" s="184"/>
      <c r="EV13" s="184"/>
      <c r="EW13" s="184"/>
      <c r="EX13" s="184"/>
      <c r="EY13" s="184"/>
      <c r="EZ13" s="184"/>
      <c r="FA13" s="184"/>
      <c r="FB13" s="184"/>
      <c r="FC13" s="184"/>
      <c r="FD13" s="184"/>
      <c r="FE13" s="184"/>
      <c r="FF13" s="184"/>
      <c r="FG13" s="184"/>
      <c r="FH13" s="184"/>
      <c r="FI13" s="184"/>
      <c r="FJ13" s="184"/>
      <c r="FK13" s="184"/>
      <c r="FL13" s="184"/>
      <c r="FM13" s="184"/>
      <c r="FN13" s="184"/>
      <c r="FO13" s="184"/>
      <c r="FP13" s="184"/>
      <c r="FQ13" s="184"/>
      <c r="FR13" s="184"/>
      <c r="FS13" s="184"/>
      <c r="FT13" s="184"/>
      <c r="FU13" s="184"/>
    </row>
    <row r="14" spans="1:177" s="253" customFormat="1" ht="12" customHeight="1" thickBot="1">
      <c r="A14" s="201"/>
      <c r="B14" s="201"/>
      <c r="C14" s="249" t="s">
        <v>178</v>
      </c>
      <c r="D14" s="250"/>
      <c r="E14" s="250"/>
      <c r="F14" s="251">
        <f t="shared" ref="F14:R14" si="8">SUM(F10:F13)</f>
        <v>2709.5399999999945</v>
      </c>
      <c r="G14" s="251">
        <f t="shared" si="8"/>
        <v>2653.5599999999954</v>
      </c>
      <c r="H14" s="251">
        <f t="shared" si="8"/>
        <v>2687.7599999999943</v>
      </c>
      <c r="I14" s="251">
        <f t="shared" si="8"/>
        <v>2769.7599999999943</v>
      </c>
      <c r="J14" s="251">
        <f t="shared" si="8"/>
        <v>2751.8899999999944</v>
      </c>
      <c r="K14" s="251">
        <f t="shared" si="8"/>
        <v>2718.5099999999943</v>
      </c>
      <c r="L14" s="251">
        <f t="shared" si="8"/>
        <v>2766.4999999999941</v>
      </c>
      <c r="M14" s="251">
        <f t="shared" si="8"/>
        <v>2747.369999999994</v>
      </c>
      <c r="N14" s="251">
        <f t="shared" si="8"/>
        <v>2828.3599999999933</v>
      </c>
      <c r="O14" s="251">
        <f t="shared" si="8"/>
        <v>2794.9199999999933</v>
      </c>
      <c r="P14" s="251">
        <f t="shared" si="8"/>
        <v>2888.179999999993</v>
      </c>
      <c r="Q14" s="251">
        <f t="shared" si="8"/>
        <v>2911.3399999999938</v>
      </c>
      <c r="R14" s="251">
        <f t="shared" si="8"/>
        <v>33227.68999999993</v>
      </c>
      <c r="S14" s="185"/>
      <c r="T14" s="252">
        <f t="shared" ref="T14:AE14" si="9">+SUM(T10:T12)</f>
        <v>166.97214362514828</v>
      </c>
      <c r="U14" s="252">
        <f t="shared" si="9"/>
        <v>158.00870069605543</v>
      </c>
      <c r="V14" s="252">
        <f t="shared" si="9"/>
        <v>159.99245939675143</v>
      </c>
      <c r="W14" s="252">
        <f t="shared" si="9"/>
        <v>199.99245939675143</v>
      </c>
      <c r="X14" s="252">
        <f t="shared" si="9"/>
        <v>204.24245939675143</v>
      </c>
      <c r="Y14" s="252">
        <f t="shared" si="9"/>
        <v>174.99245939675143</v>
      </c>
      <c r="Z14" s="252">
        <f t="shared" si="9"/>
        <v>190.9924593967514</v>
      </c>
      <c r="AA14" s="252">
        <f t="shared" si="9"/>
        <v>174.90429234338711</v>
      </c>
      <c r="AB14" s="252">
        <f t="shared" si="9"/>
        <v>214.73825759719276</v>
      </c>
      <c r="AC14" s="252">
        <f t="shared" si="9"/>
        <v>195.29923320694886</v>
      </c>
      <c r="AD14" s="252">
        <f t="shared" si="9"/>
        <v>220.41508686548542</v>
      </c>
      <c r="AE14" s="252">
        <f t="shared" si="9"/>
        <v>229.86020881670498</v>
      </c>
      <c r="AF14" s="252">
        <f>+SUM(AF11:AF12)</f>
        <v>161.06670533642657</v>
      </c>
      <c r="AG14" s="238">
        <f>SUM(AG11:AG12)</f>
        <v>161.06670533642659</v>
      </c>
      <c r="AH14" s="238"/>
      <c r="AI14" s="324">
        <f t="shared" ref="AI14:AJ14" ca="1" si="10">SUM(AI10:AI13)</f>
        <v>128.4098971629806</v>
      </c>
      <c r="AJ14" s="324">
        <f t="shared" ca="1" si="10"/>
        <v>33356.099897162909</v>
      </c>
      <c r="AK14" s="238"/>
      <c r="AL14" s="238"/>
      <c r="AM14" s="183"/>
      <c r="AN14" s="183"/>
      <c r="AO14" s="183"/>
      <c r="AP14" s="184"/>
      <c r="AQ14" s="184"/>
      <c r="AR14" s="184"/>
      <c r="AS14" s="251">
        <f t="shared" ref="AS14:AT14" si="11">SUM(AS10:AS13)</f>
        <v>59939.616708611145</v>
      </c>
      <c r="AT14" s="251">
        <f t="shared" si="11"/>
        <v>26711.92670861122</v>
      </c>
      <c r="AU14" s="244">
        <f>AS14/R14-1</f>
        <v>0.80390561933770521</v>
      </c>
      <c r="AV14" s="184"/>
      <c r="AW14" s="184"/>
      <c r="AX14" s="184"/>
      <c r="AY14" s="184"/>
      <c r="AZ14" s="184"/>
      <c r="BA14" s="245">
        <f>SUM(BA10:BA13)</f>
        <v>33374.309999999925</v>
      </c>
      <c r="BB14" s="199">
        <f>SUM(BB10:BB13)</f>
        <v>146.62</v>
      </c>
      <c r="BC14" s="184"/>
      <c r="BD14" s="184"/>
      <c r="BE14" s="184"/>
      <c r="BF14" s="184"/>
      <c r="BG14" s="184"/>
      <c r="BH14" s="184"/>
      <c r="BI14" s="184"/>
      <c r="BJ14" s="184"/>
      <c r="BK14" s="184"/>
      <c r="BL14" s="184"/>
      <c r="BM14" s="184"/>
      <c r="BN14" s="184"/>
      <c r="BO14" s="184"/>
      <c r="BP14" s="184"/>
      <c r="BQ14" s="184"/>
      <c r="BR14" s="184"/>
      <c r="BS14" s="184"/>
      <c r="BT14" s="184"/>
      <c r="BU14" s="184"/>
      <c r="BV14" s="184"/>
      <c r="BW14" s="184"/>
      <c r="BX14" s="184"/>
      <c r="BY14" s="184"/>
      <c r="BZ14" s="184"/>
      <c r="CA14" s="184"/>
      <c r="CB14" s="184"/>
      <c r="CC14" s="184"/>
      <c r="CD14" s="184"/>
      <c r="CE14" s="184"/>
      <c r="CF14" s="184"/>
      <c r="CG14" s="184"/>
      <c r="CH14" s="184"/>
      <c r="CI14" s="184"/>
      <c r="CJ14" s="184"/>
      <c r="CK14" s="184"/>
      <c r="CL14" s="184"/>
      <c r="CM14" s="184"/>
      <c r="CN14" s="184"/>
      <c r="CO14" s="184"/>
      <c r="CP14" s="184"/>
      <c r="CQ14" s="184"/>
      <c r="CR14" s="184"/>
      <c r="CS14" s="184"/>
      <c r="CT14" s="184"/>
      <c r="CU14" s="184"/>
      <c r="CV14" s="184"/>
      <c r="CW14" s="184"/>
      <c r="CX14" s="184"/>
      <c r="CY14" s="184"/>
      <c r="CZ14" s="184"/>
      <c r="DA14" s="184"/>
      <c r="DB14" s="184"/>
      <c r="DC14" s="184"/>
      <c r="DD14" s="184"/>
      <c r="DE14" s="184"/>
      <c r="DF14" s="184"/>
      <c r="DG14" s="184"/>
      <c r="DH14" s="184"/>
      <c r="DI14" s="184"/>
      <c r="DJ14" s="184"/>
      <c r="DK14" s="184"/>
      <c r="DL14" s="184"/>
      <c r="DM14" s="184"/>
      <c r="DN14" s="184"/>
      <c r="DO14" s="184"/>
      <c r="DP14" s="184"/>
      <c r="DQ14" s="184"/>
      <c r="DR14" s="184"/>
      <c r="DS14" s="184"/>
      <c r="DT14" s="184"/>
      <c r="DU14" s="184"/>
      <c r="DV14" s="184"/>
      <c r="DW14" s="184"/>
      <c r="DX14" s="184"/>
      <c r="DY14" s="184"/>
      <c r="DZ14" s="184"/>
      <c r="EA14" s="184"/>
      <c r="EB14" s="184"/>
      <c r="EC14" s="184"/>
      <c r="ED14" s="184"/>
      <c r="EE14" s="184"/>
      <c r="EF14" s="184"/>
      <c r="EG14" s="184"/>
      <c r="EH14" s="184"/>
      <c r="EI14" s="184"/>
      <c r="EJ14" s="184"/>
      <c r="EK14" s="184"/>
      <c r="EL14" s="184"/>
      <c r="EM14" s="184"/>
      <c r="EN14" s="184"/>
      <c r="EO14" s="184"/>
      <c r="EP14" s="184"/>
      <c r="EQ14" s="184"/>
      <c r="ER14" s="184"/>
      <c r="ES14" s="184"/>
      <c r="ET14" s="184"/>
      <c r="EU14" s="184"/>
      <c r="EV14" s="184"/>
      <c r="EW14" s="184"/>
      <c r="EX14" s="184"/>
      <c r="EY14" s="184"/>
      <c r="EZ14" s="184"/>
      <c r="FA14" s="184"/>
      <c r="FB14" s="184"/>
      <c r="FC14" s="184"/>
      <c r="FD14" s="184"/>
      <c r="FE14" s="184"/>
      <c r="FF14" s="184"/>
      <c r="FG14" s="184"/>
      <c r="FH14" s="184"/>
      <c r="FI14" s="184"/>
      <c r="FJ14" s="184"/>
      <c r="FK14" s="184"/>
      <c r="FL14" s="184"/>
      <c r="FM14" s="184"/>
      <c r="FN14" s="184"/>
      <c r="FO14" s="184"/>
      <c r="FP14" s="184"/>
      <c r="FQ14" s="184"/>
      <c r="FR14" s="184"/>
      <c r="FS14" s="184"/>
      <c r="FT14" s="184"/>
      <c r="FU14" s="184"/>
    </row>
    <row r="15" spans="1:177" s="201" customFormat="1" ht="12" customHeight="1">
      <c r="C15" s="249"/>
      <c r="D15" s="250"/>
      <c r="E15" s="250"/>
      <c r="F15" s="254"/>
      <c r="G15" s="254"/>
      <c r="H15" s="254"/>
      <c r="I15" s="254"/>
      <c r="J15" s="254"/>
      <c r="K15" s="254"/>
      <c r="L15" s="254"/>
      <c r="M15" s="254"/>
      <c r="N15" s="254"/>
      <c r="O15" s="254"/>
      <c r="P15" s="254"/>
      <c r="Q15" s="254"/>
      <c r="R15" s="254"/>
      <c r="S15" s="185"/>
      <c r="T15" s="255"/>
      <c r="U15" s="255"/>
      <c r="V15" s="255"/>
      <c r="W15" s="255"/>
      <c r="X15" s="255"/>
      <c r="Y15" s="255"/>
      <c r="Z15" s="255"/>
      <c r="AA15" s="255"/>
      <c r="AB15" s="255"/>
      <c r="AC15" s="255"/>
      <c r="AD15" s="255"/>
      <c r="AE15" s="255"/>
      <c r="AF15" s="255"/>
      <c r="AG15" s="238"/>
      <c r="AH15" s="238"/>
      <c r="AI15" s="316"/>
      <c r="AJ15" s="316"/>
      <c r="AK15" s="238"/>
      <c r="AL15" s="238"/>
      <c r="AM15" s="183"/>
      <c r="AU15" s="244"/>
      <c r="AV15" s="184"/>
      <c r="AW15" s="184"/>
      <c r="AX15" s="184"/>
      <c r="AY15" s="184"/>
      <c r="AZ15" s="184"/>
      <c r="BA15" s="192"/>
      <c r="BB15" s="192"/>
      <c r="BC15" s="184"/>
      <c r="BD15" s="184"/>
      <c r="BE15" s="184"/>
      <c r="BF15" s="184"/>
      <c r="BG15" s="184"/>
      <c r="BH15" s="184"/>
      <c r="BI15" s="184"/>
      <c r="BJ15" s="184"/>
      <c r="BK15" s="184"/>
      <c r="BL15" s="184"/>
      <c r="BM15" s="184"/>
      <c r="BN15" s="184"/>
      <c r="BO15" s="184"/>
      <c r="BP15" s="184"/>
      <c r="BQ15" s="184"/>
      <c r="BR15" s="184"/>
      <c r="BS15" s="184"/>
      <c r="BT15" s="184"/>
      <c r="BU15" s="184"/>
      <c r="BV15" s="184"/>
      <c r="BW15" s="184"/>
      <c r="BX15" s="184"/>
      <c r="BY15" s="184"/>
      <c r="BZ15" s="184"/>
      <c r="CA15" s="184"/>
      <c r="CB15" s="184"/>
      <c r="CC15" s="184"/>
      <c r="CD15" s="184"/>
      <c r="CE15" s="184"/>
      <c r="CF15" s="184"/>
      <c r="CG15" s="184"/>
      <c r="CH15" s="184"/>
      <c r="CI15" s="184"/>
      <c r="CJ15" s="184"/>
      <c r="CK15" s="184"/>
      <c r="CL15" s="184"/>
      <c r="CM15" s="184"/>
      <c r="CN15" s="184"/>
      <c r="CO15" s="184"/>
      <c r="CP15" s="184"/>
      <c r="CQ15" s="184"/>
      <c r="CR15" s="184"/>
      <c r="CS15" s="184"/>
      <c r="CT15" s="184"/>
      <c r="CU15" s="184"/>
      <c r="CV15" s="184"/>
      <c r="CW15" s="184"/>
      <c r="CX15" s="184"/>
      <c r="CY15" s="184"/>
      <c r="CZ15" s="184"/>
      <c r="DA15" s="184"/>
      <c r="DB15" s="184"/>
      <c r="DC15" s="184"/>
      <c r="DD15" s="184"/>
      <c r="DE15" s="184"/>
      <c r="DF15" s="184"/>
      <c r="DG15" s="184"/>
      <c r="DH15" s="184"/>
      <c r="DI15" s="184"/>
      <c r="DJ15" s="184"/>
      <c r="DK15" s="184"/>
      <c r="DL15" s="184"/>
      <c r="DM15" s="184"/>
      <c r="DN15" s="184"/>
      <c r="DO15" s="184"/>
      <c r="DP15" s="184"/>
      <c r="DQ15" s="184"/>
      <c r="DR15" s="184"/>
      <c r="DS15" s="184"/>
      <c r="DT15" s="184"/>
      <c r="DU15" s="184"/>
      <c r="DV15" s="184"/>
      <c r="DW15" s="184"/>
      <c r="DX15" s="184"/>
      <c r="DY15" s="184"/>
      <c r="DZ15" s="184"/>
      <c r="EA15" s="184"/>
      <c r="EB15" s="184"/>
      <c r="EC15" s="184"/>
      <c r="ED15" s="184"/>
      <c r="EE15" s="184"/>
      <c r="EF15" s="184"/>
      <c r="EG15" s="184"/>
      <c r="EH15" s="184"/>
      <c r="EI15" s="184"/>
      <c r="EJ15" s="184"/>
      <c r="EK15" s="184"/>
      <c r="EL15" s="184"/>
      <c r="EM15" s="184"/>
      <c r="EN15" s="184"/>
      <c r="EO15" s="184"/>
      <c r="EP15" s="184"/>
      <c r="EQ15" s="184"/>
      <c r="ER15" s="184"/>
      <c r="ES15" s="184"/>
      <c r="ET15" s="184"/>
      <c r="EU15" s="184"/>
      <c r="EV15" s="184"/>
      <c r="EW15" s="184"/>
      <c r="EX15" s="184"/>
      <c r="EY15" s="184"/>
      <c r="EZ15" s="184"/>
      <c r="FA15" s="184"/>
      <c r="FB15" s="184"/>
      <c r="FC15" s="184"/>
      <c r="FD15" s="184"/>
      <c r="FE15" s="184"/>
      <c r="FF15" s="184"/>
      <c r="FG15" s="184"/>
      <c r="FH15" s="184"/>
      <c r="FI15" s="184"/>
      <c r="FJ15" s="184"/>
      <c r="FK15" s="184"/>
      <c r="FL15" s="184"/>
      <c r="FM15" s="184"/>
      <c r="FN15" s="184"/>
      <c r="FO15" s="184"/>
      <c r="FP15" s="184"/>
      <c r="FQ15" s="184"/>
      <c r="FR15" s="184"/>
      <c r="FS15" s="184"/>
      <c r="FT15" s="184"/>
      <c r="FU15" s="184"/>
    </row>
    <row r="16" spans="1:177" s="183" customFormat="1" ht="12" customHeight="1">
      <c r="A16" s="256"/>
      <c r="B16" s="256"/>
      <c r="C16" s="257"/>
      <c r="D16" s="258"/>
      <c r="E16" s="258"/>
      <c r="F16" s="259"/>
      <c r="G16" s="233"/>
      <c r="H16" s="233"/>
      <c r="I16" s="260"/>
      <c r="J16" s="243"/>
      <c r="R16" s="243"/>
      <c r="S16" s="185"/>
      <c r="T16" s="237"/>
      <c r="U16" s="237"/>
      <c r="V16" s="237"/>
      <c r="W16" s="237"/>
      <c r="X16" s="237"/>
      <c r="Y16" s="237"/>
      <c r="Z16" s="237"/>
      <c r="AA16" s="237"/>
      <c r="AB16" s="237"/>
      <c r="AC16" s="237"/>
      <c r="AD16" s="237"/>
      <c r="AE16" s="237"/>
      <c r="AF16" s="184"/>
      <c r="AG16" s="238"/>
      <c r="AH16" s="238"/>
      <c r="AI16" s="316"/>
      <c r="AJ16" s="316"/>
      <c r="AK16" s="238"/>
      <c r="AL16" s="238"/>
      <c r="AP16" s="184"/>
      <c r="AQ16" s="184"/>
      <c r="AR16" s="184"/>
      <c r="AS16" s="184"/>
      <c r="AT16" s="184"/>
      <c r="AU16" s="244"/>
      <c r="BA16" s="234"/>
      <c r="BB16" s="234"/>
    </row>
    <row r="17" spans="1:192" s="183" customFormat="1" ht="12" customHeight="1">
      <c r="A17" s="312" t="s">
        <v>179</v>
      </c>
      <c r="B17" s="312"/>
      <c r="C17" s="312" t="s">
        <v>179</v>
      </c>
      <c r="D17" s="261"/>
      <c r="E17" s="261"/>
      <c r="F17" s="262"/>
      <c r="G17" s="230"/>
      <c r="H17" s="230"/>
      <c r="I17" s="263"/>
      <c r="J17" s="263"/>
      <c r="K17" s="263"/>
      <c r="L17" s="263"/>
      <c r="M17" s="263"/>
      <c r="N17" s="263"/>
      <c r="O17" s="263"/>
      <c r="P17" s="263"/>
      <c r="Q17" s="263"/>
      <c r="R17" s="232"/>
      <c r="S17" s="185"/>
      <c r="T17" s="237"/>
      <c r="U17" s="237"/>
      <c r="V17" s="237"/>
      <c r="W17" s="237"/>
      <c r="X17" s="237"/>
      <c r="Y17" s="237"/>
      <c r="Z17" s="237"/>
      <c r="AA17" s="237"/>
      <c r="AB17" s="237"/>
      <c r="AC17" s="237"/>
      <c r="AD17" s="237"/>
      <c r="AE17" s="237"/>
      <c r="AF17" s="184"/>
      <c r="AG17" s="238"/>
      <c r="AH17" s="238"/>
      <c r="AI17" s="316"/>
      <c r="AJ17" s="316"/>
      <c r="AK17" s="238"/>
      <c r="AL17" s="238"/>
      <c r="AM17" s="264" t="s">
        <v>180</v>
      </c>
      <c r="AN17" s="264"/>
      <c r="AO17" s="264"/>
      <c r="AU17" s="244"/>
      <c r="BA17" s="234"/>
      <c r="BB17" s="234"/>
    </row>
    <row r="18" spans="1:192" s="183" customFormat="1" ht="12" customHeight="1">
      <c r="A18" s="184" t="s">
        <v>181</v>
      </c>
      <c r="B18" s="184"/>
      <c r="C18" s="184" t="s">
        <v>182</v>
      </c>
      <c r="D18" s="235">
        <v>2.0499999999999998</v>
      </c>
      <c r="E18" s="236">
        <v>17</v>
      </c>
      <c r="F18" s="233">
        <v>0</v>
      </c>
      <c r="G18" s="233">
        <v>0</v>
      </c>
      <c r="H18" s="233">
        <v>0</v>
      </c>
      <c r="I18" s="233">
        <v>22.549999999999997</v>
      </c>
      <c r="J18" s="233">
        <v>20.5</v>
      </c>
      <c r="K18" s="233">
        <v>26.65</v>
      </c>
      <c r="L18" s="233">
        <v>18.45</v>
      </c>
      <c r="M18" s="233">
        <v>14.35</v>
      </c>
      <c r="N18" s="233">
        <v>35.749999999999993</v>
      </c>
      <c r="O18" s="233">
        <v>14.350000000000001</v>
      </c>
      <c r="P18" s="233">
        <v>4.0999999999999996</v>
      </c>
      <c r="Q18" s="233">
        <v>20.5</v>
      </c>
      <c r="R18" s="237">
        <f t="shared" ref="R18:R23" si="12">SUM(F18:Q18)</f>
        <v>177.19999999999996</v>
      </c>
      <c r="S18" s="185">
        <v>33001</v>
      </c>
      <c r="T18" s="246">
        <f t="shared" ref="T18:AE24" si="13">IFERROR(F18/($D18),0)</f>
        <v>0</v>
      </c>
      <c r="U18" s="246">
        <f t="shared" si="13"/>
        <v>0</v>
      </c>
      <c r="V18" s="246">
        <f t="shared" si="13"/>
        <v>0</v>
      </c>
      <c r="W18" s="246">
        <f t="shared" si="13"/>
        <v>11</v>
      </c>
      <c r="X18" s="246">
        <f t="shared" si="13"/>
        <v>10</v>
      </c>
      <c r="Y18" s="246">
        <f t="shared" si="13"/>
        <v>13</v>
      </c>
      <c r="Z18" s="246">
        <f t="shared" si="13"/>
        <v>9</v>
      </c>
      <c r="AA18" s="246">
        <f t="shared" si="13"/>
        <v>7</v>
      </c>
      <c r="AB18" s="246">
        <f t="shared" si="13"/>
        <v>17.439024390243901</v>
      </c>
      <c r="AC18" s="246">
        <f t="shared" si="13"/>
        <v>7.0000000000000009</v>
      </c>
      <c r="AD18" s="246">
        <f t="shared" si="13"/>
        <v>2</v>
      </c>
      <c r="AE18" s="246">
        <f t="shared" si="13"/>
        <v>10</v>
      </c>
      <c r="AF18" s="233">
        <f>AVERAGE(T18:AE18)</f>
        <v>7.2032520325203251</v>
      </c>
      <c r="AG18" s="238">
        <f t="shared" ref="AG18:AG50" si="14">R18/12/AP18</f>
        <v>7.2032520325203242</v>
      </c>
      <c r="AH18" s="238"/>
      <c r="AI18" s="322">
        <f t="shared" ref="AI18:AI23" ca="1" si="15">+$AJ$3*R18</f>
        <v>0.6847973415329266</v>
      </c>
      <c r="AJ18" s="322">
        <f t="shared" ref="AJ18:AJ23" ca="1" si="16">+R18+AI18</f>
        <v>177.88479734153287</v>
      </c>
      <c r="AK18" s="238"/>
      <c r="AL18" s="238"/>
      <c r="AP18" s="240">
        <f t="shared" ref="AP18:AP24" si="17">+D18</f>
        <v>2.0499999999999998</v>
      </c>
      <c r="AQ18" s="241">
        <f>+$AS$3*AP18</f>
        <v>1.8873440196422953</v>
      </c>
      <c r="AR18" s="242">
        <f t="shared" ref="AR18:AR24" si="18">+AP18+AQ18</f>
        <v>3.9373440196422953</v>
      </c>
      <c r="AS18" s="243">
        <f t="shared" ref="AS18:AS24" si="19">+AR18*AF18*12</f>
        <v>340.34017574664131</v>
      </c>
      <c r="AT18" s="243">
        <f t="shared" ref="AT18:AT24" si="20">+AS18-R18</f>
        <v>163.14017574664135</v>
      </c>
      <c r="AU18" s="244">
        <f t="shared" ref="AU18:AU23" si="21">AS18/R18-1</f>
        <v>0.92065561933770534</v>
      </c>
      <c r="BA18" s="245">
        <f>AP18*AF18*12</f>
        <v>177.2</v>
      </c>
      <c r="BB18" s="234">
        <f t="shared" ref="BB18:BB24" si="22">BA18-R18</f>
        <v>0</v>
      </c>
    </row>
    <row r="19" spans="1:192" s="183" customFormat="1" ht="12" customHeight="1">
      <c r="A19" s="184" t="s">
        <v>183</v>
      </c>
      <c r="B19" s="200">
        <f>D19/4.33</f>
        <v>13.683602771362587</v>
      </c>
      <c r="C19" s="184" t="s">
        <v>184</v>
      </c>
      <c r="D19" s="235">
        <v>59.25</v>
      </c>
      <c r="E19" s="236">
        <v>24</v>
      </c>
      <c r="F19" s="233">
        <v>1531.9499999999998</v>
      </c>
      <c r="G19" s="233">
        <v>1280.4299999999998</v>
      </c>
      <c r="H19" s="233">
        <v>1280.4299999999998</v>
      </c>
      <c r="I19" s="233">
        <v>1280.4299999999998</v>
      </c>
      <c r="J19" s="233">
        <v>1180.6699999999998</v>
      </c>
      <c r="K19" s="233">
        <v>1213.9199999999998</v>
      </c>
      <c r="L19" s="233">
        <v>1213.9199999999998</v>
      </c>
      <c r="M19" s="233">
        <v>1213.9199999999998</v>
      </c>
      <c r="N19" s="233">
        <v>1213.9199999999998</v>
      </c>
      <c r="O19" s="233">
        <v>1352.6699999999998</v>
      </c>
      <c r="P19" s="233">
        <v>1398.9299999999998</v>
      </c>
      <c r="Q19" s="233">
        <v>1398.9299999999998</v>
      </c>
      <c r="R19" s="237">
        <f t="shared" si="12"/>
        <v>15560.12</v>
      </c>
      <c r="S19" s="185">
        <v>33000</v>
      </c>
      <c r="T19" s="246">
        <f t="shared" si="13"/>
        <v>25.855696202531643</v>
      </c>
      <c r="U19" s="246">
        <f t="shared" si="13"/>
        <v>21.610632911392404</v>
      </c>
      <c r="V19" s="246">
        <f t="shared" si="13"/>
        <v>21.610632911392404</v>
      </c>
      <c r="W19" s="246">
        <f t="shared" si="13"/>
        <v>21.610632911392404</v>
      </c>
      <c r="X19" s="246">
        <f t="shared" si="13"/>
        <v>19.926919831223625</v>
      </c>
      <c r="Y19" s="246">
        <f t="shared" si="13"/>
        <v>20.488101265822781</v>
      </c>
      <c r="Z19" s="246">
        <f t="shared" si="13"/>
        <v>20.488101265822781</v>
      </c>
      <c r="AA19" s="246">
        <f t="shared" si="13"/>
        <v>20.488101265822781</v>
      </c>
      <c r="AB19" s="246">
        <f t="shared" si="13"/>
        <v>20.488101265822781</v>
      </c>
      <c r="AC19" s="246">
        <f t="shared" si="13"/>
        <v>22.829873417721515</v>
      </c>
      <c r="AD19" s="246">
        <f t="shared" si="13"/>
        <v>23.610632911392404</v>
      </c>
      <c r="AE19" s="246">
        <f t="shared" si="13"/>
        <v>23.610632911392404</v>
      </c>
      <c r="AF19" s="233">
        <f t="shared" ref="AF19:AF24" si="23">AVERAGE(T19:AE19)</f>
        <v>21.884838255977495</v>
      </c>
      <c r="AG19" s="238">
        <f t="shared" si="14"/>
        <v>21.884838255977499</v>
      </c>
      <c r="AH19" s="238"/>
      <c r="AI19" s="322">
        <f t="shared" ca="1" si="15"/>
        <v>60.132781094431856</v>
      </c>
      <c r="AJ19" s="322">
        <f t="shared" ca="1" si="16"/>
        <v>15620.252781094432</v>
      </c>
      <c r="AK19" s="238"/>
      <c r="AL19" s="238"/>
      <c r="AM19" s="246">
        <v>0</v>
      </c>
      <c r="AO19" s="241">
        <f>AR19/4.33</f>
        <v>26.281488555602547</v>
      </c>
      <c r="AP19" s="240">
        <f t="shared" si="17"/>
        <v>59.25</v>
      </c>
      <c r="AQ19" s="241">
        <f t="shared" ref="AQ19:AQ24" si="24">+$AS$3*AP19</f>
        <v>54.548845445759028</v>
      </c>
      <c r="AR19" s="242">
        <f t="shared" si="18"/>
        <v>113.79884544575903</v>
      </c>
      <c r="AS19" s="243">
        <f t="shared" si="19"/>
        <v>29885.631915569007</v>
      </c>
      <c r="AT19" s="243">
        <f t="shared" si="20"/>
        <v>14325.511915569006</v>
      </c>
      <c r="AU19" s="244">
        <f t="shared" si="21"/>
        <v>0.92065561933770468</v>
      </c>
      <c r="BA19" s="245">
        <f t="shared" ref="BA19:BA24" si="25">AP19*AF19*12</f>
        <v>15560.119999999999</v>
      </c>
      <c r="BB19" s="234">
        <f t="shared" si="22"/>
        <v>0</v>
      </c>
    </row>
    <row r="20" spans="1:192" s="183" customFormat="1" ht="12" customHeight="1">
      <c r="A20" s="184" t="s">
        <v>185</v>
      </c>
      <c r="B20" s="200">
        <f t="shared" ref="B20:B23" si="26">D20/4.33</f>
        <v>17.829099307159353</v>
      </c>
      <c r="C20" s="184" t="s">
        <v>186</v>
      </c>
      <c r="D20" s="235">
        <v>77.2</v>
      </c>
      <c r="E20" s="236">
        <v>24</v>
      </c>
      <c r="F20" s="233">
        <v>6896.2300000000005</v>
      </c>
      <c r="G20" s="233">
        <v>6776.6200000000008</v>
      </c>
      <c r="H20" s="233">
        <v>6776.6200000000008</v>
      </c>
      <c r="I20" s="233">
        <v>6776.6200000000008</v>
      </c>
      <c r="J20" s="233">
        <v>6819.510000000002</v>
      </c>
      <c r="K20" s="233">
        <v>6862.4000000000005</v>
      </c>
      <c r="L20" s="233">
        <v>6948.18</v>
      </c>
      <c r="M20" s="233">
        <v>7033.9599999999991</v>
      </c>
      <c r="N20" s="233">
        <v>7668.2499999999991</v>
      </c>
      <c r="O20" s="233">
        <v>7711.12</v>
      </c>
      <c r="P20" s="233">
        <v>8182.9</v>
      </c>
      <c r="Q20" s="233">
        <v>8354.4600000000009</v>
      </c>
      <c r="R20" s="237">
        <f t="shared" si="12"/>
        <v>86806.87000000001</v>
      </c>
      <c r="S20" s="185">
        <v>33000</v>
      </c>
      <c r="T20" s="246">
        <f t="shared" si="13"/>
        <v>89.329404145077717</v>
      </c>
      <c r="U20" s="246">
        <f t="shared" si="13"/>
        <v>87.780051813471516</v>
      </c>
      <c r="V20" s="246">
        <f t="shared" si="13"/>
        <v>87.780051813471516</v>
      </c>
      <c r="W20" s="246">
        <f t="shared" si="13"/>
        <v>87.780051813471516</v>
      </c>
      <c r="X20" s="246">
        <f t="shared" si="13"/>
        <v>88.335621761658061</v>
      </c>
      <c r="Y20" s="246">
        <f t="shared" si="13"/>
        <v>88.891191709844563</v>
      </c>
      <c r="Z20" s="246">
        <f t="shared" si="13"/>
        <v>90.002331606217624</v>
      </c>
      <c r="AA20" s="246">
        <f t="shared" si="13"/>
        <v>91.113471502590656</v>
      </c>
      <c r="AB20" s="246">
        <f t="shared" si="13"/>
        <v>99.329663212435221</v>
      </c>
      <c r="AC20" s="246">
        <f t="shared" si="13"/>
        <v>99.884974093264248</v>
      </c>
      <c r="AD20" s="246">
        <f t="shared" si="13"/>
        <v>105.99611398963729</v>
      </c>
      <c r="AE20" s="246">
        <f t="shared" si="13"/>
        <v>108.21839378238343</v>
      </c>
      <c r="AF20" s="233">
        <f t="shared" si="23"/>
        <v>93.703443436960256</v>
      </c>
      <c r="AG20" s="238">
        <f t="shared" si="14"/>
        <v>93.703443436960285</v>
      </c>
      <c r="AH20" s="238"/>
      <c r="AI20" s="322">
        <f t="shared" ca="1" si="15"/>
        <v>335.46903951915561</v>
      </c>
      <c r="AJ20" s="322">
        <f t="shared" ca="1" si="16"/>
        <v>87142.339039519167</v>
      </c>
      <c r="AK20" s="238"/>
      <c r="AL20" s="238"/>
      <c r="AM20" s="246">
        <v>35.583333333333336</v>
      </c>
      <c r="AN20" s="265">
        <f>R20/AP20</f>
        <v>1124.4413212435234</v>
      </c>
      <c r="AO20" s="241">
        <f>AR20/4.33</f>
        <v>34.243559772025591</v>
      </c>
      <c r="AP20" s="240">
        <f t="shared" si="17"/>
        <v>77.2</v>
      </c>
      <c r="AQ20" s="241">
        <f t="shared" si="24"/>
        <v>71.074613812870837</v>
      </c>
      <c r="AR20" s="242">
        <f t="shared" si="18"/>
        <v>148.27461381287083</v>
      </c>
      <c r="AS20" s="243">
        <f>AR20*AN20</f>
        <v>166726.10266261766</v>
      </c>
      <c r="AT20" s="243">
        <f t="shared" si="20"/>
        <v>79919.232662617651</v>
      </c>
      <c r="AU20" s="244">
        <f t="shared" si="21"/>
        <v>0.9206556193377049</v>
      </c>
      <c r="BA20" s="245">
        <f t="shared" si="25"/>
        <v>86806.87</v>
      </c>
      <c r="BB20" s="234">
        <f t="shared" si="22"/>
        <v>0</v>
      </c>
    </row>
    <row r="21" spans="1:192" s="183" customFormat="1" ht="12" customHeight="1">
      <c r="A21" s="184" t="s">
        <v>187</v>
      </c>
      <c r="B21" s="200">
        <f>D21/4.33/2</f>
        <v>17.829099307159353</v>
      </c>
      <c r="C21" s="184" t="s">
        <v>188</v>
      </c>
      <c r="D21" s="235">
        <v>154.4</v>
      </c>
      <c r="E21" s="236">
        <v>24</v>
      </c>
      <c r="F21" s="233">
        <v>1303.8399999999999</v>
      </c>
      <c r="G21" s="233">
        <v>1303.8399999999999</v>
      </c>
      <c r="H21" s="233">
        <v>1303.8399999999999</v>
      </c>
      <c r="I21" s="233">
        <v>1303.8399999999999</v>
      </c>
      <c r="J21" s="233">
        <v>1303.8399999999999</v>
      </c>
      <c r="K21" s="233">
        <v>1303.8399999999999</v>
      </c>
      <c r="L21" s="233">
        <v>0</v>
      </c>
      <c r="M21" s="233">
        <v>0</v>
      </c>
      <c r="N21" s="233">
        <v>0</v>
      </c>
      <c r="O21" s="233">
        <v>0</v>
      </c>
      <c r="P21" s="233">
        <v>0</v>
      </c>
      <c r="Q21" s="233">
        <v>0</v>
      </c>
      <c r="R21" s="237">
        <f t="shared" si="12"/>
        <v>7823.04</v>
      </c>
      <c r="S21" s="185">
        <v>33000</v>
      </c>
      <c r="T21" s="246">
        <f t="shared" si="13"/>
        <v>8.4445595854922271</v>
      </c>
      <c r="U21" s="246">
        <f t="shared" si="13"/>
        <v>8.4445595854922271</v>
      </c>
      <c r="V21" s="246">
        <f t="shared" si="13"/>
        <v>8.4445595854922271</v>
      </c>
      <c r="W21" s="246">
        <f t="shared" si="13"/>
        <v>8.4445595854922271</v>
      </c>
      <c r="X21" s="246">
        <f t="shared" si="13"/>
        <v>8.4445595854922271</v>
      </c>
      <c r="Y21" s="246">
        <f t="shared" si="13"/>
        <v>8.4445595854922271</v>
      </c>
      <c r="Z21" s="246">
        <f t="shared" si="13"/>
        <v>0</v>
      </c>
      <c r="AA21" s="246">
        <f t="shared" si="13"/>
        <v>0</v>
      </c>
      <c r="AB21" s="246">
        <f t="shared" si="13"/>
        <v>0</v>
      </c>
      <c r="AC21" s="246">
        <f t="shared" si="13"/>
        <v>0</v>
      </c>
      <c r="AD21" s="246">
        <f t="shared" si="13"/>
        <v>0</v>
      </c>
      <c r="AE21" s="246">
        <f t="shared" si="13"/>
        <v>0</v>
      </c>
      <c r="AF21" s="233">
        <f t="shared" si="23"/>
        <v>4.2222797927461135</v>
      </c>
      <c r="AG21" s="238">
        <f t="shared" si="14"/>
        <v>4.2222797927461135</v>
      </c>
      <c r="AH21" s="238"/>
      <c r="AI21" s="322">
        <f t="shared" ca="1" si="15"/>
        <v>30.232488683441012</v>
      </c>
      <c r="AJ21" s="322">
        <f t="shared" ca="1" si="16"/>
        <v>7853.2724886834412</v>
      </c>
      <c r="AK21" s="238"/>
      <c r="AL21" s="238"/>
      <c r="AM21" s="246">
        <v>1</v>
      </c>
      <c r="AO21" s="241">
        <f>AR21/4.33/2</f>
        <v>34.243559772025591</v>
      </c>
      <c r="AP21" s="240">
        <f t="shared" si="17"/>
        <v>154.4</v>
      </c>
      <c r="AQ21" s="241">
        <f>+$AS$3*AP21</f>
        <v>142.14922762574167</v>
      </c>
      <c r="AR21" s="242">
        <f>+AP21+AQ21</f>
        <v>296.54922762574165</v>
      </c>
      <c r="AS21" s="243">
        <f t="shared" si="19"/>
        <v>15025.365736303636</v>
      </c>
      <c r="AT21" s="243">
        <f t="shared" si="20"/>
        <v>7202.3257363036364</v>
      </c>
      <c r="AU21" s="244">
        <f t="shared" si="21"/>
        <v>0.92065561933770468</v>
      </c>
      <c r="BA21" s="245">
        <f t="shared" si="25"/>
        <v>7823.0399999999991</v>
      </c>
      <c r="BB21" s="234">
        <f t="shared" si="22"/>
        <v>0</v>
      </c>
    </row>
    <row r="22" spans="1:192" s="183" customFormat="1" ht="12" customHeight="1">
      <c r="A22" s="184" t="s">
        <v>189</v>
      </c>
      <c r="B22" s="200">
        <f t="shared" si="26"/>
        <v>2.5011547344110854</v>
      </c>
      <c r="C22" s="184" t="s">
        <v>190</v>
      </c>
      <c r="D22" s="235">
        <v>10.83</v>
      </c>
      <c r="E22" s="236">
        <v>24</v>
      </c>
      <c r="F22" s="233">
        <v>20.5</v>
      </c>
      <c r="G22" s="233">
        <v>20.5</v>
      </c>
      <c r="H22" s="233">
        <v>20.5</v>
      </c>
      <c r="I22" s="233">
        <v>20.5</v>
      </c>
      <c r="J22" s="233">
        <v>20.5</v>
      </c>
      <c r="K22" s="233">
        <v>20.5</v>
      </c>
      <c r="L22" s="233">
        <v>20.5</v>
      </c>
      <c r="M22" s="233">
        <v>20.5</v>
      </c>
      <c r="N22" s="233">
        <v>20.5</v>
      </c>
      <c r="O22" s="233">
        <v>20.5</v>
      </c>
      <c r="P22" s="233">
        <v>20.5</v>
      </c>
      <c r="Q22" s="233">
        <v>20.5</v>
      </c>
      <c r="R22" s="237">
        <f t="shared" si="12"/>
        <v>246</v>
      </c>
      <c r="S22" s="185">
        <v>33000</v>
      </c>
      <c r="T22" s="246">
        <f t="shared" si="13"/>
        <v>1.8928901200369344</v>
      </c>
      <c r="U22" s="246">
        <f t="shared" si="13"/>
        <v>1.8928901200369344</v>
      </c>
      <c r="V22" s="246">
        <f t="shared" si="13"/>
        <v>1.8928901200369344</v>
      </c>
      <c r="W22" s="246">
        <f t="shared" si="13"/>
        <v>1.8928901200369344</v>
      </c>
      <c r="X22" s="246">
        <f t="shared" si="13"/>
        <v>1.8928901200369344</v>
      </c>
      <c r="Y22" s="246">
        <f t="shared" si="13"/>
        <v>1.8928901200369344</v>
      </c>
      <c r="Z22" s="246">
        <f t="shared" si="13"/>
        <v>1.8928901200369344</v>
      </c>
      <c r="AA22" s="246">
        <f t="shared" si="13"/>
        <v>1.8928901200369344</v>
      </c>
      <c r="AB22" s="246">
        <f t="shared" si="13"/>
        <v>1.8928901200369344</v>
      </c>
      <c r="AC22" s="246">
        <f t="shared" si="13"/>
        <v>1.8928901200369344</v>
      </c>
      <c r="AD22" s="246">
        <f t="shared" si="13"/>
        <v>1.8928901200369344</v>
      </c>
      <c r="AE22" s="246">
        <f t="shared" si="13"/>
        <v>1.8928901200369344</v>
      </c>
      <c r="AF22" s="233">
        <f t="shared" si="23"/>
        <v>1.8928901200369344</v>
      </c>
      <c r="AG22" s="238">
        <f t="shared" si="14"/>
        <v>1.8928901200369344</v>
      </c>
      <c r="AH22" s="238"/>
      <c r="AI22" s="322">
        <f t="shared" ca="1" si="15"/>
        <v>0.95067802492720077</v>
      </c>
      <c r="AJ22" s="322">
        <f t="shared" ca="1" si="16"/>
        <v>246.95067802492721</v>
      </c>
      <c r="AK22" s="238"/>
      <c r="AL22" s="238"/>
      <c r="AM22" s="246">
        <v>2</v>
      </c>
      <c r="AP22" s="240">
        <f t="shared" si="17"/>
        <v>10.83</v>
      </c>
      <c r="AQ22" s="241">
        <f t="shared" si="24"/>
        <v>9.9707003574273472</v>
      </c>
      <c r="AR22" s="242">
        <f t="shared" si="18"/>
        <v>20.800700357427345</v>
      </c>
      <c r="AS22" s="243">
        <f t="shared" si="19"/>
        <v>472.48128235707543</v>
      </c>
      <c r="AT22" s="243">
        <f t="shared" si="20"/>
        <v>226.48128235707543</v>
      </c>
      <c r="AU22" s="244">
        <f t="shared" si="21"/>
        <v>0.9206556193377049</v>
      </c>
      <c r="BA22" s="245">
        <f t="shared" si="25"/>
        <v>246</v>
      </c>
      <c r="BB22" s="234">
        <f t="shared" si="22"/>
        <v>0</v>
      </c>
    </row>
    <row r="23" spans="1:192" s="183" customFormat="1" ht="12" customHeight="1">
      <c r="A23" s="184" t="s">
        <v>191</v>
      </c>
      <c r="B23" s="200">
        <f t="shared" si="26"/>
        <v>4.8013856812933025</v>
      </c>
      <c r="C23" s="184" t="s">
        <v>192</v>
      </c>
      <c r="D23" s="235">
        <v>20.79</v>
      </c>
      <c r="E23" s="236">
        <v>24</v>
      </c>
      <c r="F23" s="233">
        <v>457.38</v>
      </c>
      <c r="G23" s="233">
        <v>457.38</v>
      </c>
      <c r="H23" s="233">
        <v>457.38</v>
      </c>
      <c r="I23" s="233">
        <v>457.38</v>
      </c>
      <c r="J23" s="233">
        <v>467.77</v>
      </c>
      <c r="K23" s="233">
        <v>478.17</v>
      </c>
      <c r="L23" s="233">
        <v>478.16999999999996</v>
      </c>
      <c r="M23" s="233">
        <v>478.17</v>
      </c>
      <c r="N23" s="233">
        <v>478.17</v>
      </c>
      <c r="O23" s="233">
        <v>478.17</v>
      </c>
      <c r="P23" s="233">
        <v>478.17</v>
      </c>
      <c r="Q23" s="233">
        <v>478.17</v>
      </c>
      <c r="R23" s="237">
        <f t="shared" si="12"/>
        <v>5644.4800000000005</v>
      </c>
      <c r="S23" s="185">
        <v>33000</v>
      </c>
      <c r="T23" s="246">
        <f t="shared" si="13"/>
        <v>22</v>
      </c>
      <c r="U23" s="246">
        <f t="shared" si="13"/>
        <v>22</v>
      </c>
      <c r="V23" s="246">
        <f t="shared" si="13"/>
        <v>22</v>
      </c>
      <c r="W23" s="246">
        <f t="shared" si="13"/>
        <v>22</v>
      </c>
      <c r="X23" s="246">
        <f t="shared" si="13"/>
        <v>22.499759499759499</v>
      </c>
      <c r="Y23" s="246">
        <f t="shared" si="13"/>
        <v>23</v>
      </c>
      <c r="Z23" s="246">
        <f t="shared" si="13"/>
        <v>23</v>
      </c>
      <c r="AA23" s="246">
        <f t="shared" si="13"/>
        <v>23</v>
      </c>
      <c r="AB23" s="246">
        <f t="shared" si="13"/>
        <v>23</v>
      </c>
      <c r="AC23" s="246">
        <f t="shared" si="13"/>
        <v>23</v>
      </c>
      <c r="AD23" s="246">
        <f t="shared" si="13"/>
        <v>23</v>
      </c>
      <c r="AE23" s="246">
        <f t="shared" si="13"/>
        <v>23</v>
      </c>
      <c r="AF23" s="233">
        <f t="shared" si="23"/>
        <v>22.624979958313293</v>
      </c>
      <c r="AG23" s="238">
        <f t="shared" si="14"/>
        <v>22.624979958313297</v>
      </c>
      <c r="AH23" s="238"/>
      <c r="AI23" s="322">
        <f t="shared" ca="1" si="15"/>
        <v>21.813345927402793</v>
      </c>
      <c r="AJ23" s="322">
        <f t="shared" ca="1" si="16"/>
        <v>5666.2933459274036</v>
      </c>
      <c r="AK23" s="238"/>
      <c r="AL23" s="238"/>
      <c r="AM23" s="246">
        <v>11.666666666666666</v>
      </c>
      <c r="AP23" s="240">
        <f t="shared" si="17"/>
        <v>20.79</v>
      </c>
      <c r="AQ23" s="241">
        <f t="shared" si="24"/>
        <v>19.140430326030888</v>
      </c>
      <c r="AR23" s="242">
        <f t="shared" si="18"/>
        <v>39.930430326030887</v>
      </c>
      <c r="AS23" s="243">
        <f t="shared" si="19"/>
        <v>10841.102230239288</v>
      </c>
      <c r="AT23" s="243">
        <f t="shared" si="20"/>
        <v>5196.622230239288</v>
      </c>
      <c r="AU23" s="244">
        <f t="shared" si="21"/>
        <v>0.92065561933770468</v>
      </c>
      <c r="BA23" s="245">
        <f t="shared" si="25"/>
        <v>5644.48</v>
      </c>
      <c r="BB23" s="234">
        <f t="shared" si="22"/>
        <v>0</v>
      </c>
    </row>
    <row r="24" spans="1:192" s="183" customFormat="1" ht="12" customHeight="1">
      <c r="A24" s="184"/>
      <c r="B24" s="184"/>
      <c r="C24" s="184"/>
      <c r="D24" s="248"/>
      <c r="E24" s="248"/>
      <c r="F24" s="233"/>
      <c r="G24" s="233"/>
      <c r="H24" s="233"/>
      <c r="I24" s="233"/>
      <c r="J24" s="233"/>
      <c r="K24" s="233"/>
      <c r="L24" s="233"/>
      <c r="M24" s="233"/>
      <c r="N24" s="233"/>
      <c r="O24" s="233"/>
      <c r="P24" s="233"/>
      <c r="Q24" s="233"/>
      <c r="R24" s="237"/>
      <c r="S24" s="185"/>
      <c r="T24" s="246">
        <f t="shared" si="13"/>
        <v>0</v>
      </c>
      <c r="U24" s="246">
        <f t="shared" si="13"/>
        <v>0</v>
      </c>
      <c r="V24" s="246">
        <f t="shared" si="13"/>
        <v>0</v>
      </c>
      <c r="W24" s="246">
        <f t="shared" si="13"/>
        <v>0</v>
      </c>
      <c r="X24" s="246">
        <f t="shared" si="13"/>
        <v>0</v>
      </c>
      <c r="Y24" s="246">
        <f t="shared" si="13"/>
        <v>0</v>
      </c>
      <c r="Z24" s="246">
        <f t="shared" si="13"/>
        <v>0</v>
      </c>
      <c r="AA24" s="246">
        <f t="shared" si="13"/>
        <v>0</v>
      </c>
      <c r="AB24" s="246">
        <f t="shared" si="13"/>
        <v>0</v>
      </c>
      <c r="AC24" s="246">
        <f t="shared" si="13"/>
        <v>0</v>
      </c>
      <c r="AD24" s="246">
        <f t="shared" si="13"/>
        <v>0</v>
      </c>
      <c r="AE24" s="246">
        <f t="shared" si="13"/>
        <v>0</v>
      </c>
      <c r="AF24" s="233">
        <f t="shared" si="23"/>
        <v>0</v>
      </c>
      <c r="AG24" s="238"/>
      <c r="AH24" s="238"/>
      <c r="AI24" s="316"/>
      <c r="AJ24" s="316"/>
      <c r="AK24" s="238"/>
      <c r="AL24" s="238"/>
      <c r="AP24" s="241">
        <f t="shared" si="17"/>
        <v>0</v>
      </c>
      <c r="AQ24" s="241">
        <f t="shared" si="24"/>
        <v>0</v>
      </c>
      <c r="AR24" s="242">
        <f t="shared" si="18"/>
        <v>0</v>
      </c>
      <c r="AS24" s="243">
        <f t="shared" si="19"/>
        <v>0</v>
      </c>
      <c r="AT24" s="243">
        <f t="shared" si="20"/>
        <v>0</v>
      </c>
      <c r="AU24" s="244"/>
      <c r="BA24" s="245">
        <f t="shared" si="25"/>
        <v>0</v>
      </c>
      <c r="BB24" s="234">
        <f t="shared" si="22"/>
        <v>0</v>
      </c>
    </row>
    <row r="25" spans="1:192" s="183" customFormat="1" ht="12" customHeight="1">
      <c r="A25" s="184"/>
      <c r="B25" s="184"/>
      <c r="C25" s="184"/>
      <c r="D25" s="248"/>
      <c r="E25" s="248"/>
      <c r="F25" s="233"/>
      <c r="G25" s="233"/>
      <c r="H25" s="233"/>
      <c r="I25" s="237"/>
      <c r="J25" s="237"/>
      <c r="K25" s="237"/>
      <c r="L25" s="237"/>
      <c r="M25" s="237"/>
      <c r="N25" s="237"/>
      <c r="O25" s="237"/>
      <c r="P25" s="237"/>
      <c r="Q25" s="237"/>
      <c r="R25" s="243"/>
      <c r="S25" s="185"/>
      <c r="AF25" s="233"/>
      <c r="AG25" s="238"/>
      <c r="AH25" s="238"/>
      <c r="AI25" s="316"/>
      <c r="AJ25" s="316"/>
      <c r="AK25" s="238"/>
      <c r="AL25" s="238"/>
      <c r="AU25" s="244"/>
      <c r="AV25" s="184"/>
      <c r="AW25" s="184"/>
      <c r="AX25" s="184"/>
      <c r="AY25" s="184"/>
      <c r="AZ25" s="184"/>
      <c r="BA25" s="245"/>
      <c r="BB25" s="192"/>
      <c r="BC25" s="184"/>
      <c r="BD25" s="184"/>
      <c r="BE25" s="184"/>
      <c r="BF25" s="184"/>
      <c r="BG25" s="184"/>
      <c r="BH25" s="184"/>
      <c r="BI25" s="184"/>
      <c r="BJ25" s="184"/>
      <c r="BK25" s="184"/>
      <c r="BL25" s="184"/>
      <c r="BM25" s="184"/>
      <c r="BN25" s="184"/>
      <c r="BO25" s="184"/>
      <c r="BP25" s="184"/>
      <c r="BQ25" s="184"/>
      <c r="BR25" s="184"/>
      <c r="BS25" s="184"/>
      <c r="BT25" s="184"/>
      <c r="BU25" s="184"/>
      <c r="BV25" s="184"/>
      <c r="BW25" s="184"/>
      <c r="BX25" s="184"/>
      <c r="BY25" s="184"/>
      <c r="BZ25" s="184"/>
      <c r="CA25" s="184"/>
      <c r="CB25" s="184"/>
      <c r="CC25" s="184"/>
      <c r="CD25" s="184"/>
      <c r="CE25" s="184"/>
      <c r="CF25" s="184"/>
      <c r="CG25" s="184"/>
      <c r="CH25" s="184"/>
      <c r="CI25" s="184"/>
      <c r="CJ25" s="184"/>
      <c r="CK25" s="184"/>
      <c r="CL25" s="184"/>
      <c r="CM25" s="184"/>
      <c r="CN25" s="184"/>
      <c r="CO25" s="184"/>
      <c r="CP25" s="184"/>
      <c r="CQ25" s="184"/>
      <c r="CR25" s="184"/>
      <c r="CS25" s="184"/>
      <c r="CT25" s="184"/>
      <c r="CU25" s="184"/>
      <c r="CV25" s="184"/>
      <c r="CW25" s="184"/>
      <c r="CX25" s="184"/>
      <c r="CY25" s="184"/>
      <c r="CZ25" s="184"/>
      <c r="DA25" s="184"/>
      <c r="DB25" s="184"/>
      <c r="DC25" s="184"/>
      <c r="DD25" s="184"/>
      <c r="DE25" s="184"/>
      <c r="DF25" s="184"/>
      <c r="DG25" s="184"/>
      <c r="DH25" s="184"/>
      <c r="DI25" s="184"/>
      <c r="DJ25" s="184"/>
      <c r="DK25" s="184"/>
      <c r="DL25" s="184"/>
      <c r="DM25" s="184"/>
      <c r="DN25" s="184"/>
      <c r="DO25" s="184"/>
      <c r="DP25" s="184"/>
      <c r="DQ25" s="184"/>
      <c r="DR25" s="184"/>
      <c r="DS25" s="184"/>
      <c r="DT25" s="184"/>
      <c r="DU25" s="184"/>
      <c r="DV25" s="184"/>
      <c r="DW25" s="184"/>
      <c r="DX25" s="184"/>
      <c r="DY25" s="184"/>
      <c r="DZ25" s="184"/>
      <c r="EA25" s="184"/>
      <c r="EB25" s="184"/>
      <c r="EC25" s="184"/>
      <c r="ED25" s="184"/>
      <c r="EE25" s="184"/>
      <c r="EF25" s="184"/>
      <c r="EG25" s="184"/>
      <c r="EH25" s="184"/>
      <c r="EI25" s="184"/>
      <c r="EJ25" s="184"/>
      <c r="EK25" s="184"/>
      <c r="EL25" s="184"/>
      <c r="EM25" s="184"/>
      <c r="EN25" s="184"/>
      <c r="EO25" s="184"/>
      <c r="EP25" s="184"/>
      <c r="EQ25" s="184"/>
      <c r="ER25" s="184"/>
      <c r="ES25" s="184"/>
      <c r="ET25" s="184"/>
      <c r="EU25" s="184"/>
      <c r="EV25" s="184"/>
      <c r="EW25" s="184"/>
      <c r="EX25" s="184"/>
      <c r="EY25" s="184"/>
      <c r="EZ25" s="184"/>
      <c r="FA25" s="184"/>
      <c r="FB25" s="184"/>
      <c r="FC25" s="184"/>
      <c r="FD25" s="184"/>
      <c r="FE25" s="184"/>
      <c r="FF25" s="184"/>
      <c r="FG25" s="184"/>
      <c r="FH25" s="184"/>
      <c r="FI25" s="184"/>
      <c r="FJ25" s="184"/>
      <c r="FK25" s="184"/>
      <c r="FL25" s="184"/>
      <c r="FM25" s="184"/>
      <c r="FN25" s="184"/>
      <c r="FO25" s="184"/>
      <c r="FP25" s="184"/>
      <c r="FQ25" s="184"/>
      <c r="FR25" s="184"/>
      <c r="FS25" s="184"/>
      <c r="FT25" s="184"/>
      <c r="FU25" s="184"/>
      <c r="FV25" s="184"/>
      <c r="FW25" s="184"/>
      <c r="FX25" s="184"/>
      <c r="FY25" s="184"/>
      <c r="FZ25" s="184"/>
      <c r="GA25" s="184"/>
    </row>
    <row r="26" spans="1:192" ht="12" customHeight="1" thickBot="1">
      <c r="A26" s="266"/>
      <c r="B26" s="266"/>
      <c r="C26" s="249" t="s">
        <v>193</v>
      </c>
      <c r="D26" s="250"/>
      <c r="E26" s="250"/>
      <c r="F26" s="251">
        <f t="shared" ref="F26:R26" si="27">SUM(F18:F25)</f>
        <v>10209.9</v>
      </c>
      <c r="G26" s="251">
        <f t="shared" si="27"/>
        <v>9838.77</v>
      </c>
      <c r="H26" s="251">
        <f t="shared" si="27"/>
        <v>9838.77</v>
      </c>
      <c r="I26" s="251">
        <f t="shared" si="27"/>
        <v>9861.32</v>
      </c>
      <c r="J26" s="251">
        <f t="shared" si="27"/>
        <v>9812.7900000000027</v>
      </c>
      <c r="K26" s="251">
        <f t="shared" si="27"/>
        <v>9905.48</v>
      </c>
      <c r="L26" s="251">
        <f t="shared" si="27"/>
        <v>8679.2199999999993</v>
      </c>
      <c r="M26" s="251">
        <f t="shared" si="27"/>
        <v>8760.9</v>
      </c>
      <c r="N26" s="251">
        <f t="shared" si="27"/>
        <v>9416.5899999999983</v>
      </c>
      <c r="O26" s="251">
        <f t="shared" si="27"/>
        <v>9576.81</v>
      </c>
      <c r="P26" s="251">
        <f t="shared" si="27"/>
        <v>10084.6</v>
      </c>
      <c r="Q26" s="251">
        <f t="shared" si="27"/>
        <v>10272.560000000001</v>
      </c>
      <c r="R26" s="251">
        <f t="shared" si="27"/>
        <v>116257.71</v>
      </c>
      <c r="S26" s="185"/>
      <c r="T26" s="267">
        <f>+SUM(T18:T23)</f>
        <v>147.52255005313853</v>
      </c>
      <c r="U26" s="267">
        <f t="shared" ref="U26:AE26" si="28">+SUM(U18:U23)</f>
        <v>141.72813443039308</v>
      </c>
      <c r="V26" s="267">
        <f t="shared" si="28"/>
        <v>141.72813443039308</v>
      </c>
      <c r="W26" s="267">
        <f t="shared" si="28"/>
        <v>152.72813443039306</v>
      </c>
      <c r="X26" s="267">
        <f t="shared" si="28"/>
        <v>151.09975079817036</v>
      </c>
      <c r="Y26" s="267">
        <f t="shared" si="28"/>
        <v>155.71674268119648</v>
      </c>
      <c r="Z26" s="267">
        <f t="shared" si="28"/>
        <v>144.38332299207735</v>
      </c>
      <c r="AA26" s="267">
        <f t="shared" si="28"/>
        <v>143.49446288845036</v>
      </c>
      <c r="AB26" s="267">
        <f t="shared" si="28"/>
        <v>162.14967898853882</v>
      </c>
      <c r="AC26" s="267">
        <f t="shared" si="28"/>
        <v>154.60773763102267</v>
      </c>
      <c r="AD26" s="267">
        <f t="shared" si="28"/>
        <v>156.49963702106663</v>
      </c>
      <c r="AE26" s="267">
        <f t="shared" si="28"/>
        <v>166.72191681381275</v>
      </c>
      <c r="AF26" s="267">
        <f>+SUM(AF19:AF23)</f>
        <v>144.3284315640341</v>
      </c>
      <c r="AG26" s="268">
        <f>+SUM(AG19:AG23)</f>
        <v>144.32843156403413</v>
      </c>
      <c r="AH26" s="268"/>
      <c r="AI26" s="324">
        <f t="shared" ref="AI26:AJ26" ca="1" si="29">SUM(AI18:AI25)</f>
        <v>449.2831305908914</v>
      </c>
      <c r="AJ26" s="324">
        <f t="shared" ca="1" si="29"/>
        <v>116706.99313059091</v>
      </c>
      <c r="AK26" s="268"/>
      <c r="AL26" s="268"/>
      <c r="AM26" s="269">
        <f>+SUM(AM19:AM23)</f>
        <v>50.25</v>
      </c>
      <c r="AN26" s="183"/>
      <c r="AO26" s="183">
        <f>+D22/4.33</f>
        <v>2.5011547344110854</v>
      </c>
      <c r="AP26" s="183">
        <f>+AR22/4.33</f>
        <v>4.8038568954797567</v>
      </c>
      <c r="AQ26" s="183"/>
      <c r="AR26" s="183"/>
      <c r="AS26" s="251">
        <f t="shared" ref="AS26:AT26" si="30">SUM(AS18:AS25)</f>
        <v>223291.02400283329</v>
      </c>
      <c r="AT26" s="251">
        <f t="shared" si="30"/>
        <v>107033.31400283329</v>
      </c>
      <c r="AU26" s="244">
        <f>AS26/R26-1</f>
        <v>0.9206556193377049</v>
      </c>
      <c r="BA26" s="245">
        <f>SUM(BA18:BA25)</f>
        <v>116257.70999999999</v>
      </c>
      <c r="BB26" s="192">
        <f>SUM(BB18:BB25)</f>
        <v>0</v>
      </c>
    </row>
    <row r="27" spans="1:192" ht="12" customHeight="1">
      <c r="A27" s="270"/>
      <c r="B27" s="270"/>
      <c r="C27" s="266"/>
      <c r="D27" s="248"/>
      <c r="E27" s="248"/>
      <c r="F27" s="233"/>
      <c r="G27" s="233"/>
      <c r="H27" s="233"/>
      <c r="I27" s="237"/>
      <c r="J27" s="237"/>
      <c r="K27" s="237"/>
      <c r="L27" s="237"/>
      <c r="M27" s="237"/>
      <c r="N27" s="237"/>
      <c r="O27" s="237"/>
      <c r="P27" s="237"/>
      <c r="Q27" s="237"/>
      <c r="R27" s="243"/>
      <c r="S27" s="185"/>
      <c r="T27" s="183"/>
      <c r="U27" s="183"/>
      <c r="V27" s="183"/>
      <c r="W27" s="183"/>
      <c r="X27" s="183"/>
      <c r="Y27" s="183"/>
      <c r="Z27" s="183"/>
      <c r="AA27" s="183"/>
      <c r="AB27" s="183"/>
      <c r="AC27" s="183"/>
      <c r="AD27" s="183"/>
      <c r="AE27" s="183"/>
      <c r="AF27" s="184" t="s">
        <v>194</v>
      </c>
      <c r="AG27" s="238"/>
      <c r="AH27" s="238"/>
      <c r="AI27" s="316"/>
      <c r="AJ27" s="316"/>
      <c r="AK27" s="238"/>
      <c r="AL27" s="238"/>
      <c r="AM27" s="183"/>
      <c r="AN27" s="183"/>
      <c r="AO27" s="183">
        <f>+D23/4.33</f>
        <v>4.8013856812933025</v>
      </c>
      <c r="AP27" s="183">
        <f>+AR23/4.33</f>
        <v>9.2218083893835772</v>
      </c>
      <c r="AQ27" s="183"/>
      <c r="AR27" s="183"/>
      <c r="AS27" s="183"/>
      <c r="AT27" s="183"/>
      <c r="AU27" s="244"/>
      <c r="AV27" s="183"/>
      <c r="AW27" s="183"/>
      <c r="AX27" s="183"/>
      <c r="BA27" s="234"/>
    </row>
    <row r="28" spans="1:192" s="183" customFormat="1" ht="12" customHeight="1">
      <c r="A28" s="312" t="s">
        <v>195</v>
      </c>
      <c r="B28" s="312"/>
      <c r="C28" s="312" t="s">
        <v>196</v>
      </c>
      <c r="D28" s="271"/>
      <c r="E28" s="271"/>
      <c r="F28" s="272"/>
      <c r="G28" s="272"/>
      <c r="H28" s="272"/>
      <c r="I28" s="272"/>
      <c r="J28" s="272"/>
      <c r="K28" s="272"/>
      <c r="L28" s="272"/>
      <c r="M28" s="272"/>
      <c r="N28" s="272"/>
      <c r="O28" s="272"/>
      <c r="P28" s="272"/>
      <c r="Q28" s="272"/>
      <c r="R28" s="272"/>
      <c r="S28" s="185"/>
      <c r="T28" s="184"/>
      <c r="U28" s="184"/>
      <c r="V28" s="184"/>
      <c r="W28" s="184"/>
      <c r="X28" s="184"/>
      <c r="Y28" s="184"/>
      <c r="Z28" s="184"/>
      <c r="AA28" s="184"/>
      <c r="AB28" s="184"/>
      <c r="AC28" s="184"/>
      <c r="AD28" s="184"/>
      <c r="AE28" s="184"/>
      <c r="AF28" s="184"/>
      <c r="AG28" s="238"/>
      <c r="AH28" s="238"/>
      <c r="AI28" s="316"/>
      <c r="AJ28" s="316"/>
      <c r="AK28" s="238"/>
      <c r="AL28" s="238"/>
      <c r="AU28" s="244"/>
      <c r="AV28" s="184"/>
      <c r="AW28" s="184"/>
      <c r="AX28" s="184"/>
      <c r="BA28" s="192"/>
      <c r="BB28" s="192"/>
      <c r="BC28" s="184"/>
      <c r="BD28" s="184"/>
      <c r="BE28" s="184"/>
      <c r="BF28" s="184"/>
      <c r="BG28" s="184"/>
      <c r="BH28" s="184"/>
      <c r="BI28" s="184"/>
      <c r="BJ28" s="184"/>
      <c r="BK28" s="184"/>
      <c r="BL28" s="184"/>
      <c r="BM28" s="184"/>
      <c r="BN28" s="184"/>
      <c r="BO28" s="184"/>
      <c r="BP28" s="184"/>
      <c r="BQ28" s="184"/>
      <c r="BR28" s="184"/>
      <c r="BS28" s="184"/>
      <c r="BT28" s="184"/>
      <c r="BU28" s="184"/>
      <c r="BV28" s="184"/>
      <c r="BW28" s="184"/>
      <c r="BX28" s="184"/>
      <c r="BY28" s="184"/>
      <c r="BZ28" s="184"/>
      <c r="CA28" s="184"/>
      <c r="CB28" s="184"/>
      <c r="CC28" s="184"/>
      <c r="CD28" s="184"/>
      <c r="CE28" s="184"/>
      <c r="CF28" s="184"/>
      <c r="CG28" s="184"/>
      <c r="CH28" s="184"/>
      <c r="CI28" s="184"/>
      <c r="CJ28" s="184"/>
      <c r="CK28" s="184"/>
      <c r="CL28" s="184"/>
      <c r="CM28" s="184"/>
      <c r="CN28" s="184"/>
      <c r="CO28" s="184"/>
      <c r="CP28" s="184"/>
      <c r="CQ28" s="184"/>
      <c r="CR28" s="184"/>
      <c r="CS28" s="184"/>
      <c r="CT28" s="184"/>
      <c r="CU28" s="184"/>
      <c r="CV28" s="184"/>
      <c r="CW28" s="184"/>
      <c r="CX28" s="184"/>
      <c r="CY28" s="184"/>
      <c r="CZ28" s="184"/>
      <c r="DA28" s="184"/>
      <c r="DB28" s="184"/>
      <c r="DC28" s="184"/>
      <c r="DD28" s="184"/>
      <c r="DE28" s="184"/>
      <c r="DF28" s="184"/>
      <c r="DG28" s="184"/>
      <c r="DH28" s="184"/>
      <c r="DI28" s="184"/>
      <c r="DJ28" s="184"/>
      <c r="DK28" s="184"/>
      <c r="DL28" s="184"/>
      <c r="DM28" s="184"/>
      <c r="DN28" s="184"/>
      <c r="DO28" s="184"/>
      <c r="DP28" s="184"/>
      <c r="DQ28" s="184"/>
      <c r="DR28" s="184"/>
      <c r="DS28" s="184"/>
      <c r="DT28" s="184"/>
      <c r="DU28" s="184"/>
      <c r="DV28" s="184"/>
      <c r="DW28" s="184"/>
      <c r="DX28" s="184"/>
      <c r="DY28" s="184"/>
      <c r="DZ28" s="184"/>
      <c r="EA28" s="184"/>
      <c r="EB28" s="184"/>
      <c r="EC28" s="184"/>
      <c r="ED28" s="184"/>
      <c r="EE28" s="184"/>
      <c r="EF28" s="184"/>
      <c r="EG28" s="184"/>
      <c r="EH28" s="184"/>
      <c r="EI28" s="184"/>
      <c r="EJ28" s="184"/>
      <c r="EK28" s="184"/>
      <c r="EL28" s="184"/>
      <c r="EM28" s="184"/>
      <c r="EN28" s="184"/>
      <c r="EO28" s="184"/>
      <c r="EP28" s="184"/>
      <c r="EQ28" s="184"/>
      <c r="ER28" s="184"/>
      <c r="ES28" s="184"/>
      <c r="ET28" s="184"/>
      <c r="EU28" s="184"/>
      <c r="EV28" s="184"/>
      <c r="EW28" s="184"/>
      <c r="EX28" s="184"/>
      <c r="EY28" s="184"/>
      <c r="EZ28" s="184"/>
      <c r="FA28" s="184"/>
      <c r="FB28" s="184"/>
      <c r="FC28" s="184"/>
      <c r="FD28" s="184"/>
      <c r="FE28" s="184"/>
      <c r="FF28" s="184"/>
      <c r="FG28" s="184"/>
      <c r="FH28" s="184"/>
      <c r="FI28" s="184"/>
      <c r="FJ28" s="184"/>
      <c r="FK28" s="184"/>
      <c r="FL28" s="184"/>
      <c r="FM28" s="184"/>
      <c r="FN28" s="184"/>
      <c r="FO28" s="184"/>
      <c r="FP28" s="184"/>
      <c r="FQ28" s="184"/>
      <c r="FR28" s="184"/>
      <c r="FS28" s="184"/>
      <c r="FT28" s="184"/>
      <c r="FU28" s="184"/>
      <c r="FV28" s="184"/>
      <c r="FW28" s="184"/>
      <c r="FX28" s="184"/>
      <c r="FY28" s="184"/>
      <c r="FZ28" s="184"/>
      <c r="GA28" s="184"/>
      <c r="GB28" s="184"/>
      <c r="GC28" s="184"/>
      <c r="GD28" s="184"/>
      <c r="GE28" s="184"/>
      <c r="GF28" s="184"/>
      <c r="GG28" s="184"/>
      <c r="GH28" s="184"/>
      <c r="GI28" s="184"/>
      <c r="GJ28" s="184"/>
    </row>
    <row r="29" spans="1:192" s="183" customFormat="1" ht="12" customHeight="1">
      <c r="A29" s="184" t="s">
        <v>197</v>
      </c>
      <c r="B29" s="273" t="s">
        <v>198</v>
      </c>
      <c r="C29" s="184" t="s">
        <v>199</v>
      </c>
      <c r="D29" s="274">
        <v>56.75</v>
      </c>
      <c r="E29" s="275">
        <v>27</v>
      </c>
      <c r="F29" s="233">
        <v>181.88</v>
      </c>
      <c r="G29" s="233">
        <v>290.08</v>
      </c>
      <c r="H29" s="233">
        <v>255.38</v>
      </c>
      <c r="I29" s="233">
        <v>312.13</v>
      </c>
      <c r="J29" s="233">
        <v>227</v>
      </c>
      <c r="K29" s="233">
        <v>227</v>
      </c>
      <c r="L29" s="233">
        <v>227</v>
      </c>
      <c r="M29" s="233">
        <v>0</v>
      </c>
      <c r="N29" s="233">
        <v>227</v>
      </c>
      <c r="O29" s="233">
        <v>170.25</v>
      </c>
      <c r="P29" s="233">
        <v>141.88</v>
      </c>
      <c r="Q29" s="233">
        <v>312.13</v>
      </c>
      <c r="R29" s="237">
        <f t="shared" ref="R29:R50" si="31">SUM(F29:Q29)</f>
        <v>2571.73</v>
      </c>
      <c r="S29" s="185"/>
      <c r="T29" s="246">
        <f t="shared" ref="T29:AE44" si="32">IFERROR(F29/($D29),0)</f>
        <v>3.2049339207048457</v>
      </c>
      <c r="U29" s="246">
        <f t="shared" si="32"/>
        <v>5.1115418502202639</v>
      </c>
      <c r="V29" s="246">
        <f t="shared" si="32"/>
        <v>4.5000881057268725</v>
      </c>
      <c r="W29" s="246">
        <f t="shared" si="32"/>
        <v>5.5000881057268725</v>
      </c>
      <c r="X29" s="246">
        <f t="shared" si="32"/>
        <v>4</v>
      </c>
      <c r="Y29" s="246">
        <f t="shared" si="32"/>
        <v>4</v>
      </c>
      <c r="Z29" s="246">
        <f t="shared" si="32"/>
        <v>4</v>
      </c>
      <c r="AA29" s="246">
        <f t="shared" si="32"/>
        <v>0</v>
      </c>
      <c r="AB29" s="246">
        <f t="shared" si="32"/>
        <v>4</v>
      </c>
      <c r="AC29" s="246">
        <f t="shared" si="32"/>
        <v>3</v>
      </c>
      <c r="AD29" s="246">
        <f t="shared" si="32"/>
        <v>2.500088105726872</v>
      </c>
      <c r="AE29" s="246">
        <f t="shared" si="32"/>
        <v>5.5000881057268725</v>
      </c>
      <c r="AF29" s="233">
        <f>AVERAGE(T29:AE29)</f>
        <v>3.7764023494860504</v>
      </c>
      <c r="AG29" s="238">
        <f t="shared" si="14"/>
        <v>3.7764023494860499</v>
      </c>
      <c r="AH29" s="238"/>
      <c r="AI29" s="322">
        <f t="shared" ref="AI29" ca="1" si="33">+$AJ$3*R29</f>
        <v>9.9385658416505294</v>
      </c>
      <c r="AJ29" s="322">
        <f t="shared" ref="AJ29" ca="1" si="34">+R29+AI29</f>
        <v>2581.6685658416504</v>
      </c>
      <c r="AK29" s="238"/>
      <c r="AL29" s="238"/>
      <c r="AP29" s="240">
        <f>+D29</f>
        <v>56.75</v>
      </c>
      <c r="AQ29" s="241">
        <f>+$AS$4*AP29</f>
        <v>59.865326397414776</v>
      </c>
      <c r="AR29" s="242">
        <f t="shared" ref="AR29:AR50" si="35">+AP29+AQ29</f>
        <v>116.61532639741478</v>
      </c>
      <c r="AS29" s="243">
        <f t="shared" ref="AS29:AS50" si="36">+AR29*AF29*12</f>
        <v>5284.6367111193576</v>
      </c>
      <c r="AT29" s="243">
        <f t="shared" ref="AT29:AT50" si="37">+AS29-R29</f>
        <v>2712.9067111193576</v>
      </c>
      <c r="AU29" s="244">
        <f>AS29/R29-1</f>
        <v>1.0548956193377057</v>
      </c>
      <c r="AV29" s="242"/>
      <c r="BA29" s="245">
        <f t="shared" ref="BA29:BA50" si="38">AP29*AF29*12</f>
        <v>2571.7300000000005</v>
      </c>
      <c r="BB29" s="245">
        <f t="shared" ref="BB29:BB50" si="39">BA29-R29</f>
        <v>0</v>
      </c>
      <c r="BC29" s="184"/>
      <c r="BD29" s="184"/>
      <c r="BE29" s="184"/>
      <c r="BF29" s="184"/>
      <c r="BG29" s="184"/>
      <c r="BH29" s="184"/>
      <c r="BI29" s="184"/>
      <c r="BJ29" s="184"/>
      <c r="BK29" s="184"/>
      <c r="BL29" s="184"/>
      <c r="BM29" s="184"/>
      <c r="BN29" s="184"/>
      <c r="BO29" s="184"/>
      <c r="BP29" s="184"/>
      <c r="BQ29" s="184"/>
      <c r="BR29" s="184"/>
      <c r="BS29" s="184"/>
      <c r="BT29" s="184"/>
      <c r="BU29" s="184"/>
      <c r="BV29" s="184"/>
      <c r="BW29" s="184"/>
      <c r="BX29" s="184"/>
      <c r="BY29" s="184"/>
      <c r="BZ29" s="184"/>
      <c r="CA29" s="184"/>
      <c r="CB29" s="184"/>
      <c r="CC29" s="184"/>
      <c r="CD29" s="184"/>
      <c r="CE29" s="184"/>
      <c r="CF29" s="184"/>
      <c r="CG29" s="184"/>
      <c r="CH29" s="184"/>
      <c r="CI29" s="184"/>
      <c r="CJ29" s="184"/>
      <c r="CK29" s="184"/>
      <c r="CL29" s="184"/>
      <c r="CM29" s="184"/>
      <c r="CN29" s="184"/>
      <c r="CO29" s="184"/>
      <c r="CP29" s="184"/>
      <c r="CQ29" s="184"/>
      <c r="CR29" s="184"/>
      <c r="CS29" s="184"/>
      <c r="CT29" s="184"/>
      <c r="CU29" s="184"/>
      <c r="CV29" s="184"/>
      <c r="CW29" s="184"/>
      <c r="CX29" s="184"/>
      <c r="CY29" s="184"/>
      <c r="CZ29" s="184"/>
      <c r="DA29" s="184"/>
      <c r="DB29" s="184"/>
      <c r="DC29" s="184"/>
      <c r="DD29" s="184"/>
      <c r="DE29" s="184"/>
      <c r="DF29" s="184"/>
      <c r="DG29" s="184"/>
      <c r="DH29" s="184"/>
      <c r="DI29" s="184"/>
      <c r="DJ29" s="184"/>
      <c r="DK29" s="184"/>
      <c r="DL29" s="184"/>
      <c r="DM29" s="184"/>
      <c r="DN29" s="184"/>
      <c r="DO29" s="184"/>
      <c r="DP29" s="184"/>
      <c r="DQ29" s="184"/>
      <c r="DR29" s="184"/>
      <c r="DS29" s="184"/>
      <c r="DT29" s="184"/>
      <c r="DU29" s="184"/>
      <c r="DV29" s="184"/>
      <c r="DW29" s="184"/>
      <c r="DX29" s="184"/>
      <c r="DY29" s="184"/>
      <c r="DZ29" s="184"/>
      <c r="EA29" s="184"/>
      <c r="EB29" s="184"/>
      <c r="EC29" s="184"/>
      <c r="ED29" s="184"/>
      <c r="EE29" s="184"/>
      <c r="EF29" s="184"/>
      <c r="EG29" s="184"/>
      <c r="EH29" s="184"/>
      <c r="EI29" s="184"/>
      <c r="EJ29" s="184"/>
      <c r="EK29" s="184"/>
      <c r="EL29" s="184"/>
      <c r="EM29" s="184"/>
      <c r="EN29" s="184"/>
      <c r="EO29" s="184"/>
      <c r="EP29" s="184"/>
      <c r="EQ29" s="184"/>
      <c r="ER29" s="184"/>
      <c r="ES29" s="184"/>
      <c r="ET29" s="184"/>
      <c r="EU29" s="184"/>
      <c r="EV29" s="184"/>
      <c r="EW29" s="184"/>
      <c r="EX29" s="184"/>
      <c r="EY29" s="184"/>
      <c r="EZ29" s="184"/>
      <c r="FA29" s="184"/>
      <c r="FB29" s="184"/>
      <c r="FC29" s="184"/>
      <c r="FD29" s="184"/>
      <c r="FE29" s="184"/>
      <c r="FF29" s="184"/>
      <c r="FG29" s="184"/>
      <c r="FH29" s="184"/>
      <c r="FI29" s="184"/>
      <c r="FJ29" s="184"/>
      <c r="FK29" s="184"/>
      <c r="FL29" s="184"/>
      <c r="FM29" s="184"/>
      <c r="FN29" s="184"/>
      <c r="FO29" s="184"/>
      <c r="FP29" s="184"/>
      <c r="FQ29" s="184"/>
      <c r="FR29" s="184"/>
      <c r="FS29" s="184"/>
      <c r="FT29" s="184"/>
      <c r="FU29" s="184"/>
      <c r="FV29" s="184"/>
      <c r="FW29" s="184"/>
      <c r="FX29" s="184"/>
      <c r="FY29" s="184"/>
      <c r="FZ29" s="184"/>
      <c r="GA29" s="184"/>
      <c r="GB29" s="184"/>
      <c r="GC29" s="184"/>
      <c r="GD29" s="184"/>
      <c r="GE29" s="184"/>
      <c r="GF29" s="184"/>
      <c r="GG29" s="184"/>
      <c r="GH29" s="184"/>
      <c r="GI29" s="184"/>
      <c r="GJ29" s="184"/>
    </row>
    <row r="30" spans="1:192" s="183" customFormat="1" ht="12" customHeight="1">
      <c r="A30" s="184" t="s">
        <v>200</v>
      </c>
      <c r="B30" s="273" t="s">
        <v>198</v>
      </c>
      <c r="C30" s="184" t="s">
        <v>201</v>
      </c>
      <c r="D30" s="274">
        <v>53.9</v>
      </c>
      <c r="E30" s="275">
        <v>23</v>
      </c>
      <c r="F30" s="233">
        <v>5028.7200000000012</v>
      </c>
      <c r="G30" s="233">
        <v>5796.7000000000035</v>
      </c>
      <c r="H30" s="233">
        <v>3322.1999999999994</v>
      </c>
      <c r="I30" s="233">
        <v>3297.6999999999994</v>
      </c>
      <c r="J30" s="233">
        <v>3131.099999999999</v>
      </c>
      <c r="K30" s="233">
        <v>5390.0000000000018</v>
      </c>
      <c r="L30" s="233">
        <v>5338.5500000000011</v>
      </c>
      <c r="M30" s="233">
        <v>6117.6500000000024</v>
      </c>
      <c r="N30" s="233">
        <v>5794.2500000000018</v>
      </c>
      <c r="O30" s="233">
        <v>7457.8000000000056</v>
      </c>
      <c r="P30" s="233">
        <v>5439.0000000000018</v>
      </c>
      <c r="Q30" s="233">
        <v>5684.0000000000009</v>
      </c>
      <c r="R30" s="237">
        <f t="shared" si="31"/>
        <v>61797.670000000013</v>
      </c>
      <c r="S30" s="185"/>
      <c r="T30" s="246">
        <f t="shared" si="32"/>
        <v>93.297217068645665</v>
      </c>
      <c r="U30" s="246">
        <f t="shared" si="32"/>
        <v>107.54545454545462</v>
      </c>
      <c r="V30" s="246">
        <f t="shared" si="32"/>
        <v>61.636363636363626</v>
      </c>
      <c r="W30" s="246">
        <f t="shared" si="32"/>
        <v>61.181818181818173</v>
      </c>
      <c r="X30" s="246">
        <f t="shared" si="32"/>
        <v>58.090909090909072</v>
      </c>
      <c r="Y30" s="246">
        <f t="shared" si="32"/>
        <v>100.00000000000004</v>
      </c>
      <c r="Z30" s="246">
        <f t="shared" si="32"/>
        <v>99.045454545454575</v>
      </c>
      <c r="AA30" s="246">
        <f t="shared" si="32"/>
        <v>113.50000000000004</v>
      </c>
      <c r="AB30" s="246">
        <f t="shared" si="32"/>
        <v>107.50000000000004</v>
      </c>
      <c r="AC30" s="246">
        <f t="shared" si="32"/>
        <v>138.36363636363646</v>
      </c>
      <c r="AD30" s="246">
        <f t="shared" si="32"/>
        <v>100.90909090909095</v>
      </c>
      <c r="AE30" s="246">
        <f t="shared" si="32"/>
        <v>105.45454545454547</v>
      </c>
      <c r="AF30" s="233">
        <f t="shared" ref="AF30:AF50" si="40">AVERAGE(T30:AE30)</f>
        <v>95.543707482993227</v>
      </c>
      <c r="AG30" s="238">
        <f t="shared" si="14"/>
        <v>95.543707482993227</v>
      </c>
      <c r="AH30" s="238"/>
      <c r="AI30" s="316"/>
      <c r="AJ30" s="316"/>
      <c r="AK30" s="238"/>
      <c r="AL30" s="238"/>
      <c r="AP30" s="240">
        <f t="shared" ref="AP30:AP50" si="41">+D30</f>
        <v>53.9</v>
      </c>
      <c r="AQ30" s="241">
        <v>17.07</v>
      </c>
      <c r="AR30" s="242">
        <f t="shared" si="35"/>
        <v>70.97</v>
      </c>
      <c r="AS30" s="243">
        <f t="shared" si="36"/>
        <v>81368.843040816355</v>
      </c>
      <c r="AT30" s="243">
        <f t="shared" si="37"/>
        <v>19571.173040816342</v>
      </c>
      <c r="AU30" s="244">
        <f>AS30/R30-1</f>
        <v>0.31669758812615978</v>
      </c>
      <c r="AV30" s="276">
        <f>SUM(AQ30+AQ31+AQ39+AQ40+AQ41+AQ42+AQ43)</f>
        <v>101.09</v>
      </c>
      <c r="BA30" s="245">
        <f t="shared" si="38"/>
        <v>61797.670000000013</v>
      </c>
      <c r="BB30" s="245">
        <f t="shared" si="39"/>
        <v>0</v>
      </c>
      <c r="BC30" s="184"/>
      <c r="BD30" s="184"/>
      <c r="BE30" s="184"/>
      <c r="BF30" s="184"/>
      <c r="BG30" s="184"/>
      <c r="BH30" s="184"/>
      <c r="BI30" s="184"/>
      <c r="BJ30" s="184"/>
      <c r="BK30" s="184"/>
      <c r="BL30" s="184"/>
      <c r="BM30" s="184"/>
      <c r="BN30" s="184"/>
      <c r="BO30" s="184"/>
      <c r="BP30" s="184"/>
      <c r="BQ30" s="184"/>
      <c r="BR30" s="184"/>
      <c r="BS30" s="184"/>
      <c r="BT30" s="184"/>
      <c r="BU30" s="184"/>
      <c r="BV30" s="184"/>
      <c r="BW30" s="184"/>
      <c r="BX30" s="184"/>
      <c r="BY30" s="184"/>
      <c r="BZ30" s="184"/>
      <c r="CA30" s="184"/>
      <c r="CB30" s="184"/>
      <c r="CC30" s="184"/>
      <c r="CD30" s="184"/>
      <c r="CE30" s="184"/>
      <c r="CF30" s="184"/>
      <c r="CG30" s="184"/>
      <c r="CH30" s="184"/>
      <c r="CI30" s="184"/>
      <c r="CJ30" s="184"/>
      <c r="CK30" s="184"/>
      <c r="CL30" s="184"/>
      <c r="CM30" s="184"/>
      <c r="CN30" s="184"/>
      <c r="CO30" s="184"/>
      <c r="CP30" s="184"/>
      <c r="CQ30" s="184"/>
      <c r="CR30" s="184"/>
      <c r="CS30" s="184"/>
      <c r="CT30" s="184"/>
      <c r="CU30" s="184"/>
      <c r="CV30" s="184"/>
      <c r="CW30" s="184"/>
      <c r="CX30" s="184"/>
      <c r="CY30" s="184"/>
      <c r="CZ30" s="184"/>
      <c r="DA30" s="184"/>
      <c r="DB30" s="184"/>
      <c r="DC30" s="184"/>
      <c r="DD30" s="184"/>
      <c r="DE30" s="184"/>
      <c r="DF30" s="184"/>
      <c r="DG30" s="184"/>
      <c r="DH30" s="184"/>
      <c r="DI30" s="184"/>
      <c r="DJ30" s="184"/>
      <c r="DK30" s="184"/>
      <c r="DL30" s="184"/>
      <c r="DM30" s="184"/>
      <c r="DN30" s="184"/>
      <c r="DO30" s="184"/>
      <c r="DP30" s="184"/>
      <c r="DQ30" s="184"/>
      <c r="DR30" s="184"/>
      <c r="DS30" s="184"/>
      <c r="DT30" s="184"/>
      <c r="DU30" s="184"/>
      <c r="DV30" s="184"/>
      <c r="DW30" s="184"/>
      <c r="DX30" s="184"/>
      <c r="DY30" s="184"/>
      <c r="DZ30" s="184"/>
      <c r="EA30" s="184"/>
      <c r="EB30" s="184"/>
      <c r="EC30" s="184"/>
      <c r="ED30" s="184"/>
      <c r="EE30" s="184"/>
      <c r="EF30" s="184"/>
      <c r="EG30" s="184"/>
      <c r="EH30" s="184"/>
      <c r="EI30" s="184"/>
      <c r="EJ30" s="184"/>
      <c r="EK30" s="184"/>
      <c r="EL30" s="184"/>
      <c r="EM30" s="184"/>
      <c r="EN30" s="184"/>
      <c r="EO30" s="184"/>
      <c r="EP30" s="184"/>
      <c r="EQ30" s="184"/>
      <c r="ER30" s="184"/>
      <c r="ES30" s="184"/>
      <c r="ET30" s="184"/>
      <c r="EU30" s="184"/>
      <c r="EV30" s="184"/>
      <c r="EW30" s="184"/>
      <c r="EX30" s="184"/>
      <c r="EY30" s="184"/>
      <c r="EZ30" s="184"/>
      <c r="FA30" s="184"/>
      <c r="FB30" s="184"/>
      <c r="FC30" s="184"/>
      <c r="FD30" s="184"/>
      <c r="FE30" s="184"/>
      <c r="FF30" s="184"/>
      <c r="FG30" s="184"/>
      <c r="FH30" s="184"/>
      <c r="FI30" s="184"/>
      <c r="FJ30" s="184"/>
      <c r="FK30" s="184"/>
      <c r="FL30" s="184"/>
      <c r="FM30" s="184"/>
      <c r="FN30" s="184"/>
      <c r="FO30" s="184"/>
      <c r="FP30" s="184"/>
      <c r="FQ30" s="184"/>
      <c r="FR30" s="184"/>
      <c r="FS30" s="184"/>
      <c r="FT30" s="184"/>
      <c r="FU30" s="184"/>
      <c r="FV30" s="184"/>
      <c r="FW30" s="184"/>
      <c r="FX30" s="184"/>
      <c r="FY30" s="184"/>
      <c r="FZ30" s="184"/>
      <c r="GA30" s="184"/>
      <c r="GB30" s="184"/>
      <c r="GC30" s="184"/>
      <c r="GD30" s="184"/>
      <c r="GE30" s="184"/>
      <c r="GF30" s="184"/>
      <c r="GG30" s="184"/>
      <c r="GH30" s="184"/>
      <c r="GI30" s="184"/>
      <c r="GJ30" s="184"/>
    </row>
    <row r="31" spans="1:192" s="183" customFormat="1" ht="12" customHeight="1">
      <c r="A31" s="184" t="s">
        <v>202</v>
      </c>
      <c r="B31" s="273" t="s">
        <v>198</v>
      </c>
      <c r="C31" s="184" t="s">
        <v>203</v>
      </c>
      <c r="D31" s="274">
        <v>4.9000000000000004</v>
      </c>
      <c r="E31" s="275">
        <v>23</v>
      </c>
      <c r="F31" s="233">
        <v>794.53</v>
      </c>
      <c r="G31" s="233">
        <v>1191.8000000000002</v>
      </c>
      <c r="H31" s="233">
        <v>1106.6599999999999</v>
      </c>
      <c r="I31" s="233">
        <v>706.53</v>
      </c>
      <c r="J31" s="233">
        <v>618.55999999999995</v>
      </c>
      <c r="K31" s="233">
        <v>851.26</v>
      </c>
      <c r="L31" s="233">
        <v>993.14</v>
      </c>
      <c r="M31" s="233">
        <v>1390.36</v>
      </c>
      <c r="N31" s="233">
        <v>1248.52</v>
      </c>
      <c r="O31" s="233">
        <v>1333.6399999999999</v>
      </c>
      <c r="P31" s="233">
        <v>1047.04</v>
      </c>
      <c r="Q31" s="233">
        <v>1305.2800000000002</v>
      </c>
      <c r="R31" s="237">
        <f t="shared" si="31"/>
        <v>12587.320000000002</v>
      </c>
      <c r="S31" s="185"/>
      <c r="T31" s="246">
        <f t="shared" si="32"/>
        <v>162.14897959183671</v>
      </c>
      <c r="U31" s="246">
        <f t="shared" si="32"/>
        <v>243.22448979591837</v>
      </c>
      <c r="V31" s="246">
        <f t="shared" si="32"/>
        <v>225.8489795918367</v>
      </c>
      <c r="W31" s="246">
        <f t="shared" si="32"/>
        <v>144.18979591836734</v>
      </c>
      <c r="X31" s="246">
        <f t="shared" si="32"/>
        <v>126.23673469387754</v>
      </c>
      <c r="Y31" s="246">
        <f t="shared" si="32"/>
        <v>173.72653061224489</v>
      </c>
      <c r="Z31" s="246">
        <f t="shared" si="32"/>
        <v>202.6816326530612</v>
      </c>
      <c r="AA31" s="246">
        <f t="shared" si="32"/>
        <v>283.74693877551016</v>
      </c>
      <c r="AB31" s="246">
        <f t="shared" si="32"/>
        <v>254.79999999999998</v>
      </c>
      <c r="AC31" s="246">
        <f t="shared" si="32"/>
        <v>272.17142857142852</v>
      </c>
      <c r="AD31" s="246">
        <f t="shared" si="32"/>
        <v>213.6816326530612</v>
      </c>
      <c r="AE31" s="246">
        <f t="shared" si="32"/>
        <v>266.38367346938776</v>
      </c>
      <c r="AF31" s="233">
        <f t="shared" si="40"/>
        <v>214.07006802721085</v>
      </c>
      <c r="AG31" s="238">
        <f t="shared" si="14"/>
        <v>214.07006802721088</v>
      </c>
      <c r="AH31" s="238"/>
      <c r="AI31" s="316"/>
      <c r="AJ31" s="316"/>
      <c r="AK31" s="238"/>
      <c r="AL31" s="238"/>
      <c r="AP31" s="240">
        <f t="shared" si="41"/>
        <v>4.9000000000000004</v>
      </c>
      <c r="AQ31" s="241">
        <v>1.45</v>
      </c>
      <c r="AR31" s="242">
        <f t="shared" si="35"/>
        <v>6.3500000000000005</v>
      </c>
      <c r="AS31" s="243">
        <f t="shared" si="36"/>
        <v>16312.139183673469</v>
      </c>
      <c r="AT31" s="243">
        <f t="shared" si="37"/>
        <v>3724.8191836734677</v>
      </c>
      <c r="AU31" s="244">
        <f>AS31/R31-1</f>
        <v>0.29591836734693855</v>
      </c>
      <c r="BA31" s="245">
        <f t="shared" si="38"/>
        <v>12587.319999999998</v>
      </c>
      <c r="BB31" s="245">
        <f t="shared" si="39"/>
        <v>0</v>
      </c>
      <c r="BC31" s="184"/>
      <c r="BD31" s="184"/>
      <c r="BE31" s="184"/>
      <c r="BF31" s="184"/>
      <c r="BG31" s="184"/>
      <c r="BH31" s="184"/>
      <c r="BI31" s="184"/>
      <c r="BJ31" s="184"/>
      <c r="BK31" s="184"/>
      <c r="BL31" s="184"/>
      <c r="BM31" s="184"/>
      <c r="BN31" s="184"/>
      <c r="BO31" s="184"/>
      <c r="BP31" s="184"/>
      <c r="BQ31" s="184"/>
      <c r="BR31" s="184"/>
      <c r="BS31" s="184"/>
      <c r="BT31" s="184"/>
      <c r="BU31" s="184"/>
      <c r="BV31" s="184"/>
      <c r="BW31" s="184"/>
      <c r="BX31" s="184"/>
      <c r="BY31" s="184"/>
      <c r="BZ31" s="184"/>
      <c r="CA31" s="184"/>
      <c r="CB31" s="184"/>
      <c r="CC31" s="184"/>
      <c r="CD31" s="184"/>
      <c r="CE31" s="184"/>
      <c r="CF31" s="184"/>
      <c r="CG31" s="184"/>
      <c r="CH31" s="184"/>
      <c r="CI31" s="184"/>
      <c r="CJ31" s="184"/>
      <c r="CK31" s="184"/>
      <c r="CL31" s="184"/>
      <c r="CM31" s="184"/>
      <c r="CN31" s="184"/>
      <c r="CO31" s="184"/>
      <c r="CP31" s="184"/>
      <c r="CQ31" s="184"/>
      <c r="CR31" s="184"/>
      <c r="CS31" s="184"/>
      <c r="CT31" s="184"/>
      <c r="CU31" s="184"/>
      <c r="CV31" s="184"/>
      <c r="CW31" s="184"/>
      <c r="CX31" s="184"/>
      <c r="CY31" s="184"/>
      <c r="CZ31" s="184"/>
      <c r="DA31" s="184"/>
      <c r="DB31" s="184"/>
      <c r="DC31" s="184"/>
      <c r="DD31" s="184"/>
      <c r="DE31" s="184"/>
      <c r="DF31" s="184"/>
      <c r="DG31" s="184"/>
      <c r="DH31" s="184"/>
      <c r="DI31" s="184"/>
      <c r="DJ31" s="184"/>
      <c r="DK31" s="184"/>
      <c r="DL31" s="184"/>
      <c r="DM31" s="184"/>
      <c r="DN31" s="184"/>
      <c r="DO31" s="184"/>
      <c r="DP31" s="184"/>
      <c r="DQ31" s="184"/>
      <c r="DR31" s="184"/>
      <c r="DS31" s="184"/>
      <c r="DT31" s="184"/>
      <c r="DU31" s="184"/>
      <c r="DV31" s="184"/>
      <c r="DW31" s="184"/>
      <c r="DX31" s="184"/>
      <c r="DY31" s="184"/>
      <c r="DZ31" s="184"/>
      <c r="EA31" s="184"/>
      <c r="EB31" s="184"/>
      <c r="EC31" s="184"/>
      <c r="ED31" s="184"/>
      <c r="EE31" s="184"/>
      <c r="EF31" s="184"/>
      <c r="EG31" s="184"/>
      <c r="EH31" s="184"/>
      <c r="EI31" s="184"/>
      <c r="EJ31" s="184"/>
      <c r="EK31" s="184"/>
      <c r="EL31" s="184"/>
      <c r="EM31" s="184"/>
      <c r="EN31" s="184"/>
      <c r="EO31" s="184"/>
      <c r="EP31" s="184"/>
      <c r="EQ31" s="184"/>
      <c r="ER31" s="184"/>
      <c r="ES31" s="184"/>
      <c r="ET31" s="184"/>
      <c r="EU31" s="184"/>
      <c r="EV31" s="184"/>
      <c r="EW31" s="184"/>
      <c r="EX31" s="184"/>
      <c r="EY31" s="184"/>
      <c r="EZ31" s="184"/>
      <c r="FA31" s="184"/>
      <c r="FB31" s="184"/>
      <c r="FC31" s="184"/>
      <c r="FD31" s="184"/>
      <c r="FE31" s="184"/>
      <c r="FF31" s="184"/>
      <c r="FG31" s="184"/>
      <c r="FH31" s="184"/>
      <c r="FI31" s="184"/>
      <c r="FJ31" s="184"/>
      <c r="FK31" s="184"/>
      <c r="FL31" s="184"/>
      <c r="FM31" s="184"/>
      <c r="FN31" s="184"/>
      <c r="FO31" s="184"/>
      <c r="FP31" s="184"/>
      <c r="FQ31" s="184"/>
      <c r="FR31" s="184"/>
      <c r="FS31" s="184"/>
      <c r="FT31" s="184"/>
      <c r="FU31" s="184"/>
      <c r="FV31" s="184"/>
      <c r="FW31" s="184"/>
      <c r="FX31" s="184"/>
      <c r="FY31" s="184"/>
      <c r="FZ31" s="184"/>
      <c r="GA31" s="184"/>
      <c r="GB31" s="184"/>
      <c r="GC31" s="184"/>
      <c r="GD31" s="184"/>
      <c r="GE31" s="184"/>
      <c r="GF31" s="184"/>
      <c r="GG31" s="184"/>
      <c r="GH31" s="184"/>
      <c r="GI31" s="184"/>
      <c r="GJ31" s="184"/>
    </row>
    <row r="32" spans="1:192" s="183" customFormat="1" ht="12" customHeight="1">
      <c r="A32" s="184" t="s">
        <v>204</v>
      </c>
      <c r="B32" s="273" t="s">
        <v>198</v>
      </c>
      <c r="C32" s="184" t="s">
        <v>205</v>
      </c>
      <c r="D32" s="274">
        <v>56.75</v>
      </c>
      <c r="E32" s="277">
        <v>18</v>
      </c>
      <c r="F32" s="233">
        <v>2221.7600000000002</v>
      </c>
      <c r="G32" s="233">
        <v>2497.0300000000002</v>
      </c>
      <c r="H32" s="233">
        <v>1489.6999999999998</v>
      </c>
      <c r="I32" s="233">
        <v>1603.1999999999998</v>
      </c>
      <c r="J32" s="233">
        <v>1692.4899999999998</v>
      </c>
      <c r="K32" s="233">
        <v>3059.5299999999997</v>
      </c>
      <c r="L32" s="233">
        <v>2525.4300000000003</v>
      </c>
      <c r="M32" s="233">
        <v>2582.1800000000007</v>
      </c>
      <c r="N32" s="233">
        <v>2596.3300000000004</v>
      </c>
      <c r="O32" s="233">
        <v>3234.3100000000009</v>
      </c>
      <c r="P32" s="233">
        <v>2880.11</v>
      </c>
      <c r="Q32" s="233">
        <v>2539.6</v>
      </c>
      <c r="R32" s="237">
        <f t="shared" si="31"/>
        <v>28921.670000000002</v>
      </c>
      <c r="S32" s="185"/>
      <c r="T32" s="246">
        <f t="shared" si="32"/>
        <v>39.149955947136569</v>
      </c>
      <c r="U32" s="246">
        <f t="shared" si="32"/>
        <v>44.000528634361238</v>
      </c>
      <c r="V32" s="246">
        <f t="shared" si="32"/>
        <v>26.250220264317178</v>
      </c>
      <c r="W32" s="246">
        <f t="shared" si="32"/>
        <v>28.250220264317178</v>
      </c>
      <c r="X32" s="246">
        <f t="shared" si="32"/>
        <v>29.823612334801759</v>
      </c>
      <c r="Y32" s="246">
        <f t="shared" si="32"/>
        <v>53.912422907488981</v>
      </c>
      <c r="Z32" s="246">
        <f t="shared" si="32"/>
        <v>44.500969162995602</v>
      </c>
      <c r="AA32" s="246">
        <f t="shared" si="32"/>
        <v>45.500969162995609</v>
      </c>
      <c r="AB32" s="246">
        <f t="shared" si="32"/>
        <v>45.75030837004406</v>
      </c>
      <c r="AC32" s="246">
        <f t="shared" si="32"/>
        <v>56.992246696035259</v>
      </c>
      <c r="AD32" s="246">
        <f t="shared" si="32"/>
        <v>50.750837004405291</v>
      </c>
      <c r="AE32" s="246">
        <f t="shared" si="32"/>
        <v>44.750660792951543</v>
      </c>
      <c r="AF32" s="233">
        <f t="shared" si="40"/>
        <v>42.469412628487518</v>
      </c>
      <c r="AG32" s="238">
        <f t="shared" si="14"/>
        <v>42.469412628487518</v>
      </c>
      <c r="AH32" s="238"/>
      <c r="AI32" s="322">
        <f t="shared" ref="AI32:AI37" ca="1" si="42">+$AJ$3*R32</f>
        <v>111.76908989104177</v>
      </c>
      <c r="AJ32" s="322">
        <f t="shared" ref="AJ32:AJ37" ca="1" si="43">+R32+AI32</f>
        <v>29033.439089891042</v>
      </c>
      <c r="AK32" s="238"/>
      <c r="AL32" s="238"/>
      <c r="AP32" s="240">
        <f t="shared" si="41"/>
        <v>56.75</v>
      </c>
      <c r="AQ32" s="241">
        <f t="shared" ref="AQ32:AQ37" si="44">+$AS$4*AP32</f>
        <v>59.865326397414776</v>
      </c>
      <c r="AR32" s="242">
        <f t="shared" si="35"/>
        <v>116.61532639741478</v>
      </c>
      <c r="AS32" s="243">
        <f t="shared" si="36"/>
        <v>59431.012986930735</v>
      </c>
      <c r="AT32" s="243">
        <f t="shared" si="37"/>
        <v>30509.342986930733</v>
      </c>
      <c r="AU32" s="244">
        <f>AS32/R32-1</f>
        <v>1.0548956193377053</v>
      </c>
      <c r="BA32" s="245">
        <f t="shared" si="38"/>
        <v>28921.670000000002</v>
      </c>
      <c r="BB32" s="245">
        <f t="shared" si="39"/>
        <v>0</v>
      </c>
      <c r="BC32" s="184"/>
      <c r="BD32" s="184"/>
      <c r="BE32" s="184"/>
      <c r="BF32" s="184"/>
      <c r="BG32" s="184"/>
      <c r="BH32" s="184"/>
      <c r="BI32" s="184"/>
      <c r="BJ32" s="184"/>
      <c r="BK32" s="184"/>
      <c r="BL32" s="184"/>
      <c r="BM32" s="184"/>
      <c r="BN32" s="184"/>
      <c r="BO32" s="184"/>
      <c r="BP32" s="184"/>
      <c r="BQ32" s="184"/>
      <c r="BR32" s="184"/>
      <c r="BS32" s="184"/>
      <c r="BT32" s="184"/>
      <c r="BU32" s="184"/>
      <c r="BV32" s="184"/>
      <c r="BW32" s="184"/>
      <c r="BX32" s="184"/>
      <c r="BY32" s="184"/>
      <c r="BZ32" s="184"/>
      <c r="CA32" s="184"/>
      <c r="CB32" s="184"/>
      <c r="CC32" s="184"/>
      <c r="CD32" s="184"/>
      <c r="CE32" s="184"/>
      <c r="CF32" s="184"/>
      <c r="CG32" s="184"/>
      <c r="CH32" s="184"/>
      <c r="CI32" s="184"/>
      <c r="CJ32" s="184"/>
      <c r="CK32" s="184"/>
      <c r="CL32" s="184"/>
      <c r="CM32" s="184"/>
      <c r="CN32" s="184"/>
      <c r="CO32" s="184"/>
      <c r="CP32" s="184"/>
      <c r="CQ32" s="184"/>
      <c r="CR32" s="184"/>
      <c r="CS32" s="184"/>
      <c r="CT32" s="184"/>
      <c r="CU32" s="184"/>
      <c r="CV32" s="184"/>
      <c r="CW32" s="184"/>
      <c r="CX32" s="184"/>
      <c r="CY32" s="184"/>
      <c r="CZ32" s="184"/>
      <c r="DA32" s="184"/>
      <c r="DB32" s="184"/>
      <c r="DC32" s="184"/>
      <c r="DD32" s="184"/>
      <c r="DE32" s="184"/>
      <c r="DF32" s="184"/>
      <c r="DG32" s="184"/>
      <c r="DH32" s="184"/>
      <c r="DI32" s="184"/>
      <c r="DJ32" s="184"/>
      <c r="DK32" s="184"/>
      <c r="DL32" s="184"/>
      <c r="DM32" s="184"/>
      <c r="DN32" s="184"/>
      <c r="DO32" s="184"/>
      <c r="DP32" s="184"/>
      <c r="DQ32" s="184"/>
      <c r="DR32" s="184"/>
      <c r="DS32" s="184"/>
      <c r="DT32" s="184"/>
      <c r="DU32" s="184"/>
      <c r="DV32" s="184"/>
      <c r="DW32" s="184"/>
      <c r="DX32" s="184"/>
      <c r="DY32" s="184"/>
      <c r="DZ32" s="184"/>
      <c r="EA32" s="184"/>
      <c r="EB32" s="184"/>
      <c r="EC32" s="184"/>
      <c r="ED32" s="184"/>
      <c r="EE32" s="184"/>
      <c r="EF32" s="184"/>
      <c r="EG32" s="184"/>
      <c r="EH32" s="184"/>
      <c r="EI32" s="184"/>
      <c r="EJ32" s="184"/>
      <c r="EK32" s="184"/>
      <c r="EL32" s="184"/>
      <c r="EM32" s="184"/>
      <c r="EN32" s="184"/>
      <c r="EO32" s="184"/>
      <c r="EP32" s="184"/>
      <c r="EQ32" s="184"/>
      <c r="ER32" s="184"/>
      <c r="ES32" s="184"/>
      <c r="ET32" s="184"/>
      <c r="EU32" s="184"/>
      <c r="EV32" s="184"/>
      <c r="EW32" s="184"/>
      <c r="EX32" s="184"/>
      <c r="EY32" s="184"/>
      <c r="EZ32" s="184"/>
      <c r="FA32" s="184"/>
      <c r="FB32" s="184"/>
      <c r="FC32" s="184"/>
      <c r="FD32" s="184"/>
      <c r="FE32" s="184"/>
      <c r="FF32" s="184"/>
      <c r="FG32" s="184"/>
      <c r="FH32" s="184"/>
      <c r="FI32" s="184"/>
      <c r="FJ32" s="184"/>
      <c r="FK32" s="184"/>
      <c r="FL32" s="184"/>
      <c r="FM32" s="184"/>
      <c r="FN32" s="184"/>
      <c r="FO32" s="184"/>
      <c r="FP32" s="184"/>
      <c r="FQ32" s="184"/>
      <c r="FR32" s="184"/>
      <c r="FS32" s="184"/>
      <c r="FT32" s="184"/>
      <c r="FU32" s="184"/>
      <c r="FV32" s="184"/>
      <c r="FW32" s="184"/>
      <c r="FX32" s="184"/>
      <c r="FY32" s="184"/>
      <c r="FZ32" s="184"/>
      <c r="GA32" s="184"/>
      <c r="GB32" s="184"/>
      <c r="GC32" s="184"/>
      <c r="GD32" s="184"/>
      <c r="GE32" s="184"/>
      <c r="GF32" s="184"/>
      <c r="GG32" s="184"/>
      <c r="GH32" s="184"/>
      <c r="GI32" s="184"/>
      <c r="GJ32" s="184"/>
    </row>
    <row r="33" spans="1:192" s="183" customFormat="1" ht="12" customHeight="1">
      <c r="A33" s="184" t="s">
        <v>206</v>
      </c>
      <c r="B33" s="273" t="s">
        <v>198</v>
      </c>
      <c r="C33" s="184" t="s">
        <v>207</v>
      </c>
      <c r="D33" s="274">
        <v>56.75</v>
      </c>
      <c r="E33" s="277">
        <v>18</v>
      </c>
      <c r="F33" s="233">
        <v>0</v>
      </c>
      <c r="G33" s="233">
        <v>0</v>
      </c>
      <c r="H33" s="233">
        <v>0</v>
      </c>
      <c r="I33" s="233">
        <v>0</v>
      </c>
      <c r="J33" s="233">
        <v>0</v>
      </c>
      <c r="K33" s="233">
        <v>0</v>
      </c>
      <c r="L33" s="233">
        <v>0</v>
      </c>
      <c r="M33" s="233">
        <v>0</v>
      </c>
      <c r="N33" s="233">
        <v>0</v>
      </c>
      <c r="O33" s="233">
        <v>0</v>
      </c>
      <c r="P33" s="233">
        <v>0</v>
      </c>
      <c r="Q33" s="233">
        <v>0</v>
      </c>
      <c r="R33" s="237">
        <f t="shared" si="31"/>
        <v>0</v>
      </c>
      <c r="S33" s="185"/>
      <c r="T33" s="246">
        <f t="shared" si="32"/>
        <v>0</v>
      </c>
      <c r="U33" s="246">
        <f t="shared" si="32"/>
        <v>0</v>
      </c>
      <c r="V33" s="246">
        <f t="shared" si="32"/>
        <v>0</v>
      </c>
      <c r="W33" s="246">
        <f t="shared" si="32"/>
        <v>0</v>
      </c>
      <c r="X33" s="246">
        <f t="shared" si="32"/>
        <v>0</v>
      </c>
      <c r="Y33" s="246">
        <f t="shared" si="32"/>
        <v>0</v>
      </c>
      <c r="Z33" s="246">
        <f t="shared" si="32"/>
        <v>0</v>
      </c>
      <c r="AA33" s="246">
        <f t="shared" si="32"/>
        <v>0</v>
      </c>
      <c r="AB33" s="246">
        <f t="shared" si="32"/>
        <v>0</v>
      </c>
      <c r="AC33" s="246">
        <f t="shared" si="32"/>
        <v>0</v>
      </c>
      <c r="AD33" s="246">
        <f t="shared" si="32"/>
        <v>0</v>
      </c>
      <c r="AE33" s="246">
        <f t="shared" si="32"/>
        <v>0</v>
      </c>
      <c r="AF33" s="233">
        <f t="shared" si="40"/>
        <v>0</v>
      </c>
      <c r="AG33" s="238">
        <f t="shared" si="14"/>
        <v>0</v>
      </c>
      <c r="AH33" s="238"/>
      <c r="AI33" s="322">
        <f t="shared" ca="1" si="42"/>
        <v>0</v>
      </c>
      <c r="AJ33" s="322">
        <f t="shared" ca="1" si="43"/>
        <v>0</v>
      </c>
      <c r="AK33" s="238"/>
      <c r="AL33" s="238"/>
      <c r="AP33" s="240">
        <f t="shared" si="41"/>
        <v>56.75</v>
      </c>
      <c r="AQ33" s="241">
        <f t="shared" si="44"/>
        <v>59.865326397414776</v>
      </c>
      <c r="AR33" s="242">
        <f t="shared" si="35"/>
        <v>116.61532639741478</v>
      </c>
      <c r="AS33" s="243">
        <f t="shared" si="36"/>
        <v>0</v>
      </c>
      <c r="AT33" s="243">
        <f t="shared" si="37"/>
        <v>0</v>
      </c>
      <c r="AU33" s="244"/>
      <c r="BA33" s="245">
        <f t="shared" si="38"/>
        <v>0</v>
      </c>
      <c r="BB33" s="245">
        <f t="shared" si="39"/>
        <v>0</v>
      </c>
      <c r="BC33" s="184"/>
      <c r="BD33" s="184"/>
      <c r="BE33" s="184"/>
      <c r="BF33" s="184"/>
      <c r="BG33" s="184"/>
      <c r="BH33" s="184"/>
      <c r="BI33" s="184"/>
      <c r="BJ33" s="184"/>
      <c r="BK33" s="184"/>
      <c r="BL33" s="184"/>
      <c r="BM33" s="184"/>
      <c r="BN33" s="184"/>
      <c r="BO33" s="184"/>
      <c r="BP33" s="184"/>
      <c r="BQ33" s="184"/>
      <c r="BR33" s="184"/>
      <c r="BS33" s="184"/>
      <c r="BT33" s="184"/>
      <c r="BU33" s="184"/>
      <c r="BV33" s="184"/>
      <c r="BW33" s="184"/>
      <c r="BX33" s="184"/>
      <c r="BY33" s="184"/>
      <c r="BZ33" s="184"/>
      <c r="CA33" s="184"/>
      <c r="CB33" s="184"/>
      <c r="CC33" s="184"/>
      <c r="CD33" s="184"/>
      <c r="CE33" s="184"/>
      <c r="CF33" s="184"/>
      <c r="CG33" s="184"/>
      <c r="CH33" s="184"/>
      <c r="CI33" s="184"/>
      <c r="CJ33" s="184"/>
      <c r="CK33" s="184"/>
      <c r="CL33" s="184"/>
      <c r="CM33" s="184"/>
      <c r="CN33" s="184"/>
      <c r="CO33" s="184"/>
      <c r="CP33" s="184"/>
      <c r="CQ33" s="184"/>
      <c r="CR33" s="184"/>
      <c r="CS33" s="184"/>
      <c r="CT33" s="184"/>
      <c r="CU33" s="184"/>
      <c r="CV33" s="184"/>
      <c r="CW33" s="184"/>
      <c r="CX33" s="184"/>
      <c r="CY33" s="184"/>
      <c r="CZ33" s="184"/>
      <c r="DA33" s="184"/>
      <c r="DB33" s="184"/>
      <c r="DC33" s="184"/>
      <c r="DD33" s="184"/>
      <c r="DE33" s="184"/>
      <c r="DF33" s="184"/>
      <c r="DG33" s="184"/>
      <c r="DH33" s="184"/>
      <c r="DI33" s="184"/>
      <c r="DJ33" s="184"/>
      <c r="DK33" s="184"/>
      <c r="DL33" s="184"/>
      <c r="DM33" s="184"/>
      <c r="DN33" s="184"/>
      <c r="DO33" s="184"/>
      <c r="DP33" s="184"/>
      <c r="DQ33" s="184"/>
      <c r="DR33" s="184"/>
      <c r="DS33" s="184"/>
      <c r="DT33" s="184"/>
      <c r="DU33" s="184"/>
      <c r="DV33" s="184"/>
      <c r="DW33" s="184"/>
      <c r="DX33" s="184"/>
      <c r="DY33" s="184"/>
      <c r="DZ33" s="184"/>
      <c r="EA33" s="184"/>
      <c r="EB33" s="184"/>
      <c r="EC33" s="184"/>
      <c r="ED33" s="184"/>
      <c r="EE33" s="184"/>
      <c r="EF33" s="184"/>
      <c r="EG33" s="184"/>
      <c r="EH33" s="184"/>
      <c r="EI33" s="184"/>
      <c r="EJ33" s="184"/>
      <c r="EK33" s="184"/>
      <c r="EL33" s="184"/>
      <c r="EM33" s="184"/>
      <c r="EN33" s="184"/>
      <c r="EO33" s="184"/>
      <c r="EP33" s="184"/>
      <c r="EQ33" s="184"/>
      <c r="ER33" s="184"/>
      <c r="ES33" s="184"/>
      <c r="ET33" s="184"/>
      <c r="EU33" s="184"/>
      <c r="EV33" s="184"/>
      <c r="EW33" s="184"/>
      <c r="EX33" s="184"/>
      <c r="EY33" s="184"/>
      <c r="EZ33" s="184"/>
      <c r="FA33" s="184"/>
      <c r="FB33" s="184"/>
      <c r="FC33" s="184"/>
      <c r="FD33" s="184"/>
      <c r="FE33" s="184"/>
      <c r="FF33" s="184"/>
      <c r="FG33" s="184"/>
      <c r="FH33" s="184"/>
      <c r="FI33" s="184"/>
      <c r="FJ33" s="184"/>
      <c r="FK33" s="184"/>
      <c r="FL33" s="184"/>
      <c r="FM33" s="184"/>
      <c r="FN33" s="184"/>
      <c r="FO33" s="184"/>
      <c r="FP33" s="184"/>
      <c r="FQ33" s="184"/>
      <c r="FR33" s="184"/>
      <c r="FS33" s="184"/>
      <c r="FT33" s="184"/>
      <c r="FU33" s="184"/>
      <c r="FV33" s="184"/>
      <c r="FW33" s="184"/>
      <c r="FX33" s="184"/>
      <c r="FY33" s="184"/>
      <c r="FZ33" s="184"/>
      <c r="GA33" s="184"/>
      <c r="GB33" s="184"/>
      <c r="GC33" s="184"/>
      <c r="GD33" s="184"/>
      <c r="GE33" s="184"/>
      <c r="GF33" s="184"/>
      <c r="GG33" s="184"/>
      <c r="GH33" s="184"/>
      <c r="GI33" s="184"/>
      <c r="GJ33" s="184"/>
    </row>
    <row r="34" spans="1:192" s="183" customFormat="1" ht="12" customHeight="1">
      <c r="A34" s="184" t="s">
        <v>208</v>
      </c>
      <c r="B34" s="273" t="s">
        <v>198</v>
      </c>
      <c r="C34" s="184" t="s">
        <v>209</v>
      </c>
      <c r="D34" s="274">
        <v>56.75</v>
      </c>
      <c r="E34" s="277">
        <v>18</v>
      </c>
      <c r="F34" s="233">
        <v>0</v>
      </c>
      <c r="G34" s="233">
        <v>0</v>
      </c>
      <c r="H34" s="233">
        <v>0</v>
      </c>
      <c r="I34" s="233">
        <v>0</v>
      </c>
      <c r="J34" s="233">
        <v>0</v>
      </c>
      <c r="K34" s="233">
        <v>-37.520000000000003</v>
      </c>
      <c r="L34" s="233">
        <v>56.75</v>
      </c>
      <c r="M34" s="233">
        <v>0</v>
      </c>
      <c r="N34" s="233">
        <v>127.68</v>
      </c>
      <c r="O34" s="233">
        <v>0</v>
      </c>
      <c r="P34" s="233">
        <v>0</v>
      </c>
      <c r="Q34" s="233">
        <v>0</v>
      </c>
      <c r="R34" s="237">
        <f t="shared" si="31"/>
        <v>146.91</v>
      </c>
      <c r="S34" s="185"/>
      <c r="T34" s="246">
        <f t="shared" si="32"/>
        <v>0</v>
      </c>
      <c r="U34" s="246">
        <f t="shared" si="32"/>
        <v>0</v>
      </c>
      <c r="V34" s="246">
        <f t="shared" si="32"/>
        <v>0</v>
      </c>
      <c r="W34" s="246">
        <f t="shared" si="32"/>
        <v>0</v>
      </c>
      <c r="X34" s="246">
        <f t="shared" si="32"/>
        <v>0</v>
      </c>
      <c r="Y34" s="246">
        <f t="shared" si="32"/>
        <v>-0.6611453744493393</v>
      </c>
      <c r="Z34" s="246">
        <f t="shared" si="32"/>
        <v>1</v>
      </c>
      <c r="AA34" s="246">
        <f t="shared" si="32"/>
        <v>0</v>
      </c>
      <c r="AB34" s="246">
        <f t="shared" si="32"/>
        <v>2.2498678414096918</v>
      </c>
      <c r="AC34" s="246">
        <f t="shared" si="32"/>
        <v>0</v>
      </c>
      <c r="AD34" s="246">
        <f t="shared" si="32"/>
        <v>0</v>
      </c>
      <c r="AE34" s="246">
        <f t="shared" si="32"/>
        <v>0</v>
      </c>
      <c r="AF34" s="233">
        <f t="shared" si="40"/>
        <v>0.21572687224669604</v>
      </c>
      <c r="AG34" s="238">
        <f t="shared" si="14"/>
        <v>0.21572687224669604</v>
      </c>
      <c r="AH34" s="238"/>
      <c r="AI34" s="322">
        <f t="shared" ca="1" si="42"/>
        <v>0.56774027903274416</v>
      </c>
      <c r="AJ34" s="322">
        <f t="shared" ca="1" si="43"/>
        <v>147.47774027903273</v>
      </c>
      <c r="AK34" s="238"/>
      <c r="AL34" s="238"/>
      <c r="AN34"/>
      <c r="AO34"/>
      <c r="AP34" s="240">
        <f t="shared" si="41"/>
        <v>56.75</v>
      </c>
      <c r="AQ34" s="241">
        <f>+$AS$4*AP34</f>
        <v>59.865326397414776</v>
      </c>
      <c r="AR34" s="242">
        <f t="shared" si="35"/>
        <v>116.61532639741478</v>
      </c>
      <c r="AS34" s="243">
        <f t="shared" si="36"/>
        <v>301.8847154369023</v>
      </c>
      <c r="AT34" s="243">
        <f t="shared" si="37"/>
        <v>154.9747154369023</v>
      </c>
      <c r="AU34" s="244">
        <f>AS34/R34-1</f>
        <v>1.0548956193377053</v>
      </c>
      <c r="BA34" s="245">
        <f t="shared" si="38"/>
        <v>146.91</v>
      </c>
      <c r="BB34" s="245">
        <f t="shared" si="39"/>
        <v>0</v>
      </c>
      <c r="BC34" s="184"/>
      <c r="BD34" s="184"/>
      <c r="BE34" s="184"/>
      <c r="BF34" s="184"/>
      <c r="BG34" s="184"/>
      <c r="BH34" s="184"/>
      <c r="BI34" s="184"/>
      <c r="BJ34" s="184"/>
      <c r="BK34" s="184"/>
      <c r="BL34" s="184"/>
      <c r="BM34" s="184"/>
      <c r="BN34" s="184"/>
      <c r="BO34" s="184"/>
      <c r="BP34" s="184"/>
      <c r="BQ34" s="184"/>
      <c r="BR34" s="184"/>
      <c r="BS34" s="184"/>
      <c r="BT34" s="184"/>
      <c r="BU34" s="184"/>
      <c r="BV34" s="184"/>
      <c r="BW34" s="184"/>
      <c r="BX34" s="184"/>
      <c r="BY34" s="184"/>
      <c r="BZ34" s="184"/>
      <c r="CA34" s="184"/>
      <c r="CB34" s="184"/>
      <c r="CC34" s="184"/>
      <c r="CD34" s="184"/>
      <c r="CE34" s="184"/>
      <c r="CF34" s="184"/>
      <c r="CG34" s="184"/>
      <c r="CH34" s="184"/>
      <c r="CI34" s="184"/>
      <c r="CJ34" s="184"/>
      <c r="CK34" s="184"/>
      <c r="CL34" s="184"/>
      <c r="CM34" s="184"/>
      <c r="CN34" s="184"/>
      <c r="CO34" s="184"/>
      <c r="CP34" s="184"/>
      <c r="CQ34" s="184"/>
      <c r="CR34" s="184"/>
      <c r="CS34" s="184"/>
      <c r="CT34" s="184"/>
      <c r="CU34" s="184"/>
      <c r="CV34" s="184"/>
      <c r="CW34" s="184"/>
      <c r="CX34" s="184"/>
      <c r="CY34" s="184"/>
      <c r="CZ34" s="184"/>
      <c r="DA34" s="184"/>
      <c r="DB34" s="184"/>
      <c r="DC34" s="184"/>
      <c r="DD34" s="184"/>
      <c r="DE34" s="184"/>
      <c r="DF34" s="184"/>
      <c r="DG34" s="184"/>
      <c r="DH34" s="184"/>
      <c r="DI34" s="184"/>
      <c r="DJ34" s="184"/>
      <c r="DK34" s="184"/>
      <c r="DL34" s="184"/>
      <c r="DM34" s="184"/>
      <c r="DN34" s="184"/>
      <c r="DO34" s="184"/>
      <c r="DP34" s="184"/>
      <c r="DQ34" s="184"/>
      <c r="DR34" s="184"/>
      <c r="DS34" s="184"/>
      <c r="DT34" s="184"/>
      <c r="DU34" s="184"/>
      <c r="DV34" s="184"/>
      <c r="DW34" s="184"/>
      <c r="DX34" s="184"/>
      <c r="DY34" s="184"/>
      <c r="DZ34" s="184"/>
      <c r="EA34" s="184"/>
      <c r="EB34" s="184"/>
      <c r="EC34" s="184"/>
      <c r="ED34" s="184"/>
      <c r="EE34" s="184"/>
      <c r="EF34" s="184"/>
      <c r="EG34" s="184"/>
      <c r="EH34" s="184"/>
      <c r="EI34" s="184"/>
      <c r="EJ34" s="184"/>
      <c r="EK34" s="184"/>
      <c r="EL34" s="184"/>
      <c r="EM34" s="184"/>
      <c r="EN34" s="184"/>
      <c r="EO34" s="184"/>
      <c r="EP34" s="184"/>
      <c r="EQ34" s="184"/>
      <c r="ER34" s="184"/>
      <c r="ES34" s="184"/>
      <c r="ET34" s="184"/>
      <c r="EU34" s="184"/>
      <c r="EV34" s="184"/>
      <c r="EW34" s="184"/>
      <c r="EX34" s="184"/>
      <c r="EY34" s="184"/>
      <c r="EZ34" s="184"/>
      <c r="FA34" s="184"/>
      <c r="FB34" s="184"/>
      <c r="FC34" s="184"/>
      <c r="FD34" s="184"/>
      <c r="FE34" s="184"/>
      <c r="FF34" s="184"/>
      <c r="FG34" s="184"/>
      <c r="FH34" s="184"/>
      <c r="FI34" s="184"/>
      <c r="FJ34" s="184"/>
      <c r="FK34" s="184"/>
      <c r="FL34" s="184"/>
      <c r="FM34" s="184"/>
      <c r="FN34" s="184"/>
      <c r="FO34" s="184"/>
      <c r="FP34" s="184"/>
      <c r="FQ34" s="184"/>
      <c r="FR34" s="184"/>
      <c r="FS34" s="184"/>
      <c r="FT34" s="184"/>
      <c r="FU34" s="184"/>
      <c r="FV34" s="184"/>
      <c r="FW34" s="184"/>
      <c r="FX34" s="184"/>
      <c r="FY34" s="184"/>
      <c r="FZ34" s="184"/>
      <c r="GA34" s="184"/>
      <c r="GB34" s="184"/>
      <c r="GC34" s="184"/>
      <c r="GD34" s="184"/>
      <c r="GE34" s="184"/>
      <c r="GF34" s="184"/>
      <c r="GG34" s="184"/>
      <c r="GH34" s="184"/>
      <c r="GI34" s="184"/>
      <c r="GJ34" s="184"/>
    </row>
    <row r="35" spans="1:192" s="183" customFormat="1" ht="12" customHeight="1">
      <c r="A35" s="184" t="s">
        <v>210</v>
      </c>
      <c r="B35" s="273" t="s">
        <v>198</v>
      </c>
      <c r="C35" s="184" t="s">
        <v>211</v>
      </c>
      <c r="D35" s="274">
        <v>56.75</v>
      </c>
      <c r="E35" s="277">
        <v>18</v>
      </c>
      <c r="F35" s="233">
        <v>0</v>
      </c>
      <c r="G35" s="233">
        <v>142.19999999999999</v>
      </c>
      <c r="H35" s="233">
        <v>296.25</v>
      </c>
      <c r="I35" s="233">
        <v>0</v>
      </c>
      <c r="J35" s="233">
        <v>770.25</v>
      </c>
      <c r="K35" s="233">
        <v>414.75</v>
      </c>
      <c r="L35" s="233">
        <v>0</v>
      </c>
      <c r="M35" s="233">
        <v>0</v>
      </c>
      <c r="N35" s="233">
        <v>402.90000000000003</v>
      </c>
      <c r="O35" s="233">
        <v>1789.35</v>
      </c>
      <c r="P35" s="233">
        <v>1050.7</v>
      </c>
      <c r="Q35" s="233">
        <v>1271.8999999999999</v>
      </c>
      <c r="R35" s="237">
        <f t="shared" si="31"/>
        <v>6138.2999999999993</v>
      </c>
      <c r="S35" s="185"/>
      <c r="T35" s="246">
        <f t="shared" si="32"/>
        <v>0</v>
      </c>
      <c r="U35" s="246">
        <f t="shared" si="32"/>
        <v>2.5057268722466959</v>
      </c>
      <c r="V35" s="246">
        <f t="shared" si="32"/>
        <v>5.2202643171806171</v>
      </c>
      <c r="W35" s="246">
        <f t="shared" si="32"/>
        <v>0</v>
      </c>
      <c r="X35" s="246">
        <f t="shared" si="32"/>
        <v>13.572687224669604</v>
      </c>
      <c r="Y35" s="246">
        <f t="shared" si="32"/>
        <v>7.3083700440528636</v>
      </c>
      <c r="Z35" s="246">
        <f t="shared" si="32"/>
        <v>0</v>
      </c>
      <c r="AA35" s="246">
        <f t="shared" si="32"/>
        <v>0</v>
      </c>
      <c r="AB35" s="246">
        <f t="shared" si="32"/>
        <v>7.0995594713656391</v>
      </c>
      <c r="AC35" s="246">
        <f t="shared" si="32"/>
        <v>31.530396475770925</v>
      </c>
      <c r="AD35" s="246">
        <f t="shared" si="32"/>
        <v>18.514537444933922</v>
      </c>
      <c r="AE35" s="246">
        <f t="shared" si="32"/>
        <v>22.41233480176211</v>
      </c>
      <c r="AF35" s="233">
        <f t="shared" si="40"/>
        <v>9.0136563876651987</v>
      </c>
      <c r="AG35" s="238">
        <f t="shared" si="14"/>
        <v>9.0136563876651969</v>
      </c>
      <c r="AH35" s="238"/>
      <c r="AI35" s="322">
        <f t="shared" ca="1" si="42"/>
        <v>23.721735448823722</v>
      </c>
      <c r="AJ35" s="322">
        <f t="shared" ca="1" si="43"/>
        <v>6162.0217354488232</v>
      </c>
      <c r="AK35" s="238"/>
      <c r="AL35" s="238"/>
      <c r="AN35"/>
      <c r="AO35"/>
      <c r="AP35" s="240">
        <f t="shared" si="41"/>
        <v>56.75</v>
      </c>
      <c r="AQ35" s="241">
        <f t="shared" si="44"/>
        <v>59.865326397414776</v>
      </c>
      <c r="AR35" s="242">
        <f t="shared" si="35"/>
        <v>116.61532639741478</v>
      </c>
      <c r="AS35" s="243">
        <f t="shared" si="36"/>
        <v>12613.565780180637</v>
      </c>
      <c r="AT35" s="243">
        <f t="shared" si="37"/>
        <v>6475.2657801806381</v>
      </c>
      <c r="AU35" s="244">
        <f>AS35/R35-1</f>
        <v>1.0548956193377057</v>
      </c>
      <c r="BA35" s="245">
        <f t="shared" si="38"/>
        <v>6138.3</v>
      </c>
      <c r="BB35" s="245">
        <f t="shared" si="39"/>
        <v>0</v>
      </c>
      <c r="BC35" s="184"/>
      <c r="BD35" s="184"/>
      <c r="BE35" s="184"/>
      <c r="BF35" s="184"/>
      <c r="BG35" s="184"/>
      <c r="BH35" s="184"/>
      <c r="BI35" s="184"/>
      <c r="BJ35" s="184"/>
      <c r="BK35" s="184"/>
      <c r="BL35" s="184"/>
      <c r="BM35" s="184"/>
      <c r="BN35" s="184"/>
      <c r="BO35" s="184"/>
      <c r="BP35" s="184"/>
      <c r="BQ35" s="184"/>
      <c r="BR35" s="184"/>
      <c r="BS35" s="184"/>
      <c r="BT35" s="184"/>
      <c r="BU35" s="184"/>
      <c r="BV35" s="184"/>
      <c r="BW35" s="184"/>
      <c r="BX35" s="184"/>
      <c r="BY35" s="184"/>
      <c r="BZ35" s="184"/>
      <c r="CA35" s="184"/>
      <c r="CB35" s="184"/>
      <c r="CC35" s="184"/>
      <c r="CD35" s="184"/>
      <c r="CE35" s="184"/>
      <c r="CF35" s="184"/>
      <c r="CG35" s="184"/>
      <c r="CH35" s="184"/>
      <c r="CI35" s="184"/>
      <c r="CJ35" s="184"/>
      <c r="CK35" s="184"/>
      <c r="CL35" s="184"/>
      <c r="CM35" s="184"/>
      <c r="CN35" s="184"/>
      <c r="CO35" s="184"/>
      <c r="CP35" s="184"/>
      <c r="CQ35" s="184"/>
      <c r="CR35" s="184"/>
      <c r="CS35" s="184"/>
      <c r="CT35" s="184"/>
      <c r="CU35" s="184"/>
      <c r="CV35" s="184"/>
      <c r="CW35" s="184"/>
      <c r="CX35" s="184"/>
      <c r="CY35" s="184"/>
      <c r="CZ35" s="184"/>
      <c r="DA35" s="184"/>
      <c r="DB35" s="184"/>
      <c r="DC35" s="184"/>
      <c r="DD35" s="184"/>
      <c r="DE35" s="184"/>
      <c r="DF35" s="184"/>
      <c r="DG35" s="184"/>
      <c r="DH35" s="184"/>
      <c r="DI35" s="184"/>
      <c r="DJ35" s="184"/>
      <c r="DK35" s="184"/>
      <c r="DL35" s="184"/>
      <c r="DM35" s="184"/>
      <c r="DN35" s="184"/>
      <c r="DO35" s="184"/>
      <c r="DP35" s="184"/>
      <c r="DQ35" s="184"/>
      <c r="DR35" s="184"/>
      <c r="DS35" s="184"/>
      <c r="DT35" s="184"/>
      <c r="DU35" s="184"/>
      <c r="DV35" s="184"/>
      <c r="DW35" s="184"/>
      <c r="DX35" s="184"/>
      <c r="DY35" s="184"/>
      <c r="DZ35" s="184"/>
      <c r="EA35" s="184"/>
      <c r="EB35" s="184"/>
      <c r="EC35" s="184"/>
      <c r="ED35" s="184"/>
      <c r="EE35" s="184"/>
      <c r="EF35" s="184"/>
      <c r="EG35" s="184"/>
      <c r="EH35" s="184"/>
      <c r="EI35" s="184"/>
      <c r="EJ35" s="184"/>
      <c r="EK35" s="184"/>
      <c r="EL35" s="184"/>
      <c r="EM35" s="184"/>
      <c r="EN35" s="184"/>
      <c r="EO35" s="184"/>
      <c r="EP35" s="184"/>
      <c r="EQ35" s="184"/>
      <c r="ER35" s="184"/>
      <c r="ES35" s="184"/>
      <c r="ET35" s="184"/>
      <c r="EU35" s="184"/>
      <c r="EV35" s="184"/>
      <c r="EW35" s="184"/>
      <c r="EX35" s="184"/>
      <c r="EY35" s="184"/>
      <c r="EZ35" s="184"/>
      <c r="FA35" s="184"/>
      <c r="FB35" s="184"/>
      <c r="FC35" s="184"/>
      <c r="FD35" s="184"/>
      <c r="FE35" s="184"/>
      <c r="FF35" s="184"/>
      <c r="FG35" s="184"/>
      <c r="FH35" s="184"/>
      <c r="FI35" s="184"/>
      <c r="FJ35" s="184"/>
      <c r="FK35" s="184"/>
      <c r="FL35" s="184"/>
      <c r="FM35" s="184"/>
      <c r="FN35" s="184"/>
      <c r="FO35" s="184"/>
      <c r="FP35" s="184"/>
      <c r="FQ35" s="184"/>
      <c r="FR35" s="184"/>
      <c r="FS35" s="184"/>
      <c r="FT35" s="184"/>
      <c r="FU35" s="184"/>
      <c r="FV35" s="184"/>
      <c r="FW35" s="184"/>
      <c r="FX35" s="184"/>
      <c r="FY35" s="184"/>
      <c r="FZ35" s="184"/>
      <c r="GA35" s="184"/>
      <c r="GB35" s="184"/>
      <c r="GC35" s="184"/>
      <c r="GD35" s="184"/>
      <c r="GE35" s="184"/>
      <c r="GF35" s="184"/>
      <c r="GG35" s="184"/>
      <c r="GH35" s="184"/>
      <c r="GI35" s="184"/>
      <c r="GJ35" s="184"/>
    </row>
    <row r="36" spans="1:192" ht="12" customHeight="1">
      <c r="A36" s="184" t="s">
        <v>212</v>
      </c>
      <c r="B36" s="273" t="s">
        <v>198</v>
      </c>
      <c r="C36" s="184" t="s">
        <v>213</v>
      </c>
      <c r="D36" s="274">
        <v>56.75</v>
      </c>
      <c r="E36" s="277">
        <v>18</v>
      </c>
      <c r="F36" s="233">
        <v>1050.1399999999999</v>
      </c>
      <c r="G36" s="233">
        <v>2503.0899999999997</v>
      </c>
      <c r="H36" s="233">
        <v>1369.55</v>
      </c>
      <c r="I36" s="233">
        <v>1875.3899999999999</v>
      </c>
      <c r="J36" s="233">
        <v>1268.8800000000001</v>
      </c>
      <c r="K36" s="233">
        <v>578.03</v>
      </c>
      <c r="L36" s="233">
        <v>863.27</v>
      </c>
      <c r="M36" s="233">
        <v>950.53</v>
      </c>
      <c r="N36" s="233">
        <v>0</v>
      </c>
      <c r="O36" s="233">
        <v>297.77999999999997</v>
      </c>
      <c r="P36" s="233">
        <v>0</v>
      </c>
      <c r="Q36" s="233">
        <v>903.14999999999986</v>
      </c>
      <c r="R36" s="237">
        <f t="shared" si="31"/>
        <v>11659.810000000001</v>
      </c>
      <c r="S36" s="185"/>
      <c r="T36" s="246">
        <f t="shared" si="32"/>
        <v>18.504669603524228</v>
      </c>
      <c r="U36" s="246">
        <f t="shared" si="32"/>
        <v>44.107312775330392</v>
      </c>
      <c r="V36" s="246">
        <f t="shared" si="32"/>
        <v>24.133039647577093</v>
      </c>
      <c r="W36" s="246">
        <f t="shared" si="32"/>
        <v>33.046519823788543</v>
      </c>
      <c r="X36" s="246">
        <f t="shared" si="32"/>
        <v>22.359118942731278</v>
      </c>
      <c r="Y36" s="246">
        <f t="shared" si="32"/>
        <v>10.18555066079295</v>
      </c>
      <c r="Z36" s="246">
        <f t="shared" si="32"/>
        <v>15.21180616740088</v>
      </c>
      <c r="AA36" s="246">
        <f t="shared" si="32"/>
        <v>16.749427312775328</v>
      </c>
      <c r="AB36" s="246">
        <f t="shared" si="32"/>
        <v>0</v>
      </c>
      <c r="AC36" s="246">
        <f t="shared" si="32"/>
        <v>5.2472246696035239</v>
      </c>
      <c r="AD36" s="246">
        <f t="shared" si="32"/>
        <v>0</v>
      </c>
      <c r="AE36" s="246">
        <f t="shared" si="32"/>
        <v>15.914537444933918</v>
      </c>
      <c r="AF36" s="233">
        <f t="shared" si="40"/>
        <v>17.121600587371514</v>
      </c>
      <c r="AG36" s="238">
        <f t="shared" si="14"/>
        <v>17.121600587371514</v>
      </c>
      <c r="AH36" s="238"/>
      <c r="AI36" s="322">
        <f t="shared" ca="1" si="42"/>
        <v>45.059858300107422</v>
      </c>
      <c r="AJ36" s="322">
        <f t="shared" ca="1" si="43"/>
        <v>11704.86985830011</v>
      </c>
      <c r="AK36" s="238"/>
      <c r="AL36" s="238"/>
      <c r="AM36" s="183"/>
      <c r="AN36"/>
      <c r="AO36"/>
      <c r="AP36" s="240">
        <f t="shared" si="41"/>
        <v>56.75</v>
      </c>
      <c r="AQ36" s="241">
        <f t="shared" si="44"/>
        <v>59.865326397414776</v>
      </c>
      <c r="AR36" s="242">
        <f t="shared" si="35"/>
        <v>116.61532639741478</v>
      </c>
      <c r="AS36" s="243">
        <f t="shared" si="36"/>
        <v>23959.692491309972</v>
      </c>
      <c r="AT36" s="243">
        <f t="shared" si="37"/>
        <v>12299.882491309971</v>
      </c>
      <c r="AU36" s="244">
        <f>AS36/R36-1</f>
        <v>1.0548956193377053</v>
      </c>
      <c r="AV36" s="183"/>
      <c r="AW36" s="183"/>
      <c r="AX36" s="183"/>
      <c r="BA36" s="245">
        <f t="shared" si="38"/>
        <v>11659.810000000001</v>
      </c>
      <c r="BB36" s="245">
        <f t="shared" si="39"/>
        <v>0</v>
      </c>
    </row>
    <row r="37" spans="1:192" ht="12" customHeight="1">
      <c r="A37" s="184" t="s">
        <v>214</v>
      </c>
      <c r="B37" s="273"/>
      <c r="C37" s="184" t="s">
        <v>215</v>
      </c>
      <c r="D37" s="274">
        <v>0.99</v>
      </c>
      <c r="E37" s="275">
        <v>15</v>
      </c>
      <c r="F37" s="233">
        <v>756.22</v>
      </c>
      <c r="G37" s="233">
        <v>590.75</v>
      </c>
      <c r="H37" s="233">
        <v>983.1400000000001</v>
      </c>
      <c r="I37" s="233">
        <v>121.81</v>
      </c>
      <c r="J37" s="233">
        <v>419.54999999999995</v>
      </c>
      <c r="K37" s="233">
        <v>989.09999999999991</v>
      </c>
      <c r="L37" s="233">
        <v>1237.5500000000002</v>
      </c>
      <c r="M37" s="233">
        <v>512.9</v>
      </c>
      <c r="N37" s="233">
        <v>461.38</v>
      </c>
      <c r="O37" s="233">
        <v>0</v>
      </c>
      <c r="P37" s="233">
        <v>0</v>
      </c>
      <c r="Q37" s="233">
        <v>235.54</v>
      </c>
      <c r="R37" s="237">
        <f t="shared" si="31"/>
        <v>6307.9400000000005</v>
      </c>
      <c r="S37" s="185"/>
      <c r="T37" s="246">
        <f t="shared" si="32"/>
        <v>763.85858585858591</v>
      </c>
      <c r="U37" s="246">
        <f t="shared" si="32"/>
        <v>596.71717171717171</v>
      </c>
      <c r="V37" s="246">
        <f t="shared" si="32"/>
        <v>993.07070707070716</v>
      </c>
      <c r="W37" s="246">
        <f t="shared" si="32"/>
        <v>123.04040404040404</v>
      </c>
      <c r="X37" s="246">
        <f t="shared" si="32"/>
        <v>423.78787878787875</v>
      </c>
      <c r="Y37" s="246">
        <f t="shared" si="32"/>
        <v>999.09090909090901</v>
      </c>
      <c r="Z37" s="246">
        <f t="shared" si="32"/>
        <v>1250.0505050505053</v>
      </c>
      <c r="AA37" s="246">
        <f t="shared" si="32"/>
        <v>518.08080808080808</v>
      </c>
      <c r="AB37" s="246">
        <f t="shared" si="32"/>
        <v>466.04040404040404</v>
      </c>
      <c r="AC37" s="246">
        <f t="shared" si="32"/>
        <v>0</v>
      </c>
      <c r="AD37" s="246">
        <f t="shared" si="32"/>
        <v>0</v>
      </c>
      <c r="AE37" s="246">
        <f t="shared" si="32"/>
        <v>237.91919191919192</v>
      </c>
      <c r="AF37" s="233">
        <f t="shared" si="40"/>
        <v>530.97138047138048</v>
      </c>
      <c r="AG37" s="238">
        <f t="shared" si="14"/>
        <v>530.9713804713806</v>
      </c>
      <c r="AH37" s="238"/>
      <c r="AI37" s="322">
        <f t="shared" ca="1" si="42"/>
        <v>24.377316831541819</v>
      </c>
      <c r="AJ37" s="322">
        <f t="shared" ca="1" si="43"/>
        <v>6332.3173168315425</v>
      </c>
      <c r="AK37" s="238"/>
      <c r="AL37" s="238"/>
      <c r="AM37" s="183"/>
      <c r="AN37"/>
      <c r="AO37"/>
      <c r="AP37" s="240">
        <f t="shared" si="41"/>
        <v>0.99</v>
      </c>
      <c r="AQ37" s="241">
        <f t="shared" si="44"/>
        <v>1.0443466631443281</v>
      </c>
      <c r="AR37" s="242">
        <f t="shared" si="35"/>
        <v>2.0343466631443281</v>
      </c>
      <c r="AS37" s="243">
        <f t="shared" si="36"/>
        <v>12962.158273045086</v>
      </c>
      <c r="AT37" s="243">
        <f t="shared" si="37"/>
        <v>6654.2182730450859</v>
      </c>
      <c r="AU37" s="244">
        <f>AS37/R37-1</f>
        <v>1.0548956193377053</v>
      </c>
      <c r="AV37" s="183"/>
      <c r="AW37" s="183"/>
      <c r="AX37" s="183"/>
      <c r="BA37" s="245">
        <f t="shared" si="38"/>
        <v>6307.94</v>
      </c>
      <c r="BB37" s="245">
        <f t="shared" si="39"/>
        <v>0</v>
      </c>
    </row>
    <row r="38" spans="1:192" ht="12" customHeight="1">
      <c r="A38" s="184" t="s">
        <v>216</v>
      </c>
      <c r="B38" s="273"/>
      <c r="D38" s="278"/>
      <c r="E38" s="278"/>
      <c r="F38" s="233">
        <v>0</v>
      </c>
      <c r="G38" s="233">
        <v>0</v>
      </c>
      <c r="H38" s="233">
        <v>0</v>
      </c>
      <c r="I38" s="233">
        <v>0</v>
      </c>
      <c r="J38" s="233">
        <v>0</v>
      </c>
      <c r="K38" s="233">
        <v>0</v>
      </c>
      <c r="L38" s="233">
        <v>0</v>
      </c>
      <c r="M38" s="233">
        <v>0</v>
      </c>
      <c r="N38" s="233">
        <v>0</v>
      </c>
      <c r="O38" s="233">
        <v>0</v>
      </c>
      <c r="P38" s="233">
        <v>0</v>
      </c>
      <c r="Q38" s="233">
        <v>0</v>
      </c>
      <c r="R38" s="237">
        <f t="shared" si="31"/>
        <v>0</v>
      </c>
      <c r="S38" s="185"/>
      <c r="T38" s="246">
        <f t="shared" si="32"/>
        <v>0</v>
      </c>
      <c r="U38" s="246">
        <f t="shared" si="32"/>
        <v>0</v>
      </c>
      <c r="V38" s="246">
        <f t="shared" si="32"/>
        <v>0</v>
      </c>
      <c r="W38" s="246">
        <f t="shared" si="32"/>
        <v>0</v>
      </c>
      <c r="X38" s="246">
        <f t="shared" si="32"/>
        <v>0</v>
      </c>
      <c r="Y38" s="246">
        <f t="shared" si="32"/>
        <v>0</v>
      </c>
      <c r="Z38" s="246">
        <f t="shared" si="32"/>
        <v>0</v>
      </c>
      <c r="AA38" s="246">
        <f t="shared" si="32"/>
        <v>0</v>
      </c>
      <c r="AB38" s="246">
        <f t="shared" si="32"/>
        <v>0</v>
      </c>
      <c r="AC38" s="246">
        <f t="shared" si="32"/>
        <v>0</v>
      </c>
      <c r="AD38" s="246">
        <f t="shared" si="32"/>
        <v>0</v>
      </c>
      <c r="AE38" s="246">
        <f t="shared" si="32"/>
        <v>0</v>
      </c>
      <c r="AF38" s="233">
        <f t="shared" si="40"/>
        <v>0</v>
      </c>
      <c r="AG38" s="238"/>
      <c r="AH38" s="238"/>
      <c r="AI38" s="316"/>
      <c r="AJ38" s="316"/>
      <c r="AK38" s="238"/>
      <c r="AL38" s="238"/>
      <c r="AM38" s="183"/>
      <c r="AN38"/>
      <c r="AO38"/>
      <c r="AP38" s="241">
        <f t="shared" si="41"/>
        <v>0</v>
      </c>
      <c r="AQ38" s="241">
        <f t="shared" ref="AQ38" si="45">+$AS$2*AP38</f>
        <v>0</v>
      </c>
      <c r="AR38" s="242">
        <f t="shared" si="35"/>
        <v>0</v>
      </c>
      <c r="AS38" s="243">
        <f t="shared" si="36"/>
        <v>0</v>
      </c>
      <c r="AT38" s="243">
        <f t="shared" si="37"/>
        <v>0</v>
      </c>
      <c r="AU38" s="244"/>
      <c r="AV38" s="183"/>
      <c r="AW38" s="183"/>
      <c r="AX38" s="183"/>
      <c r="BA38" s="245">
        <f t="shared" si="38"/>
        <v>0</v>
      </c>
      <c r="BB38" s="245">
        <f t="shared" si="39"/>
        <v>0</v>
      </c>
    </row>
    <row r="39" spans="1:192" ht="12" customHeight="1">
      <c r="A39" s="184" t="s">
        <v>217</v>
      </c>
      <c r="D39" s="279">
        <v>53.9</v>
      </c>
      <c r="E39" s="277">
        <v>18</v>
      </c>
      <c r="F39" s="233">
        <v>1659.2400000000002</v>
      </c>
      <c r="G39" s="233">
        <v>872.09</v>
      </c>
      <c r="H39" s="233">
        <v>3060.6600000000003</v>
      </c>
      <c r="I39" s="233">
        <v>1109.69</v>
      </c>
      <c r="J39" s="233">
        <v>1901.8599999999997</v>
      </c>
      <c r="K39" s="233">
        <v>2852.02</v>
      </c>
      <c r="L39" s="233">
        <v>2852.62</v>
      </c>
      <c r="M39" s="233">
        <v>2496.3000000000002</v>
      </c>
      <c r="N39" s="233">
        <v>2889.7400000000002</v>
      </c>
      <c r="O39" s="233">
        <v>4209.6200000000008</v>
      </c>
      <c r="P39" s="233">
        <v>3965.5200000000004</v>
      </c>
      <c r="Q39" s="233">
        <v>2921.6299999999997</v>
      </c>
      <c r="R39" s="237">
        <f t="shared" si="31"/>
        <v>30790.990000000005</v>
      </c>
      <c r="S39" s="185"/>
      <c r="T39" s="246">
        <f t="shared" si="32"/>
        <v>30.783673469387761</v>
      </c>
      <c r="U39" s="246">
        <f t="shared" si="32"/>
        <v>16.179777365491653</v>
      </c>
      <c r="V39" s="246">
        <f t="shared" si="32"/>
        <v>56.784044526901674</v>
      </c>
      <c r="W39" s="246">
        <f t="shared" si="32"/>
        <v>20.587940630797775</v>
      </c>
      <c r="X39" s="246">
        <f t="shared" si="32"/>
        <v>35.284972170686451</v>
      </c>
      <c r="Y39" s="246">
        <f t="shared" si="32"/>
        <v>52.913172541743968</v>
      </c>
      <c r="Z39" s="246">
        <f t="shared" si="32"/>
        <v>52.924304267161411</v>
      </c>
      <c r="AA39" s="246">
        <f t="shared" si="32"/>
        <v>46.313543599257891</v>
      </c>
      <c r="AB39" s="246">
        <f t="shared" si="32"/>
        <v>53.61298701298702</v>
      </c>
      <c r="AC39" s="246">
        <f t="shared" si="32"/>
        <v>78.100556586270883</v>
      </c>
      <c r="AD39" s="246">
        <f t="shared" si="32"/>
        <v>73.5717996289425</v>
      </c>
      <c r="AE39" s="246">
        <f t="shared" si="32"/>
        <v>54.204638218923925</v>
      </c>
      <c r="AF39" s="233">
        <f t="shared" si="40"/>
        <v>47.605117501546083</v>
      </c>
      <c r="AG39" s="238">
        <f t="shared" si="14"/>
        <v>47.605117501546083</v>
      </c>
      <c r="AH39" s="238"/>
      <c r="AI39" s="316"/>
      <c r="AJ39" s="316"/>
      <c r="AK39" s="238"/>
      <c r="AL39" s="238"/>
      <c r="AM39" s="183"/>
      <c r="AN39"/>
      <c r="AO39"/>
      <c r="AP39" s="240">
        <f t="shared" si="41"/>
        <v>53.9</v>
      </c>
      <c r="AQ39" s="241">
        <v>17.07</v>
      </c>
      <c r="AR39" s="242">
        <f t="shared" si="35"/>
        <v>70.97</v>
      </c>
      <c r="AS39" s="243">
        <f>+AR39*AF39*12</f>
        <v>40542.422269016708</v>
      </c>
      <c r="AT39" s="243">
        <f>+AS39-R39</f>
        <v>9751.4322690167028</v>
      </c>
      <c r="AU39" s="244">
        <f t="shared" ref="AU39:AU50" si="46">AS39/R39-1</f>
        <v>0.31669758812615978</v>
      </c>
      <c r="AV39" s="183"/>
      <c r="AW39" s="183"/>
      <c r="AX39" s="183"/>
      <c r="BA39" s="245">
        <f t="shared" si="38"/>
        <v>30790.990000000005</v>
      </c>
      <c r="BB39" s="245">
        <f t="shared" si="39"/>
        <v>0</v>
      </c>
    </row>
    <row r="40" spans="1:192" ht="12" customHeight="1">
      <c r="A40" s="184" t="s">
        <v>218</v>
      </c>
      <c r="D40" s="279">
        <v>53.9</v>
      </c>
      <c r="E40" s="280">
        <v>23</v>
      </c>
      <c r="F40" s="233">
        <v>0</v>
      </c>
      <c r="G40" s="233">
        <v>0</v>
      </c>
      <c r="H40" s="233">
        <v>0</v>
      </c>
      <c r="I40" s="233">
        <v>0</v>
      </c>
      <c r="J40" s="233">
        <v>0</v>
      </c>
      <c r="K40" s="233">
        <v>0</v>
      </c>
      <c r="L40" s="233">
        <v>56.75</v>
      </c>
      <c r="M40" s="233">
        <v>0</v>
      </c>
      <c r="N40" s="233">
        <v>56.75</v>
      </c>
      <c r="O40" s="233">
        <v>85.13</v>
      </c>
      <c r="P40" s="233">
        <v>0</v>
      </c>
      <c r="Q40" s="233">
        <v>0</v>
      </c>
      <c r="R40" s="237">
        <f t="shared" si="31"/>
        <v>198.63</v>
      </c>
      <c r="S40" s="185"/>
      <c r="T40" s="246">
        <f t="shared" si="32"/>
        <v>0</v>
      </c>
      <c r="U40" s="246">
        <f t="shared" si="32"/>
        <v>0</v>
      </c>
      <c r="V40" s="246">
        <f t="shared" si="32"/>
        <v>0</v>
      </c>
      <c r="W40" s="246">
        <f t="shared" si="32"/>
        <v>0</v>
      </c>
      <c r="X40" s="246">
        <f t="shared" si="32"/>
        <v>0</v>
      </c>
      <c r="Y40" s="246">
        <f t="shared" si="32"/>
        <v>0</v>
      </c>
      <c r="Z40" s="246">
        <f t="shared" si="32"/>
        <v>1.0528756957328387</v>
      </c>
      <c r="AA40" s="246">
        <f t="shared" si="32"/>
        <v>0</v>
      </c>
      <c r="AB40" s="246">
        <f t="shared" si="32"/>
        <v>1.0528756957328387</v>
      </c>
      <c r="AC40" s="246">
        <f t="shared" si="32"/>
        <v>1.5794063079777365</v>
      </c>
      <c r="AD40" s="246">
        <f t="shared" si="32"/>
        <v>0</v>
      </c>
      <c r="AE40" s="246">
        <f t="shared" si="32"/>
        <v>0</v>
      </c>
      <c r="AF40" s="233">
        <f t="shared" si="40"/>
        <v>0.3070964749536178</v>
      </c>
      <c r="AG40" s="238">
        <f t="shared" si="14"/>
        <v>0.3070964749536178</v>
      </c>
      <c r="AH40" s="238"/>
      <c r="AI40" s="316"/>
      <c r="AJ40" s="316"/>
      <c r="AK40" s="238"/>
      <c r="AL40" s="238"/>
      <c r="AM40" s="183"/>
      <c r="AN40"/>
      <c r="AO40" s="281"/>
      <c r="AP40" s="240">
        <f t="shared" si="41"/>
        <v>53.9</v>
      </c>
      <c r="AQ40" s="241">
        <v>17.07</v>
      </c>
      <c r="AR40" s="242">
        <f t="shared" si="35"/>
        <v>70.97</v>
      </c>
      <c r="AS40" s="243">
        <f t="shared" si="36"/>
        <v>261.53564192949909</v>
      </c>
      <c r="AT40" s="243">
        <f t="shared" si="37"/>
        <v>62.905641929499097</v>
      </c>
      <c r="AU40" s="244">
        <f t="shared" si="46"/>
        <v>0.31669758812615978</v>
      </c>
      <c r="AV40" s="183"/>
      <c r="AW40" s="183"/>
      <c r="AX40" s="183"/>
      <c r="BA40" s="245">
        <f t="shared" si="38"/>
        <v>198.63</v>
      </c>
      <c r="BB40" s="245">
        <f t="shared" si="39"/>
        <v>0</v>
      </c>
    </row>
    <row r="41" spans="1:192" ht="12" customHeight="1">
      <c r="A41" s="184" t="s">
        <v>219</v>
      </c>
      <c r="D41" s="279">
        <v>47.11</v>
      </c>
      <c r="E41" s="280">
        <v>23</v>
      </c>
      <c r="F41" s="233">
        <v>510.78</v>
      </c>
      <c r="G41" s="233">
        <v>340.52</v>
      </c>
      <c r="H41" s="233">
        <v>0</v>
      </c>
      <c r="I41" s="233">
        <v>0</v>
      </c>
      <c r="J41" s="233">
        <v>0</v>
      </c>
      <c r="K41" s="233">
        <v>170.26</v>
      </c>
      <c r="L41" s="233">
        <v>0</v>
      </c>
      <c r="M41" s="233">
        <v>170.26</v>
      </c>
      <c r="N41" s="233">
        <v>0</v>
      </c>
      <c r="O41" s="233">
        <v>0</v>
      </c>
      <c r="P41" s="233">
        <v>85.13</v>
      </c>
      <c r="Q41" s="233">
        <v>85.13</v>
      </c>
      <c r="R41" s="237">
        <f t="shared" si="31"/>
        <v>1362.08</v>
      </c>
      <c r="S41" s="185"/>
      <c r="T41" s="246">
        <f t="shared" si="32"/>
        <v>10.842284016132455</v>
      </c>
      <c r="U41" s="246">
        <f t="shared" si="32"/>
        <v>7.228189344088304</v>
      </c>
      <c r="V41" s="246">
        <f t="shared" si="32"/>
        <v>0</v>
      </c>
      <c r="W41" s="246">
        <f t="shared" si="32"/>
        <v>0</v>
      </c>
      <c r="X41" s="246">
        <f t="shared" si="32"/>
        <v>0</v>
      </c>
      <c r="Y41" s="246">
        <f t="shared" si="32"/>
        <v>3.614094672044152</v>
      </c>
      <c r="Z41" s="246">
        <f t="shared" si="32"/>
        <v>0</v>
      </c>
      <c r="AA41" s="246">
        <f t="shared" si="32"/>
        <v>3.614094672044152</v>
      </c>
      <c r="AB41" s="246">
        <f t="shared" si="32"/>
        <v>0</v>
      </c>
      <c r="AC41" s="246">
        <f t="shared" si="32"/>
        <v>0</v>
      </c>
      <c r="AD41" s="246">
        <f t="shared" si="32"/>
        <v>1.807047336022076</v>
      </c>
      <c r="AE41" s="246">
        <f t="shared" si="32"/>
        <v>1.807047336022076</v>
      </c>
      <c r="AF41" s="233">
        <f t="shared" si="40"/>
        <v>2.409396448029435</v>
      </c>
      <c r="AG41" s="238">
        <f t="shared" si="14"/>
        <v>2.4093964480294345</v>
      </c>
      <c r="AH41" s="238"/>
      <c r="AI41" s="316"/>
      <c r="AJ41" s="316"/>
      <c r="AK41" s="238"/>
      <c r="AL41" s="238"/>
      <c r="AM41" s="183"/>
      <c r="AN41"/>
      <c r="AO41"/>
      <c r="AP41" s="240">
        <f t="shared" si="41"/>
        <v>47.11</v>
      </c>
      <c r="AQ41" s="241">
        <v>14.29</v>
      </c>
      <c r="AR41" s="242">
        <f t="shared" si="35"/>
        <v>61.4</v>
      </c>
      <c r="AS41" s="243">
        <f t="shared" si="36"/>
        <v>1775.2433029080878</v>
      </c>
      <c r="AT41" s="243">
        <f t="shared" si="37"/>
        <v>413.16330290808787</v>
      </c>
      <c r="AU41" s="244">
        <f t="shared" si="46"/>
        <v>0.30333262576947595</v>
      </c>
      <c r="AV41" s="183"/>
      <c r="AW41" s="183"/>
      <c r="AX41" s="183"/>
      <c r="BA41" s="245">
        <f t="shared" si="38"/>
        <v>1362.0800000000002</v>
      </c>
      <c r="BB41" s="245">
        <f t="shared" si="39"/>
        <v>0</v>
      </c>
    </row>
    <row r="42" spans="1:192" ht="12" customHeight="1">
      <c r="A42" s="184" t="s">
        <v>220</v>
      </c>
      <c r="D42" s="279">
        <v>53.9</v>
      </c>
      <c r="E42" s="280">
        <v>23</v>
      </c>
      <c r="F42" s="233">
        <v>70.94</v>
      </c>
      <c r="G42" s="233">
        <v>0</v>
      </c>
      <c r="H42" s="233">
        <v>0</v>
      </c>
      <c r="I42" s="233">
        <v>0</v>
      </c>
      <c r="J42" s="233">
        <v>0</v>
      </c>
      <c r="K42" s="233">
        <v>0</v>
      </c>
      <c r="L42" s="233">
        <v>141.88</v>
      </c>
      <c r="M42" s="233">
        <v>85.13</v>
      </c>
      <c r="N42" s="233">
        <v>312.14</v>
      </c>
      <c r="O42" s="233">
        <v>621.26</v>
      </c>
      <c r="P42" s="233">
        <v>425.64</v>
      </c>
      <c r="Q42" s="233">
        <v>141.88</v>
      </c>
      <c r="R42" s="237">
        <f t="shared" si="31"/>
        <v>1798.87</v>
      </c>
      <c r="S42" s="185"/>
      <c r="T42" s="246">
        <f t="shared" si="32"/>
        <v>1.3161410018552875</v>
      </c>
      <c r="U42" s="246">
        <f t="shared" si="32"/>
        <v>0</v>
      </c>
      <c r="V42" s="246">
        <f t="shared" si="32"/>
        <v>0</v>
      </c>
      <c r="W42" s="246">
        <f t="shared" si="32"/>
        <v>0</v>
      </c>
      <c r="X42" s="246">
        <f t="shared" si="32"/>
        <v>0</v>
      </c>
      <c r="Y42" s="246">
        <f t="shared" si="32"/>
        <v>0</v>
      </c>
      <c r="Z42" s="246">
        <f t="shared" si="32"/>
        <v>2.632282003710575</v>
      </c>
      <c r="AA42" s="246">
        <f t="shared" si="32"/>
        <v>1.5794063079777365</v>
      </c>
      <c r="AB42" s="246">
        <f t="shared" si="32"/>
        <v>5.7910946196660484</v>
      </c>
      <c r="AC42" s="246">
        <f t="shared" si="32"/>
        <v>11.526159554730983</v>
      </c>
      <c r="AD42" s="246">
        <f t="shared" si="32"/>
        <v>7.8968460111317258</v>
      </c>
      <c r="AE42" s="246">
        <f t="shared" si="32"/>
        <v>2.632282003710575</v>
      </c>
      <c r="AF42" s="233">
        <f t="shared" si="40"/>
        <v>2.7811842918985774</v>
      </c>
      <c r="AG42" s="238">
        <f t="shared" si="14"/>
        <v>2.7811842918985779</v>
      </c>
      <c r="AH42" s="238"/>
      <c r="AI42" s="316"/>
      <c r="AJ42" s="316"/>
      <c r="AK42" s="238"/>
      <c r="AL42" s="238"/>
      <c r="AM42" s="183"/>
      <c r="AN42"/>
      <c r="AO42"/>
      <c r="AP42" s="240">
        <f t="shared" si="41"/>
        <v>53.9</v>
      </c>
      <c r="AQ42" s="241">
        <v>17.07</v>
      </c>
      <c r="AR42" s="242">
        <f t="shared" si="35"/>
        <v>70.97</v>
      </c>
      <c r="AS42" s="243">
        <f t="shared" si="36"/>
        <v>2368.5677903525047</v>
      </c>
      <c r="AT42" s="243">
        <f t="shared" si="37"/>
        <v>569.69779035250485</v>
      </c>
      <c r="AU42" s="244">
        <f t="shared" si="46"/>
        <v>0.31669758812615978</v>
      </c>
      <c r="AV42" s="183"/>
      <c r="AW42" s="183"/>
      <c r="AX42" s="183"/>
      <c r="BA42" s="245">
        <f t="shared" si="38"/>
        <v>1798.8699999999997</v>
      </c>
      <c r="BB42" s="245">
        <f t="shared" si="39"/>
        <v>0</v>
      </c>
    </row>
    <row r="43" spans="1:192" ht="12" customHeight="1">
      <c r="A43" s="184" t="s">
        <v>221</v>
      </c>
      <c r="D43" s="279">
        <v>53.9</v>
      </c>
      <c r="E43" s="277">
        <v>23</v>
      </c>
      <c r="F43" s="233">
        <v>0</v>
      </c>
      <c r="G43" s="233">
        <v>0</v>
      </c>
      <c r="H43" s="233">
        <v>56.75</v>
      </c>
      <c r="I43" s="233">
        <v>0</v>
      </c>
      <c r="J43" s="233">
        <v>0</v>
      </c>
      <c r="K43" s="233">
        <v>0</v>
      </c>
      <c r="L43" s="233">
        <v>56.75</v>
      </c>
      <c r="M43" s="233">
        <v>0</v>
      </c>
      <c r="N43" s="233">
        <v>0</v>
      </c>
      <c r="O43" s="233">
        <v>0</v>
      </c>
      <c r="P43" s="233">
        <v>0</v>
      </c>
      <c r="Q43" s="233">
        <v>0</v>
      </c>
      <c r="R43" s="237">
        <f t="shared" si="31"/>
        <v>113.5</v>
      </c>
      <c r="S43" s="185"/>
      <c r="T43" s="246">
        <f t="shared" si="32"/>
        <v>0</v>
      </c>
      <c r="U43" s="246">
        <f t="shared" si="32"/>
        <v>0</v>
      </c>
      <c r="V43" s="246">
        <f t="shared" si="32"/>
        <v>1.0528756957328387</v>
      </c>
      <c r="W43" s="246">
        <f t="shared" si="32"/>
        <v>0</v>
      </c>
      <c r="X43" s="246">
        <f t="shared" si="32"/>
        <v>0</v>
      </c>
      <c r="Y43" s="246">
        <f t="shared" si="32"/>
        <v>0</v>
      </c>
      <c r="Z43" s="246">
        <f t="shared" si="32"/>
        <v>1.0528756957328387</v>
      </c>
      <c r="AA43" s="246">
        <f t="shared" si="32"/>
        <v>0</v>
      </c>
      <c r="AB43" s="246">
        <f t="shared" si="32"/>
        <v>0</v>
      </c>
      <c r="AC43" s="246">
        <f t="shared" si="32"/>
        <v>0</v>
      </c>
      <c r="AD43" s="246">
        <f t="shared" si="32"/>
        <v>0</v>
      </c>
      <c r="AE43" s="246">
        <f t="shared" si="32"/>
        <v>0</v>
      </c>
      <c r="AF43" s="233">
        <f t="shared" si="40"/>
        <v>0.17547928262213977</v>
      </c>
      <c r="AG43" s="238">
        <f t="shared" si="14"/>
        <v>0.17547928262213977</v>
      </c>
      <c r="AH43" s="238"/>
      <c r="AI43" s="316"/>
      <c r="AJ43" s="316"/>
      <c r="AK43" s="238"/>
      <c r="AL43" s="238"/>
      <c r="AM43" s="183"/>
      <c r="AN43"/>
      <c r="AO43"/>
      <c r="AP43" s="240">
        <f t="shared" si="41"/>
        <v>53.9</v>
      </c>
      <c r="AQ43" s="241">
        <v>17.07</v>
      </c>
      <c r="AR43" s="242">
        <f t="shared" si="35"/>
        <v>70.97</v>
      </c>
      <c r="AS43" s="243">
        <f t="shared" si="36"/>
        <v>149.44517625231913</v>
      </c>
      <c r="AT43" s="243">
        <f t="shared" si="37"/>
        <v>35.945176252319129</v>
      </c>
      <c r="AU43" s="244">
        <f t="shared" si="46"/>
        <v>0.31669758812615978</v>
      </c>
      <c r="AV43" s="183"/>
      <c r="AW43" s="183"/>
      <c r="AX43" s="183"/>
      <c r="BA43" s="245">
        <f t="shared" si="38"/>
        <v>113.5</v>
      </c>
      <c r="BB43" s="245">
        <f t="shared" si="39"/>
        <v>0</v>
      </c>
    </row>
    <row r="44" spans="1:192" ht="12" customHeight="1">
      <c r="A44" s="184" t="s">
        <v>222</v>
      </c>
      <c r="D44" s="279">
        <v>56.75</v>
      </c>
      <c r="E44" s="277">
        <v>18</v>
      </c>
      <c r="F44" s="233">
        <v>0</v>
      </c>
      <c r="G44" s="233">
        <v>373.81</v>
      </c>
      <c r="H44" s="233">
        <v>690.2</v>
      </c>
      <c r="I44" s="233">
        <v>255.38</v>
      </c>
      <c r="J44" s="233">
        <v>340.5</v>
      </c>
      <c r="K44" s="233">
        <v>227</v>
      </c>
      <c r="L44" s="233">
        <v>340.5</v>
      </c>
      <c r="M44" s="233">
        <v>340.5</v>
      </c>
      <c r="N44" s="233">
        <v>113.5</v>
      </c>
      <c r="O44" s="233">
        <v>0</v>
      </c>
      <c r="P44" s="233">
        <v>0</v>
      </c>
      <c r="Q44" s="233">
        <v>312.13</v>
      </c>
      <c r="R44" s="237">
        <f t="shared" si="31"/>
        <v>2993.52</v>
      </c>
      <c r="S44" s="185"/>
      <c r="T44" s="246">
        <f t="shared" si="32"/>
        <v>0</v>
      </c>
      <c r="U44" s="246">
        <f t="shared" si="32"/>
        <v>6.5869603524229072</v>
      </c>
      <c r="V44" s="246">
        <f t="shared" si="32"/>
        <v>12.162114537444936</v>
      </c>
      <c r="W44" s="246">
        <f t="shared" si="32"/>
        <v>4.5000881057268725</v>
      </c>
      <c r="X44" s="246">
        <f t="shared" si="32"/>
        <v>6</v>
      </c>
      <c r="Y44" s="246">
        <f t="shared" si="32"/>
        <v>4</v>
      </c>
      <c r="Z44" s="246">
        <f t="shared" si="32"/>
        <v>6</v>
      </c>
      <c r="AA44" s="246">
        <f t="shared" si="32"/>
        <v>6</v>
      </c>
      <c r="AB44" s="246">
        <f t="shared" si="32"/>
        <v>2</v>
      </c>
      <c r="AC44" s="246">
        <f t="shared" si="32"/>
        <v>0</v>
      </c>
      <c r="AD44" s="246">
        <f t="shared" si="32"/>
        <v>0</v>
      </c>
      <c r="AE44" s="246">
        <f t="shared" si="32"/>
        <v>5.5000881057268725</v>
      </c>
      <c r="AF44" s="233">
        <f t="shared" si="40"/>
        <v>4.3957709251101322</v>
      </c>
      <c r="AG44" s="238">
        <f t="shared" si="14"/>
        <v>4.3957709251101322</v>
      </c>
      <c r="AH44" s="238"/>
      <c r="AI44" s="322">
        <f t="shared" ref="AI44:AI45" ca="1" si="47">+$AJ$3*R44</f>
        <v>11.568592199918999</v>
      </c>
      <c r="AJ44" s="322">
        <f t="shared" ref="AJ44:AJ45" ca="1" si="48">+R44+AI44</f>
        <v>3005.0885921999188</v>
      </c>
      <c r="AK44" s="238"/>
      <c r="AL44" s="238"/>
      <c r="AM44" s="183"/>
      <c r="AN44"/>
      <c r="AO44"/>
      <c r="AP44" s="240">
        <f t="shared" si="41"/>
        <v>56.75</v>
      </c>
      <c r="AQ44" s="241">
        <f t="shared" ref="AQ44:AQ50" si="49">+$AS$4*AP44</f>
        <v>59.865326397414776</v>
      </c>
      <c r="AR44" s="242">
        <f t="shared" si="35"/>
        <v>116.61532639741478</v>
      </c>
      <c r="AS44" s="243">
        <f t="shared" si="36"/>
        <v>6151.3711343998075</v>
      </c>
      <c r="AT44" s="243">
        <f t="shared" si="37"/>
        <v>3157.8511343998075</v>
      </c>
      <c r="AU44" s="244">
        <f t="shared" si="46"/>
        <v>1.0548956193377053</v>
      </c>
      <c r="AV44" s="183"/>
      <c r="AW44" s="183"/>
      <c r="AX44" s="183"/>
      <c r="BA44" s="245">
        <f t="shared" si="38"/>
        <v>2993.52</v>
      </c>
      <c r="BB44" s="245">
        <f t="shared" si="39"/>
        <v>0</v>
      </c>
    </row>
    <row r="45" spans="1:192" ht="12" customHeight="1">
      <c r="A45" s="184" t="s">
        <v>223</v>
      </c>
      <c r="D45" s="279">
        <v>56.75</v>
      </c>
      <c r="E45" s="277">
        <v>18</v>
      </c>
      <c r="F45" s="233">
        <v>510.78</v>
      </c>
      <c r="G45" s="233">
        <v>0</v>
      </c>
      <c r="H45" s="233">
        <v>0</v>
      </c>
      <c r="I45" s="233">
        <v>0</v>
      </c>
      <c r="J45" s="233">
        <v>0</v>
      </c>
      <c r="K45" s="233">
        <v>0</v>
      </c>
      <c r="L45" s="233">
        <v>85.13</v>
      </c>
      <c r="M45" s="233">
        <v>85.13</v>
      </c>
      <c r="N45" s="233">
        <v>85.13</v>
      </c>
      <c r="O45" s="233">
        <v>0</v>
      </c>
      <c r="P45" s="233">
        <v>0</v>
      </c>
      <c r="Q45" s="233">
        <v>255.39</v>
      </c>
      <c r="R45" s="237">
        <f t="shared" si="31"/>
        <v>1021.56</v>
      </c>
      <c r="S45" s="185"/>
      <c r="T45" s="246">
        <f t="shared" ref="T45:AE50" si="50">IFERROR(F45/($D45),0)</f>
        <v>9.000528634361233</v>
      </c>
      <c r="U45" s="246">
        <f t="shared" si="50"/>
        <v>0</v>
      </c>
      <c r="V45" s="246">
        <f t="shared" si="50"/>
        <v>0</v>
      </c>
      <c r="W45" s="246">
        <f t="shared" si="50"/>
        <v>0</v>
      </c>
      <c r="X45" s="246">
        <f t="shared" si="50"/>
        <v>0</v>
      </c>
      <c r="Y45" s="246">
        <f t="shared" si="50"/>
        <v>0</v>
      </c>
      <c r="Z45" s="246">
        <f t="shared" si="50"/>
        <v>1.5000881057268722</v>
      </c>
      <c r="AA45" s="246">
        <f t="shared" si="50"/>
        <v>1.5000881057268722</v>
      </c>
      <c r="AB45" s="246">
        <f t="shared" si="50"/>
        <v>1.5000881057268722</v>
      </c>
      <c r="AC45" s="246">
        <f t="shared" si="50"/>
        <v>0</v>
      </c>
      <c r="AD45" s="246">
        <f t="shared" si="50"/>
        <v>0</v>
      </c>
      <c r="AE45" s="246">
        <f t="shared" si="50"/>
        <v>4.5002643171806165</v>
      </c>
      <c r="AF45" s="233">
        <f t="shared" si="40"/>
        <v>1.5000881057268722</v>
      </c>
      <c r="AG45" s="238">
        <f t="shared" si="14"/>
        <v>1.5000881057268722</v>
      </c>
      <c r="AH45" s="238"/>
      <c r="AI45" s="322">
        <f t="shared" ca="1" si="47"/>
        <v>3.9478644030269558</v>
      </c>
      <c r="AJ45" s="322">
        <f t="shared" ca="1" si="48"/>
        <v>1025.5078644030268</v>
      </c>
      <c r="AK45" s="238"/>
      <c r="AL45" s="238"/>
      <c r="AM45" s="183"/>
      <c r="AN45"/>
      <c r="AO45"/>
      <c r="AP45" s="240">
        <f t="shared" si="41"/>
        <v>56.75</v>
      </c>
      <c r="AQ45" s="241">
        <f t="shared" si="49"/>
        <v>59.865326397414776</v>
      </c>
      <c r="AR45" s="242">
        <f t="shared" si="35"/>
        <v>116.61532639741478</v>
      </c>
      <c r="AS45" s="243">
        <f t="shared" si="36"/>
        <v>2099.199168890626</v>
      </c>
      <c r="AT45" s="243">
        <f t="shared" si="37"/>
        <v>1077.639168890626</v>
      </c>
      <c r="AU45" s="244">
        <f t="shared" si="46"/>
        <v>1.0548956193377053</v>
      </c>
      <c r="AV45" s="183"/>
      <c r="AW45" s="183"/>
      <c r="AX45" s="183"/>
      <c r="BA45" s="245">
        <f t="shared" si="38"/>
        <v>1021.56</v>
      </c>
      <c r="BB45" s="245">
        <f t="shared" si="39"/>
        <v>0</v>
      </c>
    </row>
    <row r="46" spans="1:192" ht="12" customHeight="1">
      <c r="A46" s="184" t="s">
        <v>224</v>
      </c>
      <c r="D46" s="279">
        <v>56.75</v>
      </c>
      <c r="E46" s="277">
        <v>18</v>
      </c>
      <c r="F46" s="233">
        <v>0</v>
      </c>
      <c r="G46" s="233">
        <v>0</v>
      </c>
      <c r="H46" s="233">
        <v>0</v>
      </c>
      <c r="I46" s="233">
        <v>0</v>
      </c>
      <c r="J46" s="233">
        <v>0</v>
      </c>
      <c r="K46" s="233">
        <v>0</v>
      </c>
      <c r="L46" s="233">
        <v>56.75</v>
      </c>
      <c r="M46" s="233">
        <v>0</v>
      </c>
      <c r="N46" s="233">
        <v>0</v>
      </c>
      <c r="O46" s="233">
        <v>0</v>
      </c>
      <c r="P46" s="233">
        <v>0</v>
      </c>
      <c r="Q46" s="233">
        <v>0</v>
      </c>
      <c r="R46" s="237">
        <f t="shared" si="31"/>
        <v>56.75</v>
      </c>
      <c r="S46" s="185"/>
      <c r="T46" s="246">
        <f t="shared" si="50"/>
        <v>0</v>
      </c>
      <c r="U46" s="246">
        <f t="shared" si="50"/>
        <v>0</v>
      </c>
      <c r="V46" s="246">
        <f t="shared" si="50"/>
        <v>0</v>
      </c>
      <c r="W46" s="246">
        <f t="shared" si="50"/>
        <v>0</v>
      </c>
      <c r="X46" s="246">
        <f t="shared" si="50"/>
        <v>0</v>
      </c>
      <c r="Y46" s="246">
        <f t="shared" si="50"/>
        <v>0</v>
      </c>
      <c r="Z46" s="246">
        <f t="shared" si="50"/>
        <v>1</v>
      </c>
      <c r="AA46" s="246">
        <f t="shared" si="50"/>
        <v>0</v>
      </c>
      <c r="AB46" s="246">
        <f t="shared" si="50"/>
        <v>0</v>
      </c>
      <c r="AC46" s="246">
        <f t="shared" si="50"/>
        <v>0</v>
      </c>
      <c r="AD46" s="246">
        <f t="shared" si="50"/>
        <v>0</v>
      </c>
      <c r="AE46" s="246">
        <f t="shared" si="50"/>
        <v>0</v>
      </c>
      <c r="AF46" s="233">
        <f t="shared" si="40"/>
        <v>8.3333333333333329E-2</v>
      </c>
      <c r="AG46" s="238">
        <f t="shared" si="14"/>
        <v>8.3333333333333343E-2</v>
      </c>
      <c r="AH46" s="238"/>
      <c r="AI46" s="316"/>
      <c r="AJ46" s="316"/>
      <c r="AK46" s="238"/>
      <c r="AL46" s="238"/>
      <c r="AM46" s="183"/>
      <c r="AN46"/>
      <c r="AO46"/>
      <c r="AP46" s="240">
        <f t="shared" si="41"/>
        <v>56.75</v>
      </c>
      <c r="AQ46" s="241">
        <f t="shared" si="49"/>
        <v>59.865326397414776</v>
      </c>
      <c r="AR46" s="242">
        <f t="shared" si="35"/>
        <v>116.61532639741478</v>
      </c>
      <c r="AS46" s="243">
        <f t="shared" si="36"/>
        <v>116.61532639741478</v>
      </c>
      <c r="AT46" s="243">
        <f t="shared" si="37"/>
        <v>59.865326397414776</v>
      </c>
      <c r="AU46" s="244">
        <f t="shared" si="46"/>
        <v>1.0548956193377053</v>
      </c>
      <c r="AV46" s="183"/>
      <c r="AW46" s="183"/>
      <c r="AX46" s="183"/>
      <c r="BA46" s="245">
        <f t="shared" si="38"/>
        <v>56.749999999999993</v>
      </c>
      <c r="BB46" s="245">
        <f t="shared" si="39"/>
        <v>0</v>
      </c>
    </row>
    <row r="47" spans="1:192" ht="12" customHeight="1">
      <c r="A47" s="184" t="s">
        <v>225</v>
      </c>
      <c r="D47" s="279">
        <v>56.75</v>
      </c>
      <c r="E47" s="277">
        <v>18</v>
      </c>
      <c r="F47" s="233">
        <v>454</v>
      </c>
      <c r="G47" s="233">
        <v>454</v>
      </c>
      <c r="H47" s="233">
        <v>340.5</v>
      </c>
      <c r="I47" s="233">
        <v>227</v>
      </c>
      <c r="J47" s="233">
        <v>227</v>
      </c>
      <c r="K47" s="233">
        <v>0</v>
      </c>
      <c r="L47" s="233">
        <v>0</v>
      </c>
      <c r="M47" s="233">
        <v>0</v>
      </c>
      <c r="N47" s="233">
        <v>0</v>
      </c>
      <c r="O47" s="233">
        <v>0</v>
      </c>
      <c r="P47" s="233">
        <v>0</v>
      </c>
      <c r="Q47" s="233">
        <v>0</v>
      </c>
      <c r="R47" s="237">
        <f t="shared" si="31"/>
        <v>1702.5</v>
      </c>
      <c r="S47" s="185"/>
      <c r="T47" s="246">
        <f t="shared" si="50"/>
        <v>8</v>
      </c>
      <c r="U47" s="246">
        <f t="shared" si="50"/>
        <v>8</v>
      </c>
      <c r="V47" s="246">
        <f t="shared" si="50"/>
        <v>6</v>
      </c>
      <c r="W47" s="246">
        <f t="shared" si="50"/>
        <v>4</v>
      </c>
      <c r="X47" s="246">
        <f t="shared" si="50"/>
        <v>4</v>
      </c>
      <c r="Y47" s="246">
        <f t="shared" si="50"/>
        <v>0</v>
      </c>
      <c r="Z47" s="246">
        <f t="shared" si="50"/>
        <v>0</v>
      </c>
      <c r="AA47" s="246">
        <f t="shared" si="50"/>
        <v>0</v>
      </c>
      <c r="AB47" s="246">
        <f t="shared" si="50"/>
        <v>0</v>
      </c>
      <c r="AC47" s="246">
        <f t="shared" si="50"/>
        <v>0</v>
      </c>
      <c r="AD47" s="246">
        <f t="shared" si="50"/>
        <v>0</v>
      </c>
      <c r="AE47" s="246">
        <f t="shared" si="50"/>
        <v>0</v>
      </c>
      <c r="AF47" s="233">
        <f t="shared" si="40"/>
        <v>2.5</v>
      </c>
      <c r="AG47" s="238">
        <f t="shared" si="14"/>
        <v>2.5</v>
      </c>
      <c r="AH47" s="238"/>
      <c r="AI47" s="316"/>
      <c r="AJ47" s="316"/>
      <c r="AK47" s="238"/>
      <c r="AL47" s="238"/>
      <c r="AM47" s="183"/>
      <c r="AN47"/>
      <c r="AO47"/>
      <c r="AP47" s="240">
        <f t="shared" si="41"/>
        <v>56.75</v>
      </c>
      <c r="AQ47" s="241">
        <f t="shared" si="49"/>
        <v>59.865326397414776</v>
      </c>
      <c r="AR47" s="242">
        <f t="shared" si="35"/>
        <v>116.61532639741478</v>
      </c>
      <c r="AS47" s="243">
        <f t="shared" si="36"/>
        <v>3498.4597919224429</v>
      </c>
      <c r="AT47" s="243">
        <f t="shared" si="37"/>
        <v>1795.9597919224429</v>
      </c>
      <c r="AU47" s="244">
        <f t="shared" si="46"/>
        <v>1.0548956193377053</v>
      </c>
      <c r="AV47" s="183"/>
      <c r="AW47" s="183"/>
      <c r="AX47" s="183"/>
      <c r="BA47" s="245">
        <f t="shared" si="38"/>
        <v>1702.5</v>
      </c>
      <c r="BB47" s="245">
        <f t="shared" si="39"/>
        <v>0</v>
      </c>
    </row>
    <row r="48" spans="1:192" ht="12" customHeight="1">
      <c r="A48" s="184" t="s">
        <v>226</v>
      </c>
      <c r="D48" s="279">
        <v>56.75</v>
      </c>
      <c r="E48" s="277">
        <v>18</v>
      </c>
      <c r="F48" s="233">
        <v>0</v>
      </c>
      <c r="G48" s="233">
        <v>56.75</v>
      </c>
      <c r="H48" s="233">
        <v>0</v>
      </c>
      <c r="I48" s="233">
        <v>0</v>
      </c>
      <c r="J48" s="233">
        <v>0</v>
      </c>
      <c r="K48" s="233">
        <v>0</v>
      </c>
      <c r="L48" s="233">
        <v>85.13</v>
      </c>
      <c r="M48" s="233">
        <v>56.75</v>
      </c>
      <c r="N48" s="233">
        <v>0</v>
      </c>
      <c r="O48" s="233">
        <v>0</v>
      </c>
      <c r="P48" s="233">
        <v>0</v>
      </c>
      <c r="Q48" s="233">
        <v>0</v>
      </c>
      <c r="R48" s="237">
        <f t="shared" si="31"/>
        <v>198.63</v>
      </c>
      <c r="S48" s="185"/>
      <c r="T48" s="246">
        <f t="shared" si="50"/>
        <v>0</v>
      </c>
      <c r="U48" s="246">
        <f t="shared" si="50"/>
        <v>1</v>
      </c>
      <c r="V48" s="246">
        <f t="shared" si="50"/>
        <v>0</v>
      </c>
      <c r="W48" s="246">
        <f t="shared" si="50"/>
        <v>0</v>
      </c>
      <c r="X48" s="246">
        <f t="shared" si="50"/>
        <v>0</v>
      </c>
      <c r="Y48" s="246">
        <f t="shared" si="50"/>
        <v>0</v>
      </c>
      <c r="Z48" s="246">
        <f t="shared" si="50"/>
        <v>1.5000881057268722</v>
      </c>
      <c r="AA48" s="246">
        <f t="shared" si="50"/>
        <v>1</v>
      </c>
      <c r="AB48" s="246">
        <f t="shared" si="50"/>
        <v>0</v>
      </c>
      <c r="AC48" s="246">
        <f t="shared" si="50"/>
        <v>0</v>
      </c>
      <c r="AD48" s="246">
        <f t="shared" si="50"/>
        <v>0</v>
      </c>
      <c r="AE48" s="246">
        <f t="shared" si="50"/>
        <v>0</v>
      </c>
      <c r="AF48" s="233">
        <f t="shared" si="40"/>
        <v>0.2916740088105727</v>
      </c>
      <c r="AG48" s="238">
        <f t="shared" si="14"/>
        <v>0.29167400881057265</v>
      </c>
      <c r="AH48" s="238"/>
      <c r="AI48" s="316"/>
      <c r="AJ48" s="316"/>
      <c r="AK48" s="238"/>
      <c r="AL48" s="238"/>
      <c r="AM48" s="183"/>
      <c r="AN48"/>
      <c r="AO48"/>
      <c r="AP48" s="240">
        <f t="shared" si="41"/>
        <v>56.75</v>
      </c>
      <c r="AQ48" s="241">
        <f t="shared" si="49"/>
        <v>59.865326397414776</v>
      </c>
      <c r="AR48" s="242">
        <f t="shared" si="35"/>
        <v>116.61532639741478</v>
      </c>
      <c r="AS48" s="243">
        <f t="shared" si="36"/>
        <v>408.16391686904842</v>
      </c>
      <c r="AT48" s="243">
        <f t="shared" si="37"/>
        <v>209.53391686904843</v>
      </c>
      <c r="AU48" s="244">
        <f t="shared" si="46"/>
        <v>1.0548956193377053</v>
      </c>
      <c r="AV48" s="183"/>
      <c r="AW48" s="183"/>
      <c r="AX48" s="183"/>
      <c r="BA48" s="245">
        <f t="shared" si="38"/>
        <v>198.63000000000002</v>
      </c>
      <c r="BB48" s="245">
        <f t="shared" si="39"/>
        <v>0</v>
      </c>
    </row>
    <row r="49" spans="1:54" ht="12" customHeight="1">
      <c r="A49" s="184" t="s">
        <v>227</v>
      </c>
      <c r="D49" s="279">
        <v>56.75</v>
      </c>
      <c r="E49" s="277">
        <v>18</v>
      </c>
      <c r="F49" s="233">
        <v>0</v>
      </c>
      <c r="G49" s="233">
        <v>14.19</v>
      </c>
      <c r="H49" s="233">
        <v>0</v>
      </c>
      <c r="I49" s="233">
        <v>187.85</v>
      </c>
      <c r="J49" s="233">
        <v>601.57000000000005</v>
      </c>
      <c r="K49" s="233">
        <v>245.73</v>
      </c>
      <c r="L49" s="233">
        <v>283.75</v>
      </c>
      <c r="M49" s="233">
        <v>482.38</v>
      </c>
      <c r="N49" s="233">
        <v>0</v>
      </c>
      <c r="O49" s="233">
        <v>0</v>
      </c>
      <c r="P49" s="233">
        <v>0</v>
      </c>
      <c r="Q49" s="233">
        <v>0</v>
      </c>
      <c r="R49" s="237">
        <f t="shared" si="31"/>
        <v>1815.4699999999998</v>
      </c>
      <c r="S49" s="185"/>
      <c r="T49" s="246">
        <f t="shared" si="50"/>
        <v>0</v>
      </c>
      <c r="U49" s="246">
        <f t="shared" si="50"/>
        <v>0.25004405286343612</v>
      </c>
      <c r="V49" s="246">
        <f t="shared" si="50"/>
        <v>0</v>
      </c>
      <c r="W49" s="246">
        <f t="shared" si="50"/>
        <v>3.3101321585903083</v>
      </c>
      <c r="X49" s="246">
        <f t="shared" si="50"/>
        <v>10.600352422907489</v>
      </c>
      <c r="Y49" s="246">
        <f t="shared" si="50"/>
        <v>4.3300440528634363</v>
      </c>
      <c r="Z49" s="246">
        <f t="shared" si="50"/>
        <v>5</v>
      </c>
      <c r="AA49" s="246">
        <f t="shared" si="50"/>
        <v>8.5000881057268725</v>
      </c>
      <c r="AB49" s="246">
        <f t="shared" si="50"/>
        <v>0</v>
      </c>
      <c r="AC49" s="246">
        <f t="shared" si="50"/>
        <v>0</v>
      </c>
      <c r="AD49" s="246">
        <f t="shared" si="50"/>
        <v>0</v>
      </c>
      <c r="AE49" s="246">
        <f t="shared" si="50"/>
        <v>0</v>
      </c>
      <c r="AF49" s="233">
        <f t="shared" si="40"/>
        <v>2.6658883994126286</v>
      </c>
      <c r="AG49" s="238">
        <f t="shared" si="14"/>
        <v>2.6658883994126286</v>
      </c>
      <c r="AH49" s="238"/>
      <c r="AI49" s="316"/>
      <c r="AJ49" s="316"/>
      <c r="AK49" s="238"/>
      <c r="AL49" s="238"/>
      <c r="AM49" s="183"/>
      <c r="AN49"/>
      <c r="AO49"/>
      <c r="AP49" s="240">
        <f t="shared" si="41"/>
        <v>56.75</v>
      </c>
      <c r="AQ49" s="241">
        <f t="shared" si="49"/>
        <v>59.865326397414776</v>
      </c>
      <c r="AR49" s="242">
        <f t="shared" si="35"/>
        <v>116.61532639741478</v>
      </c>
      <c r="AS49" s="243">
        <f t="shared" si="36"/>
        <v>3730.6013500390241</v>
      </c>
      <c r="AT49" s="243">
        <f t="shared" si="37"/>
        <v>1915.1313500390243</v>
      </c>
      <c r="AU49" s="244">
        <f t="shared" si="46"/>
        <v>1.0548956193377057</v>
      </c>
      <c r="AV49" s="183"/>
      <c r="AW49" s="183"/>
      <c r="AX49" s="183"/>
      <c r="BA49" s="245">
        <f t="shared" si="38"/>
        <v>1815.4699999999998</v>
      </c>
      <c r="BB49" s="245">
        <f t="shared" si="39"/>
        <v>0</v>
      </c>
    </row>
    <row r="50" spans="1:54" ht="12" customHeight="1">
      <c r="A50" s="184" t="s">
        <v>228</v>
      </c>
      <c r="D50" s="279">
        <v>56.75</v>
      </c>
      <c r="E50" s="277">
        <v>18</v>
      </c>
      <c r="F50" s="233">
        <v>0</v>
      </c>
      <c r="G50" s="233">
        <v>0</v>
      </c>
      <c r="H50" s="233">
        <v>0</v>
      </c>
      <c r="I50" s="233">
        <v>0</v>
      </c>
      <c r="J50" s="233">
        <v>113.5</v>
      </c>
      <c r="K50" s="233">
        <v>0</v>
      </c>
      <c r="L50" s="233">
        <v>0</v>
      </c>
      <c r="M50" s="233">
        <v>0</v>
      </c>
      <c r="N50" s="233">
        <v>0</v>
      </c>
      <c r="O50" s="233">
        <v>0</v>
      </c>
      <c r="P50" s="233">
        <v>0</v>
      </c>
      <c r="Q50" s="233">
        <v>0</v>
      </c>
      <c r="R50" s="237">
        <f t="shared" si="31"/>
        <v>113.5</v>
      </c>
      <c r="S50" s="185"/>
      <c r="T50" s="246">
        <f t="shared" si="50"/>
        <v>0</v>
      </c>
      <c r="U50" s="246">
        <f t="shared" si="50"/>
        <v>0</v>
      </c>
      <c r="V50" s="246">
        <f t="shared" si="50"/>
        <v>0</v>
      </c>
      <c r="W50" s="246">
        <f t="shared" si="50"/>
        <v>0</v>
      </c>
      <c r="X50" s="246">
        <f t="shared" si="50"/>
        <v>2</v>
      </c>
      <c r="Y50" s="246">
        <f t="shared" si="50"/>
        <v>0</v>
      </c>
      <c r="Z50" s="246">
        <f t="shared" si="50"/>
        <v>0</v>
      </c>
      <c r="AA50" s="246">
        <f t="shared" si="50"/>
        <v>0</v>
      </c>
      <c r="AB50" s="246">
        <f t="shared" si="50"/>
        <v>0</v>
      </c>
      <c r="AC50" s="246">
        <f t="shared" si="50"/>
        <v>0</v>
      </c>
      <c r="AD50" s="246">
        <f t="shared" si="50"/>
        <v>0</v>
      </c>
      <c r="AE50" s="246">
        <f t="shared" si="50"/>
        <v>0</v>
      </c>
      <c r="AF50" s="233">
        <f t="shared" si="40"/>
        <v>0.16666666666666666</v>
      </c>
      <c r="AG50" s="238">
        <f t="shared" si="14"/>
        <v>0.16666666666666669</v>
      </c>
      <c r="AH50" s="238"/>
      <c r="AI50" s="316"/>
      <c r="AJ50" s="316"/>
      <c r="AK50" s="238"/>
      <c r="AL50" s="238"/>
      <c r="AM50" s="183"/>
      <c r="AN50"/>
      <c r="AO50"/>
      <c r="AP50" s="240">
        <f t="shared" si="41"/>
        <v>56.75</v>
      </c>
      <c r="AQ50" s="241">
        <f t="shared" si="49"/>
        <v>59.865326397414776</v>
      </c>
      <c r="AR50" s="242">
        <f t="shared" si="35"/>
        <v>116.61532639741478</v>
      </c>
      <c r="AS50" s="243">
        <f t="shared" si="36"/>
        <v>233.23065279482955</v>
      </c>
      <c r="AT50" s="243">
        <f t="shared" si="37"/>
        <v>119.73065279482955</v>
      </c>
      <c r="AU50" s="244">
        <f t="shared" si="46"/>
        <v>1.0548956193377053</v>
      </c>
      <c r="AV50" s="183"/>
      <c r="AW50" s="183"/>
      <c r="AX50" s="183"/>
      <c r="BA50" s="245">
        <f t="shared" si="38"/>
        <v>113.49999999999999</v>
      </c>
      <c r="BB50" s="245">
        <f t="shared" si="39"/>
        <v>0</v>
      </c>
    </row>
    <row r="51" spans="1:54" ht="12" customHeight="1">
      <c r="F51" s="233"/>
      <c r="G51" s="233"/>
      <c r="H51" s="233"/>
      <c r="I51" s="233"/>
      <c r="J51" s="233"/>
      <c r="K51" s="233"/>
      <c r="L51" s="233"/>
      <c r="M51" s="233"/>
      <c r="N51" s="233"/>
      <c r="O51" s="233"/>
      <c r="P51" s="233"/>
      <c r="Q51" s="233"/>
      <c r="R51" s="237"/>
      <c r="S51" s="185"/>
      <c r="T51" s="237"/>
      <c r="U51" s="237"/>
      <c r="V51" s="237"/>
      <c r="W51" s="237"/>
      <c r="X51" s="237"/>
      <c r="Y51" s="237"/>
      <c r="Z51" s="237"/>
      <c r="AA51" s="237"/>
      <c r="AB51" s="237"/>
      <c r="AC51" s="237"/>
      <c r="AD51" s="237"/>
      <c r="AE51" s="237"/>
      <c r="AF51" s="205"/>
      <c r="AG51" s="205"/>
      <c r="AH51" s="205"/>
      <c r="AI51" s="317"/>
      <c r="AJ51" s="317"/>
      <c r="AK51" s="205"/>
      <c r="AL51" s="205"/>
      <c r="AM51" s="183"/>
      <c r="AN51"/>
      <c r="AO51"/>
      <c r="AP51"/>
      <c r="AQ51"/>
      <c r="AR51" s="183"/>
      <c r="AS51" s="237"/>
      <c r="AT51" s="183"/>
      <c r="AU51" s="234"/>
      <c r="AV51" s="183"/>
      <c r="AW51" s="183"/>
      <c r="AX51" s="183"/>
      <c r="BA51" s="245"/>
      <c r="BB51" s="245"/>
    </row>
    <row r="52" spans="1:54" ht="12" customHeight="1" thickBot="1">
      <c r="C52" s="249" t="s">
        <v>229</v>
      </c>
      <c r="F52" s="283">
        <f>SUM(F29:F51)</f>
        <v>13238.990000000002</v>
      </c>
      <c r="G52" s="283">
        <f t="shared" ref="G52:Q52" si="51">SUM(G29:G51)</f>
        <v>15123.010000000006</v>
      </c>
      <c r="H52" s="283">
        <f t="shared" si="51"/>
        <v>12970.99</v>
      </c>
      <c r="I52" s="283">
        <f t="shared" si="51"/>
        <v>9696.6799999999985</v>
      </c>
      <c r="J52" s="283">
        <f t="shared" si="51"/>
        <v>11312.259999999998</v>
      </c>
      <c r="K52" s="283">
        <f t="shared" si="51"/>
        <v>14967.160000000002</v>
      </c>
      <c r="L52" s="283">
        <f t="shared" si="51"/>
        <v>15200.949999999999</v>
      </c>
      <c r="M52" s="283">
        <f t="shared" si="51"/>
        <v>15270.07</v>
      </c>
      <c r="N52" s="283">
        <f t="shared" si="51"/>
        <v>14315.32</v>
      </c>
      <c r="O52" s="283">
        <f t="shared" si="51"/>
        <v>19199.140000000007</v>
      </c>
      <c r="P52" s="283">
        <f t="shared" si="51"/>
        <v>15035.020000000002</v>
      </c>
      <c r="Q52" s="283">
        <f t="shared" si="51"/>
        <v>15967.759999999998</v>
      </c>
      <c r="R52" s="283">
        <f>SUM(R29:R51)</f>
        <v>172297.35</v>
      </c>
      <c r="S52" s="185"/>
      <c r="T52" s="252">
        <f t="shared" ref="T52:AG52" si="52">SUM(T33:T51)</f>
        <v>842.30588258384682</v>
      </c>
      <c r="U52" s="252">
        <f t="shared" si="52"/>
        <v>682.57518247961514</v>
      </c>
      <c r="V52" s="252">
        <f t="shared" si="52"/>
        <v>1098.4230457955443</v>
      </c>
      <c r="W52" s="252">
        <f t="shared" si="52"/>
        <v>188.48508475930751</v>
      </c>
      <c r="X52" s="252">
        <f t="shared" si="52"/>
        <v>517.60500954887357</v>
      </c>
      <c r="Y52" s="252">
        <f t="shared" si="52"/>
        <v>1080.7809956879571</v>
      </c>
      <c r="Z52" s="252">
        <f t="shared" si="52"/>
        <v>1338.9248250916978</v>
      </c>
      <c r="AA52" s="252">
        <f t="shared" si="52"/>
        <v>603.33745618431681</v>
      </c>
      <c r="AB52" s="252">
        <f t="shared" si="52"/>
        <v>539.3468767872921</v>
      </c>
      <c r="AC52" s="252">
        <f t="shared" si="52"/>
        <v>127.98374359435405</v>
      </c>
      <c r="AD52" s="252">
        <f t="shared" si="52"/>
        <v>101.79023042103023</v>
      </c>
      <c r="AE52" s="252">
        <f t="shared" si="52"/>
        <v>344.8903841474521</v>
      </c>
      <c r="AF52" s="252">
        <f t="shared" si="52"/>
        <v>622.20405975677386</v>
      </c>
      <c r="AG52" s="284">
        <f t="shared" si="52"/>
        <v>622.20405975677397</v>
      </c>
      <c r="AH52" s="284"/>
      <c r="AI52" s="323">
        <f t="shared" ref="AI52:AJ52" ca="1" si="53">SUM(AI29:AI51)</f>
        <v>230.95076319514394</v>
      </c>
      <c r="AJ52" s="323">
        <f t="shared" ca="1" si="53"/>
        <v>59992.390763195152</v>
      </c>
      <c r="AK52" s="284"/>
      <c r="AL52" s="284"/>
      <c r="AM52" s="269">
        <v>24.166666666666664</v>
      </c>
      <c r="AN52"/>
      <c r="AO52"/>
      <c r="AP52"/>
      <c r="AQ52" s="252">
        <f>SUM(AQ33:AQ51)</f>
        <v>742.13293703470663</v>
      </c>
      <c r="AS52" s="252">
        <f>SUM(AS29:AS51)</f>
        <v>273568.7887042847</v>
      </c>
      <c r="AT52" s="252">
        <f>SUM(AT29:AT51)</f>
        <v>101271.43870428482</v>
      </c>
      <c r="BA52" s="245">
        <f>SUM(BA29:BA51)</f>
        <v>172297.35</v>
      </c>
      <c r="BB52" s="245">
        <f>SUM(BB29:BB51)</f>
        <v>0</v>
      </c>
    </row>
    <row r="53" spans="1:54" ht="12" customHeight="1">
      <c r="A53" s="184" t="s">
        <v>230</v>
      </c>
      <c r="F53" s="254"/>
      <c r="G53" s="254"/>
      <c r="H53" s="254"/>
      <c r="I53" s="254"/>
      <c r="J53" s="254"/>
      <c r="K53" s="254"/>
      <c r="L53" s="254"/>
      <c r="M53" s="254"/>
      <c r="N53" s="254"/>
      <c r="O53" s="254"/>
      <c r="P53" s="254"/>
      <c r="Q53" s="254"/>
      <c r="R53" s="254"/>
      <c r="S53" s="185"/>
      <c r="T53" s="255"/>
      <c r="U53" s="255"/>
      <c r="V53" s="255"/>
      <c r="W53" s="255"/>
      <c r="X53" s="255"/>
      <c r="Y53" s="255"/>
      <c r="Z53" s="255"/>
      <c r="AA53" s="255"/>
      <c r="AB53" s="255"/>
      <c r="AC53" s="255"/>
      <c r="AD53" s="255"/>
      <c r="AE53" s="255"/>
      <c r="AF53" s="255"/>
      <c r="AG53" s="255"/>
      <c r="AH53" s="255"/>
      <c r="AI53" s="318"/>
      <c r="AJ53" s="318"/>
      <c r="AK53" s="255"/>
      <c r="AL53" s="255"/>
    </row>
    <row r="54" spans="1:54">
      <c r="D54" s="248"/>
      <c r="E54" s="248"/>
      <c r="F54" s="259"/>
      <c r="G54" s="233"/>
      <c r="H54" s="233"/>
      <c r="I54" s="183"/>
      <c r="J54" s="183"/>
      <c r="K54" s="183"/>
      <c r="L54" s="183"/>
      <c r="M54" s="183"/>
      <c r="N54" s="183"/>
      <c r="O54" s="183"/>
      <c r="P54" s="183"/>
      <c r="Q54" s="183"/>
      <c r="R54" s="243"/>
      <c r="S54" s="185"/>
      <c r="T54" s="237"/>
      <c r="U54" s="237"/>
      <c r="V54" s="237"/>
      <c r="W54" s="237"/>
      <c r="X54" s="237"/>
      <c r="Y54" s="237"/>
      <c r="Z54" s="237"/>
      <c r="AA54" s="237"/>
      <c r="AB54" s="237"/>
      <c r="AC54" s="237"/>
      <c r="AD54" s="237"/>
      <c r="AE54" s="237"/>
      <c r="AM54" s="183"/>
      <c r="AN54" s="183"/>
      <c r="AO54" s="183"/>
      <c r="AP54" s="183"/>
      <c r="AQ54" s="183"/>
      <c r="AR54" s="183"/>
      <c r="AS54" s="183"/>
      <c r="AT54" s="183"/>
      <c r="AU54" s="234"/>
    </row>
    <row r="55" spans="1:54">
      <c r="A55" s="183"/>
      <c r="B55" s="183"/>
      <c r="C55" s="249" t="s">
        <v>231</v>
      </c>
      <c r="D55" s="248"/>
      <c r="E55" s="248"/>
      <c r="F55" s="283">
        <f>+F52+F26+F14</f>
        <v>26158.429999999993</v>
      </c>
      <c r="G55" s="283">
        <f t="shared" ref="G55:Q55" si="54">+G52+G26+G14</f>
        <v>27615.34</v>
      </c>
      <c r="H55" s="283">
        <f t="shared" si="54"/>
        <v>25497.519999999997</v>
      </c>
      <c r="I55" s="283">
        <f t="shared" si="54"/>
        <v>22327.759999999995</v>
      </c>
      <c r="J55" s="283">
        <f t="shared" si="54"/>
        <v>23876.94</v>
      </c>
      <c r="K55" s="283">
        <f t="shared" si="54"/>
        <v>27591.149999999994</v>
      </c>
      <c r="L55" s="283">
        <f t="shared" si="54"/>
        <v>26646.669999999991</v>
      </c>
      <c r="M55" s="283">
        <f t="shared" si="54"/>
        <v>26778.339999999997</v>
      </c>
      <c r="N55" s="283">
        <f t="shared" si="54"/>
        <v>26560.26999999999</v>
      </c>
      <c r="O55" s="283">
        <f t="shared" si="54"/>
        <v>31570.87</v>
      </c>
      <c r="P55" s="283">
        <f t="shared" si="54"/>
        <v>28007.799999999996</v>
      </c>
      <c r="Q55" s="283">
        <f t="shared" si="54"/>
        <v>29151.659999999993</v>
      </c>
      <c r="R55" s="283">
        <f>+R52+R26+R14</f>
        <v>321782.74999999994</v>
      </c>
      <c r="S55" s="185"/>
      <c r="T55" s="237"/>
      <c r="U55" s="237"/>
      <c r="V55" s="237"/>
      <c r="W55" s="237"/>
      <c r="X55" s="237"/>
      <c r="Y55" s="237"/>
      <c r="Z55" s="237"/>
      <c r="AA55" s="237"/>
      <c r="AB55" s="237"/>
      <c r="AC55" s="237"/>
      <c r="AD55" s="237"/>
      <c r="AE55" s="237"/>
      <c r="AM55" s="183"/>
      <c r="AN55" s="183"/>
      <c r="AO55" s="183"/>
      <c r="AP55" s="183"/>
      <c r="AQ55" s="183"/>
      <c r="AR55" s="183"/>
      <c r="AS55" s="183"/>
      <c r="AT55" s="183"/>
      <c r="AU55" s="234"/>
      <c r="BA55" s="245">
        <f>+BA52+BA26+BA14</f>
        <v>321929.36999999994</v>
      </c>
      <c r="BB55" s="245">
        <f t="shared" ref="BB55" si="55">BA55-R55</f>
        <v>146.61999999999534</v>
      </c>
    </row>
    <row r="56" spans="1:54">
      <c r="A56" s="183"/>
      <c r="B56" s="183"/>
      <c r="C56" s="249"/>
      <c r="D56" s="248"/>
      <c r="E56" s="248"/>
      <c r="F56" s="254"/>
      <c r="G56" s="254"/>
      <c r="H56" s="254"/>
      <c r="I56" s="254"/>
      <c r="J56" s="254"/>
      <c r="K56" s="254"/>
      <c r="L56" s="254"/>
      <c r="M56" s="254"/>
      <c r="N56" s="254"/>
      <c r="O56" s="254"/>
      <c r="P56" s="254"/>
      <c r="Q56" s="254"/>
      <c r="R56" s="254"/>
      <c r="S56" s="185"/>
      <c r="T56" s="237"/>
      <c r="U56" s="237"/>
      <c r="V56" s="237"/>
      <c r="W56" s="237"/>
      <c r="X56" s="237"/>
      <c r="Y56" s="237"/>
      <c r="Z56" s="237"/>
      <c r="AA56" s="237"/>
      <c r="AB56" s="237"/>
      <c r="AC56" s="237"/>
      <c r="AD56" s="237"/>
      <c r="AE56" s="237"/>
      <c r="AM56" s="183"/>
      <c r="AN56" s="183"/>
      <c r="AO56" s="183"/>
      <c r="AP56" s="183"/>
      <c r="AQ56" s="183"/>
      <c r="AR56" s="183"/>
      <c r="AS56" s="183"/>
      <c r="AT56" s="183"/>
      <c r="AU56" s="234"/>
    </row>
    <row r="57" spans="1:54" s="183" customFormat="1" ht="12" customHeight="1">
      <c r="A57" s="184" t="s">
        <v>232</v>
      </c>
      <c r="B57" s="184"/>
      <c r="C57" s="184" t="s">
        <v>233</v>
      </c>
      <c r="D57" s="248"/>
      <c r="E57" s="248"/>
      <c r="F57" s="233">
        <v>0</v>
      </c>
      <c r="G57" s="233">
        <v>0</v>
      </c>
      <c r="H57" s="233">
        <v>0</v>
      </c>
      <c r="I57" s="233">
        <v>0</v>
      </c>
      <c r="J57" s="233">
        <v>0</v>
      </c>
      <c r="K57" s="233">
        <v>0</v>
      </c>
      <c r="L57" s="285">
        <v>-5088.87</v>
      </c>
      <c r="M57" s="285">
        <v>37.58</v>
      </c>
      <c r="N57" s="233">
        <v>0</v>
      </c>
      <c r="O57" s="233">
        <v>0</v>
      </c>
      <c r="P57" s="233">
        <v>0</v>
      </c>
      <c r="Q57" s="233">
        <v>0</v>
      </c>
      <c r="R57" s="285">
        <f t="shared" ref="R57" si="56">SUM(F57:Q57)</f>
        <v>-5051.29</v>
      </c>
      <c r="S57" s="185"/>
      <c r="T57" s="246">
        <f t="shared" ref="T57:AE57" si="57">IFERROR(F57/($D57),0)</f>
        <v>0</v>
      </c>
      <c r="U57" s="246">
        <f t="shared" si="57"/>
        <v>0</v>
      </c>
      <c r="V57" s="246">
        <f t="shared" si="57"/>
        <v>0</v>
      </c>
      <c r="W57" s="246">
        <f t="shared" si="57"/>
        <v>0</v>
      </c>
      <c r="X57" s="246">
        <f t="shared" si="57"/>
        <v>0</v>
      </c>
      <c r="Y57" s="246">
        <f t="shared" si="57"/>
        <v>0</v>
      </c>
      <c r="Z57" s="246">
        <f t="shared" si="57"/>
        <v>0</v>
      </c>
      <c r="AA57" s="246">
        <f t="shared" si="57"/>
        <v>0</v>
      </c>
      <c r="AB57" s="246">
        <f t="shared" si="57"/>
        <v>0</v>
      </c>
      <c r="AC57" s="246">
        <f t="shared" si="57"/>
        <v>0</v>
      </c>
      <c r="AD57" s="246">
        <f t="shared" si="57"/>
        <v>0</v>
      </c>
      <c r="AE57" s="246">
        <f t="shared" si="57"/>
        <v>0</v>
      </c>
      <c r="AF57" s="233"/>
      <c r="AG57" s="233"/>
      <c r="AH57" s="233"/>
      <c r="AI57" s="319"/>
      <c r="AJ57" s="319"/>
      <c r="AK57" s="233"/>
      <c r="AL57" s="233"/>
      <c r="AN57"/>
      <c r="AO57"/>
      <c r="AU57" s="234"/>
      <c r="BA57" s="234"/>
      <c r="BB57" s="234"/>
    </row>
    <row r="58" spans="1:54">
      <c r="A58" s="201"/>
      <c r="B58" s="201"/>
      <c r="C58" s="201"/>
    </row>
    <row r="59" spans="1:54">
      <c r="C59" s="193" t="s">
        <v>234</v>
      </c>
      <c r="F59" s="286">
        <f>+F55/$R$55</f>
        <v>8.1292207242308664E-2</v>
      </c>
      <c r="G59" s="286">
        <f t="shared" ref="G59:Q59" si="58">+G55/$R$55</f>
        <v>8.5819827197076301E-2</v>
      </c>
      <c r="H59" s="286">
        <f t="shared" si="58"/>
        <v>7.9238305968856323E-2</v>
      </c>
      <c r="I59" s="286">
        <f t="shared" si="58"/>
        <v>6.9387684703421798E-2</v>
      </c>
      <c r="J59" s="286">
        <f t="shared" si="58"/>
        <v>7.4202050917894141E-2</v>
      </c>
      <c r="K59" s="286">
        <f t="shared" si="58"/>
        <v>8.5744652253733303E-2</v>
      </c>
      <c r="L59" s="286">
        <f t="shared" si="58"/>
        <v>8.2809504238496298E-2</v>
      </c>
      <c r="M59" s="286">
        <f t="shared" si="58"/>
        <v>8.3218693357552581E-2</v>
      </c>
      <c r="N59" s="286">
        <f t="shared" si="58"/>
        <v>8.2541000100222875E-2</v>
      </c>
      <c r="O59" s="286">
        <f t="shared" si="58"/>
        <v>9.8112375508009692E-2</v>
      </c>
      <c r="P59" s="286">
        <f t="shared" si="58"/>
        <v>8.7039469952941859E-2</v>
      </c>
      <c r="Q59" s="286">
        <f t="shared" si="58"/>
        <v>9.0594228559486165E-2</v>
      </c>
      <c r="R59" s="286"/>
    </row>
    <row r="60" spans="1:54">
      <c r="Q60" s="200"/>
      <c r="R60" s="200"/>
    </row>
  </sheetData>
  <mergeCells count="3">
    <mergeCell ref="A9:C9"/>
    <mergeCell ref="A17:C17"/>
    <mergeCell ref="A28:C28"/>
  </mergeCells>
  <conditionalFormatting sqref="A10:B12">
    <cfRule type="duplicateValues" dxfId="5" priority="4"/>
  </conditionalFormatting>
  <conditionalFormatting sqref="A18:B24">
    <cfRule type="duplicateValues" dxfId="4" priority="5"/>
  </conditionalFormatting>
  <conditionalFormatting sqref="A29:B51">
    <cfRule type="duplicateValues" dxfId="3" priority="6"/>
  </conditionalFormatting>
  <conditionalFormatting sqref="A57:B57">
    <cfRule type="duplicateValues" dxfId="2" priority="2"/>
  </conditionalFormatting>
  <conditionalFormatting sqref="C24">
    <cfRule type="duplicateValues" dxfId="1" priority="3"/>
  </conditionalFormatting>
  <conditionalFormatting sqref="C57">
    <cfRule type="duplicateValues" dxfId="0" priority="1"/>
  </conditionalFormatting>
  <pageMargins left="0.25" right="0.25" top="0.27" bottom="0.4" header="0.18" footer="0.25"/>
  <pageSetup scale="70" pageOrder="overThenDown" orientation="portrait" errors="blank" r:id="rId1"/>
  <headerFooter alignWithMargins="0">
    <oddHeader>&amp;C&amp;KFF0000TEXT IN RED BOX CONFIDENTIAL PER WAC 480-07-160</oddHeader>
    <oddFooter>&amp;L&amp;F - &amp;A&amp;CPrinted &amp;D - &amp;T&amp;RPage &amp;P of &amp;N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ABFDB086DD78544582F8E2FF64E2085C" ma:contentTypeVersion="19" ma:contentTypeDescription="" ma:contentTypeScope="" ma:versionID="755e24b15181cc42cefa6ec7d1c252ab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275ef9dcc7ead6001da0d7ec3e70ce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TG</Prefix>
    <DocumentSetType xmlns="dc463f71-b30c-4ab2-9473-d307f9d35888">Workpapers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Tariff Revision</CaseType>
    <IndustryCode xmlns="dc463f71-b30c-4ab2-9473-d307f9d35888">227</IndustryCode>
    <CaseStatus xmlns="dc463f71-b30c-4ab2-9473-d307f9d35888">Pending</CaseStatus>
    <OpenedDate xmlns="dc463f71-b30c-4ab2-9473-d307f9d35888">2025-08-20T07:00:00+00:00</OpenedDate>
    <SignificantOrder xmlns="dc463f71-b30c-4ab2-9473-d307f9d35888">false</SignificantOrder>
    <Date1 xmlns="dc463f71-b30c-4ab2-9473-d307f9d35888">2025-08-20T07:00:00+00:00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Waste Connections of Oregon, Inc.</CaseCompanyNames>
    <Nickname xmlns="http://schemas.microsoft.com/sharepoint/v3" xsi:nil="true"/>
    <DocketNumber xmlns="dc463f71-b30c-4ab2-9473-d307f9d35888">250628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7B39A4DE-348E-4D15-A331-BDCA9509B834}"/>
</file>

<file path=customXml/itemProps2.xml><?xml version="1.0" encoding="utf-8"?>
<ds:datastoreItem xmlns:ds="http://schemas.openxmlformats.org/officeDocument/2006/customXml" ds:itemID="{98A6BAB1-1B8F-45DC-A154-9CC1D266E195}"/>
</file>

<file path=customXml/itemProps3.xml><?xml version="1.0" encoding="utf-8"?>
<ds:datastoreItem xmlns:ds="http://schemas.openxmlformats.org/officeDocument/2006/customXml" ds:itemID="{26FCF3B2-AA58-45E4-9FC5-B9B1A4597EFC}"/>
</file>

<file path=customXml/itemProps4.xml><?xml version="1.0" encoding="utf-8"?>
<ds:datastoreItem xmlns:ds="http://schemas.openxmlformats.org/officeDocument/2006/customXml" ds:itemID="{8512BEA1-F723-4C54-A533-9FC501CED2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16</vt:i4>
      </vt:variant>
    </vt:vector>
  </HeadingPairs>
  <TitlesOfParts>
    <vt:vector size="19" baseType="lpstr">
      <vt:lpstr>STAFF Rate Sheet</vt:lpstr>
      <vt:lpstr>STAFF LG Public (2)</vt:lpstr>
      <vt:lpstr>STAFF Price Out</vt:lpstr>
      <vt:lpstr>'STAFF LG Public (2)'!Debt_Rate</vt:lpstr>
      <vt:lpstr>'STAFF LG Public (2)'!debtP</vt:lpstr>
      <vt:lpstr>'STAFF LG Public (2)'!Equity_percent</vt:lpstr>
      <vt:lpstr>'STAFF LG Public (2)'!equityP</vt:lpstr>
      <vt:lpstr>'STAFF LG Public (2)'!expenses</vt:lpstr>
      <vt:lpstr>'STAFF LG Public (2)'!Investment</vt:lpstr>
      <vt:lpstr>'STAFF LG Public (2)'!Pfd_weighted</vt:lpstr>
      <vt:lpstr>'STAFF LG Public (2)'!Print_Area</vt:lpstr>
      <vt:lpstr>'STAFF LG Public (2)'!regDebt_weighted</vt:lpstr>
      <vt:lpstr>'STAFF LG Public (2)'!Revenue</vt:lpstr>
      <vt:lpstr>'STAFF LG Public (2)'!slope</vt:lpstr>
      <vt:lpstr>'STAFF LG Public (2)'!taxrate</vt:lpstr>
      <vt:lpstr>'STAFF LG Public (2)'!y_inter1</vt:lpstr>
      <vt:lpstr>'STAFF LG Public (2)'!y_inter2</vt:lpstr>
      <vt:lpstr>'STAFF LG Public (2)'!y_inter3</vt:lpstr>
      <vt:lpstr>'STAFF LG Public (2)'!y_inter4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Vandenburg</dc:creator>
  <cp:lastModifiedBy>Brian Vandenburg</cp:lastModifiedBy>
  <dcterms:created xsi:type="dcterms:W3CDTF">2025-08-15T16:25:07Z</dcterms:created>
  <dcterms:modified xsi:type="dcterms:W3CDTF">2025-08-20T15:21:43Z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0x0101006E56B4D1795A2E4DB2F0B01679ED314A00ABFDB086DD78544582F8E2FF64E2085C</vt:lpwstr>
  </property>
</Properties>
</file>